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Z:\Project Files\02. Pipeline Projects\19-08 NFO Douglas &amp; MacArthur (San Mateo County)\08. Funding\8.5 CDLAC\Round 2 August 2024\1. Application TABS\TAB 40 - ATTACHMENT 40\"/>
    </mc:Choice>
  </mc:AlternateContent>
  <xr:revisionPtr revIDLastSave="0" documentId="14_{5E56E300-FC3D-4AA0-A757-3006F4339450}" xr6:coauthVersionLast="47" xr6:coauthVersionMax="47" xr10:uidLastSave="{00000000-0000-0000-0000-000000000000}"/>
  <bookViews>
    <workbookView xWindow="28680" yWindow="1785" windowWidth="29040" windowHeight="15840" firstSheet="3" activeTab="3"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0" i="4" l="1"/>
  <c r="Z813" i="3" l="1"/>
  <c r="AM556" i="3"/>
  <c r="T214" i="20" l="1"/>
  <c r="T213" i="20"/>
  <c r="F100" i="13"/>
  <c r="F101" i="13"/>
  <c r="F102" i="13"/>
  <c r="F103" i="13"/>
  <c r="F90" i="13"/>
  <c r="F91" i="13"/>
  <c r="F92" i="13"/>
  <c r="F93" i="13"/>
  <c r="F95" i="13"/>
  <c r="F89" i="13"/>
  <c r="F85" i="13"/>
  <c r="F86" i="13"/>
  <c r="F87" i="13"/>
  <c r="F84" i="13"/>
  <c r="F79" i="13"/>
  <c r="F69" i="13"/>
  <c r="F66" i="13"/>
  <c r="F67" i="13"/>
  <c r="F68" i="13"/>
  <c r="F65" i="13"/>
  <c r="F46" i="13"/>
  <c r="F47" i="13"/>
  <c r="F48" i="13"/>
  <c r="F49" i="13"/>
  <c r="F50" i="13"/>
  <c r="F51" i="13"/>
  <c r="F52" i="13"/>
  <c r="F45" i="13"/>
  <c r="F43" i="13"/>
  <c r="F40" i="13"/>
  <c r="F31" i="13"/>
  <c r="F32" i="13"/>
  <c r="F33" i="13"/>
  <c r="F34" i="13"/>
  <c r="F35" i="13"/>
  <c r="F36" i="13"/>
  <c r="F37" i="13"/>
  <c r="F29" i="13"/>
  <c r="S79" i="4"/>
  <c r="S46" i="4"/>
  <c r="S47" i="4"/>
  <c r="S48" i="4"/>
  <c r="S50" i="4"/>
  <c r="S51" i="4"/>
  <c r="S52" i="4"/>
  <c r="S45" i="4"/>
  <c r="S43" i="4"/>
  <c r="S41" i="4"/>
  <c r="S40" i="4"/>
  <c r="S31" i="4"/>
  <c r="S32" i="4"/>
  <c r="S33" i="4"/>
  <c r="S34" i="4"/>
  <c r="S35" i="4"/>
  <c r="S36" i="4"/>
  <c r="S37" i="4"/>
  <c r="S29" i="4"/>
  <c r="C100" i="13"/>
  <c r="C101" i="13"/>
  <c r="C102" i="13"/>
  <c r="C103" i="13"/>
  <c r="C84" i="13"/>
  <c r="C85" i="13"/>
  <c r="C86" i="13"/>
  <c r="C87" i="13"/>
  <c r="C88" i="13"/>
  <c r="C89" i="13"/>
  <c r="C90" i="13"/>
  <c r="C91" i="13"/>
  <c r="C92" i="13"/>
  <c r="C93" i="13"/>
  <c r="C94" i="13"/>
  <c r="C79" i="13"/>
  <c r="C73" i="13"/>
  <c r="C74" i="13"/>
  <c r="C76" i="13"/>
  <c r="C72" i="13"/>
  <c r="C66" i="13"/>
  <c r="C67" i="13"/>
  <c r="C68" i="13"/>
  <c r="C69" i="13"/>
  <c r="C65" i="13"/>
  <c r="C57" i="13"/>
  <c r="C58" i="13"/>
  <c r="C59" i="13"/>
  <c r="C60" i="13"/>
  <c r="C56" i="13"/>
  <c r="C46" i="13"/>
  <c r="C47" i="13"/>
  <c r="C48" i="13"/>
  <c r="C49" i="13"/>
  <c r="C50" i="13"/>
  <c r="C51" i="13"/>
  <c r="C52" i="13"/>
  <c r="C45" i="13"/>
  <c r="C43" i="13"/>
  <c r="C41" i="13"/>
  <c r="C40" i="13"/>
  <c r="C30" i="13"/>
  <c r="C31" i="13"/>
  <c r="C32" i="13"/>
  <c r="C33" i="13"/>
  <c r="C34" i="13"/>
  <c r="C35" i="13"/>
  <c r="C36" i="13"/>
  <c r="C37" i="13"/>
  <c r="C29" i="13"/>
  <c r="C27" i="13"/>
  <c r="C18" i="13"/>
  <c r="C19" i="13"/>
  <c r="C20" i="13"/>
  <c r="C21" i="13"/>
  <c r="C22" i="13"/>
  <c r="C23" i="13"/>
  <c r="C24" i="13"/>
  <c r="C25" i="13"/>
  <c r="C17" i="13"/>
  <c r="C14" i="13"/>
  <c r="C15" i="13"/>
  <c r="C13" i="13"/>
  <c r="C10" i="13"/>
  <c r="C9" i="13"/>
  <c r="C5" i="13"/>
  <c r="C6" i="13"/>
  <c r="C7" i="13"/>
  <c r="C4" i="13"/>
  <c r="E80" i="4"/>
  <c r="E79" i="4"/>
  <c r="E100" i="4"/>
  <c r="E101" i="4"/>
  <c r="E102" i="4"/>
  <c r="E103" i="4"/>
  <c r="E84" i="4"/>
  <c r="E85" i="4"/>
  <c r="E86" i="4"/>
  <c r="E88" i="4"/>
  <c r="E89" i="4"/>
  <c r="E90" i="4"/>
  <c r="E91" i="4"/>
  <c r="E92" i="4"/>
  <c r="E93" i="4"/>
  <c r="E94" i="4"/>
  <c r="E95" i="4"/>
  <c r="E83" i="4"/>
  <c r="E73" i="4"/>
  <c r="E74" i="4"/>
  <c r="E75" i="4"/>
  <c r="E76" i="4"/>
  <c r="E72" i="4"/>
  <c r="E66" i="4"/>
  <c r="E67" i="4"/>
  <c r="E68" i="4"/>
  <c r="E69" i="4"/>
  <c r="E65" i="4"/>
  <c r="E57" i="4"/>
  <c r="E58" i="4"/>
  <c r="E59" i="4"/>
  <c r="E60" i="4"/>
  <c r="E61" i="4"/>
  <c r="E56" i="4"/>
  <c r="E46" i="4"/>
  <c r="E47" i="4"/>
  <c r="E48" i="4"/>
  <c r="E49" i="4"/>
  <c r="E50" i="4"/>
  <c r="E51" i="4"/>
  <c r="E52" i="4"/>
  <c r="E45" i="4"/>
  <c r="E43" i="4"/>
  <c r="E40" i="4"/>
  <c r="E31" i="4"/>
  <c r="E32" i="4"/>
  <c r="E33" i="4"/>
  <c r="E34" i="4"/>
  <c r="E35" i="4"/>
  <c r="E36" i="4"/>
  <c r="E37" i="4"/>
  <c r="E29" i="4"/>
  <c r="E27" i="4"/>
  <c r="E5" i="4"/>
  <c r="H4" i="4"/>
  <c r="C57" i="4"/>
  <c r="M957" i="3"/>
  <c r="AA917" i="3"/>
  <c r="G663" i="3"/>
  <c r="AA656" i="3"/>
  <c r="Z655" i="3"/>
  <c r="Z654" i="3"/>
  <c r="Z652" i="3"/>
  <c r="H656" i="3"/>
  <c r="G655" i="3"/>
  <c r="G654" i="3"/>
  <c r="G652" i="3"/>
  <c r="AA648" i="3"/>
  <c r="Z647" i="3"/>
  <c r="Z646" i="3"/>
  <c r="Z645" i="3"/>
  <c r="Z644" i="3"/>
  <c r="G647" i="3"/>
  <c r="AO628" i="3"/>
  <c r="Z653" i="3" l="1"/>
  <c r="G653" i="3"/>
  <c r="H590" i="3"/>
  <c r="G589" i="3"/>
  <c r="G587" i="3"/>
  <c r="G588" i="3"/>
  <c r="G586" i="3"/>
  <c r="AA582" i="3"/>
  <c r="Z581" i="3"/>
  <c r="Z579" i="3"/>
  <c r="Z580" i="3"/>
  <c r="Z578" i="3"/>
  <c r="H317" i="3" l="1"/>
  <c r="P315" i="3"/>
  <c r="H316" i="3"/>
  <c r="H315" i="3"/>
  <c r="H312" i="3"/>
  <c r="H313" i="3"/>
  <c r="H314" i="3"/>
  <c r="H311" i="3"/>
  <c r="H293" i="3"/>
  <c r="H292" i="3"/>
  <c r="H291" i="3"/>
  <c r="H290" i="3"/>
  <c r="H288" i="3"/>
  <c r="H287" i="3"/>
  <c r="I13" i="21" l="1"/>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I8" i="8"/>
  <c r="J8" i="8" s="1"/>
  <c r="J7" i="8"/>
  <c r="I7"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AH729" i="3"/>
  <c r="AH728" i="3"/>
  <c r="AH718"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AP100"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C27" i="11" s="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AH726" i="3" s="1"/>
  <c r="BA676" i="3"/>
  <c r="X727" i="3"/>
  <c r="AH727" i="3" s="1"/>
  <c r="BA674" i="3"/>
  <c r="X725" i="3"/>
  <c r="AH725" i="3" s="1"/>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1" i="11"/>
  <c r="B80" i="11"/>
  <c r="B81" i="11"/>
  <c r="I96" i="13"/>
  <c r="J96" i="13"/>
  <c r="J81" i="13"/>
  <c r="I81" i="13"/>
  <c r="G81" i="13"/>
  <c r="D81" i="13"/>
  <c r="H80" i="13"/>
  <c r="B80" i="13"/>
  <c r="C80" i="13" s="1"/>
  <c r="C81" i="13" s="1"/>
  <c r="R80" i="4"/>
  <c r="S80" i="4" s="1"/>
  <c r="E80" i="13" s="1"/>
  <c r="F80" i="13" s="1"/>
  <c r="F81" i="13" s="1"/>
  <c r="R79" i="4"/>
  <c r="R81" i="4" s="1"/>
  <c r="S70" i="4"/>
  <c r="E70" i="13"/>
  <c r="D81" i="4"/>
  <c r="E81" i="4"/>
  <c r="F81" i="4"/>
  <c r="G81" i="4"/>
  <c r="H81" i="4"/>
  <c r="I81" i="4"/>
  <c r="J81" i="4"/>
  <c r="K81" i="4"/>
  <c r="L81" i="4"/>
  <c r="M81" i="4"/>
  <c r="N81" i="4"/>
  <c r="O81" i="4"/>
  <c r="P81" i="4"/>
  <c r="Q81" i="4"/>
  <c r="S81" i="4"/>
  <c r="E81" i="13"/>
  <c r="T81" i="4"/>
  <c r="H81" i="13"/>
  <c r="C81" i="4"/>
  <c r="B81" i="4"/>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F99" i="13" s="1"/>
  <c r="E95" i="13"/>
  <c r="E94" i="13"/>
  <c r="F94" i="13" s="1"/>
  <c r="E93" i="13"/>
  <c r="E92" i="13"/>
  <c r="E91" i="13"/>
  <c r="E90" i="13"/>
  <c r="E89" i="13"/>
  <c r="E87" i="13"/>
  <c r="E86" i="13"/>
  <c r="E85" i="13"/>
  <c r="E84" i="13"/>
  <c r="E79" i="13"/>
  <c r="E65" i="13"/>
  <c r="E52" i="13"/>
  <c r="E51" i="13"/>
  <c r="E50" i="13"/>
  <c r="E49" i="13"/>
  <c r="E48" i="13"/>
  <c r="E47" i="13"/>
  <c r="E46" i="13"/>
  <c r="E45" i="13"/>
  <c r="E43" i="13"/>
  <c r="E41" i="13"/>
  <c r="E40" i="13"/>
  <c r="E37" i="13"/>
  <c r="E35" i="13"/>
  <c r="E34" i="13"/>
  <c r="E33" i="13"/>
  <c r="E32" i="13"/>
  <c r="E31" i="13"/>
  <c r="E29" i="13"/>
  <c r="E27" i="13"/>
  <c r="E25" i="13"/>
  <c r="E23" i="13"/>
  <c r="E22" i="13"/>
  <c r="E21" i="13"/>
  <c r="E20" i="13"/>
  <c r="E19" i="13"/>
  <c r="E18" i="13"/>
  <c r="E17" i="13"/>
  <c r="E15" i="13"/>
  <c r="E14" i="13"/>
  <c r="E13" i="13"/>
  <c r="E10" i="13"/>
  <c r="B99" i="13"/>
  <c r="C99" i="13" s="1"/>
  <c r="B95" i="13"/>
  <c r="C95" i="13" s="1"/>
  <c r="B94" i="13"/>
  <c r="B93" i="13"/>
  <c r="B92" i="13"/>
  <c r="B91" i="13"/>
  <c r="B90" i="13"/>
  <c r="B89" i="13"/>
  <c r="B88" i="13"/>
  <c r="B87" i="13"/>
  <c r="B86" i="13"/>
  <c r="B85" i="13"/>
  <c r="B84" i="13"/>
  <c r="B83" i="13"/>
  <c r="C83" i="13" s="1"/>
  <c r="B79" i="13"/>
  <c r="B76" i="13"/>
  <c r="B75" i="13"/>
  <c r="C75" i="13" s="1"/>
  <c r="B74" i="13"/>
  <c r="B73" i="13"/>
  <c r="B72" i="13"/>
  <c r="B70" i="13"/>
  <c r="B65" i="13"/>
  <c r="B61" i="13"/>
  <c r="C61" i="13" s="1"/>
  <c r="B60" i="13"/>
  <c r="B59" i="13"/>
  <c r="B58" i="13"/>
  <c r="B57" i="13"/>
  <c r="B56" i="13"/>
  <c r="B53" i="13"/>
  <c r="C53" i="13" s="1"/>
  <c r="B52" i="13"/>
  <c r="B51" i="13"/>
  <c r="B50" i="13"/>
  <c r="B49" i="13"/>
  <c r="B48" i="13"/>
  <c r="B47" i="13"/>
  <c r="B46" i="13"/>
  <c r="B45" i="13"/>
  <c r="B43" i="13"/>
  <c r="C42" i="4"/>
  <c r="B42" i="13"/>
  <c r="B41" i="13"/>
  <c r="B40" i="13"/>
  <c r="B37" i="13"/>
  <c r="B35" i="13"/>
  <c r="B34" i="13"/>
  <c r="B33" i="13"/>
  <c r="B32" i="13"/>
  <c r="B31" i="13"/>
  <c r="B30" i="13"/>
  <c r="B29" i="13"/>
  <c r="B27" i="13"/>
  <c r="B25" i="13"/>
  <c r="B23" i="13"/>
  <c r="B22" i="13"/>
  <c r="B21" i="13"/>
  <c r="B20" i="13"/>
  <c r="B19" i="13"/>
  <c r="B18" i="13"/>
  <c r="B17" i="13"/>
  <c r="B5" i="13"/>
  <c r="B6" i="13"/>
  <c r="B7" i="13"/>
  <c r="C8" i="4"/>
  <c r="B8" i="13"/>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D54" i="13"/>
  <c r="C54" i="13"/>
  <c r="J42" i="13"/>
  <c r="I42" i="13"/>
  <c r="G42" i="13"/>
  <c r="F42" i="13"/>
  <c r="F26" i="13"/>
  <c r="D42" i="13"/>
  <c r="C42" i="13"/>
  <c r="J38" i="13"/>
  <c r="I38" i="13"/>
  <c r="G38" i="13"/>
  <c r="D38" i="13"/>
  <c r="C38" i="13"/>
  <c r="J26" i="13"/>
  <c r="I26" i="13"/>
  <c r="I11" i="13"/>
  <c r="G26" i="13"/>
  <c r="D26" i="13"/>
  <c r="C26" i="13"/>
  <c r="J11" i="13"/>
  <c r="D11" i="13"/>
  <c r="C11" i="13"/>
  <c r="C8" i="13"/>
  <c r="D8" i="13"/>
  <c r="T104" i="4"/>
  <c r="H104" i="13"/>
  <c r="R103" i="4"/>
  <c r="R102" i="4"/>
  <c r="R101" i="4"/>
  <c r="R95" i="4"/>
  <c r="R94" i="4"/>
  <c r="R93" i="4"/>
  <c r="R92" i="4"/>
  <c r="R90" i="4"/>
  <c r="R89" i="4"/>
  <c r="R88" i="4"/>
  <c r="R87" i="4"/>
  <c r="R86" i="4"/>
  <c r="R85" i="4"/>
  <c r="R83" i="4"/>
  <c r="R76" i="4"/>
  <c r="R75" i="4"/>
  <c r="R72" i="4"/>
  <c r="R73" i="4"/>
  <c r="R74" i="4"/>
  <c r="R69" i="4"/>
  <c r="R65" i="4"/>
  <c r="R61" i="4"/>
  <c r="R60" i="4"/>
  <c r="R59" i="4"/>
  <c r="R58" i="4"/>
  <c r="R57" i="4"/>
  <c r="R56" i="4"/>
  <c r="R52" i="4"/>
  <c r="R51" i="4"/>
  <c r="R50" i="4"/>
  <c r="R49" i="4"/>
  <c r="R48" i="4"/>
  <c r="R47" i="4"/>
  <c r="R46" i="4"/>
  <c r="R45" i="4"/>
  <c r="R41" i="4"/>
  <c r="R40" i="4"/>
  <c r="R37" i="4"/>
  <c r="R35" i="4"/>
  <c r="R34" i="4"/>
  <c r="R33" i="4"/>
  <c r="R32" i="4"/>
  <c r="R31" i="4"/>
  <c r="R29" i="4"/>
  <c r="R27" i="4"/>
  <c r="R25" i="4"/>
  <c r="R23" i="4"/>
  <c r="R22" i="4"/>
  <c r="R21" i="4"/>
  <c r="R20" i="4"/>
  <c r="R19" i="4"/>
  <c r="R18" i="4"/>
  <c r="R17" i="4"/>
  <c r="R15" i="4"/>
  <c r="R14" i="4"/>
  <c r="R13" i="4"/>
  <c r="R9" i="4"/>
  <c r="R11"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D30" i="11"/>
  <c r="D33" i="11"/>
  <c r="D34" i="11"/>
  <c r="B41" i="11"/>
  <c r="C41" i="11"/>
  <c r="C42" i="11"/>
  <c r="B42" i="11"/>
  <c r="B44" i="11"/>
  <c r="C44" i="11"/>
  <c r="B46" i="11"/>
  <c r="C46" i="11"/>
  <c r="B47" i="11"/>
  <c r="C47" i="11"/>
  <c r="B48" i="11"/>
  <c r="B49" i="11"/>
  <c r="B50" i="11"/>
  <c r="B51" i="11"/>
  <c r="B52" i="11"/>
  <c r="B53" i="11"/>
  <c r="C48" i="11"/>
  <c r="C49" i="11"/>
  <c r="C50" i="11"/>
  <c r="C51" i="11"/>
  <c r="D51" i="11" s="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H11" i="13"/>
  <c r="T26" i="4"/>
  <c r="H26" i="13"/>
  <c r="T38" i="4"/>
  <c r="H38" i="13"/>
  <c r="T42" i="4"/>
  <c r="H42" i="13"/>
  <c r="T54" i="4"/>
  <c r="H54" i="13"/>
  <c r="T70" i="4"/>
  <c r="H70" i="13"/>
  <c r="T96" i="4"/>
  <c r="H96" i="13"/>
  <c r="C11" i="4"/>
  <c r="B26" i="13"/>
  <c r="C38" i="4"/>
  <c r="B38" i="13"/>
  <c r="C54" i="4"/>
  <c r="B54" i="13"/>
  <c r="C62" i="4"/>
  <c r="B62" i="13"/>
  <c r="C77" i="4"/>
  <c r="B77" i="13"/>
  <c r="C96" i="4"/>
  <c r="B96" i="13"/>
  <c r="B104" i="13"/>
  <c r="D8" i="4"/>
  <c r="D11" i="4"/>
  <c r="D26" i="4"/>
  <c r="D38" i="4"/>
  <c r="D42" i="4"/>
  <c r="D54" i="4"/>
  <c r="B54" i="4"/>
  <c r="D62" i="4"/>
  <c r="D77" i="4"/>
  <c r="D96" i="4"/>
  <c r="D104" i="4"/>
  <c r="B104" i="4"/>
  <c r="E26" i="13"/>
  <c r="S42" i="4"/>
  <c r="E42" i="13"/>
  <c r="S96" i="4"/>
  <c r="E96" i="13"/>
  <c r="S104" i="4"/>
  <c r="E104" i="13"/>
  <c r="F2" i="4"/>
  <c r="G2" i="4"/>
  <c r="H2" i="4"/>
  <c r="I2" i="4"/>
  <c r="J2" i="4"/>
  <c r="K2" i="4"/>
  <c r="L2" i="4"/>
  <c r="M2" i="4"/>
  <c r="N2" i="4"/>
  <c r="O2" i="4"/>
  <c r="P2" i="4"/>
  <c r="Q2" i="4"/>
  <c r="B4" i="4"/>
  <c r="B5" i="4"/>
  <c r="B6" i="4"/>
  <c r="B7" i="4"/>
  <c r="E8" i="4"/>
  <c r="F8" i="4"/>
  <c r="G8" i="4"/>
  <c r="G11" i="4"/>
  <c r="H8" i="4"/>
  <c r="H11" i="4"/>
  <c r="I8" i="4"/>
  <c r="I11" i="4"/>
  <c r="J8" i="4"/>
  <c r="J11" i="4"/>
  <c r="J26" i="4"/>
  <c r="J38" i="4"/>
  <c r="J42" i="4"/>
  <c r="J62" i="4"/>
  <c r="J70" i="4"/>
  <c r="J77" i="4"/>
  <c r="J96" i="4"/>
  <c r="J104" i="4"/>
  <c r="K8" i="4"/>
  <c r="K11" i="4"/>
  <c r="L8" i="4"/>
  <c r="L11" i="4"/>
  <c r="M8" i="4"/>
  <c r="M11" i="4"/>
  <c r="N8" i="4"/>
  <c r="O8" i="4"/>
  <c r="Q8" i="4"/>
  <c r="Q11" i="4"/>
  <c r="B9" i="4"/>
  <c r="B10" i="4"/>
  <c r="E11" i="4"/>
  <c r="F11" i="4"/>
  <c r="F26"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F104" i="4"/>
  <c r="G104" i="4"/>
  <c r="H104" i="4"/>
  <c r="I104" i="4"/>
  <c r="L104" i="4"/>
  <c r="Q104" i="4"/>
  <c r="E108" i="4"/>
  <c r="F108" i="4"/>
  <c r="F30" i="4" s="1"/>
  <c r="G108" i="4"/>
  <c r="H108" i="4"/>
  <c r="I108" i="4"/>
  <c r="J108" i="4"/>
  <c r="J53" i="4" s="1"/>
  <c r="K108" i="4"/>
  <c r="K99" i="4" s="1"/>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AH719" i="3" s="1"/>
  <c r="X720" i="3"/>
  <c r="AH720" i="3" s="1"/>
  <c r="X721" i="3"/>
  <c r="AH721" i="3" s="1"/>
  <c r="X722" i="3"/>
  <c r="AH722" i="3" s="1"/>
  <c r="X723" i="3"/>
  <c r="AH723" i="3" s="1"/>
  <c r="X724" i="3"/>
  <c r="AH724" i="3" s="1"/>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B77" i="4"/>
  <c r="D49" i="11"/>
  <c r="D50" i="11"/>
  <c r="I63" i="13"/>
  <c r="I97" i="13"/>
  <c r="I105" i="13"/>
  <c r="I107" i="13"/>
  <c r="B81" i="13"/>
  <c r="D54" i="11"/>
  <c r="D53" i="11"/>
  <c r="J63" i="13"/>
  <c r="J97" i="13"/>
  <c r="J105" i="13"/>
  <c r="J107" i="13"/>
  <c r="L12" i="4"/>
  <c r="D48" i="11"/>
  <c r="D93" i="11"/>
  <c r="D5" i="11"/>
  <c r="D70" i="11"/>
  <c r="D80" i="11"/>
  <c r="D52" i="11"/>
  <c r="I12" i="4"/>
  <c r="G12" i="4"/>
  <c r="D46" i="11"/>
  <c r="D6" i="11"/>
  <c r="L63" i="4"/>
  <c r="L97" i="4"/>
  <c r="L105" i="4"/>
  <c r="Q12" i="4"/>
  <c r="B11" i="4"/>
  <c r="O63" i="4"/>
  <c r="O97" i="4"/>
  <c r="O105" i="4"/>
  <c r="D18" i="11"/>
  <c r="R70" i="4"/>
  <c r="B8" i="4"/>
  <c r="N187" i="27" s="1"/>
  <c r="D10" i="11"/>
  <c r="D36" i="11"/>
  <c r="G63" i="13"/>
  <c r="G97" i="13"/>
  <c r="G105" i="13"/>
  <c r="G107" i="13"/>
  <c r="D61" i="11"/>
  <c r="D57" i="11"/>
  <c r="D20" i="11"/>
  <c r="D8" i="11"/>
  <c r="D85" i="11"/>
  <c r="B43" i="11"/>
  <c r="D102" i="11"/>
  <c r="D94" i="11"/>
  <c r="K12" i="4"/>
  <c r="C43" i="11"/>
  <c r="C12" i="13"/>
  <c r="D63" i="4"/>
  <c r="D97" i="4"/>
  <c r="D105" i="4"/>
  <c r="B78" i="11"/>
  <c r="D7" i="11"/>
  <c r="J12" i="4"/>
  <c r="D22" i="11"/>
  <c r="O12" i="4"/>
  <c r="I63" i="4"/>
  <c r="I97" i="4"/>
  <c r="I105" i="4"/>
  <c r="D95" i="11"/>
  <c r="D25" i="11"/>
  <c r="B82" i="11"/>
  <c r="B11" i="13"/>
  <c r="D12" i="4"/>
  <c r="R77" i="4"/>
  <c r="H12" i="4"/>
  <c r="C82" i="11"/>
  <c r="B9" i="11"/>
  <c r="C39" i="11"/>
  <c r="D23" i="11"/>
  <c r="D19" i="11"/>
  <c r="D89" i="11"/>
  <c r="D73" i="11"/>
  <c r="D44" i="11"/>
  <c r="D35" i="11"/>
  <c r="D76" i="11"/>
  <c r="D31" i="11"/>
  <c r="D32" i="11"/>
  <c r="D15" i="11"/>
  <c r="D63" i="13"/>
  <c r="D97" i="13"/>
  <c r="D105" i="13"/>
  <c r="D14" i="11"/>
  <c r="Q63" i="4"/>
  <c r="Q97" i="4"/>
  <c r="Q105" i="4"/>
  <c r="C105" i="11"/>
  <c r="D87" i="11"/>
  <c r="N63" i="4"/>
  <c r="N97" i="4"/>
  <c r="N105" i="4"/>
  <c r="N12" i="4"/>
  <c r="H63" i="4"/>
  <c r="H97" i="4"/>
  <c r="H105" i="4"/>
  <c r="F12" i="4"/>
  <c r="D60" i="11"/>
  <c r="M12" i="4"/>
  <c r="R8" i="4"/>
  <c r="D84" i="11"/>
  <c r="D74" i="11"/>
  <c r="D59" i="11"/>
  <c r="D38" i="11"/>
  <c r="R42" i="4"/>
  <c r="P63" i="4"/>
  <c r="P97" i="4"/>
  <c r="P105" i="4"/>
  <c r="B38" i="4"/>
  <c r="C63" i="11"/>
  <c r="B63" i="11"/>
  <c r="C9" i="11"/>
  <c r="D12" i="13"/>
  <c r="D58" i="11"/>
  <c r="D100" i="11"/>
  <c r="D62" i="11"/>
  <c r="D24" i="11"/>
  <c r="D101" i="11"/>
  <c r="D90" i="11"/>
  <c r="R62" i="4"/>
  <c r="D66" i="11"/>
  <c r="C63" i="13"/>
  <c r="C97" i="13"/>
  <c r="C105" i="13"/>
  <c r="D92" i="11"/>
  <c r="D75" i="11"/>
  <c r="B71" i="11"/>
  <c r="B39" i="11"/>
  <c r="D28" i="11"/>
  <c r="C55" i="11"/>
  <c r="D103" i="11"/>
  <c r="D88" i="11"/>
  <c r="C78" i="11"/>
  <c r="D42" i="11"/>
  <c r="D21" i="11"/>
  <c r="D16" i="11"/>
  <c r="B12" i="11"/>
  <c r="R26" i="4"/>
  <c r="D81" i="11"/>
  <c r="D86" i="11"/>
  <c r="B55" i="11"/>
  <c r="AD199" i="20"/>
  <c r="R12" i="4"/>
  <c r="B42" i="4"/>
  <c r="D77" i="11"/>
  <c r="D47" i="11"/>
  <c r="C71" i="11"/>
  <c r="M63" i="4"/>
  <c r="M97" i="4"/>
  <c r="M105" i="4"/>
  <c r="G63" i="4"/>
  <c r="G97" i="4"/>
  <c r="G105" i="4"/>
  <c r="D91" i="11"/>
  <c r="D41" i="11"/>
  <c r="C12" i="11"/>
  <c r="K63" i="4"/>
  <c r="K97" i="4"/>
  <c r="B62" i="4"/>
  <c r="R96" i="4"/>
  <c r="B105" i="11"/>
  <c r="D104" i="11"/>
  <c r="E12" i="4"/>
  <c r="B96" i="4"/>
  <c r="T63" i="4"/>
  <c r="T97" i="4"/>
  <c r="D11" i="11"/>
  <c r="C12" i="4"/>
  <c r="B12" i="13"/>
  <c r="D43" i="11"/>
  <c r="B97" i="11"/>
  <c r="D78" i="11"/>
  <c r="D71" i="11"/>
  <c r="D82" i="11"/>
  <c r="B12" i="4"/>
  <c r="D9" i="11"/>
  <c r="B13" i="11"/>
  <c r="D63" i="11"/>
  <c r="D12" i="11"/>
  <c r="C13" i="11"/>
  <c r="D55" i="11"/>
  <c r="H63" i="13"/>
  <c r="T105" i="4"/>
  <c r="H97" i="13"/>
  <c r="D96" i="11"/>
  <c r="C97" i="11"/>
  <c r="D97" i="11"/>
  <c r="D13" i="11"/>
  <c r="T107" i="4"/>
  <c r="H105" i="13"/>
  <c r="H107" i="13"/>
  <c r="AD11" i="15"/>
  <c r="AZ846" i="3"/>
  <c r="E30" i="4" l="1"/>
  <c r="F38" i="4"/>
  <c r="F63" i="4" s="1"/>
  <c r="F97" i="4" s="1"/>
  <c r="F105" i="4" s="1"/>
  <c r="E99" i="4"/>
  <c r="K104" i="4"/>
  <c r="K105" i="4" s="1"/>
  <c r="E53" i="4"/>
  <c r="J54" i="4"/>
  <c r="J63" i="4" s="1"/>
  <c r="J97" i="4" s="1"/>
  <c r="J105" i="4" s="1"/>
  <c r="D105" i="11"/>
  <c r="N186" i="27"/>
  <c r="N193" i="27" s="1"/>
  <c r="B63" i="4"/>
  <c r="D39" i="11"/>
  <c r="Q30" i="21" a="1"/>
  <c r="Q30" i="21" s="1"/>
  <c r="G67" i="21"/>
  <c r="AD23" i="15"/>
  <c r="AD26" i="15" s="1"/>
  <c r="B64" i="11"/>
  <c r="B98" i="11" s="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Y1004" i="3" s="1"/>
  <c r="AG29" i="7"/>
  <c r="AC28" i="7"/>
  <c r="AO641" i="3"/>
  <c r="K29" i="7"/>
  <c r="S29" i="7"/>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AK783" i="20"/>
  <c r="T808" i="20" s="1"/>
  <c r="AF808" i="20" s="1"/>
  <c r="AK103" i="20"/>
  <c r="T795" i="20" s="1"/>
  <c r="AF795" i="20" s="1"/>
  <c r="B106" i="1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AD28" i="15" s="1"/>
  <c r="DR632" i="3"/>
  <c r="S24" i="21"/>
  <c r="C97" i="4"/>
  <c r="C105" i="4" s="1"/>
  <c r="AC455" i="3" s="1"/>
  <c r="B27" i="11"/>
  <c r="D26" i="11"/>
  <c r="D27" i="11" s="1"/>
  <c r="C64" i="1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T39" i="21"/>
  <c r="Q22" i="21" a="1"/>
  <c r="Q22" i="21" s="1"/>
  <c r="S38" i="21"/>
  <c r="S29" i="21"/>
  <c r="S20" i="21"/>
  <c r="P38" i="21" a="1"/>
  <c r="P38" i="21" s="1"/>
  <c r="T29" i="21"/>
  <c r="Q38" i="21" a="1"/>
  <c r="Q38" i="21" s="1"/>
  <c r="Q20" i="21" a="1"/>
  <c r="Q20" i="21" s="1"/>
  <c r="R43" i="21"/>
  <c r="T43" i="2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T25" i="21"/>
  <c r="O43" i="21"/>
  <c r="Q24" i="21" a="1"/>
  <c r="Q24" i="21" s="1"/>
  <c r="E25" i="21"/>
  <c r="J40" i="8"/>
  <c r="G53" i="21"/>
  <c r="E24" i="21"/>
  <c r="E22" i="21"/>
  <c r="F22" i="21" s="1"/>
  <c r="G40" i="8"/>
  <c r="I15" i="7"/>
  <c r="E26" i="21"/>
  <c r="E23" i="21"/>
  <c r="F23" i="21" s="1"/>
  <c r="G23" i="21" s="1"/>
  <c r="Z809" i="3" l="1"/>
  <c r="M959" i="3"/>
  <c r="M960" i="3" s="1"/>
  <c r="R30" i="4"/>
  <c r="E38" i="4"/>
  <c r="R99" i="4"/>
  <c r="R104" i="4" s="1"/>
  <c r="E104" i="4"/>
  <c r="R53" i="4"/>
  <c r="E54" i="4"/>
  <c r="DX635" i="3"/>
  <c r="BH702" i="3"/>
  <c r="BH701" i="3"/>
  <c r="BI701" i="3" s="1"/>
  <c r="BU669" i="3"/>
  <c r="BU677" i="3"/>
  <c r="BU685" i="3"/>
  <c r="BU693" i="3"/>
  <c r="BV693" i="3" s="1"/>
  <c r="BU702" i="3"/>
  <c r="BU670" i="3"/>
  <c r="BV670" i="3" s="1"/>
  <c r="BU678" i="3"/>
  <c r="BV678" i="3" s="1"/>
  <c r="BU686" i="3"/>
  <c r="BV686" i="3" s="1"/>
  <c r="BU694" i="3"/>
  <c r="BU668" i="3"/>
  <c r="BU671" i="3"/>
  <c r="BU679" i="3"/>
  <c r="BU687" i="3"/>
  <c r="BU695" i="3"/>
  <c r="BV695" i="3" s="1"/>
  <c r="BU681" i="3"/>
  <c r="BV681" i="3" s="1"/>
  <c r="BU689" i="3"/>
  <c r="BU698" i="3"/>
  <c r="BU684" i="3"/>
  <c r="BU700" i="3"/>
  <c r="BV700" i="3" s="1"/>
  <c r="BU672" i="3"/>
  <c r="BU680" i="3"/>
  <c r="BU688" i="3"/>
  <c r="BV688" i="3" s="1"/>
  <c r="BU696" i="3"/>
  <c r="BV696" i="3" s="1"/>
  <c r="BU673" i="3"/>
  <c r="BU697" i="3"/>
  <c r="BU674" i="3"/>
  <c r="BU682" i="3"/>
  <c r="BU690" i="3"/>
  <c r="BU676" i="3"/>
  <c r="BU692" i="3"/>
  <c r="BV692" i="3" s="1"/>
  <c r="BU675" i="3"/>
  <c r="BV675" i="3" s="1"/>
  <c r="BU683" i="3"/>
  <c r="BU691" i="3"/>
  <c r="BU699" i="3"/>
  <c r="BH674" i="3"/>
  <c r="BH675" i="3"/>
  <c r="BH683" i="3"/>
  <c r="BI683" i="3" s="1"/>
  <c r="BH691" i="3"/>
  <c r="BI691" i="3" s="1"/>
  <c r="BH699" i="3"/>
  <c r="BI699" i="3" s="1"/>
  <c r="BH676" i="3"/>
  <c r="BH684" i="3"/>
  <c r="BH692" i="3"/>
  <c r="BH700" i="3"/>
  <c r="BI700" i="3" s="1"/>
  <c r="BH672" i="3"/>
  <c r="BH688" i="3"/>
  <c r="BH669" i="3"/>
  <c r="BI669" i="3" s="1"/>
  <c r="BH677" i="3"/>
  <c r="BI677" i="3" s="1"/>
  <c r="BH685" i="3"/>
  <c r="BI685" i="3" s="1"/>
  <c r="BH693" i="3"/>
  <c r="BH671" i="3"/>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H681" i="3"/>
  <c r="BH689" i="3"/>
  <c r="BH697" i="3"/>
  <c r="BI697" i="3" s="1"/>
  <c r="E22" i="7"/>
  <c r="BI702" i="3"/>
  <c r="BI671" i="3"/>
  <c r="BI692" i="3"/>
  <c r="BV691" i="3"/>
  <c r="AX683" i="20"/>
  <c r="AY684" i="20" s="1"/>
  <c r="I14" i="21"/>
  <c r="BV698" i="3"/>
  <c r="BV694" i="3"/>
  <c r="BV699" i="3"/>
  <c r="BV702" i="3"/>
  <c r="BV697"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B97" i="4"/>
  <c r="B97" i="13"/>
  <c r="B105" i="4"/>
  <c r="AC454" i="3" s="1"/>
  <c r="AG258" i="20"/>
  <c r="B105" i="13"/>
  <c r="D64" i="11"/>
  <c r="C98" i="11"/>
  <c r="G22" i="7"/>
  <c r="G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BV674" i="3"/>
  <c r="EM636" i="3"/>
  <c r="EC654" i="3"/>
  <c r="EC641" i="3"/>
  <c r="I8" i="7"/>
  <c r="I9" i="7" s="1"/>
  <c r="S18" i="21"/>
  <c r="G44" i="21" s="1"/>
  <c r="BV682" i="3"/>
  <c r="Y801" i="3"/>
  <c r="E4" i="7" s="1"/>
  <c r="CS641" i="3"/>
  <c r="EC642" i="3"/>
  <c r="AW111" i="20"/>
  <c r="AW114" i="20"/>
  <c r="BV679" i="3"/>
  <c r="EH641" i="3"/>
  <c r="AJ1044"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BI684"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BV668" i="3"/>
  <c r="BV680" i="3"/>
  <c r="BV684" i="3"/>
  <c r="BV685" i="3"/>
  <c r="BV669" i="3"/>
  <c r="BV677" i="3"/>
  <c r="BV676" i="3"/>
  <c r="BV673" i="3"/>
  <c r="BV689" i="3"/>
  <c r="BV672" i="3"/>
  <c r="BV690" i="3"/>
  <c r="BV683"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BI675" i="3"/>
  <c r="BI673" i="3"/>
  <c r="BI688" i="3"/>
  <c r="BI681" i="3"/>
  <c r="BI674" i="3"/>
  <c r="BI686" i="3"/>
  <c r="BI689" i="3"/>
  <c r="EH637" i="3"/>
  <c r="DR657" i="3"/>
  <c r="EM632" i="3"/>
  <c r="EM635" i="3"/>
  <c r="BI676" i="3"/>
  <c r="EM643" i="3"/>
  <c r="E6" i="7"/>
  <c r="K15" i="7"/>
  <c r="I22" i="7"/>
  <c r="I35" i="7" s="1"/>
  <c r="E27" i="21"/>
  <c r="G22" i="21"/>
  <c r="S30" i="4" l="1"/>
  <c r="R38" i="4"/>
  <c r="S53" i="4"/>
  <c r="R54" i="4"/>
  <c r="O28" i="21"/>
  <c r="P28" i="21" s="1" a="1"/>
  <c r="P28" i="21" s="1"/>
  <c r="R28" i="21" s="1"/>
  <c r="O24" i="21"/>
  <c r="P24" i="21" s="1" a="1"/>
  <c r="P24" i="21" s="1"/>
  <c r="R24" i="21" s="1"/>
  <c r="O26" i="21"/>
  <c r="P26" i="21" s="1" a="1"/>
  <c r="P26" i="21" s="1"/>
  <c r="R26" i="21" s="1"/>
  <c r="O33" i="21"/>
  <c r="P33" i="21" s="1" a="1"/>
  <c r="P33" i="21" s="1"/>
  <c r="R33" i="21" s="1"/>
  <c r="O25" i="21"/>
  <c r="P25" i="21" s="1" a="1"/>
  <c r="P25" i="21" s="1"/>
  <c r="R25" i="21" s="1"/>
  <c r="O29" i="21"/>
  <c r="P29" i="21" s="1" a="1"/>
  <c r="P29" i="21" s="1"/>
  <c r="R29" i="21" s="1"/>
  <c r="O31" i="21"/>
  <c r="P31" i="21" s="1" a="1"/>
  <c r="P31" i="21" s="1"/>
  <c r="R31" i="21" s="1"/>
  <c r="O32" i="21"/>
  <c r="P32" i="21" s="1" a="1"/>
  <c r="P32" i="21" s="1"/>
  <c r="R32" i="21" s="1"/>
  <c r="O27" i="21"/>
  <c r="P27" i="21" s="1" a="1"/>
  <c r="P27" i="21" s="1"/>
  <c r="R27" i="21" s="1"/>
  <c r="O30" i="21"/>
  <c r="P30" i="21" s="1" a="1"/>
  <c r="P30" i="21" s="1"/>
  <c r="R30" i="21" s="1"/>
  <c r="CS634" i="3"/>
  <c r="BH703" i="3"/>
  <c r="BV703" i="3"/>
  <c r="AH753" i="3" s="1"/>
  <c r="AB47" i="15"/>
  <c r="AB49" i="15" s="1"/>
  <c r="AB54" i="15" s="1"/>
  <c r="AB55" i="15" s="1"/>
  <c r="N183" i="27"/>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AP541" i="20"/>
  <c r="BI668" i="3"/>
  <c r="DX670" i="3"/>
  <c r="E124" i="20" s="1"/>
  <c r="E127" i="20" s="1"/>
  <c r="E130" i="20" s="1"/>
  <c r="AW116" i="20"/>
  <c r="AK180" i="20"/>
  <c r="T800" i="20" s="1"/>
  <c r="AF800" i="20" s="1"/>
  <c r="T794" i="20"/>
  <c r="AF794" i="20" s="1"/>
  <c r="K8" i="7"/>
  <c r="M8" i="7" s="1"/>
  <c r="AB255" i="20"/>
  <c r="AG257" i="20" s="1"/>
  <c r="AG259" i="20" s="1"/>
  <c r="AK262" i="20" s="1"/>
  <c r="T801" i="20" s="1"/>
  <c r="AF801" i="20" s="1"/>
  <c r="F457" i="3"/>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O756" i="3"/>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E30" i="13" l="1"/>
  <c r="F30" i="13" s="1"/>
  <c r="F38" i="13" s="1"/>
  <c r="S38" i="4"/>
  <c r="E38" i="13" s="1"/>
  <c r="E53" i="13"/>
  <c r="F53" i="13" s="1"/>
  <c r="F54" i="13" s="1"/>
  <c r="F63" i="13" s="1"/>
  <c r="F97" i="13" s="1"/>
  <c r="F105" i="13" s="1"/>
  <c r="F107" i="13" s="1"/>
  <c r="S54" i="4"/>
  <c r="N184" i="27"/>
  <c r="N194" i="27"/>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E54" i="13" l="1"/>
  <c r="S63" i="4"/>
  <c r="B1059" i="3"/>
  <c r="AJ1048" i="3"/>
  <c r="AP542" i="20" s="1"/>
  <c r="AP539" i="20"/>
  <c r="AP543" i="20" s="1"/>
  <c r="K4" i="7"/>
  <c r="M4" i="7" s="1"/>
  <c r="E45" i="7"/>
  <c r="E48" i="7" s="1"/>
  <c r="AJ1052" i="3"/>
  <c r="G45" i="7"/>
  <c r="G49" i="7"/>
  <c r="K6" i="7"/>
  <c r="I7" i="7"/>
  <c r="I11" i="7" s="1"/>
  <c r="I37" i="7" s="1"/>
  <c r="G24" i="21"/>
  <c r="F27" i="21"/>
  <c r="G27" i="21"/>
  <c r="O22" i="7"/>
  <c r="O35" i="7" s="1"/>
  <c r="Q15" i="7"/>
  <c r="O9" i="7"/>
  <c r="Q8" i="7"/>
  <c r="S97" i="4" l="1"/>
  <c r="E63" i="13"/>
  <c r="T11" i="15"/>
  <c r="T23" i="15" s="1"/>
  <c r="T24" i="15"/>
  <c r="AP546" i="20"/>
  <c r="AP545" i="20" s="1"/>
  <c r="AP548" i="20" s="1"/>
  <c r="AF541" i="20" s="1"/>
  <c r="K5" i="7"/>
  <c r="E47" i="7"/>
  <c r="E60" i="7"/>
  <c r="O4" i="7"/>
  <c r="M5" i="7"/>
  <c r="I45" i="7"/>
  <c r="I49" i="7"/>
  <c r="M6" i="7"/>
  <c r="K7" i="7"/>
  <c r="G60" i="7"/>
  <c r="G66" i="7" s="1"/>
  <c r="G47" i="7"/>
  <c r="G48" i="7"/>
  <c r="Q22" i="7"/>
  <c r="Q35" i="7" s="1"/>
  <c r="S15" i="7"/>
  <c r="G95" i="21"/>
  <c r="G96" i="21" s="1"/>
  <c r="G29" i="21"/>
  <c r="G31" i="21" s="1"/>
  <c r="E9" i="21" s="1"/>
  <c r="G104" i="21"/>
  <c r="G106" i="21" s="1"/>
  <c r="G79" i="21"/>
  <c r="G64" i="21"/>
  <c r="Q9" i="7"/>
  <c r="S8" i="7"/>
  <c r="S105" i="4" l="1"/>
  <c r="E97" i="13"/>
  <c r="E62" i="7"/>
  <c r="E66" i="7"/>
  <c r="T26" i="15"/>
  <c r="T28" i="15" s="1"/>
  <c r="Y64" i="15"/>
  <c r="Y68" i="15" s="1"/>
  <c r="Y69" i="15" s="1"/>
  <c r="K11" i="7"/>
  <c r="K37" i="7" s="1"/>
  <c r="K45" i="7" s="1"/>
  <c r="O5" i="7"/>
  <c r="Q4" i="7"/>
  <c r="M7" i="7"/>
  <c r="M11" i="7" s="1"/>
  <c r="M37" i="7" s="1"/>
  <c r="O6" i="7"/>
  <c r="G67" i="7"/>
  <c r="G62" i="7"/>
  <c r="I48" i="7"/>
  <c r="I60" i="7"/>
  <c r="I66" i="7" s="1"/>
  <c r="I47" i="7"/>
  <c r="G69" i="21"/>
  <c r="G81" i="21"/>
  <c r="G65" i="21"/>
  <c r="S22" i="7"/>
  <c r="S35" i="7" s="1"/>
  <c r="U15" i="7"/>
  <c r="E14" i="21"/>
  <c r="E15" i="21" s="1"/>
  <c r="U8" i="7"/>
  <c r="S9" i="7"/>
  <c r="S107" i="4" l="1"/>
  <c r="E105" i="13"/>
  <c r="K49" i="7"/>
  <c r="E70" i="7"/>
  <c r="E72" i="7" s="1"/>
  <c r="S4" i="7"/>
  <c r="Q5" i="7"/>
  <c r="G70" i="7"/>
  <c r="G72" i="7" s="1"/>
  <c r="O7" i="7"/>
  <c r="O11" i="7" s="1"/>
  <c r="O37" i="7" s="1"/>
  <c r="Q6" i="7"/>
  <c r="M45" i="7"/>
  <c r="M49" i="7"/>
  <c r="I67" i="7"/>
  <c r="I62" i="7"/>
  <c r="K47" i="7"/>
  <c r="K60" i="7"/>
  <c r="K66" i="7" s="1"/>
  <c r="K48" i="7"/>
  <c r="U22" i="7"/>
  <c r="U35" i="7" s="1"/>
  <c r="W15" i="7"/>
  <c r="G83" i="21"/>
  <c r="E13" i="21" s="1"/>
  <c r="E16" i="21" s="1"/>
  <c r="H3" i="21" s="1"/>
  <c r="U9" i="7"/>
  <c r="W8" i="7"/>
  <c r="AC456" i="3" l="1"/>
  <c r="AF540" i="20"/>
  <c r="AF542" i="20" s="1"/>
  <c r="AK548" i="20" s="1"/>
  <c r="T807" i="20" s="1"/>
  <c r="AF807" i="20" s="1"/>
  <c r="AF810" i="20" s="1"/>
  <c r="E107" i="13"/>
  <c r="Y11" i="15" s="1"/>
  <c r="Y23" i="15" s="1"/>
  <c r="U4" i="7"/>
  <c r="S5" i="7"/>
  <c r="M48" i="7"/>
  <c r="M47" i="7"/>
  <c r="M60" i="7"/>
  <c r="M66" i="7" s="1"/>
  <c r="O45" i="7"/>
  <c r="O49" i="7"/>
  <c r="K67" i="7"/>
  <c r="K62" i="7"/>
  <c r="Q7" i="7"/>
  <c r="Q11" i="7" s="1"/>
  <c r="Q37" i="7" s="1"/>
  <c r="S6" i="7"/>
  <c r="I70" i="7"/>
  <c r="I72" i="7" s="1"/>
  <c r="W22" i="7"/>
  <c r="W35" i="7" s="1"/>
  <c r="Y15" i="7"/>
  <c r="W9" i="7"/>
  <c r="Y8" i="7"/>
  <c r="Y26" i="15" l="1"/>
  <c r="Y28" i="15" s="1"/>
  <c r="T29" i="15" s="1"/>
  <c r="AD38" i="15"/>
  <c r="AD40" i="15" s="1"/>
  <c r="Y38" i="15"/>
  <c r="Y40" i="15" s="1"/>
  <c r="Y41" i="15" s="1"/>
  <c r="AB56" i="15" s="1"/>
  <c r="U5" i="7"/>
  <c r="W4" i="7"/>
  <c r="Q49" i="7"/>
  <c r="Q45" i="7"/>
  <c r="M62" i="7"/>
  <c r="M67" i="7"/>
  <c r="O47" i="7"/>
  <c r="O48" i="7"/>
  <c r="O60" i="7"/>
  <c r="O66" i="7" s="1"/>
  <c r="K70" i="7"/>
  <c r="K72" i="7" s="1"/>
  <c r="S7" i="7"/>
  <c r="S11" i="7" s="1"/>
  <c r="S37" i="7" s="1"/>
  <c r="U6" i="7"/>
  <c r="Y22" i="7"/>
  <c r="Y35" i="7" s="1"/>
  <c r="AA15" i="7"/>
  <c r="Y9" i="7"/>
  <c r="AA8" i="7"/>
  <c r="M26" i="3" l="1"/>
  <c r="P204" i="3" s="1"/>
  <c r="AB57" i="15"/>
  <c r="AB59" i="15" s="1"/>
  <c r="AB77" i="15" s="1"/>
  <c r="AB78" i="15"/>
  <c r="AB79" i="15" s="1"/>
  <c r="AB81" i="15" s="1"/>
  <c r="J82" i="15" s="1"/>
  <c r="M70" i="7"/>
  <c r="M72" i="7" s="1"/>
  <c r="W5" i="7"/>
  <c r="Y4" i="7"/>
  <c r="U7" i="7"/>
  <c r="U11" i="7" s="1"/>
  <c r="U37" i="7" s="1"/>
  <c r="W6" i="7"/>
  <c r="O67" i="7"/>
  <c r="O62" i="7"/>
  <c r="Q60" i="7"/>
  <c r="Q66" i="7" s="1"/>
  <c r="Q48" i="7"/>
  <c r="Q47" i="7"/>
  <c r="S49" i="7"/>
  <c r="S45" i="7"/>
  <c r="AC15" i="7"/>
  <c r="AA22" i="7"/>
  <c r="AA35" i="7" s="1"/>
  <c r="AC8" i="7"/>
  <c r="AA9" i="7"/>
  <c r="I10" i="21" l="1"/>
  <c r="I11" i="21" s="1"/>
  <c r="I16" i="21" s="1"/>
  <c r="H4" i="21" s="1"/>
  <c r="H5" i="21" s="1"/>
  <c r="M27" i="3"/>
  <c r="P205" i="3" s="1"/>
  <c r="AA4" i="7"/>
  <c r="Y5" i="7"/>
  <c r="Y6" i="7"/>
  <c r="W7" i="7"/>
  <c r="W11" i="7" s="1"/>
  <c r="W37" i="7" s="1"/>
  <c r="U45" i="7"/>
  <c r="U49" i="7"/>
  <c r="Q67" i="7"/>
  <c r="Q62" i="7"/>
  <c r="S48" i="7"/>
  <c r="S47" i="7"/>
  <c r="S60" i="7"/>
  <c r="S66" i="7" s="1"/>
  <c r="O70" i="7"/>
  <c r="O72" i="7" s="1"/>
  <c r="AE15" i="7"/>
  <c r="AC22" i="7"/>
  <c r="AC35" i="7" s="1"/>
  <c r="AC9" i="7"/>
  <c r="AE8" i="7"/>
  <c r="AA5" i="7" l="1"/>
  <c r="AC4" i="7"/>
  <c r="S67" i="7"/>
  <c r="S62" i="7"/>
  <c r="U48" i="7"/>
  <c r="U60" i="7"/>
  <c r="U66" i="7" s="1"/>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7" i="7"/>
  <c r="U62" i="7"/>
  <c r="Y49" i="7"/>
  <c r="Y45" i="7"/>
  <c r="W60" i="7"/>
  <c r="W66" i="7" s="1"/>
  <c r="W47" i="7"/>
  <c r="W48" i="7"/>
  <c r="AE5" i="7" l="1"/>
  <c r="AG4" i="7"/>
  <c r="AG5" i="7" s="1"/>
  <c r="AA45" i="7"/>
  <c r="AA49" i="7"/>
  <c r="U70" i="7"/>
  <c r="U72" i="7" s="1"/>
  <c r="W67" i="7"/>
  <c r="W62" i="7"/>
  <c r="Y47" i="7"/>
  <c r="Y48" i="7"/>
  <c r="Y60" i="7"/>
  <c r="Y66" i="7" s="1"/>
  <c r="AE6" i="7"/>
  <c r="AC7" i="7"/>
  <c r="AC11" i="7" s="1"/>
  <c r="AC37" i="7" s="1"/>
  <c r="W70" i="7" l="1"/>
  <c r="W72" i="7" s="1"/>
  <c r="AA60" i="7"/>
  <c r="AA66" i="7" s="1"/>
  <c r="AA47" i="7"/>
  <c r="AA48" i="7"/>
  <c r="AC45" i="7"/>
  <c r="AC49" i="7"/>
  <c r="AE7" i="7"/>
  <c r="AE11" i="7" s="1"/>
  <c r="AE37" i="7" s="1"/>
  <c r="AG6" i="7"/>
  <c r="Y67" i="7"/>
  <c r="Y62" i="7"/>
  <c r="Y70" i="7" l="1"/>
  <c r="Y72" i="7" s="1"/>
  <c r="AG7" i="7"/>
  <c r="AG11" i="7" s="1"/>
  <c r="AG37" i="7" s="1"/>
  <c r="AE49" i="7"/>
  <c r="AE45" i="7"/>
  <c r="AC60" i="7"/>
  <c r="AC66" i="7" s="1"/>
  <c r="AC48" i="7"/>
  <c r="AC47" i="7"/>
  <c r="AA67" i="7"/>
  <c r="AA62" i="7"/>
  <c r="AA70" i="7" l="1"/>
  <c r="AA72" i="7" s="1"/>
  <c r="AC62" i="7"/>
  <c r="AC67" i="7"/>
  <c r="AE47" i="7"/>
  <c r="AE60" i="7"/>
  <c r="AE66" i="7" s="1"/>
  <c r="AE48" i="7"/>
  <c r="AG49" i="7"/>
  <c r="AG45" i="7"/>
  <c r="AG48" i="7" l="1"/>
  <c r="AG60" i="7"/>
  <c r="AG66" i="7" s="1"/>
  <c r="AG47" i="7"/>
  <c r="AE62" i="7"/>
  <c r="AE67" i="7"/>
  <c r="AC70" i="7"/>
  <c r="AC72" i="7" s="1"/>
  <c r="AE70" i="7" l="1"/>
  <c r="AE72" i="7" s="1"/>
  <c r="AG62" i="7"/>
  <c r="AG67" i="7"/>
  <c r="AG70" i="7" l="1"/>
  <c r="AG72" i="7" s="1"/>
  <c r="BI693" i="3"/>
  <c r="BI703" i="3" l="1"/>
  <c r="AC753" i="3" s="1"/>
  <c r="E87" i="20" l="1"/>
  <c r="E88" i="20" s="1"/>
  <c r="E89" i="20" s="1"/>
  <c r="E97" i="20"/>
  <c r="E100" i="20" s="1"/>
  <c r="R43" i="4"/>
  <c r="E63" i="4"/>
  <c r="R63" i="4"/>
  <c r="E97" i="4"/>
  <c r="R97" i="4"/>
  <c r="E105" i="4"/>
  <c r="R105"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<sst xmlns="http://schemas.openxmlformats.org/spreadsheetml/2006/main" count="5374" uniqueCount="2792">
  <si>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</si>
  <si>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</si>
  <si>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</si>
  <si>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</si>
  <si>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</si>
  <si>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</si>
  <si>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</si>
  <si>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</si>
  <si>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</si>
  <si>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</si>
  <si>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</si>
  <si>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</si>
  <si>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</si>
  <si>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</si>
  <si>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</si>
  <si>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</si>
  <si>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</si>
  <si>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</si>
  <si>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</si>
  <si>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</si>
  <si>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</si>
  <si>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</si>
  <si>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</si>
  <si>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</si>
  <si>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</si>
  <si>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</si>
  <si>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</si>
  <si>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</si>
  <si>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</si>
  <si>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</si>
  <si>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</si>
  <si>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</si>
  <si>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</si>
  <si>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</si>
  <si>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</si>
  <si>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</si>
  <si>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</si>
  <si>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</si>
  <si>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</si>
  <si>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</si>
  <si>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</si>
  <si>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</si>
  <si>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</si>
  <si>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</si>
  <si>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</si>
  <si>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</si>
  <si>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</si>
  <si>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</si>
  <si>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</si>
  <si>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</si>
  <si>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</si>
  <si>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</si>
  <si>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</si>
  <si>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</si>
  <si>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</si>
  <si>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</si>
  <si>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</si>
  <si>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</si>
  <si>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</si>
  <si>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</si>
  <si>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</si>
  <si>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</si>
  <si>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</si>
  <si>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</si>
  <si>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</si>
  <si>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</si>
  <si>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</si>
  <si>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</si>
  <si>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</si>
  <si>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</si>
  <si>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</si>
  <si>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</si>
  <si>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</si>
  <si>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</si>
  <si>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</si>
  <si>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</si>
  <si>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</si>
  <si>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</si>
  <si>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</si>
  <si>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</si>
  <si>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</si>
  <si>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</si>
  <si>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</si>
  <si>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</si>
  <si>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</si>
  <si>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</si>
  <si>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</si>
  <si>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</si>
  <si>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</si>
  <si>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</si>
  <si>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</si>
  <si>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</si>
  <si>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</si>
  <si>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</si>
  <si>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</si>
  <si>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</si>
  <si>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</si>
  <si>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</si>
  <si>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</si>
  <si>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</si>
  <si>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</si>
  <si>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</si>
  <si>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</si>
  <si>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</si>
  <si>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</si>
  <si>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</si>
  <si>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</si>
  <si>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</si>
  <si>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</si>
  <si>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</si>
  <si>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</si>
  <si>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</si>
  <si>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</si>
  <si>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</si>
  <si>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</si>
  <si>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</si>
  <si>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</si>
  <si>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</si>
  <si>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</si>
  <si>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</si>
  <si>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</si>
  <si>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</si>
  <si>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</si>
  <si>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</si>
  <si>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</si>
  <si>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</si>
  <si>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</si>
  <si>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</si>
  <si>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</si>
  <si>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</si>
  <si>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</si>
  <si>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</si>
  <si>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</si>
  <si>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</si>
  <si>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</si>
  <si>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</si>
  <si>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</si>
  <si>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</si>
  <si>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</si>
  <si>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</si>
  <si>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</si>
  <si>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</si>
  <si>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</si>
  <si>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</si>
  <si>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</si>
  <si>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</si>
  <si>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</si>
  <si>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</si>
  <si>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</si>
  <si>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</si>
  <si>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</si>
  <si>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</si>
  <si>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</si>
  <si>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</si>
  <si>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</si>
  <si>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</si>
  <si>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</si>
  <si>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</si>
  <si>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</si>
  <si>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</si>
  <si>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</si>
  <si>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</si>
  <si>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</si>
  <si>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</si>
  <si>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</si>
  <si>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</si>
  <si>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</si>
  <si>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</si>
  <si>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</si>
  <si>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</si>
  <si>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</si>
  <si>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</si>
  <si>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</si>
  <si>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</si>
  <si>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</si>
  <si>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</si>
  <si>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</si>
  <si>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</si>
  <si>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</si>
  <si>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</si>
  <si>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</si>
  <si>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</si>
  <si>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</si>
  <si>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</si>
  <si>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</si>
  <si>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</si>
  <si>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</si>
  <si>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</si>
  <si>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</si>
  <si>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</si>
  <si>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</si>
  <si>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</si>
  <si>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</si>
  <si>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</si>
  <si>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</si>
  <si>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</si>
  <si>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</si>
  <si>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</si>
  <si>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</si>
  <si>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</si>
  <si>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</si>
  <si>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</si>
  <si>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</si>
  <si>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</si>
  <si>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</si>
  <si>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</si>
  <si>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</si>
  <si>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</si>
  <si>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</si>
  <si>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</si>
  <si>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</si>
  <si>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</si>
  <si>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</si>
  <si>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</si>
  <si>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</si>
  <si>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</si>
  <si>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</si>
  <si>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</si>
  <si>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</si>
  <si>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</si>
  <si>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</si>
  <si>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</si>
  <si>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</si>
  <si>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</si>
  <si>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</si>
  <si>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</si>
  <si>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</si>
  <si>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</si>
  <si>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</si>
  <si>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</si>
  <si>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</si>
  <si>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</si>
  <si>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</si>
  <si>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</si>
  <si>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</si>
  <si>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</si>
  <si>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</si>
  <si>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</si>
  <si>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</si>
  <si>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</si>
  <si>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</si>
  <si>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</si>
  <si>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</si>
  <si>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</si>
  <si>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</si>
  <si>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</si>
  <si>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</si>
  <si>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</si>
  <si>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</si>
  <si>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</si>
  <si>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</si>
  <si>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</si>
  <si>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</si>
  <si>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</si>
  <si>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</si>
  <si>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</si>
  <si>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</si>
  <si>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</si>
  <si>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</si>
  <si>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</si>
  <si>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</si>
  <si>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</si>
  <si>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</si>
  <si>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</si>
  <si>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</si>
  <si>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</si>
  <si>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</si>
  <si>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</si>
  <si>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</si>
  <si>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</si>
  <si>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</si>
  <si>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</si>
  <si>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</si>
  <si>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</si>
  <si>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</si>
  <si>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</si>
  <si>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</si>
  <si>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</si>
  <si>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</si>
  <si>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</si>
  <si>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</si>
  <si>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</si>
  <si>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</si>
  <si>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</si>
  <si>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</si>
  <si>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</si>
  <si>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</si>
  <si>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</si>
  <si>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</si>
  <si>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</si>
  <si>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</si>
  <si>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</si>
  <si>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</si>
  <si>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</si>
  <si>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</si>
  <si>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</si>
  <si>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</si>
  <si>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</si>
  <si>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</si>
  <si>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</si>
  <si>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</si>
  <si>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</si>
  <si>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</si>
  <si>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</si>
  <si>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</si>
  <si>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</si>
  <si>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</si>
  <si>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</si>
  <si>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</si>
  <si>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</si>
  <si>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</si>
  <si>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</si>
  <si>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</si>
  <si>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</si>
  <si>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</si>
  <si>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</si>
  <si>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</si>
  <si>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</si>
  <si>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</si>
  <si>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</si>
  <si>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</si>
  <si>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</si>
  <si>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</si>
  <si>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</si>
  <si>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</si>
  <si>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</si>
  <si>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</si>
  <si>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</si>
  <si>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</si>
  <si>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</si>
  <si>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</si>
  <si>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</si>
  <si>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</si>
  <si>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</si>
  <si>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</si>
  <si>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</si>
  <si>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</si>
  <si>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</si>
  <si>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</si>
  <si>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</si>
  <si>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</si>
  <si>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</si>
  <si>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</si>
  <si>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</si>
  <si>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</si>
  <si>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</si>
  <si>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</si>
  <si>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</si>
  <si>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</si>
  <si>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</si>
  <si>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</si>
  <si>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</si>
  <si>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</si>
  <si>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</si>
  <si>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</si>
  <si>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</si>
  <si>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</si>
  <si>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</si>
  <si>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</si>
  <si>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</si>
  <si>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</si>
  <si>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</si>
  <si>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</si>
  <si>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</si>
  <si>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</si>
  <si>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</si>
  <si>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</si>
  <si>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</si>
  <si>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</si>
  <si>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</si>
  <si>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</si>
  <si>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</si>
  <si>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</si>
  <si>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</si>
  <si>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</si>
  <si>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</si>
  <si>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</si>
  <si>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</si>
  <si>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</si>
  <si>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</si>
  <si>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</si>
  <si>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</si>
  <si>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</si>
  <si>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</si>
  <si>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</si>
  <si>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</si>
  <si>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</si>
  <si>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</si>
  <si>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</si>
  <si>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</si>
  <si>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</si>
  <si>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</si>
  <si>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</si>
  <si>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</si>
  <si>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</si>
  <si>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</si>
  <si>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</si>
  <si>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</si>
  <si>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</si>
  <si>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</si>
  <si>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</si>
  <si>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</si>
  <si>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</si>
  <si>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</si>
  <si>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</si>
  <si>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</si>
  <si>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</si>
  <si>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</si>
  <si>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</si>
  <si>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</si>
  <si>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</si>
  <si>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</si>
  <si>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</si>
  <si>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</si>
  <si>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</si>
  <si>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</si>
  <si>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</si>
  <si>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</si>
  <si>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</si>
  <si>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</si>
  <si>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</si>
  <si>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</si>
  <si>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</si>
  <si>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</si>
  <si>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</si>
  <si>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</si>
  <si>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</si>
  <si>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</si>
  <si>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</si>
  <si>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</si>
  <si>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</si>
  <si>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</si>
  <si>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</si>
  <si>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</si>
  <si>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</si>
  <si>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</si>
  <si>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</si>
  <si>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</si>
  <si>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</si>
  <si>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</si>
  <si>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</si>
  <si>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</si>
  <si>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</si>
  <si>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</si>
  <si>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</si>
  <si>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</si>
  <si>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</si>
  <si>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</si>
  <si>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</si>
  <si>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</si>
  <si>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</si>
  <si>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</si>
  <si>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</si>
  <si>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</si>
  <si>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</si>
  <si>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</si>
  <si>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</si>
  <si>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</si>
  <si>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</si>
  <si>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</si>
  <si>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</si>
  <si>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</si>
  <si>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</si>
  <si>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</si>
  <si>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</si>
  <si>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</si>
  <si>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</si>
  <si>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</si>
  <si>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</si>
  <si>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</si>
  <si>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</si>
  <si>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</si>
  <si>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</si>
  <si>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</si>
  <si>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</si>
  <si>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</si>
  <si>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</si>
  <si>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</si>
  <si>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</si>
  <si>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</si>
  <si>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</si>
  <si>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</si>
  <si>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</si>
  <si>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</si>
  <si>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</si>
  <si>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</si>
  <si>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</si>
  <si>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</si>
  <si>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</si>
  <si>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</si>
  <si>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</si>
  <si>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</si>
  <si>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</si>
  <si>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</si>
  <si>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</si>
  <si>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</si>
  <si>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</si>
  <si>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</si>
  <si>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</si>
  <si>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</si>
  <si>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</si>
  <si>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</si>
  <si>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</si>
  <si>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</si>
  <si>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</si>
  <si>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</si>
  <si>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</si>
  <si>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</si>
  <si>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</si>
  <si>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</si>
  <si>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</si>
  <si>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</si>
  <si>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</si>
  <si>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</si>
  <si>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</si>
  <si>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</si>
  <si>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</si>
  <si>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</si>
  <si>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</si>
  <si>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</si>
  <si>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</si>
  <si>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</si>
  <si>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</si>
  <si>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</si>
  <si>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</si>
  <si>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</si>
  <si>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</si>
  <si>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</si>
  <si>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</si>
  <si>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</si>
  <si>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</si>
  <si>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</si>
  <si>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</si>
  <si>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</si>
  <si>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</si>
  <si>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</si>
  <si>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</si>
  <si>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</si>
  <si>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</si>
  <si>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</si>
  <si>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</si>
  <si>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</si>
  <si>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</si>
  <si>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</si>
  <si>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</si>
  <si>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</si>
  <si>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</si>
  <si>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</si>
  <si>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</si>
  <si>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</si>
  <si>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</si>
  <si>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</si>
  <si>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</si>
  <si>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</si>
  <si>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</si>
  <si>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</si>
  <si>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</si>
  <si>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</si>
  <si>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</si>
  <si>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</si>
  <si>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</si>
  <si>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</si>
  <si>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</si>
  <si>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</si>
  <si>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</si>
  <si>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</si>
  <si>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</si>
  <si>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</si>
  <si>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</si>
  <si>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</si>
  <si>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</si>
  <si>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</si>
  <si>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</si>
  <si>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</si>
  <si>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</si>
  <si>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</si>
  <si>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</si>
  <si>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</si>
  <si>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</si>
  <si>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</si>
  <si>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</si>
  <si>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</si>
  <si>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</si>
  <si>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</si>
  <si>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</si>
  <si>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</si>
  <si>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</si>
  <si>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</si>
  <si>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</si>
  <si>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</si>
  <si>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</si>
  <si>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</si>
  <si>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</si>
  <si>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</si>
  <si>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</si>
  <si>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</si>
  <si>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</si>
  <si>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</si>
  <si>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</si>
  <si>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</si>
  <si>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</si>
  <si>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</si>
  <si>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</si>
  <si>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</si>
  <si>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</si>
  <si>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</si>
  <si>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</si>
  <si>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</si>
  <si>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</si>
  <si>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</si>
  <si>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</si>
  <si>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</si>
  <si>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</si>
  <si>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</si>
  <si>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</si>
  <si>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</si>
  <si>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</si>
  <si>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</si>
  <si>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</si>
  <si>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</si>
  <si>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</si>
  <si>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</si>
  <si>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</si>
  <si>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</si>
  <si>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</si>
  <si>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</si>
  <si>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</si>
  <si>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</si>
  <si>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</si>
  <si>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</si>
  <si>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</si>
  <si>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</si>
  <si>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</si>
  <si>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</si>
  <si>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</si>
  <si>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</si>
  <si>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</si>
  <si>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</si>
  <si>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</si>
  <si>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</si>
  <si>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</si>
  <si>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</si>
  <si>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</si>
  <si>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</si>
  <si>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</si>
  <si>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</si>
  <si>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</si>
  <si>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</si>
  <si>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</si>
  <si>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</si>
  <si>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</si>
  <si>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</si>
  <si>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</si>
  <si>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</si>
  <si>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</si>
  <si>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</si>
  <si>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</si>
  <si>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</si>
  <si>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</si>
  <si>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</si>
  <si>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</si>
  <si>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</si>
  <si>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</si>
  <si>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</si>
  <si>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</si>
  <si>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</si>
  <si>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</si>
  <si>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</si>
  <si>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</si>
  <si>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</si>
  <si>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</si>
  <si>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</si>
  <si>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</si>
  <si>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</si>
  <si>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</si>
  <si>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</si>
  <si>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</si>
  <si>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</si>
  <si>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</si>
  <si>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</si>
  <si>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</si>
  <si>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</si>
  <si>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</si>
  <si>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</si>
  <si>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</si>
  <si>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</si>
  <si>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</si>
  <si>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</si>
  <si>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</si>
  <si>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</si>
  <si>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</si>
  <si>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</si>
  <si>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</si>
  <si>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</si>
  <si>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</si>
  <si>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</si>
  <si>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</si>
  <si>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</si>
  <si>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</si>
  <si>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</si>
  <si>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</si>
  <si>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</si>
  <si>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</si>
  <si>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</si>
  <si>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</si>
  <si>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</si>
  <si>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</si>
  <si>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</si>
  <si>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</si>
  <si>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</si>
  <si>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</si>
  <si>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</si>
  <si>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</si>
  <si>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</si>
  <si>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</si>
  <si>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</si>
  <si>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</si>
  <si>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</si>
  <si>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</si>
  <si>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</si>
  <si>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</si>
  <si>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</si>
  <si>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</si>
  <si>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</si>
  <si>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</si>
  <si>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</si>
  <si>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</si>
  <si>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</si>
  <si>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</si>
  <si>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</si>
  <si>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</si>
  <si>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</si>
  <si>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</si>
  <si>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</si>
  <si>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</si>
  <si>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</si>
  <si>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</si>
  <si>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</si>
  <si>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</si>
  <si>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</si>
  <si>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</si>
  <si>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</si>
  <si>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</si>
  <si>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</si>
  <si>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</si>
  <si>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</si>
  <si>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</si>
  <si>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</si>
  <si>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</si>
  <si>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</si>
  <si>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</si>
  <si>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</si>
  <si>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</si>
  <si>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</si>
  <si>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</si>
  <si>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</si>
  <si>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</si>
  <si>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</si>
  <si>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</si>
  <si>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</si>
  <si>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</si>
  <si>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</si>
  <si>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</si>
  <si>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</si>
  <si>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</si>
  <si>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</si>
  <si>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</si>
  <si>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</si>
  <si>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</si>
  <si>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</si>
  <si>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</si>
  <si>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</si>
  <si>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</si>
  <si>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</si>
  <si>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</si>
  <si>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</si>
  <si>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</si>
  <si>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</si>
  <si>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</si>
  <si>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</si>
  <si>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</si>
  <si>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</si>
  <si>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</si>
  <si>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</si>
  <si>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</si>
  <si>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</si>
  <si>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</si>
  <si>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</si>
  <si>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</si>
  <si>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</si>
  <si>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</si>
  <si>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</si>
  <si>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</si>
  <si>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</si>
  <si>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</si>
  <si>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</si>
  <si>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</si>
  <si>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</si>
  <si>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</si>
  <si>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</si>
  <si>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</si>
  <si>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</si>
  <si>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</si>
  <si>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</si>
  <si>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</si>
  <si>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</si>
  <si>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</si>
  <si>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</si>
  <si>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</si>
  <si>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</si>
  <si>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</si>
  <si>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</si>
  <si>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</si>
  <si>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</si>
  <si>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</si>
  <si>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</si>
  <si>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</si>
  <si>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</si>
  <si>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</si>
  <si>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</si>
  <si>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</si>
  <si>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</si>
  <si>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</si>
  <si>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</si>
  <si>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</si>
  <si>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</si>
  <si>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</si>
  <si>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</si>
  <si>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</si>
  <si>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</si>
  <si>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</si>
  <si>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</si>
  <si>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</si>
  <si>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</si>
  <si>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</si>
  <si>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</si>
  <si>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</si>
  <si>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</si>
  <si>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</si>
  <si>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</si>
  <si>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</si>
  <si>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</si>
  <si>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</si>
  <si>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</si>
  <si>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</si>
  <si>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</si>
  <si>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</si>
  <si>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</si>
  <si>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</si>
  <si>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</si>
  <si>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</si>
  <si>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</si>
  <si>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</si>
  <si>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</si>
  <si>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</si>
  <si>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</si>
  <si>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</si>
  <si>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</si>
  <si>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</si>
  <si>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</si>
  <si>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</si>
  <si>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</si>
  <si>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</si>
  <si>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</si>
  <si>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</si>
  <si>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</si>
  <si>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</si>
  <si>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</si>
  <si>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</si>
  <si>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</si>
  <si>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</si>
  <si>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</si>
  <si>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</si>
  <si>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</si>
  <si>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</si>
  <si>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</si>
  <si>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</si>
  <si>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</si>
  <si>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</si>
  <si>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</si>
  <si>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</si>
  <si>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</si>
  <si>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</si>
  <si>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</si>
  <si>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</si>
  <si>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</si>
  <si>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</si>
  <si>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</si>
  <si>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</si>
  <si>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</si>
  <si>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</si>
  <si>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</si>
  <si>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</si>
  <si>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</si>
  <si>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</si>
  <si>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</si>
  <si>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</si>
  <si>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</si>
  <si>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</si>
  <si>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</si>
  <si>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</si>
  <si>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</si>
  <si>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</si>
  <si>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</si>
  <si>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</si>
  <si>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</si>
  <si>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</si>
  <si>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</si>
  <si>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</si>
  <si>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</si>
  <si>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</si>
  <si>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</si>
  <si>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</si>
  <si>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</si>
  <si>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</si>
  <si>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</si>
  <si>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</si>
  <si>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</si>
  <si>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</si>
  <si>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</si>
  <si>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</si>
  <si>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</si>
  <si>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</si>
  <si>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</si>
  <si>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</si>
  <si>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</si>
  <si>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</si>
  <si>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</si>
  <si>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</si>
  <si>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</si>
  <si>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</si>
  <si>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</si>
  <si>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</si>
  <si>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</si>
  <si>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</si>
  <si>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</si>
  <si>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</si>
  <si>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</si>
  <si>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</si>
  <si>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</si>
  <si>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</si>
  <si>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</si>
  <si>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</si>
  <si>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</si>
  <si>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</si>
  <si>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</si>
  <si>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</si>
  <si>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</si>
  <si>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</si>
  <si>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</si>
  <si>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</si>
  <si>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</si>
  <si>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</si>
  <si>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</si>
  <si>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</si>
  <si>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</si>
  <si>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</si>
  <si>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</si>
  <si>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</si>
  <si>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</si>
  <si>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</si>
  <si>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</si>
  <si>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</si>
  <si>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</si>
  <si>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</si>
  <si>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</si>
  <si>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</si>
  <si>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</si>
  <si>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</si>
  <si>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</si>
  <si>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</si>
  <si>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</si>
  <si>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</si>
  <si>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</si>
  <si>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</si>
  <si>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</si>
  <si>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</si>
  <si>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</si>
  <si>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</si>
  <si>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</si>
  <si>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</si>
  <si>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</si>
  <si>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</si>
  <si>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</si>
  <si>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</si>
  <si>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</si>
  <si>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</si>
  <si>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</si>
  <si>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</si>
  <si>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</si>
  <si>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</si>
  <si>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</si>
  <si>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</si>
  <si>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</si>
  <si>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</si>
  <si>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</si>
  <si>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</si>
  <si>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</si>
  <si>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</si>
  <si>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</si>
  <si>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</si>
  <si>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</si>
  <si>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</si>
  <si>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</si>
  <si>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</si>
  <si>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</si>
  <si>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</si>
  <si>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</si>
  <si>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</si>
  <si>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</si>
  <si>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</si>
  <si>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</si>
  <si>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</si>
  <si>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</si>
  <si>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</si>
  <si>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</si>
  <si>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</si>
  <si>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</si>
  <si>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</si>
  <si>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</si>
  <si>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</si>
  <si>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</si>
  <si>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</si>
  <si>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</si>
  <si>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</si>
  <si>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</si>
  <si>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</si>
  <si>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</si>
  <si>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</si>
  <si>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</si>
  <si>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</si>
  <si>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</si>
  <si>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</si>
  <si>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</si>
  <si>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</si>
  <si>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</si>
  <si>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</si>
  <si>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</si>
  <si>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</si>
  <si>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</si>
  <si>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</si>
  <si>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</si>
  <si>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</si>
  <si>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</si>
  <si>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</si>
  <si>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</si>
  <si>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</si>
  <si>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</si>
  <si>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</si>
  <si>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</si>
  <si>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</si>
  <si>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</si>
  <si>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</si>
  <si>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</si>
  <si>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</si>
  <si>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</si>
  <si>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</si>
  <si>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</si>
  <si>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</si>
  <si>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</si>
  <si>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</si>
  <si>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</si>
  <si>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</si>
  <si>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</si>
  <si>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</si>
  <si>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</si>
  <si>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</si>
  <si>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</si>
  <si>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</si>
  <si>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</si>
  <si>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</si>
  <si>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</si>
  <si>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</si>
  <si>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</si>
  <si>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</si>
  <si>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</si>
  <si>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</si>
  <si>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</si>
  <si>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</si>
  <si>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</si>
  <si>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</si>
  <si>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</si>
  <si>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</si>
  <si>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</si>
  <si>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</si>
  <si>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</si>
  <si>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</si>
  <si>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</si>
  <si>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</si>
  <si>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</si>
  <si>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</si>
  <si>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</si>
  <si>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</si>
  <si>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</si>
  <si>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</si>
  <si>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</si>
  <si>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</si>
  <si>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</si>
  <si>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</si>
  <si>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</si>
  <si>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</si>
  <si>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</si>
  <si>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</si>
  <si>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</si>
  <si>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</si>
  <si>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</si>
  <si>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</si>
  <si>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</si>
  <si>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</si>
  <si>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</si>
  <si>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</si>
  <si>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</si>
  <si>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</si>
  <si>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</si>
  <si>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</si>
  <si>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</si>
  <si>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</si>
  <si>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</si>
  <si>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</si>
  <si>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</si>
  <si>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</si>
  <si>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</si>
  <si>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</si>
  <si>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</si>
  <si>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</si>
  <si>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</si>
  <si>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</si>
  <si>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</si>
  <si>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</si>
  <si>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</si>
  <si>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</si>
  <si>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</si>
  <si>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</si>
  <si>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</si>
  <si>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</si>
  <si>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</si>
  <si>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</si>
  <si>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</si>
  <si>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</si>
  <si>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</si>
  <si>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</si>
  <si>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</si>
  <si>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</si>
  <si>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</si>
  <si>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</si>
  <si>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</si>
  <si>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</si>
  <si>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</si>
  <si>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</si>
  <si>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</si>
  <si>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</si>
  <si>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</si>
  <si>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</si>
  <si>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</si>
  <si>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</si>
  <si>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</si>
  <si>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</si>
  <si>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</si>
  <si>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</si>
  <si>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</si>
  <si>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</si>
  <si>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</si>
  <si>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</si>
  <si>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</si>
  <si>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</si>
  <si>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</si>
  <si>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</si>
  <si>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</si>
  <si>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</si>
  <si>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</si>
  <si>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</si>
  <si>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</si>
  <si>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</si>
  <si>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</si>
  <si>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</si>
  <si>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</si>
  <si>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</si>
  <si>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</si>
  <si>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</si>
  <si>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</si>
  <si>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</si>
  <si>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</si>
  <si>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</si>
  <si>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</si>
  <si>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</si>
  <si>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</si>
  <si>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</si>
  <si>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</si>
  <si>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</si>
  <si>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</si>
  <si>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</si>
  <si>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</si>
  <si>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</si>
  <si>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</si>
  <si>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</si>
  <si>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</si>
  <si>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</si>
  <si>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</si>
  <si>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</si>
  <si>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</si>
  <si>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</si>
  <si>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</si>
  <si>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</si>
  <si>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</si>
  <si>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</si>
  <si>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</si>
  <si>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</si>
  <si>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</si>
  <si>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</si>
  <si>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</si>
  <si>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</si>
  <si>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</si>
  <si>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</si>
  <si>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</si>
  <si>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</si>
  <si>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</si>
  <si>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</si>
  <si>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</si>
  <si>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</si>
  <si>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</si>
  <si>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</si>
  <si>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</si>
  <si>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</si>
  <si>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</si>
  <si>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</si>
  <si>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</si>
  <si>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</si>
  <si>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</si>
  <si>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</si>
  <si>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</si>
  <si>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</si>
  <si>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</si>
  <si>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</si>
  <si>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</si>
  <si>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</si>
  <si>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</si>
  <si>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</si>
  <si>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</si>
  <si>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</si>
  <si>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</si>
  <si>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</si>
  <si>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</si>
  <si>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</si>
  <si>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</si>
  <si>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</si>
  <si>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</si>
  <si>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</si>
  <si>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</si>
  <si>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</si>
  <si>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</si>
  <si>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</si>
  <si>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</si>
  <si>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</si>
  <si>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</si>
  <si>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</si>
  <si>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</si>
  <si>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</si>
  <si>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</si>
  <si>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</si>
  <si>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</si>
  <si>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</si>
  <si>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</si>
  <si>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</si>
  <si>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</si>
  <si>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</si>
  <si>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</si>
  <si>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</si>
  <si>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</si>
  <si>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</si>
  <si>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</si>
  <si>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</si>
  <si>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</si>
  <si>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</si>
  <si>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</si>
  <si>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</si>
  <si>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</si>
  <si>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</si>
  <si>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</si>
  <si>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</si>
  <si>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</si>
  <si>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</si>
  <si>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</si>
  <si>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</si>
  <si>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</si>
  <si>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</si>
  <si>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</si>
  <si>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</si>
  <si>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</si>
  <si>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</si>
  <si>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</si>
  <si>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</si>
  <si>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</si>
  <si>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</si>
  <si>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</si>
  <si>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</si>
  <si>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</si>
  <si>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</si>
  <si>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</si>
  <si>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</si>
  <si>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</si>
  <si>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</si>
  <si>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</si>
  <si>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</si>
  <si>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</si>
  <si>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</si>
  <si>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</si>
  <si>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</si>
  <si>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</si>
  <si>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</si>
  <si>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</si>
  <si>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</si>
  <si>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</si>
  <si>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</si>
  <si>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</si>
  <si>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</si>
  <si>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</si>
  <si>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</si>
  <si>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</si>
  <si>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</si>
  <si>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</si>
  <si>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</si>
  <si>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</si>
  <si>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</si>
  <si>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</si>
  <si>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</si>
  <si>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</si>
  <si>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</si>
  <si>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</si>
  <si>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</si>
  <si>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</si>
  <si>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</si>
  <si>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</si>
  <si>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</si>
  <si>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</si>
  <si>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</si>
  <si>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</si>
  <si>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</si>
  <si>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</si>
  <si>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</si>
  <si>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</si>
  <si>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</si>
  <si>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</si>
  <si>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</si>
  <si>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</si>
  <si>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</si>
  <si>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</si>
  <si>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</si>
  <si>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</si>
  <si>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</si>
  <si>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</si>
  <si>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</si>
  <si>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</si>
  <si>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</si>
  <si>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</si>
  <si>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</si>
  <si>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</si>
  <si>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</si>
  <si>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</si>
  <si>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</si>
  <si>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</si>
  <si>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</si>
  <si>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</si>
  <si>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</si>
  <si>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</si>
  <si>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</si>
  <si>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</si>
  <si>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</si>
  <si>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</si>
  <si>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</si>
  <si>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</si>
  <si>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</si>
  <si>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</si>
  <si>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</si>
  <si>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</si>
  <si>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</si>
  <si>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</si>
  <si>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</si>
  <si>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</si>
  <si>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</si>
  <si>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</si>
  <si>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</si>
  <si>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</si>
  <si>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</si>
  <si>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</si>
  <si>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</si>
  <si>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</si>
  <si>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</si>
  <si>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</si>
  <si>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</si>
  <si>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</si>
  <si>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</si>
  <si>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</si>
  <si>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</si>
  <si>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</si>
  <si>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</si>
  <si>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</si>
  <si>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</si>
  <si>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</si>
  <si>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</si>
  <si>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</si>
  <si>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</si>
  <si>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</si>
  <si>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</si>
  <si>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</si>
  <si>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</si>
  <si>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</si>
  <si>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</si>
  <si>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</si>
  <si>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</si>
  <si>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</si>
  <si>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</si>
  <si>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</si>
  <si>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</si>
  <si>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</si>
  <si>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</si>
  <si>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</si>
  <si>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</si>
  <si>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</si>
  <si>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</si>
  <si>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</si>
  <si>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</si>
  <si>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</si>
  <si>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</si>
  <si>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</si>
  <si>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</si>
  <si>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</si>
  <si>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</si>
  <si>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</si>
  <si>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</si>
  <si>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</si>
  <si>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</si>
  <si>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</si>
  <si>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</si>
  <si>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</si>
  <si>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</si>
  <si>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</si>
  <si>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</si>
  <si>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</si>
  <si>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</si>
  <si>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</si>
  <si>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</si>
  <si>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</si>
  <si>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</si>
  <si>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</si>
  <si>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</si>
  <si>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</si>
  <si>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</si>
  <si>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</si>
  <si>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</si>
  <si>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</si>
  <si>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</si>
  <si>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</si>
  <si>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</si>
  <si>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</si>
  <si>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</si>
  <si>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</si>
  <si>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</si>
  <si>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</si>
  <si>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</si>
  <si>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</si>
  <si>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</si>
  <si>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</si>
  <si>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</si>
  <si>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</si>
  <si>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</si>
  <si>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</si>
  <si>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</si>
  <si>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</si>
  <si>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</si>
  <si>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</si>
  <si>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</si>
  <si>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</si>
  <si>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</si>
  <si>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</si>
  <si>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</si>
  <si>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</si>
  <si>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</si>
  <si>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</si>
  <si>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</si>
  <si>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</si>
  <si>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</si>
  <si>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</si>
  <si>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</si>
  <si>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</si>
  <si>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</si>
  <si>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</si>
  <si>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</si>
  <si>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</si>
  <si>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</si>
  <si>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</si>
  <si>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</si>
  <si>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</si>
  <si>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</si>
  <si>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</si>
  <si>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</si>
  <si>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</si>
  <si>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</si>
  <si>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</si>
  <si>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</si>
  <si>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</si>
  <si>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</si>
  <si>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</si>
  <si>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</si>
  <si>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</si>
  <si>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</si>
  <si>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</si>
  <si>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</si>
  <si>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</si>
  <si>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</si>
  <si>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</si>
  <si>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</si>
  <si>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</si>
  <si>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</si>
  <si>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</si>
  <si>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</si>
  <si>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</si>
  <si>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</si>
  <si>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</si>
  <si>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</si>
  <si>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</si>
  <si>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</si>
  <si>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</si>
  <si>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</si>
  <si>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</si>
  <si>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</si>
  <si>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</si>
  <si>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</si>
  <si>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</si>
  <si>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</si>
  <si>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</si>
  <si>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</si>
  <si>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</si>
  <si>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</si>
  <si>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</si>
  <si>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</si>
  <si>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</si>
  <si>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</si>
  <si>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</si>
  <si>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</si>
  <si>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</si>
  <si>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</si>
  <si>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</si>
  <si>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</si>
  <si>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</si>
  <si>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</si>
  <si>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</si>
  <si>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</si>
  <si>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</si>
  <si>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</si>
  <si>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</si>
  <si>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</si>
  <si>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</si>
  <si>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</si>
  <si>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</si>
  <si>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</si>
  <si>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</si>
  <si>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</si>
  <si>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</si>
  <si>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</si>
  <si>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</si>
  <si>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</si>
  <si>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</si>
  <si>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</si>
  <si>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</si>
  <si>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</si>
  <si>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</si>
  <si>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</si>
  <si>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</si>
  <si>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</si>
  <si>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</si>
  <si>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</si>
  <si>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</si>
  <si>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</si>
  <si>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</si>
  <si>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</si>
  <si>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</si>
  <si>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</si>
  <si>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</si>
  <si>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</si>
  <si>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</si>
  <si>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</si>
  <si>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</si>
  <si>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</si>
  <si>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</si>
  <si>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</si>
  <si>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</si>
  <si>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</si>
  <si>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</si>
  <si>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</si>
  <si>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</si>
  <si>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</si>
  <si>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</si>
  <si>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</si>
  <si>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</si>
  <si>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</si>
  <si>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</si>
  <si>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</si>
  <si>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</si>
  <si>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</si>
  <si>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</si>
  <si>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</si>
  <si>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</si>
  <si>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</si>
  <si>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</si>
  <si>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</si>
  <si>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</si>
  <si>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</si>
  <si>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</si>
  <si>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</si>
  <si>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</si>
  <si>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</si>
  <si>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</si>
  <si>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</si>
  <si>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</si>
  <si>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</si>
  <si>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</si>
  <si>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</si>
  <si>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</si>
  <si>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</si>
  <si>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</si>
  <si>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</si>
  <si>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</si>
  <si>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</si>
  <si>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</si>
  <si>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</si>
  <si>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</si>
  <si>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</si>
  <si>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</si>
  <si>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</si>
  <si>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</si>
  <si>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</si>
  <si>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</si>
  <si>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</si>
  <si>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</si>
  <si>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</si>
  <si>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</si>
  <si>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</si>
  <si>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</si>
  <si>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</si>
  <si>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</si>
  <si>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</si>
  <si>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</si>
  <si>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</si>
  <si>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</si>
  <si>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</si>
  <si>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</si>
  <si>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</si>
  <si>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</si>
  <si>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</si>
  <si>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</si>
  <si>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</si>
  <si>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</si>
  <si>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</si>
  <si>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</si>
  <si>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</si>
  <si>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</si>
  <si>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</si>
  <si>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</si>
  <si>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</si>
  <si>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</si>
  <si>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</si>
  <si>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</si>
  <si>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</si>
  <si>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</si>
  <si>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</si>
  <si>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</si>
  <si>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</si>
  <si>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</si>
  <si>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</si>
  <si>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</si>
  <si>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</si>
  <si>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</si>
  <si>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</si>
  <si>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</si>
  <si>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</si>
  <si>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</si>
  <si>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</si>
  <si>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</si>
  <si>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</si>
  <si>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</si>
  <si>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</si>
  <si>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</si>
  <si>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</si>
  <si>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</si>
  <si>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</si>
  <si>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</si>
  <si>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</si>
  <si>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</si>
  <si>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</si>
  <si>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</si>
  <si>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</si>
  <si>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</si>
  <si>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</si>
  <si>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</si>
  <si>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</si>
  <si>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</si>
  <si>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</si>
  <si>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</si>
  <si>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</si>
  <si>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</si>
  <si>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</si>
  <si>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</si>
  <si>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</si>
  <si>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</si>
  <si>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</si>
  <si>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</si>
  <si>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</si>
  <si>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</si>
  <si>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</si>
  <si>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</si>
  <si>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</si>
  <si>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</si>
  <si>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</si>
  <si>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</si>
  <si>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</si>
  <si>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</si>
  <si>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</si>
  <si>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</si>
  <si>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</si>
  <si>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</si>
  <si>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</si>
  <si>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</si>
  <si>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</si>
  <si>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</si>
  <si>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</si>
  <si>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</si>
  <si>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</si>
  <si>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</si>
  <si>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</si>
  <si>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</si>
  <si>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</si>
  <si>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</si>
  <si>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</si>
  <si>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</si>
  <si>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</si>
  <si>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</si>
  <si>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</si>
  <si>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</si>
  <si>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</si>
  <si>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</si>
  <si>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</si>
  <si>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</si>
  <si>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</si>
  <si>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</si>
  <si>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</si>
  <si>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</si>
  <si>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</si>
  <si>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</si>
  <si>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</si>
  <si>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</si>
  <si>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</si>
  <si>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</si>
  <si>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</si>
  <si>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</si>
  <si>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</si>
  <si>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</si>
  <si>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</si>
  <si>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</si>
  <si>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</si>
  <si>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</si>
  <si>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</si>
  <si>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</si>
  <si>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</si>
  <si>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</si>
  <si>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</si>
  <si>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</si>
  <si>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</si>
  <si>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</si>
  <si>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</si>
  <si>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</si>
  <si>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</si>
  <si>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</si>
  <si>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</si>
  <si>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</si>
  <si>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</si>
  <si>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</si>
  <si>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</si>
  <si>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</si>
  <si>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</si>
  <si>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</si>
  <si>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</si>
  <si>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</si>
  <si>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</si>
  <si>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</si>
  <si>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</si>
  <si>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</si>
  <si>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</si>
  <si>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</si>
  <si>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</si>
  <si>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</si>
  <si>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</si>
  <si>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</si>
  <si>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</si>
  <si>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</si>
  <si>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</si>
  <si>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</si>
  <si>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</si>
  <si>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</si>
  <si>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</si>
  <si>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</si>
  <si>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</si>
  <si>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</si>
  <si>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</si>
  <si>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</si>
  <si>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</si>
  <si>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</si>
  <si>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</si>
  <si>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</si>
  <si>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</si>
  <si>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</si>
  <si>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</si>
  <si>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</si>
  <si>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</si>
  <si>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</si>
  <si>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</si>
  <si>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</si>
  <si>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</si>
  <si>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</si>
  <si>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</si>
  <si>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</si>
  <si>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</si>
  <si>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</si>
  <si>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</si>
  <si>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</si>
  <si>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</si>
  <si>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</si>
  <si>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</si>
  <si>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</si>
  <si>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</si>
  <si>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</si>
  <si>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</si>
  <si>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</si>
  <si>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</si>
  <si>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</si>
  <si>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</si>
  <si>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</si>
  <si>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</si>
  <si>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</si>
  <si>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</si>
  <si>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</si>
  <si>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</si>
  <si>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</si>
  <si>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</si>
  <si>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</si>
  <si>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</si>
  <si>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</si>
  <si>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</si>
  <si>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</si>
  <si>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</si>
  <si>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</si>
  <si>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</si>
  <si>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</si>
  <si>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</si>
  <si>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</si>
  <si>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</si>
  <si>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</si>
  <si>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</si>
  <si>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</si>
  <si>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</si>
  <si>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</si>
  <si>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</si>
  <si>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</si>
  <si>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</si>
  <si>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</si>
  <si>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</si>
  <si>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</si>
  <si>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</si>
  <si>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</si>
  <si>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</si>
  <si>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</si>
  <si>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</si>
  <si>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</si>
  <si>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</si>
  <si>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</si>
  <si>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</si>
  <si>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</si>
  <si>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</si>
  <si>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</si>
  <si>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</si>
  <si>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</si>
  <si>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</si>
  <si>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</si>
  <si>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</si>
  <si>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</si>
  <si>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</si>
  <si>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</si>
  <si>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</si>
  <si>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</si>
  <si>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</si>
  <si>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</si>
  <si>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</si>
  <si>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</si>
  <si>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</si>
  <si>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</si>
  <si>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</si>
  <si>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</si>
  <si>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</si>
  <si>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</si>
  <si>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</si>
  <si>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</si>
  <si>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</si>
  <si>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</si>
  <si>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</si>
  <si>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</si>
  <si>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</si>
  <si>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</si>
  <si>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</si>
  <si>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</si>
  <si>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</si>
  <si>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</si>
  <si>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</si>
  <si>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</si>
  <si>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</si>
  <si>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</si>
  <si>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</si>
  <si>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</si>
  <si>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</si>
  <si>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</si>
  <si>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</si>
  <si>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</si>
  <si>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</si>
  <si>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</si>
  <si>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</si>
  <si>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</si>
  <si>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</si>
  <si>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</si>
  <si>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</si>
  <si>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</si>
  <si>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</si>
  <si>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</si>
  <si>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</si>
  <si>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</si>
  <si>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</si>
  <si>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</si>
  <si>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</si>
  <si>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</si>
  <si>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</si>
  <si>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</si>
  <si>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</si>
  <si>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</si>
  <si>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</si>
  <si>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</si>
  <si>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</si>
  <si>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</si>
  <si>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</si>
  <si>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</si>
  <si>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</si>
  <si>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</si>
  <si>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</si>
  <si>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</si>
  <si>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</si>
  <si>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</si>
  <si>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</si>
  <si>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</si>
  <si>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</si>
  <si>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</si>
  <si>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</si>
  <si>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</si>
  <si>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</si>
  <si>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</si>
  <si>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</si>
  <si>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</si>
  <si>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</si>
  <si>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</si>
  <si>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</si>
  <si>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</si>
  <si>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</si>
  <si>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</si>
  <si>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</si>
  <si>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</si>
  <si>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</si>
  <si>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</si>
  <si>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</si>
  <si>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</si>
  <si>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</si>
  <si>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</si>
  <si>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</si>
  <si>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</si>
  <si>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</si>
  <si>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</si>
  <si>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</si>
  <si>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</si>
  <si>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</si>
  <si>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</si>
  <si>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</si>
  <si>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</si>
  <si>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</si>
  <si>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</si>
  <si>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</si>
  <si>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</si>
  <si>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</si>
  <si>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</si>
  <si>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</si>
  <si>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</si>
  <si>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</si>
  <si>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</si>
  <si>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</si>
  <si>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</si>
  <si>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</si>
  <si>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</si>
  <si>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</si>
  <si>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</si>
  <si>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</si>
  <si>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</si>
  <si>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</si>
  <si>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</si>
  <si>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</si>
  <si>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</si>
  <si>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</si>
  <si>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</si>
  <si>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</si>
  <si>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</si>
  <si>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</si>
  <si>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</si>
  <si>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</si>
  <si>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</si>
  <si>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</si>
  <si>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</si>
  <si>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</si>
  <si>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</si>
  <si>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</si>
  <si>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</si>
  <si>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</si>
  <si>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</si>
  <si>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</si>
  <si>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</si>
  <si>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</si>
  <si>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</si>
  <si>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</si>
  <si>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</si>
  <si>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</si>
  <si>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</si>
  <si>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</si>
  <si>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</si>
  <si>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</si>
  <si>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</si>
  <si>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</si>
  <si>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</si>
  <si>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</si>
  <si>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</si>
  <si>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</si>
  <si>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</si>
  <si>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</si>
  <si>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</si>
  <si>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</si>
  <si>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</si>
  <si>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</si>
  <si>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</si>
  <si>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</si>
  <si>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</si>
  <si>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</si>
  <si>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</si>
  <si>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</si>
  <si>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</si>
  <si>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</si>
  <si>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</si>
  <si>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</si>
  <si>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</si>
  <si>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</si>
  <si>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</si>
  <si>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</si>
  <si>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</si>
  <si>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</si>
  <si>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</si>
  <si>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</si>
  <si>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</si>
  <si>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</si>
  <si>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</si>
  <si>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</si>
  <si>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</si>
  <si>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</si>
  <si>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</si>
  <si>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</si>
  <si>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</si>
  <si>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</si>
  <si>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</si>
  <si>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</si>
  <si>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</si>
  <si>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</si>
  <si>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</si>
  <si>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</si>
  <si>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</si>
  <si>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</si>
  <si>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</si>
  <si>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</si>
  <si>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</si>
  <si>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</si>
  <si>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</si>
  <si>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</si>
  <si>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</si>
  <si>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</si>
  <si>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</si>
  <si>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</si>
  <si>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</si>
  <si>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</si>
  <si>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</si>
  <si>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</si>
  <si>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</si>
  <si>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</si>
  <si>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</si>
  <si>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</si>
  <si>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</si>
  <si>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</si>
  <si>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</si>
  <si>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</si>
  <si>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</si>
  <si>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</si>
  <si>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</si>
  <si>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</si>
  <si>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</si>
  <si>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</si>
  <si>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</si>
  <si>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</si>
  <si>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</si>
  <si>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</si>
  <si>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</si>
  <si>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</si>
  <si>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</si>
  <si>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</si>
  <si>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</si>
  <si>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</si>
  <si>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</si>
  <si>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</si>
  <si>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</si>
  <si>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</si>
  <si>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</si>
  <si>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</si>
  <si>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</si>
  <si>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</si>
  <si>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</si>
  <si>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</si>
  <si>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</si>
  <si>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</si>
  <si>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</si>
  <si>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</si>
  <si>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</si>
  <si>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</si>
  <si>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</si>
  <si>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</si>
  <si>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</si>
  <si>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</si>
  <si>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</si>
  <si>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</si>
  <si>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</si>
  <si>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</si>
  <si>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</si>
  <si>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</si>
  <si>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</si>
  <si>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</si>
  <si>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</si>
  <si>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</si>
  <si>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</si>
  <si>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</si>
  <si>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</si>
  <si>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</si>
  <si>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</si>
  <si>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</si>
  <si>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</si>
  <si>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</si>
  <si>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</si>
  <si>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</si>
  <si>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</si>
  <si>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</si>
  <si>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</si>
  <si>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</si>
  <si>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</si>
  <si>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</si>
  <si>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</si>
  <si>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</si>
  <si>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</si>
  <si>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</si>
  <si>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</si>
  <si>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</si>
  <si>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</si>
  <si>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</si>
  <si>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</si>
  <si>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</si>
  <si>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</si>
  <si>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</si>
  <si>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</si>
  <si>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</si>
  <si>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</si>
  <si>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</si>
  <si>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</si>
  <si>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</si>
  <si>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</si>
  <si>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</si>
  <si>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</si>
  <si>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</si>
  <si>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</si>
  <si>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</si>
  <si>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</si>
  <si>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</si>
  <si>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</si>
  <si>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</si>
  <si>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</si>
  <si>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</si>
  <si>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</si>
  <si>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</si>
  <si>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</si>
  <si>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</si>
  <si>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</si>
  <si>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</si>
  <si>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</si>
  <si>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</si>
  <si>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</si>
  <si>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</si>
  <si>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</si>
  <si>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</si>
  <si>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</si>
  <si>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</si>
  <si>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</si>
  <si>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</si>
  <si>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</si>
  <si>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</si>
  <si>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</si>
  <si>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</si>
  <si>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</si>
  <si>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</si>
  <si>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</si>
  <si>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</si>
  <si>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</si>
  <si>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</si>
  <si>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</si>
  <si>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</si>
  <si>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</si>
  <si>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</si>
  <si>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</si>
  <si>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</si>
  <si>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</si>
  <si>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</si>
  <si>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</si>
  <si>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</si>
  <si>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</si>
  <si>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</si>
  <si>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</si>
  <si>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</si>
  <si>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</si>
  <si>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</si>
  <si>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</si>
  <si>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</si>
  <si>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</si>
  <si>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</si>
  <si>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</si>
  <si>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</si>
  <si>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</si>
  <si>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</si>
  <si>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</si>
  <si>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</si>
  <si>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</si>
  <si>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</si>
  <si>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</si>
  <si>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</si>
  <si>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</si>
  <si>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</si>
  <si>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</si>
  <si>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</si>
  <si>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</si>
  <si>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</si>
  <si>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</si>
  <si>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</si>
  <si>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</si>
  <si>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</si>
  <si>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</si>
  <si>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</si>
  <si>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</si>
  <si>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</si>
  <si>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</si>
  <si>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</si>
  <si>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</si>
  <si>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</si>
  <si>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</si>
  <si>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</si>
  <si>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</si>
  <si>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</si>
  <si>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</si>
  <si>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</si>
  <si>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</si>
  <si>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</si>
  <si>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</si>
  <si>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</si>
  <si>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</si>
  <si>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</si>
  <si>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</si>
  <si>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</si>
  <si>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</si>
  <si>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</si>
  <si>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</si>
  <si>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</si>
  <si>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</si>
  <si>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</si>
  <si>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</si>
  <si>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</si>
  <si>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</si>
  <si>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</si>
  <si>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</si>
  <si>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</si>
  <si>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</si>
  <si>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</si>
  <si>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</si>
  <si>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</si>
  <si>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</si>
  <si>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</si>
  <si>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</si>
  <si>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</si>
  <si>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</si>
  <si>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</si>
  <si>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</si>
  <si>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</si>
  <si>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</si>
  <si>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</si>
  <si>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</si>
  <si>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</si>
  <si>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</si>
  <si>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</si>
  <si>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</si>
  <si>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</si>
  <si>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</si>
  <si>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</si>
  <si>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</si>
  <si>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</si>
  <si>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</si>
  <si>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</si>
  <si>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</si>
  <si>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</si>
  <si>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</si>
  <si>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</si>
  <si>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</si>
  <si>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</si>
  <si>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</si>
  <si>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</si>
  <si>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</si>
  <si>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</si>
  <si>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</si>
  <si>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</si>
  <si>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</si>
  <si>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</si>
  <si>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</si>
  <si>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</si>
  <si>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</si>
  <si>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</si>
  <si>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</si>
  <si>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</si>
  <si>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</si>
  <si>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</si>
  <si>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</si>
  <si>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</si>
  <si>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</si>
  <si>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</si>
  <si>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</si>
  <si>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</si>
  <si>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</si>
  <si>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</si>
  <si>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</si>
  <si>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</si>
  <si>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</si>
  <si>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</si>
  <si>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</si>
  <si>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</si>
  <si>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</si>
  <si>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</si>
  <si>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</si>
  <si>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</si>
  <si>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</si>
  <si>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</si>
  <si>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</si>
  <si>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</si>
  <si>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</si>
  <si>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</si>
  <si>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</si>
  <si>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</si>
  <si>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</si>
  <si>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</si>
  <si>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</si>
  <si>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</si>
  <si>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</si>
  <si>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</si>
  <si>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</si>
  <si>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</si>
  <si>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</si>
  <si>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</si>
  <si>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</si>
  <si>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</si>
  <si>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</si>
  <si>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</si>
  <si>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</si>
  <si>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</si>
  <si>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</si>
  <si>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</si>
  <si>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</si>
  <si>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</si>
  <si>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</si>
  <si>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</si>
  <si>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</si>
  <si>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</si>
  <si>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</si>
  <si>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</si>
  <si>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</si>
  <si>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</si>
  <si>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</si>
  <si>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</si>
  <si>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</si>
  <si>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</si>
  <si>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</si>
  <si>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</si>
  <si>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</si>
  <si>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</si>
  <si>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</si>
  <si>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</si>
  <si>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</si>
  <si>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</si>
  <si>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</si>
  <si>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</si>
  <si>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</si>
  <si>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</si>
  <si>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</si>
  <si>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</si>
  <si>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</si>
  <si>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</si>
  <si>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</si>
  <si>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</si>
  <si>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</si>
  <si>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</si>
  <si>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</si>
  <si>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</si>
  <si>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</si>
  <si>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</si>
  <si>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</si>
  <si>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</si>
  <si>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</si>
  <si>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</si>
  <si>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</si>
  <si>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</si>
  <si>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</si>
  <si>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</si>
  <si>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</si>
  <si>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</si>
  <si>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</si>
  <si>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</si>
  <si>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</si>
  <si>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</si>
  <si>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</si>
  <si>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</si>
  <si>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</si>
  <si>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</si>
  <si>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</si>
  <si>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</si>
  <si>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</si>
  <si>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</si>
  <si>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</si>
  <si>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</si>
  <si>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</si>
  <si>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</si>
  <si>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</si>
  <si>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</si>
  <si>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</si>
  <si>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</si>
  <si>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</si>
  <si>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</si>
  <si>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</si>
  <si>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</si>
  <si>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</si>
  <si>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</si>
  <si>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</si>
  <si>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</si>
  <si>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</si>
  <si>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</si>
  <si>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</si>
  <si>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</si>
  <si>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</si>
  <si>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</si>
  <si>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</si>
  <si>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</si>
  <si>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</si>
  <si>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</si>
  <si>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</si>
  <si>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</si>
  <si>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</si>
  <si>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</si>
  <si>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</si>
  <si>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</si>
  <si>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</si>
  <si>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</si>
  <si>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</si>
  <si>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</si>
  <si>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</si>
  <si>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</si>
  <si>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</si>
  <si>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</si>
  <si>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</si>
  <si>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</si>
  <si>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</si>
  <si>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</si>
  <si>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</si>
  <si>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</si>
  <si>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</si>
  <si>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</si>
  <si>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</si>
  <si>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</si>
  <si>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</si>
  <si>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</si>
  <si>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</si>
  <si>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</si>
  <si>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</si>
  <si>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</si>
  <si>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</si>
  <si>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</si>
  <si>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</si>
  <si>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</si>
  <si>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</si>
  <si>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</si>
  <si>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</si>
  <si>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</si>
  <si>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</si>
  <si>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</si>
  <si>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</si>
  <si>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</si>
  <si>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</si>
  <si>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</si>
  <si>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</si>
  <si>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</si>
  <si>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</si>
  <si>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</si>
  <si>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</si>
  <si>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</si>
  <si>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</si>
  <si>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</si>
  <si>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</si>
  <si>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</si>
  <si>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</si>
  <si>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</si>
  <si>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</si>
  <si>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</si>
  <si>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</si>
  <si>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</si>
  <si>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</si>
  <si>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</si>
  <si>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</si>
  <si>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</si>
  <si>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</si>
  <si>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</si>
  <si>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</si>
  <si>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</si>
  <si>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</si>
  <si>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</si>
  <si>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</si>
  <si>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</si>
  <si>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</si>
  <si>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</si>
  <si>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</si>
  <si>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</si>
  <si>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</si>
  <si>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</si>
  <si>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</si>
  <si>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</si>
  <si>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</si>
  <si>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</si>
  <si>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</si>
  <si>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</si>
  <si>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</si>
  <si>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</si>
  <si>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</si>
  <si>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</si>
  <si>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</si>
  <si>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</si>
  <si>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</si>
  <si>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</si>
  <si>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</si>
  <si>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</si>
  <si>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</si>
  <si>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</si>
  <si>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</si>
  <si>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</si>
  <si>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</si>
  <si>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</si>
  <si>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</si>
  <si>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</si>
  <si>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</si>
  <si>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</si>
  <si>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</si>
  <si>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</si>
  <si>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</si>
  <si>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</si>
  <si>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</si>
  <si>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</si>
  <si>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</si>
  <si>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</si>
  <si>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</si>
  <si>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</si>
  <si>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</si>
  <si>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</si>
  <si>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</si>
  <si>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</si>
  <si>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</si>
  <si>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</si>
  <si>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</si>
  <si>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</si>
  <si>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</si>
  <si>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</si>
  <si>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</si>
  <si>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</si>
  <si>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</si>
  <si>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</si>
  <si>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</si>
  <si>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</si>
  <si>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</si>
  <si>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</si>
  <si>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</si>
  <si>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</si>
  <si>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</si>
  <si>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</si>
  <si>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</si>
  <si>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</si>
  <si>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</si>
  <si>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</si>
  <si>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</si>
  <si>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</si>
  <si>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</si>
  <si>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</si>
  <si>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</si>
  <si>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</si>
  <si>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</si>
  <si>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</si>
  <si>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</si>
  <si>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</si>
  <si>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</si>
  <si>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</si>
  <si>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</si>
  <si>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</si>
  <si>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</si>
  <si>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</si>
  <si>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</si>
  <si>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</si>
  <si>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</si>
  <si>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</si>
  <si>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</si>
  <si>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</si>
  <si>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</si>
  <si>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Compass for Affordable Housing</t>
  </si>
  <si>
    <t>North Fair Oaks Apartments</t>
  </si>
  <si>
    <t>County of San Mateo</t>
  </si>
  <si>
    <t>Raymond Hodges</t>
  </si>
  <si>
    <t>262 Harbor Blvd., Building A</t>
  </si>
  <si>
    <t>Belmont</t>
  </si>
  <si>
    <t>650-802-3389</t>
  </si>
  <si>
    <t>650-802-5049</t>
  </si>
  <si>
    <t>rhodges@smchousing.org</t>
  </si>
  <si>
    <t>430-434 Douglas Avenue and 429-431 Macarthur Avenue</t>
  </si>
  <si>
    <t>054-232-040</t>
  </si>
  <si>
    <t>40%/60%</t>
  </si>
  <si>
    <t>13520 Evening Creek Dr. N. Suite 560</t>
  </si>
  <si>
    <t>CA</t>
  </si>
  <si>
    <t>Robin Martinez</t>
  </si>
  <si>
    <t>robin@compassfah.org</t>
  </si>
  <si>
    <t>CFAH Housing, LLC</t>
  </si>
  <si>
    <t>Managing GP</t>
  </si>
  <si>
    <t>13520 Evening Creek Drive N., Suite 560</t>
  </si>
  <si>
    <t>AHG North Fair Oaks, LLC</t>
  </si>
  <si>
    <t>Administrative GP</t>
  </si>
  <si>
    <t>13520 Evening Creek Dr. N Suite 160</t>
  </si>
  <si>
    <t>James Silverwood</t>
  </si>
  <si>
    <t>James@affirmedhousing.com</t>
  </si>
  <si>
    <t>Affirmed Housing Group, Inc.</t>
  </si>
  <si>
    <t>13520 Evening Creek Dr. N. Ste. 160</t>
  </si>
  <si>
    <t>Rob Wilkins</t>
  </si>
  <si>
    <t>Developer</t>
  </si>
  <si>
    <t>San Diego, CA 92128</t>
  </si>
  <si>
    <t>VMWP Architects</t>
  </si>
  <si>
    <t>333 Bryant Street, Suite 300</t>
  </si>
  <si>
    <t>San Francisco, CA 94107</t>
  </si>
  <si>
    <t>Pam Goode</t>
  </si>
  <si>
    <t>415-488-7743</t>
  </si>
  <si>
    <t>pam@vmwp.com</t>
  </si>
  <si>
    <t>Katten Muchin Rosenman LLP</t>
  </si>
  <si>
    <t>2029 Century Park East, Suite 2600</t>
  </si>
  <si>
    <t>Los Angeles, CA 90067-3012</t>
  </si>
  <si>
    <t>David Cohen</t>
  </si>
  <si>
    <t>312-902-5284</t>
  </si>
  <si>
    <t>312-902-1061</t>
  </si>
  <si>
    <t>sun-ae.woo@novoco.com</t>
  </si>
  <si>
    <t>Bright Green Strategies</t>
  </si>
  <si>
    <t>1717 Seabright Avenue, Suite 4</t>
  </si>
  <si>
    <t>Santa Cruz, CA 95062</t>
  </si>
  <si>
    <t>Steve Davis</t>
  </si>
  <si>
    <t>831.454.9956</t>
  </si>
  <si>
    <t>NA</t>
  </si>
  <si>
    <t>steve@brightgreenstrategies.com</t>
  </si>
  <si>
    <t>Novogradac and Company LLP</t>
  </si>
  <si>
    <t>2033 N. Main Street, Suite 400</t>
  </si>
  <si>
    <t>Walnut Creek, CA 94596</t>
  </si>
  <si>
    <t>Sun-Ae Woo</t>
  </si>
  <si>
    <t>925-949-4223</t>
  </si>
  <si>
    <t>Red Stone Equity Partners</t>
  </si>
  <si>
    <t>5800 Armada Drive, Suite 235</t>
  </si>
  <si>
    <t>Carlsbad, CA 92008</t>
  </si>
  <si>
    <t>Matt Grosz</t>
  </si>
  <si>
    <t>619-535-3903</t>
  </si>
  <si>
    <t>Matt.Grosz@RedstoneEquity.com</t>
  </si>
  <si>
    <t>1501 Sports Drive, Suite A</t>
  </si>
  <si>
    <t>Sacramento, CA 95834</t>
  </si>
  <si>
    <t>Stefanie Williams</t>
  </si>
  <si>
    <t>swilliams@laurinassociates.com</t>
  </si>
  <si>
    <t>California Muncipal Finance Authority</t>
  </si>
  <si>
    <t>2111 Palomar Airport Rd, Suite 320</t>
  </si>
  <si>
    <t>Carlsbad, CA 92011</t>
  </si>
  <si>
    <t>Anthony Stubbs</t>
  </si>
  <si>
    <t>(760) 930-1333</t>
  </si>
  <si>
    <t>(760) 683-3390</t>
  </si>
  <si>
    <t>astubbs@cmfa-ca.com</t>
  </si>
  <si>
    <t>Solari Enterprises, Inc.</t>
  </si>
  <si>
    <t>1507 W Yale Avenue</t>
  </si>
  <si>
    <t>Orange, CA 92867</t>
  </si>
  <si>
    <t>Gianna Richards</t>
  </si>
  <si>
    <t>714-282-2520</t>
  </si>
  <si>
    <t>Gianna@solari-ent.com</t>
  </si>
  <si>
    <t>Guy Philip Montoro 2013 Trust</t>
  </si>
  <si>
    <t>Guy Philip Montoro</t>
  </si>
  <si>
    <t>Trustee</t>
  </si>
  <si>
    <t xml:space="preserve">3772 Hamilton Way, Emerald Hills, </t>
  </si>
  <si>
    <t>CA 94062</t>
  </si>
  <si>
    <t>Secured by Fee Interest</t>
  </si>
  <si>
    <t>Inner City Infill Site</t>
  </si>
  <si>
    <t>Medium High Density, Commercial Mixed Use</t>
  </si>
  <si>
    <t>CMU-3, 195 du/ac</t>
  </si>
  <si>
    <t>CMU-3, 187 du/ac</t>
  </si>
  <si>
    <t>70 Ft</t>
  </si>
  <si>
    <t>No Parking Required per SB35</t>
  </si>
  <si>
    <t>San Mateo County Measure K</t>
  </si>
  <si>
    <t>San Mateo County MHSA</t>
  </si>
  <si>
    <t>San Mateo County HHC</t>
  </si>
  <si>
    <t>Fixed</t>
  </si>
  <si>
    <t>3003 Tasman Dr.</t>
  </si>
  <si>
    <t>Debbie Koski</t>
  </si>
  <si>
    <t>Construction Loan</t>
  </si>
  <si>
    <t>Tax Credit Equity</t>
  </si>
  <si>
    <t>SOFR</t>
  </si>
  <si>
    <t>264 Harbor Blvd., Bldg. A</t>
  </si>
  <si>
    <t>Jan Stokely</t>
  </si>
  <si>
    <t>Residual Receipts Loan</t>
  </si>
  <si>
    <t>10 West Broad Street, 8th Floor</t>
  </si>
  <si>
    <t>Columbus, Ohio</t>
  </si>
  <si>
    <t>Josh Land</t>
  </si>
  <si>
    <t>757-784-0154</t>
  </si>
  <si>
    <t>Permanent Loan</t>
  </si>
  <si>
    <t>13520 Evening Creek Dr N, Suite 160</t>
  </si>
  <si>
    <t>CUAC provided by Bright Green Strategies</t>
  </si>
  <si>
    <t>General Office Cost</t>
  </si>
  <si>
    <t>Payroll Burden/Taxes</t>
  </si>
  <si>
    <t>Cleaning &amp; Building Supplies</t>
  </si>
  <si>
    <t>Fire Monitoring, Misc.</t>
  </si>
  <si>
    <t>Misc State &amp; Loacal Fees, Issuer Fees</t>
  </si>
  <si>
    <t>Housing for Healthy California</t>
  </si>
  <si>
    <t>Measure K</t>
  </si>
  <si>
    <t>Housing Authority of the County of San Mateo (HACSM)</t>
  </si>
  <si>
    <t>Project-based vouchers (PBVs)</t>
  </si>
  <si>
    <t>Solar</t>
  </si>
  <si>
    <t>Good Faith Deposit</t>
  </si>
  <si>
    <t>Interest Prioir to Conversion</t>
  </si>
  <si>
    <t>Partnership &amp; Transaction</t>
  </si>
  <si>
    <t>Lease up Costs</t>
  </si>
  <si>
    <t>AHG North Fair Oaks, LLC managed by Affirmed Housing Group, Inc.</t>
  </si>
  <si>
    <t>San Mateo County</t>
  </si>
  <si>
    <t>1 bedroom</t>
  </si>
  <si>
    <t>Late Fees, Credit Checks, Etc</t>
  </si>
  <si>
    <t>Below residual receipts line for cash flow</t>
  </si>
  <si>
    <t>TBD</t>
  </si>
  <si>
    <t>Variable</t>
  </si>
  <si>
    <t>Provided</t>
  </si>
  <si>
    <t>Not Applicable</t>
  </si>
  <si>
    <t>rob@affirmedhousing.com</t>
  </si>
  <si>
    <t>david.cohen@kattenlaw.com</t>
  </si>
  <si>
    <t>Laurin Associates</t>
  </si>
  <si>
    <t>6 ADA units will be set aside for Homeless</t>
  </si>
  <si>
    <t>Silicon Valley Bank</t>
  </si>
  <si>
    <t>Lument Real Estate Capital, LLC</t>
  </si>
  <si>
    <t>3111 Camino Del Rio N, #100</t>
  </si>
  <si>
    <t>Public Bond Interest</t>
  </si>
  <si>
    <t>Lument Real Estate Capital LLC</t>
  </si>
  <si>
    <t>Commitment letter from Fannie Mae DUS Lender, per CDLAC Regulation 5061(a)(7)</t>
  </si>
  <si>
    <t>Housing &amp; Community Development Supervisor</t>
  </si>
  <si>
    <t>Costs Deferred Until Conversion</t>
  </si>
  <si>
    <t>Affimred Housing Group, Inc.</t>
  </si>
  <si>
    <t>Lument Securities, LLC</t>
  </si>
  <si>
    <t>Air Conditioning</t>
  </si>
  <si>
    <t>Bond Negative Arbitrage</t>
  </si>
  <si>
    <t>Unincorporated Redwood City</t>
  </si>
  <si>
    <t>Santa Clara, CA</t>
  </si>
  <si>
    <t>Carlsbad, CA</t>
  </si>
  <si>
    <t>Belmont, CA</t>
  </si>
  <si>
    <t>San Diego, CA</t>
  </si>
  <si>
    <t xml:space="preserve">Subsidy Contract Monthly Rent per Unit                  </t>
  </si>
  <si>
    <t xml:space="preserve">Proposed Monthly Rent per Unit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</si>
</sst>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top/>
      <bottom style="thin">
        <color auto="1"/>
      </bottom>
      <diagonal/>
    </border>
  </borders>
  <cellStyleXfs count="17167">
    <xf numFmtId="0" fontId="0" fillId="0" borderId="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6" borderId="0" applyNumberFormat="0" applyBorder="0" applyAlignment="0" applyProtection="0"/>
    <xf numFmtId="0" fontId="84" fillId="26" borderId="0" applyNumberFormat="0" applyBorder="0" applyAlignment="0" applyProtection="0"/>
    <xf numFmtId="0" fontId="84" fillId="27" borderId="0" applyNumberFormat="0" applyBorder="0" applyAlignment="0" applyProtection="0"/>
    <xf numFmtId="0" fontId="84" fillId="28" borderId="0" applyNumberFormat="0" applyBorder="0" applyAlignment="0" applyProtection="0"/>
    <xf numFmtId="0" fontId="84" fillId="28" borderId="0" applyNumberFormat="0" applyBorder="0" applyAlignment="0" applyProtection="0"/>
    <xf numFmtId="0" fontId="84" fillId="29" borderId="0" applyNumberFormat="0" applyBorder="0" applyAlignment="0" applyProtection="0"/>
    <xf numFmtId="0" fontId="84" fillId="29"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1" borderId="0" applyNumberFormat="0" applyBorder="0" applyAlignment="0" applyProtection="0"/>
    <xf numFmtId="0" fontId="84" fillId="31" borderId="0" applyNumberFormat="0" applyBorder="0" applyAlignment="0" applyProtection="0"/>
    <xf numFmtId="0" fontId="84" fillId="32" borderId="0" applyNumberFormat="0" applyBorder="0" applyAlignment="0" applyProtection="0"/>
    <xf numFmtId="0" fontId="84" fillId="32" borderId="0" applyNumberFormat="0" applyBorder="0" applyAlignment="0" applyProtection="0"/>
    <xf numFmtId="0" fontId="84" fillId="33" borderId="0" applyNumberFormat="0" applyBorder="0" applyAlignment="0" applyProtection="0"/>
    <xf numFmtId="0" fontId="84" fillId="34" borderId="0" applyNumberFormat="0" applyBorder="0" applyAlignment="0" applyProtection="0"/>
    <xf numFmtId="0" fontId="85" fillId="35" borderId="0" applyNumberFormat="0" applyBorder="0" applyAlignment="0" applyProtection="0"/>
    <xf numFmtId="0" fontId="85" fillId="35" borderId="0" applyNumberFormat="0" applyBorder="0" applyAlignment="0" applyProtection="0"/>
    <xf numFmtId="0" fontId="86" fillId="36" borderId="18" applyNumberFormat="0" applyAlignment="0" applyProtection="0"/>
    <xf numFmtId="0" fontId="86" fillId="36" borderId="18" applyNumberFormat="0" applyAlignment="0" applyProtection="0"/>
    <xf numFmtId="0" fontId="87" fillId="37" borderId="19" applyNumberFormat="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75"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59" fillId="0" borderId="0" applyFont="0" applyFill="0" applyBorder="0" applyAlignment="0" applyProtection="0"/>
    <xf numFmtId="43" fontId="23" fillId="0" borderId="0" applyFont="0" applyFill="0" applyBorder="0" applyAlignment="0" applyProtection="0"/>
    <xf numFmtId="43" fontId="59" fillId="0" borderId="0" applyFont="0" applyFill="0" applyBorder="0" applyAlignment="0" applyProtection="0"/>
    <xf numFmtId="44" fontId="76"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59" fillId="0" borderId="0" applyFont="0" applyFill="0" applyBorder="0" applyAlignment="0" applyProtection="0"/>
    <xf numFmtId="44" fontId="76" fillId="0" borderId="0" applyFont="0" applyFill="0" applyBorder="0" applyAlignment="0" applyProtection="0"/>
    <xf numFmtId="44" fontId="23" fillId="0" borderId="0" applyFont="0" applyFill="0" applyBorder="0" applyAlignment="0" applyProtection="0"/>
    <xf numFmtId="44" fontId="78" fillId="0" borderId="0" applyFont="0" applyFill="0" applyBorder="0" applyAlignment="0" applyProtection="0"/>
    <xf numFmtId="44" fontId="23" fillId="0" borderId="0" applyFont="0" applyFill="0" applyBorder="0" applyAlignment="0" applyProtection="0"/>
    <xf numFmtId="44" fontId="59" fillId="0" borderId="0" applyFont="0" applyFill="0" applyBorder="0" applyAlignment="0" applyProtection="0">
      <alignment vertical="top"/>
    </xf>
    <xf numFmtId="44" fontId="59" fillId="0" borderId="0" applyFont="0" applyFill="0" applyBorder="0" applyAlignment="0" applyProtection="0">
      <alignment vertical="top"/>
    </xf>
    <xf numFmtId="44" fontId="23" fillId="0" borderId="0" applyFont="0" applyFill="0" applyBorder="0" applyAlignment="0" applyProtection="0"/>
    <xf numFmtId="44" fontId="59" fillId="0" borderId="0" applyFont="0" applyFill="0" applyBorder="0" applyAlignment="0" applyProtection="0">
      <alignment vertical="top"/>
    </xf>
    <xf numFmtId="44" fontId="59" fillId="0" borderId="0" applyFont="0" applyFill="0" applyBorder="0" applyAlignment="0" applyProtection="0"/>
    <xf numFmtId="44" fontId="75"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59" fillId="0" borderId="0" applyFont="0" applyFill="0" applyBorder="0" applyAlignment="0" applyProtection="0"/>
    <xf numFmtId="44" fontId="6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59" fillId="0" borderId="0" applyFont="0" applyFill="0" applyBorder="0" applyAlignment="0" applyProtection="0"/>
    <xf numFmtId="44" fontId="23" fillId="0" borderId="0" applyFont="0" applyFill="0" applyBorder="0" applyAlignment="0" applyProtection="0"/>
    <xf numFmtId="44" fontId="69" fillId="0" borderId="0" applyFont="0" applyFill="0" applyBorder="0" applyAlignment="0" applyProtection="0"/>
    <xf numFmtId="44" fontId="23" fillId="0" borderId="0" applyFont="0" applyFill="0" applyBorder="0" applyAlignment="0" applyProtection="0"/>
    <xf numFmtId="44" fontId="75"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2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75"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2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23" fillId="0" borderId="0" applyFont="0" applyFill="0" applyBorder="0" applyAlignment="0" applyProtection="0"/>
    <xf numFmtId="44" fontId="59" fillId="0" borderId="0" applyFont="0" applyFill="0" applyBorder="0" applyAlignment="0" applyProtection="0"/>
    <xf numFmtId="44" fontId="23" fillId="0" borderId="0" applyFont="0" applyFill="0" applyBorder="0" applyAlignment="0" applyProtection="0"/>
    <xf numFmtId="44" fontId="70"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4" fillId="0" borderId="0" applyFont="0" applyFill="0" applyBorder="0" applyAlignment="0" applyProtection="0"/>
    <xf numFmtId="44" fontId="23" fillId="0" borderId="0" applyFont="0" applyFill="0" applyBorder="0" applyAlignment="0" applyProtection="0"/>
    <xf numFmtId="0" fontId="88" fillId="0" borderId="0" applyNumberFormat="0" applyFill="0" applyBorder="0" applyAlignment="0" applyProtection="0"/>
    <xf numFmtId="0" fontId="89" fillId="38" borderId="0" applyNumberFormat="0" applyBorder="0" applyAlignment="0" applyProtection="0"/>
    <xf numFmtId="0" fontId="90" fillId="0" borderId="20" applyNumberFormat="0" applyFill="0" applyAlignment="0" applyProtection="0"/>
    <xf numFmtId="0" fontId="90" fillId="0" borderId="20" applyNumberFormat="0" applyFill="0" applyAlignment="0" applyProtection="0"/>
    <xf numFmtId="0" fontId="91" fillId="0" borderId="21" applyNumberFormat="0" applyFill="0" applyAlignment="0" applyProtection="0"/>
    <xf numFmtId="0" fontId="91" fillId="0" borderId="21" applyNumberFormat="0" applyFill="0" applyAlignment="0" applyProtection="0"/>
    <xf numFmtId="0" fontId="92" fillId="0" borderId="22" applyNumberFormat="0" applyFill="0" applyAlignment="0" applyProtection="0"/>
    <xf numFmtId="0" fontId="92" fillId="0" borderId="22" applyNumberFormat="0" applyFill="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0" fillId="0" borderId="0" applyNumberFormat="0" applyFill="0" applyBorder="0" applyAlignment="0" applyProtection="0">
      <alignment vertical="top"/>
      <protection locked="0"/>
    </xf>
    <xf numFmtId="0" fontId="93" fillId="39" borderId="18" applyNumberFormat="0" applyAlignment="0" applyProtection="0"/>
    <xf numFmtId="0" fontId="16" fillId="0" borderId="0" applyNumberFormat="0" applyBorder="0"/>
    <xf numFmtId="0" fontId="17" fillId="0" borderId="0" applyBorder="0" applyAlignment="0"/>
    <xf numFmtId="0" fontId="18" fillId="0" borderId="0" applyFill="0" applyBorder="0" applyAlignment="0"/>
    <xf numFmtId="0" fontId="94" fillId="0" borderId="23" applyNumberFormat="0" applyFill="0" applyAlignment="0" applyProtection="0"/>
    <xf numFmtId="0" fontId="95" fillId="40" borderId="0" applyNumberFormat="0" applyBorder="0" applyAlignment="0" applyProtection="0"/>
    <xf numFmtId="0" fontId="96" fillId="0" borderId="0"/>
    <xf numFmtId="0" fontId="59" fillId="0" borderId="0"/>
    <xf numFmtId="0" fontId="96" fillId="0" borderId="0"/>
    <xf numFmtId="0" fontId="59" fillId="0" borderId="0"/>
    <xf numFmtId="0" fontId="59" fillId="0" borderId="0"/>
    <xf numFmtId="0" fontId="2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97" fillId="0" borderId="0"/>
    <xf numFmtId="0" fontId="59" fillId="0" borderId="0"/>
    <xf numFmtId="169" fontId="60" fillId="0" borderId="0"/>
    <xf numFmtId="0" fontId="83" fillId="0" borderId="0"/>
    <xf numFmtId="0" fontId="23" fillId="0" borderId="0"/>
    <xf numFmtId="0" fontId="23" fillId="0" borderId="0"/>
    <xf numFmtId="0" fontId="65" fillId="0" borderId="0"/>
    <xf numFmtId="0" fontId="59" fillId="0" borderId="0"/>
    <xf numFmtId="0" fontId="65" fillId="0" borderId="0"/>
    <xf numFmtId="0" fontId="59" fillId="0" borderId="0"/>
    <xf numFmtId="0" fontId="71" fillId="0" borderId="0"/>
    <xf numFmtId="0" fontId="59" fillId="0" borderId="0"/>
    <xf numFmtId="0" fontId="83" fillId="0" borderId="0"/>
    <xf numFmtId="0" fontId="59" fillId="0" borderId="0">
      <alignment vertical="top"/>
    </xf>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71" fillId="0" borderId="0"/>
    <xf numFmtId="0" fontId="83" fillId="0" borderId="0"/>
    <xf numFmtId="0" fontId="83" fillId="0" borderId="0"/>
    <xf numFmtId="0" fontId="83" fillId="0" borderId="0"/>
    <xf numFmtId="0" fontId="83" fillId="0" borderId="0"/>
    <xf numFmtId="0" fontId="59" fillId="0" borderId="0">
      <alignment vertical="top"/>
    </xf>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59" fillId="0" borderId="0"/>
    <xf numFmtId="0" fontId="83" fillId="0" borderId="0"/>
    <xf numFmtId="0" fontId="83" fillId="0" borderId="0"/>
    <xf numFmtId="0" fontId="83" fillId="0" borderId="0"/>
    <xf numFmtId="0" fontId="83" fillId="0" borderId="0"/>
    <xf numFmtId="0" fontId="71" fillId="0" borderId="0"/>
    <xf numFmtId="0" fontId="59" fillId="0" borderId="0">
      <alignment vertical="top"/>
    </xf>
    <xf numFmtId="0" fontId="83" fillId="0" borderId="0"/>
    <xf numFmtId="0" fontId="83" fillId="0" borderId="0"/>
    <xf numFmtId="0" fontId="83" fillId="0" borderId="0"/>
    <xf numFmtId="0" fontId="83" fillId="0" borderId="0"/>
    <xf numFmtId="0" fontId="71" fillId="0" borderId="0"/>
    <xf numFmtId="0" fontId="23" fillId="0" borderId="0"/>
    <xf numFmtId="0" fontId="83" fillId="0" borderId="0"/>
    <xf numFmtId="0" fontId="23" fillId="0" borderId="0"/>
    <xf numFmtId="0" fontId="83" fillId="0" borderId="0"/>
    <xf numFmtId="0" fontId="83" fillId="0" borderId="0"/>
    <xf numFmtId="0" fontId="83" fillId="0" borderId="0"/>
    <xf numFmtId="0" fontId="83" fillId="0" borderId="0"/>
    <xf numFmtId="0" fontId="65" fillId="0" borderId="0"/>
    <xf numFmtId="0" fontId="59" fillId="0" borderId="0">
      <alignment vertical="top"/>
    </xf>
    <xf numFmtId="0" fontId="65" fillId="0" borderId="0"/>
    <xf numFmtId="0" fontId="59" fillId="0" borderId="0">
      <alignment vertical="top"/>
    </xf>
    <xf numFmtId="0" fontId="59" fillId="0" borderId="0">
      <alignment vertical="top"/>
    </xf>
    <xf numFmtId="0" fontId="83" fillId="0" borderId="0"/>
    <xf numFmtId="0" fontId="65" fillId="0" borderId="0"/>
    <xf numFmtId="0" fontId="83" fillId="0" borderId="0"/>
    <xf numFmtId="0" fontId="59" fillId="0" borderId="0">
      <alignment vertical="top"/>
    </xf>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5"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23" fillId="0" borderId="0"/>
    <xf numFmtId="0" fontId="59" fillId="0" borderId="0">
      <alignment vertical="top"/>
    </xf>
    <xf numFmtId="0" fontId="83" fillId="0" borderId="0"/>
    <xf numFmtId="0" fontId="83" fillId="0" borderId="0"/>
    <xf numFmtId="0" fontId="83" fillId="0" borderId="0"/>
    <xf numFmtId="0" fontId="83" fillId="0" borderId="0"/>
    <xf numFmtId="0" fontId="2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5"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2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59" fillId="0" borderId="0"/>
    <xf numFmtId="0" fontId="59" fillId="0" borderId="0">
      <alignment vertical="top"/>
    </xf>
    <xf numFmtId="0" fontId="59" fillId="0" borderId="0">
      <alignment vertical="top"/>
    </xf>
    <xf numFmtId="0" fontId="59" fillId="0" borderId="0"/>
    <xf numFmtId="0" fontId="59" fillId="0" borderId="0">
      <alignment vertical="top"/>
    </xf>
    <xf numFmtId="0" fontId="59" fillId="0" borderId="0"/>
    <xf numFmtId="0" fontId="59"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2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23" fillId="0" borderId="0"/>
    <xf numFmtId="0" fontId="83" fillId="0" borderId="0"/>
    <xf numFmtId="0" fontId="83" fillId="0" borderId="0"/>
    <xf numFmtId="0" fontId="83" fillId="0" borderId="0"/>
    <xf numFmtId="0" fontId="14" fillId="0" borderId="0" applyProtection="0">
      <protection locked="0"/>
    </xf>
    <xf numFmtId="0" fontId="23" fillId="0" borderId="0" applyProtection="0">
      <protection locked="0"/>
    </xf>
    <xf numFmtId="0" fontId="23" fillId="0" borderId="0" applyProtection="0">
      <protection locked="0"/>
    </xf>
    <xf numFmtId="0" fontId="60" fillId="0" borderId="0"/>
    <xf numFmtId="0" fontId="14" fillId="0" borderId="0"/>
    <xf numFmtId="0" fontId="75"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75"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98" fillId="36" borderId="25" applyNumberFormat="0" applyAlignment="0" applyProtection="0"/>
    <xf numFmtId="0" fontId="98" fillId="36" borderId="25" applyNumberFormat="0" applyAlignment="0" applyProtection="0"/>
    <xf numFmtId="0" fontId="19" fillId="0" borderId="0" applyNumberFormat="0" applyFill="0" applyBorder="0">
      <alignment horizontal="left"/>
    </xf>
    <xf numFmtId="0" fontId="99" fillId="0" borderId="0" applyNumberFormat="0" applyFill="0" applyBorder="0" applyAlignment="0" applyProtection="0"/>
    <xf numFmtId="0" fontId="100" fillId="0" borderId="26" applyNumberFormat="0" applyFill="0" applyAlignment="0" applyProtection="0"/>
    <xf numFmtId="0" fontId="100" fillId="0" borderId="26" applyNumberFormat="0" applyFill="0" applyAlignment="0" applyProtection="0"/>
    <xf numFmtId="0" fontId="101" fillId="0" borderId="0" applyNumberFormat="0" applyFill="0" applyBorder="0" applyAlignment="0" applyProtection="0"/>
    <xf numFmtId="0" fontId="14" fillId="0" borderId="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9" fontId="14" fillId="0" borderId="0" applyFont="0" applyFill="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6"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4"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4" fontId="108"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109" fillId="0" borderId="0" applyNumberForma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9" fillId="0" borderId="0" applyNumberFormat="0" applyFill="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44" fontId="14" fillId="0" borderId="0" applyFont="0" applyFill="0" applyBorder="0" applyAlignment="0" applyProtection="0"/>
    <xf numFmtId="9" fontId="118" fillId="0" borderId="0" applyFont="0" applyFill="0" applyBorder="0" applyAlignment="0" applyProtection="0"/>
    <xf numFmtId="0" fontId="118" fillId="0" borderId="0"/>
    <xf numFmtId="0" fontId="8" fillId="0" borderId="0"/>
    <xf numFmtId="0" fontId="14" fillId="0" borderId="0"/>
    <xf numFmtId="43" fontId="8" fillId="0" borderId="0" applyFont="0" applyFill="0" applyBorder="0" applyAlignment="0" applyProtection="0"/>
    <xf numFmtId="9" fontId="8" fillId="0" borderId="0" applyFont="0" applyFill="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14" fillId="0" borderId="0" applyBorder="0"/>
    <xf numFmtId="43" fontId="156" fillId="0" borderId="0" applyFont="0" applyFill="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44" fontId="16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4"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5">
    <xf numFmtId="0" fontId="0" fillId="0" borderId="0" xfId="0"/>
    <xf numFmtId="0" fontId="0" fillId="0" borderId="0" xfId="0" applyAlignment="1">
      <alignment horizontal="center"/>
    </xf>
    <xf numFmtId="0" fontId="21" fillId="0" borderId="0" xfId="0" applyFont="1"/>
    <xf numFmtId="0" fontId="14" fillId="0" borderId="0" xfId="0" applyFont="1"/>
    <xf numFmtId="0" fontId="23" fillId="0" borderId="0" xfId="0" applyFont="1"/>
    <xf numFmtId="0" fontId="0" fillId="0" borderId="4" xfId="0" applyBorder="1"/>
    <xf numFmtId="0" fontId="23" fillId="0" borderId="0" xfId="0" applyFont="1" applyAlignment="1">
      <alignment horizontal="center"/>
    </xf>
    <xf numFmtId="0" fontId="14"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1" fillId="0" borderId="4" xfId="0" applyFont="1" applyBorder="1"/>
    <xf numFmtId="164" fontId="0" fillId="0" borderId="0" xfId="0" applyNumberFormat="1" applyAlignment="1">
      <alignment horizontal="right"/>
    </xf>
    <xf numFmtId="0" fontId="21" fillId="0" borderId="0" xfId="0" applyFont="1" applyAlignment="1">
      <alignment horizontal="center"/>
    </xf>
    <xf numFmtId="0" fontId="14" fillId="0" borderId="0" xfId="543"/>
    <xf numFmtId="0" fontId="23" fillId="0" borderId="0" xfId="0" applyFont="1" applyAlignment="1">
      <alignment horizontal="left" vertical="top" wrapText="1"/>
    </xf>
    <xf numFmtId="0" fontId="29" fillId="0" borderId="0" xfId="0" applyFont="1"/>
    <xf numFmtId="0" fontId="22" fillId="0" borderId="0" xfId="0" applyFont="1" applyAlignment="1">
      <alignment vertical="top"/>
    </xf>
    <xf numFmtId="0" fontId="22" fillId="0" borderId="0" xfId="0" applyFont="1" applyAlignment="1">
      <alignment vertical="top" wrapText="1"/>
    </xf>
    <xf numFmtId="0" fontId="23" fillId="0" borderId="0" xfId="0" applyFont="1" applyAlignment="1">
      <alignment horizontal="left" indent="4"/>
    </xf>
    <xf numFmtId="0" fontId="22" fillId="0" borderId="0" xfId="0" applyFont="1" applyAlignment="1">
      <alignment horizontal="left" vertical="top"/>
    </xf>
    <xf numFmtId="0" fontId="22" fillId="0" borderId="0" xfId="0" applyFont="1" applyAlignment="1">
      <alignment horizontal="left"/>
    </xf>
    <xf numFmtId="0" fontId="22" fillId="0" borderId="0" xfId="0" applyFont="1"/>
    <xf numFmtId="0" fontId="34" fillId="0" borderId="0" xfId="543" applyFont="1"/>
    <xf numFmtId="1" fontId="22" fillId="0" borderId="0" xfId="0" applyNumberFormat="1" applyFont="1" applyAlignment="1">
      <alignment horizontal="left"/>
    </xf>
    <xf numFmtId="0" fontId="24" fillId="0" borderId="0" xfId="0" applyFont="1"/>
    <xf numFmtId="1" fontId="22" fillId="0" borderId="0" xfId="0" applyNumberFormat="1" applyFont="1" applyAlignment="1">
      <alignment horizontal="right"/>
    </xf>
    <xf numFmtId="0" fontId="0" fillId="0" borderId="0" xfId="0" applyAlignment="1">
      <alignment horizontal="right"/>
    </xf>
    <xf numFmtId="0" fontId="33" fillId="0" borderId="0" xfId="0" applyFont="1"/>
    <xf numFmtId="0" fontId="26" fillId="0" borderId="0" xfId="0" applyFont="1"/>
    <xf numFmtId="172" fontId="14" fillId="0" borderId="0" xfId="543" applyNumberFormat="1"/>
    <xf numFmtId="9" fontId="14" fillId="0" borderId="0" xfId="543" applyNumberFormat="1" applyAlignment="1">
      <alignment horizontal="left"/>
    </xf>
    <xf numFmtId="168" fontId="14" fillId="0" borderId="0" xfId="543" applyNumberFormat="1"/>
    <xf numFmtId="0" fontId="23" fillId="0" borderId="0" xfId="0" applyFont="1" applyAlignment="1">
      <alignment horizontal="right"/>
    </xf>
    <xf numFmtId="0" fontId="37" fillId="0" borderId="0" xfId="0" applyFont="1"/>
    <xf numFmtId="0" fontId="23" fillId="0" borderId="0" xfId="0" applyFont="1" applyAlignment="1">
      <alignment horizontal="left"/>
    </xf>
    <xf numFmtId="0" fontId="25" fillId="0" borderId="0" xfId="0" applyFont="1"/>
    <xf numFmtId="0" fontId="27" fillId="0" borderId="0" xfId="0" applyFont="1"/>
    <xf numFmtId="0" fontId="21"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1" fillId="0" borderId="1" xfId="0" applyFont="1" applyBorder="1" applyAlignment="1">
      <alignment horizontal="center" wrapText="1"/>
    </xf>
    <xf numFmtId="0" fontId="21"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1" fillId="0" borderId="4" xfId="0" applyFont="1" applyBorder="1" applyAlignment="1">
      <alignment horizontal="center"/>
    </xf>
    <xf numFmtId="0" fontId="30" fillId="0" borderId="3" xfId="0" applyFont="1" applyBorder="1" applyAlignment="1">
      <alignment horizontal="left"/>
    </xf>
    <xf numFmtId="0" fontId="30" fillId="0" borderId="9" xfId="0" applyFont="1" applyBorder="1" applyAlignment="1">
      <alignment horizontal="left"/>
    </xf>
    <xf numFmtId="0" fontId="21" fillId="0" borderId="4" xfId="0" applyFont="1" applyBorder="1" applyAlignment="1">
      <alignment horizontal="right"/>
    </xf>
    <xf numFmtId="0" fontId="21" fillId="0" borderId="5" xfId="0" applyFont="1" applyBorder="1" applyAlignment="1">
      <alignment horizontal="right"/>
    </xf>
    <xf numFmtId="0" fontId="30" fillId="0" borderId="0" xfId="0" applyFont="1" applyAlignment="1">
      <alignment horizontal="left"/>
    </xf>
    <xf numFmtId="0" fontId="21" fillId="0" borderId="0" xfId="0" applyFont="1" applyAlignment="1">
      <alignment horizontal="right"/>
    </xf>
    <xf numFmtId="0" fontId="21"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3" fillId="0" borderId="11" xfId="0" applyFont="1" applyBorder="1" applyAlignment="1">
      <alignment horizontal="left"/>
    </xf>
    <xf numFmtId="0" fontId="21" fillId="0" borderId="9" xfId="0" applyFont="1" applyBorder="1"/>
    <xf numFmtId="164" fontId="0" fillId="0" borderId="0" xfId="0" applyNumberFormat="1" applyAlignment="1">
      <alignment horizontal="center"/>
    </xf>
    <xf numFmtId="0" fontId="0" fillId="0" borderId="12" xfId="0" applyBorder="1"/>
    <xf numFmtId="0" fontId="23" fillId="0" borderId="3" xfId="0" applyFont="1" applyBorder="1"/>
    <xf numFmtId="0" fontId="23" fillId="0" borderId="0" xfId="543" applyFont="1"/>
    <xf numFmtId="0" fontId="39" fillId="0" borderId="0" xfId="543" applyFont="1"/>
    <xf numFmtId="49" fontId="14" fillId="0" borderId="0" xfId="543" applyNumberFormat="1"/>
    <xf numFmtId="0" fontId="37" fillId="0" borderId="0" xfId="543" applyFont="1"/>
    <xf numFmtId="168" fontId="34" fillId="0" borderId="6" xfId="543" applyNumberFormat="1" applyFont="1" applyBorder="1" applyAlignment="1">
      <alignment horizontal="left"/>
    </xf>
    <xf numFmtId="168" fontId="34" fillId="0" borderId="6" xfId="543" applyNumberFormat="1" applyFont="1" applyBorder="1" applyAlignment="1">
      <alignment horizontal="center"/>
    </xf>
    <xf numFmtId="0" fontId="14" fillId="0" borderId="8" xfId="543" applyBorder="1"/>
    <xf numFmtId="0" fontId="34" fillId="0" borderId="0" xfId="543" applyFont="1" applyAlignment="1">
      <alignment horizontal="center"/>
    </xf>
    <xf numFmtId="0" fontId="33" fillId="0" borderId="9" xfId="543" applyFont="1" applyBorder="1" applyAlignment="1">
      <alignment horizontal="left" vertical="top" wrapText="1"/>
    </xf>
    <xf numFmtId="0" fontId="33" fillId="0" borderId="6" xfId="543" applyFont="1" applyBorder="1" applyAlignment="1">
      <alignment horizontal="center" vertical="top" wrapText="1"/>
    </xf>
    <xf numFmtId="0" fontId="14" fillId="0" borderId="9" xfId="543" applyBorder="1"/>
    <xf numFmtId="0" fontId="14" fillId="0" borderId="10" xfId="543" applyBorder="1"/>
    <xf numFmtId="0" fontId="14" fillId="0" borderId="1" xfId="543" applyBorder="1"/>
    <xf numFmtId="0" fontId="34" fillId="0" borderId="2" xfId="543" applyFont="1" applyBorder="1" applyAlignment="1">
      <alignment horizontal="center"/>
    </xf>
    <xf numFmtId="0" fontId="36" fillId="0" borderId="8" xfId="543" applyFont="1" applyBorder="1" applyAlignment="1">
      <alignment horizontal="left" vertical="top" wrapText="1"/>
    </xf>
    <xf numFmtId="0" fontId="33" fillId="0" borderId="0" xfId="543" applyFont="1" applyAlignment="1">
      <alignment horizontal="center" vertical="top" wrapText="1"/>
    </xf>
    <xf numFmtId="0" fontId="14" fillId="0" borderId="12" xfId="543" applyBorder="1"/>
    <xf numFmtId="0" fontId="36" fillId="0" borderId="0" xfId="543" applyFont="1" applyAlignment="1">
      <alignment horizontal="center" vertical="top" wrapText="1"/>
    </xf>
    <xf numFmtId="0" fontId="36" fillId="0" borderId="9" xfId="543" applyFont="1" applyBorder="1" applyAlignment="1">
      <alignment horizontal="left" vertical="top" wrapText="1"/>
    </xf>
    <xf numFmtId="0" fontId="14" fillId="0" borderId="2" xfId="543" applyBorder="1"/>
    <xf numFmtId="0" fontId="14" fillId="0" borderId="7" xfId="543" applyBorder="1"/>
    <xf numFmtId="0" fontId="33" fillId="0" borderId="0" xfId="543" applyFont="1"/>
    <xf numFmtId="0" fontId="14" fillId="0" borderId="0" xfId="543" applyAlignment="1">
      <alignment horizontal="center"/>
    </xf>
    <xf numFmtId="0" fontId="22" fillId="0" borderId="6" xfId="543" applyFont="1" applyBorder="1" applyAlignment="1">
      <alignment vertical="top" wrapText="1"/>
    </xf>
    <xf numFmtId="0" fontId="23" fillId="0" borderId="0" xfId="0" applyFont="1" applyAlignment="1">
      <alignment horizontal="left" vertical="top"/>
    </xf>
    <xf numFmtId="0" fontId="0" fillId="2" borderId="2" xfId="0" applyFill="1" applyBorder="1"/>
    <xf numFmtId="0" fontId="0" fillId="2" borderId="7" xfId="0" applyFill="1" applyBorder="1"/>
    <xf numFmtId="0" fontId="21" fillId="0" borderId="6" xfId="0" applyFont="1" applyBorder="1" applyAlignment="1">
      <alignment horizontal="right"/>
    </xf>
    <xf numFmtId="0" fontId="20" fillId="0" borderId="0" xfId="0" applyFont="1" applyAlignment="1">
      <alignment horizontal="center" vertical="center"/>
    </xf>
    <xf numFmtId="0" fontId="21" fillId="0" borderId="0" xfId="0" applyFont="1" applyAlignment="1">
      <alignment vertical="top"/>
    </xf>
    <xf numFmtId="166" fontId="0" fillId="0" borderId="0" xfId="0" applyNumberFormat="1" applyAlignment="1">
      <alignment horizontal="right"/>
    </xf>
    <xf numFmtId="0" fontId="44" fillId="0" borderId="0" xfId="0" applyFont="1"/>
    <xf numFmtId="0" fontId="31" fillId="0" borderId="0" xfId="0" applyFont="1"/>
    <xf numFmtId="0" fontId="15" fillId="0" borderId="0" xfId="244" applyBorder="1" applyProtection="1"/>
    <xf numFmtId="0" fontId="15" fillId="0" borderId="0" xfId="244" applyFill="1" applyBorder="1" applyAlignment="1">
      <alignment horizontal="center" vertical="center"/>
    </xf>
    <xf numFmtId="0" fontId="14" fillId="0" borderId="3" xfId="543" applyBorder="1"/>
    <xf numFmtId="0" fontId="36" fillId="0" borderId="4" xfId="543" applyFont="1" applyBorder="1" applyAlignment="1">
      <alignment horizontal="right" vertical="top" wrapText="1"/>
    </xf>
    <xf numFmtId="0" fontId="23" fillId="0" borderId="6" xfId="0" applyFont="1" applyBorder="1"/>
    <xf numFmtId="0" fontId="23" fillId="0" borderId="2" xfId="0" applyFont="1" applyBorder="1"/>
    <xf numFmtId="0" fontId="23" fillId="0" borderId="7" xfId="0" applyFont="1" applyBorder="1"/>
    <xf numFmtId="0" fontId="23" fillId="0" borderId="12" xfId="0" applyFont="1" applyBorder="1"/>
    <xf numFmtId="0" fontId="23" fillId="0" borderId="9" xfId="0" applyFont="1" applyBorder="1"/>
    <xf numFmtId="0" fontId="23" fillId="0" borderId="10" xfId="0" applyFont="1" applyBorder="1"/>
    <xf numFmtId="0" fontId="28" fillId="0" borderId="6" xfId="0" applyFont="1" applyBorder="1" applyAlignment="1">
      <alignment vertical="top" wrapText="1"/>
    </xf>
    <xf numFmtId="0" fontId="28" fillId="0" borderId="5" xfId="0" applyFont="1" applyBorder="1" applyAlignment="1">
      <alignment vertical="top" wrapText="1"/>
    </xf>
    <xf numFmtId="0" fontId="28" fillId="0" borderId="4" xfId="0" applyFont="1" applyBorder="1" applyAlignment="1">
      <alignment vertical="top" wrapText="1"/>
    </xf>
    <xf numFmtId="0" fontId="28" fillId="2" borderId="6" xfId="0" applyFont="1" applyFill="1" applyBorder="1" applyAlignment="1">
      <alignment vertical="top" wrapText="1"/>
    </xf>
    <xf numFmtId="0" fontId="0" fillId="0" borderId="8" xfId="0" applyBorder="1"/>
    <xf numFmtId="0" fontId="21" fillId="0" borderId="2" xfId="0" applyFont="1" applyBorder="1"/>
    <xf numFmtId="0" fontId="23" fillId="0" borderId="0" xfId="0" applyFont="1" applyAlignment="1">
      <alignment vertical="top"/>
    </xf>
    <xf numFmtId="0" fontId="23" fillId="0" borderId="0" xfId="0" applyFont="1" applyAlignment="1">
      <alignment vertical="top" wrapText="1"/>
    </xf>
    <xf numFmtId="0" fontId="14" fillId="0" borderId="0" xfId="0" applyFont="1" applyAlignment="1">
      <alignment horizontal="left"/>
    </xf>
    <xf numFmtId="0" fontId="14" fillId="0" borderId="0" xfId="0" applyFont="1" applyAlignment="1">
      <alignment vertical="top"/>
    </xf>
    <xf numFmtId="0" fontId="43" fillId="0" borderId="0" xfId="0" applyFont="1"/>
    <xf numFmtId="0" fontId="14" fillId="0" borderId="3" xfId="0" applyFont="1" applyBorder="1"/>
    <xf numFmtId="0" fontId="14"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8" fillId="3" borderId="4" xfId="0" applyFont="1" applyFill="1" applyBorder="1" applyAlignment="1">
      <alignment vertical="top" wrapText="1"/>
    </xf>
    <xf numFmtId="0" fontId="28" fillId="3" borderId="5" xfId="0" applyFont="1" applyFill="1" applyBorder="1" applyAlignment="1">
      <alignment vertical="top" wrapText="1"/>
    </xf>
    <xf numFmtId="0" fontId="46" fillId="0" borderId="0" xfId="0" applyFont="1"/>
    <xf numFmtId="0" fontId="23" fillId="0" borderId="4" xfId="0" applyFont="1" applyBorder="1"/>
    <xf numFmtId="0" fontId="21" fillId="0" borderId="2" xfId="0" applyFont="1" applyBorder="1" applyAlignment="1">
      <alignment horizontal="center"/>
    </xf>
    <xf numFmtId="0" fontId="21" fillId="0" borderId="0" xfId="0" applyFont="1" applyAlignment="1">
      <alignment horizontal="center" vertical="center" wrapText="1"/>
    </xf>
    <xf numFmtId="0" fontId="21" fillId="0" borderId="7" xfId="543" applyFont="1" applyBorder="1" applyAlignment="1">
      <alignment horizontal="right"/>
    </xf>
    <xf numFmtId="0" fontId="22" fillId="0" borderId="9" xfId="543" applyFont="1" applyBorder="1"/>
    <xf numFmtId="0" fontId="23" fillId="0" borderId="6" xfId="543" applyFont="1" applyBorder="1"/>
    <xf numFmtId="0" fontId="22" fillId="0" borderId="6" xfId="543" applyFont="1" applyBorder="1" applyAlignment="1">
      <alignment horizontal="right"/>
    </xf>
    <xf numFmtId="0" fontId="21" fillId="0" borderId="0" xfId="0" applyFont="1" applyAlignment="1">
      <alignment horizontal="center" vertical="center"/>
    </xf>
    <xf numFmtId="0" fontId="23" fillId="0" borderId="0" xfId="0" applyFont="1" applyAlignment="1">
      <alignment horizontal="left" vertical="center"/>
    </xf>
    <xf numFmtId="0" fontId="52" fillId="0" borderId="3" xfId="0" applyFont="1" applyBorder="1" applyAlignment="1">
      <alignment horizontal="left" vertical="top"/>
    </xf>
    <xf numFmtId="0" fontId="52" fillId="0" borderId="13" xfId="0" applyFont="1" applyBorder="1" applyAlignment="1">
      <alignment horizontal="center" wrapText="1"/>
    </xf>
    <xf numFmtId="0" fontId="52" fillId="0" borderId="13" xfId="0" applyFont="1" applyBorder="1" applyAlignment="1">
      <alignment horizontal="center" vertical="top" wrapText="1"/>
    </xf>
    <xf numFmtId="0" fontId="52" fillId="2" borderId="13" xfId="0" applyFont="1" applyFill="1" applyBorder="1" applyAlignment="1">
      <alignment horizontal="center" wrapText="1"/>
    </xf>
    <xf numFmtId="0" fontId="53" fillId="2" borderId="11" xfId="0" applyFont="1" applyFill="1" applyBorder="1" applyAlignment="1">
      <alignment horizontal="left" vertical="top" wrapText="1"/>
    </xf>
    <xf numFmtId="0" fontId="54" fillId="4" borderId="11" xfId="0" applyFont="1" applyFill="1" applyBorder="1" applyAlignment="1">
      <alignment vertical="top" wrapText="1"/>
    </xf>
    <xf numFmtId="0" fontId="54" fillId="2" borderId="11" xfId="0" applyFont="1" applyFill="1" applyBorder="1" applyAlignment="1">
      <alignment vertical="top" wrapText="1"/>
    </xf>
    <xf numFmtId="0" fontId="54" fillId="0" borderId="11" xfId="0" applyFont="1" applyBorder="1" applyAlignment="1">
      <alignment vertical="top" wrapText="1"/>
    </xf>
    <xf numFmtId="0" fontId="54" fillId="0" borderId="11" xfId="0" applyFont="1" applyBorder="1" applyAlignment="1">
      <alignment horizontal="right" vertical="top" wrapText="1"/>
    </xf>
    <xf numFmtId="168" fontId="54" fillId="0" borderId="11" xfId="0" applyNumberFormat="1" applyFont="1" applyBorder="1" applyAlignment="1">
      <alignment vertical="top" wrapText="1"/>
    </xf>
    <xf numFmtId="168" fontId="54" fillId="5" borderId="11" xfId="0" applyNumberFormat="1" applyFont="1" applyFill="1" applyBorder="1" applyAlignment="1" applyProtection="1">
      <alignment vertical="top" wrapText="1"/>
      <protection locked="0"/>
    </xf>
    <xf numFmtId="168" fontId="54" fillId="6" borderId="11" xfId="0" applyNumberFormat="1" applyFont="1" applyFill="1" applyBorder="1" applyAlignment="1">
      <alignment horizontal="center" vertical="top" wrapText="1"/>
    </xf>
    <xf numFmtId="0" fontId="52" fillId="0" borderId="11" xfId="0" applyFont="1" applyBorder="1" applyAlignment="1">
      <alignment horizontal="right" vertical="top" wrapText="1"/>
    </xf>
    <xf numFmtId="168" fontId="52" fillId="0" borderId="11" xfId="0" applyNumberFormat="1" applyFont="1" applyBorder="1" applyAlignment="1">
      <alignment vertical="top" wrapText="1"/>
    </xf>
    <xf numFmtId="168" fontId="54" fillId="4" borderId="11" xfId="0" applyNumberFormat="1" applyFont="1" applyFill="1" applyBorder="1" applyAlignment="1">
      <alignment vertical="top" wrapText="1"/>
    </xf>
    <xf numFmtId="0" fontId="52" fillId="2" borderId="11" xfId="0" applyFont="1" applyFill="1" applyBorder="1" applyAlignment="1">
      <alignment vertical="top" wrapText="1"/>
    </xf>
    <xf numFmtId="0" fontId="52" fillId="0" borderId="11" xfId="0" applyFont="1" applyBorder="1" applyAlignment="1">
      <alignment vertical="top" wrapText="1"/>
    </xf>
    <xf numFmtId="0" fontId="17" fillId="0" borderId="11" xfId="0" applyFont="1" applyBorder="1" applyAlignment="1">
      <alignment horizontal="right" vertical="top" wrapText="1"/>
    </xf>
    <xf numFmtId="0" fontId="54" fillId="0" borderId="11" xfId="0" applyFont="1" applyBorder="1" applyAlignment="1" applyProtection="1">
      <alignment horizontal="right" vertical="top" wrapText="1"/>
      <protection locked="0"/>
    </xf>
    <xf numFmtId="0" fontId="52" fillId="0" borderId="0" xfId="0" applyFont="1" applyAlignment="1">
      <alignment horizontal="left" vertical="top"/>
    </xf>
    <xf numFmtId="0" fontId="54" fillId="0" borderId="0" xfId="0" applyFont="1" applyAlignment="1">
      <alignment horizontal="left" vertical="top"/>
    </xf>
    <xf numFmtId="0" fontId="54" fillId="0" borderId="0" xfId="0" applyFont="1" applyAlignment="1">
      <alignment vertical="top" wrapText="1"/>
    </xf>
    <xf numFmtId="0" fontId="54" fillId="0" borderId="0" xfId="0" applyFont="1" applyAlignment="1">
      <alignment vertical="top"/>
    </xf>
    <xf numFmtId="0" fontId="52" fillId="0" borderId="0" xfId="0" applyFont="1" applyAlignment="1">
      <alignment horizontal="right" vertical="top"/>
    </xf>
    <xf numFmtId="0" fontId="54" fillId="2" borderId="0" xfId="0" applyFont="1" applyFill="1" applyAlignment="1">
      <alignment vertical="top" wrapText="1"/>
    </xf>
    <xf numFmtId="0" fontId="52" fillId="0" borderId="0" xfId="0" applyFont="1" applyAlignment="1">
      <alignment vertical="top"/>
    </xf>
    <xf numFmtId="166" fontId="23" fillId="0" borderId="0" xfId="0" applyNumberFormat="1" applyFont="1" applyAlignment="1">
      <alignment horizontal="left"/>
    </xf>
    <xf numFmtId="0" fontId="55" fillId="0" borderId="0" xfId="0" applyFont="1"/>
    <xf numFmtId="0" fontId="14" fillId="0" borderId="0" xfId="244" applyFont="1" applyFill="1" applyBorder="1" applyAlignment="1" applyProtection="1">
      <alignment horizontal="left"/>
    </xf>
    <xf numFmtId="0" fontId="45" fillId="0" borderId="0" xfId="0" applyFont="1"/>
    <xf numFmtId="0" fontId="45" fillId="0" borderId="0" xfId="244" applyFont="1" applyFill="1" applyBorder="1" applyAlignment="1" applyProtection="1">
      <alignment horizontal="left"/>
    </xf>
    <xf numFmtId="0" fontId="20" fillId="3" borderId="11" xfId="0" applyFont="1" applyFill="1" applyBorder="1" applyAlignment="1">
      <alignment vertical="top"/>
    </xf>
    <xf numFmtId="0" fontId="0" fillId="7" borderId="0" xfId="0" applyFill="1"/>
    <xf numFmtId="0" fontId="34" fillId="0" borderId="0" xfId="0" applyFont="1"/>
    <xf numFmtId="0" fontId="57" fillId="0" borderId="0" xfId="0" applyFont="1"/>
    <xf numFmtId="0" fontId="32" fillId="0" borderId="0" xfId="0" applyFont="1" applyAlignment="1">
      <alignment horizontal="center"/>
    </xf>
    <xf numFmtId="0" fontId="32" fillId="0" borderId="0" xfId="0" applyFont="1"/>
    <xf numFmtId="0" fontId="32" fillId="0" borderId="0" xfId="0" applyFont="1" applyAlignment="1">
      <alignment horizontal="left"/>
    </xf>
    <xf numFmtId="49" fontId="21" fillId="0" borderId="0" xfId="0" applyNumberFormat="1" applyFont="1" applyAlignment="1">
      <alignment horizontal="center"/>
    </xf>
    <xf numFmtId="0" fontId="49" fillId="0" borderId="0" xfId="0" applyFont="1" applyAlignment="1">
      <alignment horizontal="center"/>
    </xf>
    <xf numFmtId="0" fontId="48" fillId="0" borderId="0" xfId="244" applyFont="1" applyAlignment="1" applyProtection="1">
      <alignment horizontal="center"/>
    </xf>
    <xf numFmtId="0" fontId="23" fillId="0" borderId="0" xfId="0" quotePrefix="1" applyFont="1" applyAlignment="1">
      <alignment horizontal="left"/>
    </xf>
    <xf numFmtId="49" fontId="23" fillId="0" borderId="0" xfId="0" applyNumberFormat="1" applyFont="1" applyAlignment="1">
      <alignment horizontal="center"/>
    </xf>
    <xf numFmtId="0" fontId="21" fillId="0" borderId="0" xfId="0" quotePrefix="1" applyFont="1" applyAlignment="1">
      <alignment horizontal="center"/>
    </xf>
    <xf numFmtId="49" fontId="0" fillId="0" borderId="0" xfId="0" applyNumberFormat="1"/>
    <xf numFmtId="0" fontId="46" fillId="0" borderId="0" xfId="0" applyFont="1" applyAlignment="1">
      <alignment horizontal="left"/>
    </xf>
    <xf numFmtId="49" fontId="23" fillId="0" borderId="0" xfId="0" applyNumberFormat="1" applyFont="1"/>
    <xf numFmtId="49" fontId="21" fillId="0" borderId="0" xfId="0" applyNumberFormat="1" applyFont="1" applyAlignment="1">
      <alignment horizontal="left"/>
    </xf>
    <xf numFmtId="168" fontId="23" fillId="0" borderId="0" xfId="0" applyNumberFormat="1" applyFont="1" applyAlignment="1">
      <alignment horizontal="center"/>
    </xf>
    <xf numFmtId="168" fontId="33" fillId="0" borderId="0" xfId="0" applyNumberFormat="1" applyFont="1" applyAlignment="1">
      <alignment horizontal="left" vertical="top" wrapText="1"/>
    </xf>
    <xf numFmtId="0" fontId="51" fillId="0" borderId="3" xfId="0" applyFont="1" applyBorder="1"/>
    <xf numFmtId="168" fontId="0" fillId="0" borderId="0" xfId="0" applyNumberFormat="1" applyAlignment="1">
      <alignment horizontal="center"/>
    </xf>
    <xf numFmtId="0" fontId="34" fillId="0" borderId="0" xfId="0" applyFont="1" applyAlignment="1">
      <alignment vertical="top" wrapText="1"/>
    </xf>
    <xf numFmtId="0" fontId="52" fillId="0" borderId="4" xfId="0" applyFont="1" applyBorder="1" applyAlignment="1">
      <alignment horizontal="right"/>
    </xf>
    <xf numFmtId="0" fontId="59" fillId="0" borderId="0" xfId="0" applyFont="1"/>
    <xf numFmtId="3" fontId="23" fillId="0" borderId="0" xfId="0" applyNumberFormat="1" applyFont="1" applyAlignment="1">
      <alignment horizontal="center"/>
    </xf>
    <xf numFmtId="168" fontId="14" fillId="0" borderId="0" xfId="0" applyNumberFormat="1" applyFont="1" applyAlignment="1">
      <alignment horizontal="left" vertical="top"/>
    </xf>
    <xf numFmtId="168" fontId="23" fillId="0" borderId="0" xfId="0" applyNumberFormat="1" applyFont="1" applyAlignment="1">
      <alignment horizontal="left" vertical="top"/>
    </xf>
    <xf numFmtId="0" fontId="23" fillId="0" borderId="0" xfId="0" applyFont="1" applyAlignment="1">
      <alignment horizontal="center" vertical="center"/>
    </xf>
    <xf numFmtId="0" fontId="23" fillId="0" borderId="0" xfId="0" applyFont="1" applyAlignment="1">
      <alignment vertical="center"/>
    </xf>
    <xf numFmtId="0" fontId="0" fillId="0" borderId="0" xfId="0" applyAlignment="1">
      <alignment vertical="center"/>
    </xf>
    <xf numFmtId="0" fontId="54" fillId="0" borderId="11" xfId="0" applyFont="1" applyBorder="1" applyAlignment="1">
      <alignment horizontal="right" vertical="top"/>
    </xf>
    <xf numFmtId="0" fontId="54" fillId="0" borderId="0" xfId="0" applyFont="1" applyAlignment="1">
      <alignment horizontal="right" vertical="top" wrapText="1"/>
    </xf>
    <xf numFmtId="0" fontId="54" fillId="2" borderId="12" xfId="0" applyFont="1" applyFill="1" applyBorder="1" applyAlignment="1">
      <alignment vertical="top" wrapText="1"/>
    </xf>
    <xf numFmtId="0" fontId="54" fillId="0" borderId="14" xfId="0" applyFont="1" applyBorder="1" applyAlignment="1">
      <alignment vertical="top" wrapText="1"/>
    </xf>
    <xf numFmtId="168" fontId="54" fillId="5" borderId="11" xfId="0" applyNumberFormat="1" applyFont="1" applyFill="1" applyBorder="1" applyAlignment="1" applyProtection="1">
      <alignment vertical="top"/>
      <protection locked="0"/>
    </xf>
    <xf numFmtId="0" fontId="54" fillId="2" borderId="11" xfId="0" applyFont="1" applyFill="1" applyBorder="1" applyAlignment="1" applyProtection="1">
      <alignment vertical="top"/>
      <protection locked="0"/>
    </xf>
    <xf numFmtId="0" fontId="54" fillId="0" borderId="11" xfId="0" applyFont="1" applyBorder="1" applyAlignment="1" applyProtection="1">
      <alignment vertical="top"/>
      <protection locked="0"/>
    </xf>
    <xf numFmtId="168" fontId="54" fillId="0" borderId="11" xfId="0" applyNumberFormat="1" applyFont="1" applyBorder="1" applyAlignment="1">
      <alignment vertical="top"/>
    </xf>
    <xf numFmtId="168" fontId="54" fillId="6" borderId="11" xfId="0" applyNumberFormat="1" applyFont="1" applyFill="1" applyBorder="1" applyAlignment="1">
      <alignment horizontal="center" vertical="top"/>
    </xf>
    <xf numFmtId="0" fontId="21" fillId="0" borderId="0" xfId="542" applyFont="1" applyProtection="1">
      <protection locked="0"/>
    </xf>
    <xf numFmtId="0" fontId="14" fillId="0" borderId="0" xfId="539" applyProtection="1"/>
    <xf numFmtId="0" fontId="34" fillId="8" borderId="0" xfId="539" applyFont="1" applyFill="1" applyAlignment="1" applyProtection="1">
      <alignment horizontal="centerContinuous"/>
    </xf>
    <xf numFmtId="4" fontId="23" fillId="0" borderId="0" xfId="0" applyNumberFormat="1" applyFont="1"/>
    <xf numFmtId="0" fontId="21" fillId="0" borderId="0" xfId="543" applyFont="1"/>
    <xf numFmtId="0" fontId="23" fillId="0" borderId="0" xfId="543" applyFont="1" applyAlignment="1">
      <alignment horizontal="left"/>
    </xf>
    <xf numFmtId="0" fontId="23" fillId="0" borderId="15" xfId="0" applyFont="1" applyBorder="1"/>
    <xf numFmtId="0" fontId="23" fillId="0" borderId="11" xfId="0" applyFont="1" applyBorder="1"/>
    <xf numFmtId="2" fontId="37" fillId="0" borderId="11" xfId="0" applyNumberFormat="1" applyFont="1" applyBorder="1"/>
    <xf numFmtId="0" fontId="14" fillId="0" borderId="0" xfId="0" applyFont="1" applyProtection="1">
      <protection locked="0"/>
    </xf>
    <xf numFmtId="0" fontId="62" fillId="0" borderId="0" xfId="0" applyFont="1" applyAlignment="1">
      <alignment horizontal="center"/>
    </xf>
    <xf numFmtId="0" fontId="23" fillId="0" borderId="0" xfId="271"/>
    <xf numFmtId="0" fontId="21" fillId="0" borderId="0" xfId="271" applyFont="1"/>
    <xf numFmtId="0" fontId="23" fillId="0" borderId="0" xfId="271" applyAlignment="1">
      <alignment horizontal="left"/>
    </xf>
    <xf numFmtId="0" fontId="15" fillId="0" borderId="0" xfId="244" applyFill="1" applyBorder="1" applyProtection="1">
      <protection locked="0"/>
    </xf>
    <xf numFmtId="168" fontId="21" fillId="0" borderId="2" xfId="543" applyNumberFormat="1" applyFont="1" applyBorder="1" applyAlignment="1">
      <alignment horizontal="center" vertical="center"/>
    </xf>
    <xf numFmtId="0" fontId="36" fillId="0" borderId="0" xfId="543" applyFont="1" applyAlignment="1">
      <alignment horizontal="right" vertical="top" wrapText="1"/>
    </xf>
    <xf numFmtId="0" fontId="34" fillId="0" borderId="2" xfId="543" applyFont="1" applyBorder="1" applyAlignment="1">
      <alignment horizontal="right" vertical="top" wrapText="1"/>
    </xf>
    <xf numFmtId="0" fontId="19" fillId="0" borderId="0" xfId="0" applyFont="1"/>
    <xf numFmtId="0" fontId="64" fillId="0" borderId="0" xfId="0" applyFont="1"/>
    <xf numFmtId="0" fontId="62" fillId="0" borderId="0" xfId="0" applyFont="1"/>
    <xf numFmtId="0" fontId="34"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1" fillId="0" borderId="0" xfId="0" applyNumberFormat="1" applyFont="1" applyAlignment="1">
      <alignment horizontal="center"/>
    </xf>
    <xf numFmtId="3" fontId="0" fillId="0" borderId="0" xfId="0" applyNumberFormat="1" applyAlignment="1">
      <alignment horizontal="center"/>
    </xf>
    <xf numFmtId="3" fontId="23" fillId="0" borderId="0" xfId="0" applyNumberFormat="1" applyFont="1"/>
    <xf numFmtId="0" fontId="63" fillId="0" borderId="0" xfId="0" applyFont="1"/>
    <xf numFmtId="168" fontId="19" fillId="0" borderId="0" xfId="0" applyNumberFormat="1" applyFont="1"/>
    <xf numFmtId="10" fontId="19" fillId="0" borderId="0" xfId="0" applyNumberFormat="1" applyFont="1" applyAlignment="1">
      <alignment horizontal="center"/>
    </xf>
    <xf numFmtId="3" fontId="66" fillId="0" borderId="0" xfId="0" applyNumberFormat="1" applyFont="1"/>
    <xf numFmtId="3" fontId="19" fillId="0" borderId="0" xfId="0" applyNumberFormat="1" applyFont="1"/>
    <xf numFmtId="168" fontId="63" fillId="0" borderId="0" xfId="0" applyNumberFormat="1" applyFont="1"/>
    <xf numFmtId="168" fontId="63" fillId="0" borderId="0" xfId="0" applyNumberFormat="1" applyFont="1" applyAlignment="1">
      <alignment horizontal="center"/>
    </xf>
    <xf numFmtId="0" fontId="19" fillId="5" borderId="0" xfId="0" applyFont="1" applyFill="1" applyAlignment="1">
      <alignment horizontal="left"/>
    </xf>
    <xf numFmtId="0" fontId="19" fillId="5" borderId="0" xfId="0" applyFont="1" applyFill="1"/>
    <xf numFmtId="10" fontId="19" fillId="0" borderId="0" xfId="0" applyNumberFormat="1" applyFont="1"/>
    <xf numFmtId="172" fontId="19" fillId="0" borderId="0" xfId="0" applyNumberFormat="1" applyFont="1"/>
    <xf numFmtId="172" fontId="19" fillId="0" borderId="0" xfId="0" applyNumberFormat="1" applyFont="1" applyAlignment="1">
      <alignment horizontal="center"/>
    </xf>
    <xf numFmtId="0" fontId="19" fillId="0" borderId="6" xfId="0" applyFont="1" applyBorder="1"/>
    <xf numFmtId="10" fontId="19" fillId="0" borderId="6" xfId="0" applyNumberFormat="1" applyFont="1" applyBorder="1" applyAlignment="1">
      <alignment horizontal="center"/>
    </xf>
    <xf numFmtId="3" fontId="19" fillId="0" borderId="6" xfId="0" applyNumberFormat="1" applyFont="1" applyBorder="1"/>
    <xf numFmtId="10" fontId="23" fillId="0" borderId="0" xfId="0" applyNumberFormat="1" applyFont="1" applyAlignment="1">
      <alignment horizontal="center"/>
    </xf>
    <xf numFmtId="3" fontId="23" fillId="0" borderId="0" xfId="0" applyNumberFormat="1" applyFont="1" applyAlignment="1">
      <alignment vertical="top"/>
    </xf>
    <xf numFmtId="10" fontId="21" fillId="0" borderId="0" xfId="0" applyNumberFormat="1" applyFont="1" applyAlignment="1">
      <alignment horizontal="center"/>
    </xf>
    <xf numFmtId="0" fontId="62" fillId="0" borderId="6" xfId="0" applyFont="1" applyBorder="1" applyAlignment="1">
      <alignment horizontal="center"/>
    </xf>
    <xf numFmtId="172" fontId="23" fillId="0" borderId="0" xfId="0" applyNumberFormat="1" applyFont="1" applyAlignment="1">
      <alignment horizontal="center"/>
    </xf>
    <xf numFmtId="10" fontId="67" fillId="0" borderId="0" xfId="0" applyNumberFormat="1" applyFont="1" applyAlignment="1">
      <alignment horizontal="center"/>
    </xf>
    <xf numFmtId="4" fontId="23" fillId="0" borderId="0" xfId="271" applyNumberFormat="1" applyAlignment="1">
      <alignment horizontal="left"/>
    </xf>
    <xf numFmtId="0" fontId="23" fillId="0" borderId="0" xfId="271" applyAlignment="1">
      <alignment horizontal="center"/>
    </xf>
    <xf numFmtId="0" fontId="23" fillId="9" borderId="6" xfId="0" applyFont="1" applyFill="1" applyBorder="1"/>
    <xf numFmtId="0" fontId="23" fillId="0" borderId="4" xfId="271" applyBorder="1"/>
    <xf numFmtId="0" fontId="23" fillId="0" borderId="6" xfId="271" applyBorder="1"/>
    <xf numFmtId="0" fontId="23" fillId="0" borderId="1" xfId="0" applyFont="1" applyBorder="1"/>
    <xf numFmtId="168" fontId="23" fillId="0" borderId="3" xfId="0" applyNumberFormat="1" applyFont="1" applyBorder="1" applyAlignment="1">
      <alignment vertical="top"/>
    </xf>
    <xf numFmtId="168" fontId="23" fillId="0" borderId="4" xfId="0" applyNumberFormat="1" applyFont="1" applyBorder="1" applyAlignment="1">
      <alignment vertical="top"/>
    </xf>
    <xf numFmtId="168" fontId="23" fillId="0" borderId="5" xfId="0" applyNumberFormat="1" applyFont="1" applyBorder="1" applyAlignment="1">
      <alignment vertical="top"/>
    </xf>
    <xf numFmtId="168" fontId="23" fillId="0" borderId="8" xfId="0" applyNumberFormat="1" applyFont="1" applyBorder="1" applyAlignment="1">
      <alignment vertical="top"/>
    </xf>
    <xf numFmtId="168" fontId="23" fillId="0" borderId="0" xfId="0" applyNumberFormat="1" applyFont="1" applyAlignment="1">
      <alignment vertical="top"/>
    </xf>
    <xf numFmtId="0" fontId="23" fillId="0" borderId="0" xfId="0" applyFont="1" applyAlignment="1">
      <alignment horizontal="right" vertical="top"/>
    </xf>
    <xf numFmtId="0" fontId="23"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3" fillId="5" borderId="4" xfId="0" applyFont="1" applyFill="1" applyBorder="1" applyAlignment="1" applyProtection="1">
      <alignment horizontal="left" vertical="top"/>
      <protection locked="0"/>
    </xf>
    <xf numFmtId="0" fontId="23" fillId="5" borderId="5" xfId="0" applyFont="1" applyFill="1" applyBorder="1" applyAlignment="1" applyProtection="1">
      <alignment horizontal="left" vertical="top"/>
      <protection locked="0"/>
    </xf>
    <xf numFmtId="4" fontId="49" fillId="0" borderId="0" xfId="0" applyNumberFormat="1" applyFont="1" applyAlignment="1">
      <alignment horizontal="center"/>
    </xf>
    <xf numFmtId="4" fontId="23" fillId="0" borderId="0" xfId="0" applyNumberFormat="1" applyFont="1" applyAlignment="1">
      <alignment horizontal="center"/>
    </xf>
    <xf numFmtId="4" fontId="0" fillId="0" borderId="0" xfId="0" applyNumberFormat="1"/>
    <xf numFmtId="0" fontId="33" fillId="0" borderId="1" xfId="543" applyFont="1" applyBorder="1" applyAlignment="1">
      <alignment horizontal="left" vertical="top" wrapText="1"/>
    </xf>
    <xf numFmtId="0" fontId="33" fillId="0" borderId="12" xfId="543" applyFont="1" applyBorder="1" applyAlignment="1">
      <alignment horizontal="center" vertical="top" wrapText="1"/>
    </xf>
    <xf numFmtId="0" fontId="33" fillId="0" borderId="8" xfId="543" applyFont="1" applyBorder="1" applyAlignment="1">
      <alignment horizontal="left" vertical="top" wrapText="1"/>
    </xf>
    <xf numFmtId="0" fontId="28" fillId="3" borderId="4" xfId="271" applyFont="1" applyFill="1" applyBorder="1" applyAlignment="1">
      <alignment vertical="top" wrapText="1"/>
    </xf>
    <xf numFmtId="0" fontId="20" fillId="3" borderId="11" xfId="271" applyFont="1" applyFill="1" applyBorder="1" applyAlignment="1">
      <alignment vertical="top"/>
    </xf>
    <xf numFmtId="0" fontId="21" fillId="0" borderId="9" xfId="271" applyFont="1" applyBorder="1" applyAlignment="1">
      <alignment horizontal="center" wrapText="1"/>
    </xf>
    <xf numFmtId="0" fontId="28" fillId="3" borderId="4" xfId="271" applyFont="1" applyFill="1" applyBorder="1" applyAlignment="1" applyProtection="1">
      <alignment vertical="top" wrapText="1"/>
      <protection locked="0"/>
    </xf>
    <xf numFmtId="0" fontId="28" fillId="3" borderId="5" xfId="271" applyFont="1" applyFill="1" applyBorder="1" applyAlignment="1" applyProtection="1">
      <alignment vertical="top" wrapText="1"/>
      <protection locked="0"/>
    </xf>
    <xf numFmtId="0" fontId="21" fillId="0" borderId="13" xfId="271" applyFont="1" applyBorder="1" applyAlignment="1">
      <alignment horizontal="center" wrapText="1"/>
    </xf>
    <xf numFmtId="0" fontId="46" fillId="2" borderId="11" xfId="271" applyFont="1" applyFill="1" applyBorder="1" applyAlignment="1">
      <alignment horizontal="left" vertical="top" wrapText="1"/>
    </xf>
    <xf numFmtId="0" fontId="23" fillId="0" borderId="11" xfId="271" applyBorder="1" applyAlignment="1" applyProtection="1">
      <alignment vertical="top" wrapText="1"/>
      <protection locked="0"/>
    </xf>
    <xf numFmtId="168" fontId="23" fillId="5" borderId="11" xfId="271" applyNumberFormat="1" applyFill="1" applyBorder="1" applyAlignment="1" applyProtection="1">
      <alignment vertical="top" wrapText="1"/>
      <protection locked="0"/>
    </xf>
    <xf numFmtId="0" fontId="23" fillId="5" borderId="3" xfId="271" applyFill="1" applyBorder="1" applyAlignment="1" applyProtection="1">
      <alignment vertical="top" wrapText="1"/>
      <protection locked="0"/>
    </xf>
    <xf numFmtId="0" fontId="23" fillId="5" borderId="11" xfId="271" applyFill="1" applyBorder="1" applyAlignment="1" applyProtection="1">
      <alignment vertical="top" wrapText="1"/>
      <protection locked="0"/>
    </xf>
    <xf numFmtId="0" fontId="23" fillId="0" borderId="11" xfId="271" applyBorder="1" applyAlignment="1">
      <alignment horizontal="right" vertical="top" wrapText="1"/>
    </xf>
    <xf numFmtId="168" fontId="23" fillId="0" borderId="11" xfId="271" applyNumberFormat="1" applyBorder="1" applyAlignment="1">
      <alignment vertical="top" wrapText="1"/>
    </xf>
    <xf numFmtId="0" fontId="21" fillId="0" borderId="11" xfId="271" applyFont="1" applyBorder="1" applyAlignment="1">
      <alignment horizontal="right" vertical="top" wrapText="1"/>
    </xf>
    <xf numFmtId="0" fontId="23" fillId="5" borderId="11" xfId="271" applyFill="1" applyBorder="1" applyAlignment="1" applyProtection="1">
      <alignment horizontal="right" vertical="top" wrapText="1"/>
      <protection locked="0"/>
    </xf>
    <xf numFmtId="168" fontId="21" fillId="0" borderId="11" xfId="271" applyNumberFormat="1" applyFont="1" applyBorder="1" applyAlignment="1">
      <alignment vertical="top" wrapText="1"/>
    </xf>
    <xf numFmtId="0" fontId="31" fillId="0" borderId="11" xfId="271" applyFont="1" applyBorder="1" applyAlignment="1">
      <alignment horizontal="right" vertical="top" wrapText="1"/>
    </xf>
    <xf numFmtId="0" fontId="28" fillId="0" borderId="0" xfId="271" applyFont="1" applyAlignment="1" applyProtection="1">
      <alignment horizontal="right" vertical="top" wrapText="1"/>
      <protection locked="0"/>
    </xf>
    <xf numFmtId="0" fontId="28" fillId="0" borderId="0" xfId="271" applyFont="1" applyAlignment="1" applyProtection="1">
      <alignment vertical="top" wrapText="1"/>
      <protection locked="0"/>
    </xf>
    <xf numFmtId="0" fontId="23" fillId="0" borderId="5" xfId="271" applyBorder="1" applyAlignment="1" applyProtection="1">
      <alignment vertical="top" wrapText="1"/>
      <protection locked="0"/>
    </xf>
    <xf numFmtId="0" fontId="21" fillId="0" borderId="3" xfId="271" applyFont="1" applyBorder="1" applyAlignment="1">
      <alignment horizontal="left" vertical="top"/>
    </xf>
    <xf numFmtId="0" fontId="23" fillId="0" borderId="4" xfId="271" applyBorder="1" applyAlignment="1" applyProtection="1">
      <alignment horizontal="left" vertical="top"/>
      <protection locked="0"/>
    </xf>
    <xf numFmtId="0" fontId="23" fillId="0" borderId="4" xfId="271" applyBorder="1" applyAlignment="1" applyProtection="1">
      <alignment vertical="top" wrapText="1"/>
      <protection locked="0"/>
    </xf>
    <xf numFmtId="0" fontId="28" fillId="0" borderId="0" xfId="271" applyFont="1" applyAlignment="1">
      <alignment vertical="top" wrapText="1"/>
    </xf>
    <xf numFmtId="0" fontId="23" fillId="0" borderId="4" xfId="271" applyBorder="1" applyAlignment="1">
      <alignment vertical="top" wrapText="1"/>
    </xf>
    <xf numFmtId="0" fontId="46" fillId="2" borderId="11" xfId="271" applyFont="1" applyFill="1" applyBorder="1" applyAlignment="1" applyProtection="1">
      <alignment horizontal="left" vertical="top" wrapText="1"/>
      <protection locked="0"/>
    </xf>
    <xf numFmtId="0" fontId="51" fillId="0" borderId="11" xfId="0" applyFont="1" applyBorder="1" applyAlignment="1">
      <alignment horizontal="right" vertical="top" wrapText="1"/>
    </xf>
    <xf numFmtId="0" fontId="60" fillId="0" borderId="0" xfId="542"/>
    <xf numFmtId="0" fontId="23" fillId="8" borderId="0" xfId="542" quotePrefix="1" applyFont="1" applyFill="1" applyAlignment="1">
      <alignment horizontal="left"/>
    </xf>
    <xf numFmtId="0" fontId="23" fillId="8" borderId="0" xfId="542" applyFont="1" applyFill="1"/>
    <xf numFmtId="0" fontId="31" fillId="8" borderId="0" xfId="542" applyFont="1" applyFill="1"/>
    <xf numFmtId="0" fontId="51" fillId="0" borderId="11" xfId="271" applyFont="1" applyBorder="1" applyAlignment="1">
      <alignment horizontal="right" vertical="top"/>
    </xf>
    <xf numFmtId="0" fontId="51" fillId="0" borderId="11" xfId="271" applyFont="1" applyBorder="1" applyAlignment="1">
      <alignment horizontal="right" vertical="top" wrapText="1"/>
    </xf>
    <xf numFmtId="0" fontId="23" fillId="0" borderId="0" xfId="271" applyAlignment="1">
      <alignment horizontal="left" vertical="top"/>
    </xf>
    <xf numFmtId="0" fontId="21" fillId="0" borderId="0" xfId="271" applyFont="1" applyAlignment="1">
      <alignment horizontal="right"/>
    </xf>
    <xf numFmtId="0" fontId="22" fillId="0" borderId="0" xfId="271" applyFont="1" applyAlignment="1">
      <alignment horizontal="center"/>
    </xf>
    <xf numFmtId="5" fontId="23" fillId="0" borderId="0" xfId="542" applyNumberFormat="1" applyFont="1"/>
    <xf numFmtId="1" fontId="23" fillId="0" borderId="15" xfId="271" applyNumberFormat="1" applyBorder="1"/>
    <xf numFmtId="1" fontId="23" fillId="0" borderId="14" xfId="271" applyNumberFormat="1" applyBorder="1"/>
    <xf numFmtId="0" fontId="22" fillId="0" borderId="6" xfId="271" applyFont="1" applyBorder="1" applyAlignment="1">
      <alignment horizontal="left"/>
    </xf>
    <xf numFmtId="0" fontId="22" fillId="0" borderId="6" xfId="271" applyFont="1" applyBorder="1" applyAlignment="1">
      <alignment horizontal="right"/>
    </xf>
    <xf numFmtId="165" fontId="23" fillId="0" borderId="0" xfId="271" applyNumberFormat="1"/>
    <xf numFmtId="170" fontId="23" fillId="0" borderId="14" xfId="271" applyNumberFormat="1" applyBorder="1"/>
    <xf numFmtId="1" fontId="21" fillId="0" borderId="11" xfId="271" applyNumberFormat="1" applyFont="1" applyBorder="1"/>
    <xf numFmtId="165" fontId="21" fillId="0" borderId="11" xfId="271" applyNumberFormat="1" applyFont="1" applyBorder="1"/>
    <xf numFmtId="3" fontId="54" fillId="0" borderId="11" xfId="0" applyNumberFormat="1" applyFont="1" applyBorder="1" applyAlignment="1">
      <alignment vertical="top" wrapText="1"/>
    </xf>
    <xf numFmtId="166" fontId="23" fillId="0" borderId="0" xfId="0" applyNumberFormat="1" applyFont="1"/>
    <xf numFmtId="0" fontId="0" fillId="0" borderId="0" xfId="0" applyProtection="1">
      <protection locked="0"/>
    </xf>
    <xf numFmtId="0" fontId="21" fillId="0" borderId="0" xfId="271" applyFont="1" applyAlignment="1">
      <alignment horizontal="left"/>
    </xf>
    <xf numFmtId="0" fontId="19" fillId="0" borderId="0" xfId="0" applyFont="1" applyProtection="1">
      <protection locked="0"/>
    </xf>
    <xf numFmtId="0" fontId="19" fillId="0" borderId="0" xfId="271" applyFont="1" applyProtection="1">
      <protection locked="0"/>
    </xf>
    <xf numFmtId="168" fontId="19" fillId="0" borderId="0" xfId="271" applyNumberFormat="1" applyFont="1" applyProtection="1">
      <protection locked="0"/>
    </xf>
    <xf numFmtId="49" fontId="23" fillId="0" borderId="0" xfId="271" applyNumberFormat="1"/>
    <xf numFmtId="0" fontId="27" fillId="0" borderId="1" xfId="0" applyFont="1" applyBorder="1"/>
    <xf numFmtId="0" fontId="14" fillId="0" borderId="2" xfId="0" applyFont="1" applyBorder="1" applyAlignment="1">
      <alignment horizontal="left"/>
    </xf>
    <xf numFmtId="0" fontId="14" fillId="0" borderId="2" xfId="0" applyFont="1" applyBorder="1"/>
    <xf numFmtId="0" fontId="27" fillId="0" borderId="8" xfId="0" applyFont="1" applyBorder="1"/>
    <xf numFmtId="0" fontId="27" fillId="0" borderId="9" xfId="0" applyFont="1" applyBorder="1"/>
    <xf numFmtId="0" fontId="21" fillId="0" borderId="0" xfId="0" applyFont="1" applyAlignment="1">
      <alignment horizontal="left" vertical="top"/>
    </xf>
    <xf numFmtId="0" fontId="72" fillId="0" borderId="0" xfId="0" applyFont="1" applyAlignment="1">
      <alignment vertical="center" wrapText="1"/>
    </xf>
    <xf numFmtId="0" fontId="72" fillId="0" borderId="0" xfId="0" applyFont="1" applyAlignment="1">
      <alignment vertical="center"/>
    </xf>
    <xf numFmtId="0" fontId="72" fillId="0" borderId="0" xfId="0" applyFont="1" applyAlignment="1">
      <alignment horizontal="left" vertical="center" indent="1"/>
    </xf>
    <xf numFmtId="172" fontId="23" fillId="5" borderId="0" xfId="0" applyNumberFormat="1" applyFont="1" applyFill="1" applyAlignment="1">
      <alignment horizontal="center"/>
    </xf>
    <xf numFmtId="0" fontId="23" fillId="0" borderId="0" xfId="271" applyAlignment="1" applyProtection="1">
      <alignment horizontal="left"/>
      <protection locked="0"/>
    </xf>
    <xf numFmtId="0" fontId="23" fillId="0" borderId="0" xfId="0" applyFont="1" applyAlignment="1" applyProtection="1">
      <alignment horizontal="left"/>
      <protection locked="0"/>
    </xf>
    <xf numFmtId="0" fontId="73" fillId="0" borderId="0" xfId="0" applyFont="1" applyAlignment="1">
      <alignment horizontal="left" vertical="center"/>
    </xf>
    <xf numFmtId="0" fontId="33" fillId="0" borderId="2" xfId="543" applyFont="1" applyBorder="1" applyAlignment="1">
      <alignment horizontal="center" vertical="top" wrapText="1"/>
    </xf>
    <xf numFmtId="49" fontId="44" fillId="0" borderId="0" xfId="0" applyNumberFormat="1" applyFont="1" applyAlignment="1">
      <alignment horizontal="center"/>
    </xf>
    <xf numFmtId="0" fontId="49" fillId="0" borderId="0" xfId="271" applyFont="1" applyAlignment="1">
      <alignment horizontal="center"/>
    </xf>
    <xf numFmtId="49" fontId="23" fillId="0" borderId="0" xfId="271" applyNumberFormat="1" applyAlignment="1">
      <alignment horizontal="center"/>
    </xf>
    <xf numFmtId="0" fontId="51" fillId="0" borderId="0" xfId="0" applyFont="1"/>
    <xf numFmtId="5" fontId="77" fillId="0" borderId="11" xfId="541" applyNumberFormat="1" applyFont="1" applyBorder="1" applyAlignment="1" applyProtection="1">
      <alignment horizontal="center"/>
    </xf>
    <xf numFmtId="5" fontId="77" fillId="42" borderId="11" xfId="541" applyNumberFormat="1" applyFont="1" applyFill="1" applyBorder="1" applyAlignment="1" applyProtection="1">
      <alignment horizontal="center"/>
    </xf>
    <xf numFmtId="5" fontId="77" fillId="2" borderId="11" xfId="541" applyNumberFormat="1" applyFont="1" applyFill="1" applyBorder="1" applyAlignment="1" applyProtection="1">
      <alignment horizontal="center"/>
    </xf>
    <xf numFmtId="0" fontId="51" fillId="0" borderId="0" xfId="0" applyFont="1" applyAlignment="1">
      <alignment vertical="top" wrapText="1"/>
    </xf>
    <xf numFmtId="0" fontId="51" fillId="0" borderId="0" xfId="0" applyFont="1" applyAlignment="1">
      <alignment vertical="top"/>
    </xf>
    <xf numFmtId="0" fontId="51" fillId="2" borderId="0" xfId="0" applyFont="1" applyFill="1" applyAlignment="1">
      <alignment vertical="top" wrapText="1"/>
    </xf>
    <xf numFmtId="0" fontId="79" fillId="0" borderId="13" xfId="0" applyFont="1" applyBorder="1" applyAlignment="1">
      <alignment vertical="top" wrapText="1"/>
    </xf>
    <xf numFmtId="0" fontId="28" fillId="0" borderId="0" xfId="0" applyFont="1" applyAlignment="1">
      <alignment vertical="top" wrapText="1"/>
    </xf>
    <xf numFmtId="0" fontId="79" fillId="2" borderId="13" xfId="0" applyFont="1" applyFill="1" applyBorder="1" applyAlignment="1">
      <alignment vertical="top" wrapText="1"/>
    </xf>
    <xf numFmtId="0" fontId="79" fillId="0" borderId="0" xfId="0" applyFont="1" applyAlignment="1">
      <alignment vertical="top" wrapText="1"/>
    </xf>
    <xf numFmtId="0" fontId="79" fillId="2" borderId="0" xfId="0" applyFont="1" applyFill="1" applyAlignment="1">
      <alignment vertical="top" wrapText="1"/>
    </xf>
    <xf numFmtId="0" fontId="51" fillId="0" borderId="0" xfId="0" applyFont="1" applyAlignment="1">
      <alignment horizontal="right" vertical="top" wrapText="1"/>
    </xf>
    <xf numFmtId="168" fontId="51" fillId="5" borderId="6" xfId="0" applyNumberFormat="1" applyFont="1" applyFill="1" applyBorder="1" applyAlignment="1" applyProtection="1">
      <alignment horizontal="right" vertical="top" wrapText="1"/>
      <protection locked="0"/>
    </xf>
    <xf numFmtId="168" fontId="51" fillId="0" borderId="6" xfId="0" applyNumberFormat="1" applyFont="1" applyBorder="1" applyAlignment="1">
      <alignment horizontal="right" vertical="top" wrapText="1"/>
    </xf>
    <xf numFmtId="0" fontId="21" fillId="0" borderId="0" xfId="0" applyFont="1" applyAlignment="1">
      <alignment horizontal="left" vertical="top" wrapText="1"/>
    </xf>
    <xf numFmtId="0" fontId="23" fillId="0" borderId="0" xfId="0" applyFont="1" applyAlignment="1">
      <alignment horizontal="right" vertical="top" wrapText="1"/>
    </xf>
    <xf numFmtId="10" fontId="23" fillId="5" borderId="6" xfId="0" applyNumberFormat="1" applyFont="1" applyFill="1" applyBorder="1" applyAlignment="1" applyProtection="1">
      <alignment horizontal="center" vertical="top" wrapText="1"/>
      <protection locked="0"/>
    </xf>
    <xf numFmtId="0" fontId="62" fillId="0" borderId="0" xfId="0" applyFont="1" applyAlignment="1">
      <alignment horizontal="left" vertical="center"/>
    </xf>
    <xf numFmtId="0" fontId="21" fillId="0" borderId="2" xfId="543" applyFont="1" applyBorder="1" applyAlignment="1">
      <alignment horizontal="center"/>
    </xf>
    <xf numFmtId="0" fontId="0" fillId="0" borderId="0" xfId="543" applyFont="1"/>
    <xf numFmtId="0" fontId="15" fillId="0" borderId="0" xfId="244" quotePrefix="1" applyAlignment="1" applyProtection="1">
      <alignment horizontal="left"/>
    </xf>
    <xf numFmtId="168" fontId="51" fillId="0" borderId="11" xfId="0" applyNumberFormat="1" applyFont="1" applyBorder="1" applyAlignment="1">
      <alignment vertical="top" wrapText="1"/>
    </xf>
    <xf numFmtId="168" fontId="51" fillId="4" borderId="11" xfId="0" applyNumberFormat="1" applyFont="1" applyFill="1" applyBorder="1" applyAlignment="1">
      <alignment vertical="top" wrapText="1"/>
    </xf>
    <xf numFmtId="0" fontId="103" fillId="0" borderId="0" xfId="0" applyFont="1" applyAlignment="1">
      <alignment horizontal="left" vertical="top"/>
    </xf>
    <xf numFmtId="0" fontId="104" fillId="0" borderId="0" xfId="0" applyFont="1" applyAlignment="1">
      <alignment horizontal="left" vertical="top"/>
    </xf>
    <xf numFmtId="0" fontId="72" fillId="0" borderId="0" xfId="0" applyFont="1"/>
    <xf numFmtId="0" fontId="21" fillId="8" borderId="11" xfId="542" applyFont="1" applyFill="1" applyBorder="1" applyAlignment="1">
      <alignment horizontal="left"/>
    </xf>
    <xf numFmtId="0" fontId="21" fillId="8" borderId="11" xfId="542" applyFont="1" applyFill="1" applyBorder="1" applyAlignment="1">
      <alignment horizontal="center"/>
    </xf>
    <xf numFmtId="0" fontId="61" fillId="8" borderId="11" xfId="542" applyFont="1" applyFill="1" applyBorder="1" applyAlignment="1">
      <alignment horizontal="left"/>
    </xf>
    <xf numFmtId="0" fontId="61" fillId="0" borderId="11" xfId="542" applyFont="1" applyBorder="1" applyAlignment="1">
      <alignment horizontal="left"/>
    </xf>
    <xf numFmtId="0" fontId="21" fillId="0" borderId="0" xfId="271" applyFont="1" applyAlignment="1" applyProtection="1">
      <alignment horizontal="center" wrapText="1"/>
      <protection locked="0"/>
    </xf>
    <xf numFmtId="0" fontId="23" fillId="0" borderId="0" xfId="271" applyAlignment="1" applyProtection="1">
      <alignment vertical="top" wrapText="1"/>
      <protection locked="0"/>
    </xf>
    <xf numFmtId="0" fontId="21" fillId="0" borderId="0" xfId="271" applyFont="1" applyAlignment="1" applyProtection="1">
      <alignment vertical="top" wrapText="1"/>
      <protection locked="0"/>
    </xf>
    <xf numFmtId="0" fontId="21" fillId="0" borderId="8" xfId="271" applyFont="1" applyBorder="1" applyAlignment="1" applyProtection="1">
      <alignment horizontal="center" wrapText="1"/>
      <protection locked="0"/>
    </xf>
    <xf numFmtId="0" fontId="23" fillId="0" borderId="8" xfId="271" applyBorder="1" applyAlignment="1" applyProtection="1">
      <alignment vertical="top" wrapText="1"/>
      <protection locked="0"/>
    </xf>
    <xf numFmtId="0" fontId="21" fillId="0" borderId="8" xfId="271" applyFont="1" applyBorder="1" applyAlignment="1" applyProtection="1">
      <alignment vertical="top" wrapText="1"/>
      <protection locked="0"/>
    </xf>
    <xf numFmtId="0" fontId="14" fillId="0" borderId="0" xfId="0" applyFont="1" applyAlignment="1">
      <alignment horizontal="center"/>
    </xf>
    <xf numFmtId="0" fontId="28" fillId="0" borderId="8" xfId="569" applyFont="1" applyBorder="1" applyAlignment="1">
      <alignment vertical="top" wrapText="1"/>
    </xf>
    <xf numFmtId="0" fontId="28" fillId="0" borderId="0" xfId="569" applyFont="1" applyAlignment="1">
      <alignment vertical="top" wrapText="1"/>
    </xf>
    <xf numFmtId="0" fontId="53" fillId="2" borderId="11" xfId="569" applyFont="1" applyFill="1" applyBorder="1" applyAlignment="1">
      <alignment horizontal="left" vertical="top" wrapText="1"/>
    </xf>
    <xf numFmtId="6" fontId="51" fillId="4" borderId="11" xfId="569" applyNumberFormat="1" applyFont="1" applyFill="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6" fontId="51" fillId="0" borderId="11" xfId="569" applyNumberFormat="1" applyFont="1" applyBorder="1" applyAlignment="1">
      <alignment vertical="top" wrapText="1"/>
    </xf>
    <xf numFmtId="6" fontId="51" fillId="5" borderId="11" xfId="569" applyNumberFormat="1" applyFont="1" applyFill="1" applyBorder="1" applyAlignment="1" applyProtection="1">
      <alignment vertical="top" wrapText="1"/>
      <protection locked="0"/>
    </xf>
    <xf numFmtId="6" fontId="51" fillId="6" borderId="11" xfId="569" applyNumberFormat="1" applyFont="1" applyFill="1" applyBorder="1" applyAlignment="1">
      <alignment horizontal="center" vertical="top" wrapText="1"/>
    </xf>
    <xf numFmtId="0" fontId="51" fillId="0" borderId="11" xfId="569" applyFont="1" applyBorder="1" applyAlignment="1">
      <alignment horizontal="right" vertical="top" wrapText="1"/>
    </xf>
    <xf numFmtId="0" fontId="52" fillId="0" borderId="11" xfId="569" applyFont="1" applyBorder="1" applyAlignment="1">
      <alignment horizontal="right" vertical="top" wrapText="1"/>
    </xf>
    <xf numFmtId="0" fontId="51" fillId="0" borderId="11" xfId="569" applyFont="1" applyBorder="1" applyAlignment="1">
      <alignment horizontal="right" vertical="top"/>
    </xf>
    <xf numFmtId="6" fontId="52" fillId="0" borderId="11" xfId="569" applyNumberFormat="1" applyFont="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0" fontId="17" fillId="0" borderId="11" xfId="569" applyFont="1" applyBorder="1" applyAlignment="1">
      <alignment horizontal="right" vertical="top" wrapText="1"/>
    </xf>
    <xf numFmtId="0" fontId="52" fillId="0" borderId="0" xfId="569" applyFont="1" applyAlignment="1">
      <alignment horizontal="left" vertical="top"/>
    </xf>
    <xf numFmtId="6" fontId="51" fillId="0" borderId="0" xfId="569" applyNumberFormat="1" applyFont="1" applyAlignment="1">
      <alignment horizontal="left" vertical="top"/>
    </xf>
    <xf numFmtId="0" fontId="104" fillId="0" borderId="0" xfId="569" applyFont="1" applyAlignment="1">
      <alignment horizontal="left" vertical="top"/>
    </xf>
    <xf numFmtId="6" fontId="51" fillId="0" borderId="0" xfId="569" applyNumberFormat="1" applyFont="1" applyAlignment="1">
      <alignment vertical="top" wrapText="1"/>
    </xf>
    <xf numFmtId="0" fontId="51" fillId="0" borderId="0" xfId="569" applyFont="1" applyAlignment="1">
      <alignment horizontal="left" vertical="top"/>
    </xf>
    <xf numFmtId="0" fontId="51" fillId="0" borderId="12" xfId="569" applyFont="1" applyBorder="1" applyAlignment="1">
      <alignment vertical="top" wrapText="1"/>
    </xf>
    <xf numFmtId="0" fontId="21" fillId="0" borderId="0" xfId="569" applyFont="1" applyAlignment="1">
      <alignment horizontal="left" vertical="top"/>
    </xf>
    <xf numFmtId="0" fontId="107" fillId="0" borderId="0" xfId="569" applyFont="1" applyAlignment="1">
      <alignment horizontal="left" vertical="top"/>
    </xf>
    <xf numFmtId="0" fontId="62" fillId="0" borderId="0" xfId="569" applyFont="1" applyAlignment="1">
      <alignment horizontal="left" vertical="center"/>
    </xf>
    <xf numFmtId="0" fontId="29" fillId="0" borderId="0" xfId="569" applyFont="1" applyAlignment="1">
      <alignment vertical="top" wrapText="1"/>
    </xf>
    <xf numFmtId="0" fontId="29" fillId="0" borderId="12" xfId="569" applyFont="1" applyBorder="1" applyAlignment="1">
      <alignment vertical="top" wrapText="1"/>
    </xf>
    <xf numFmtId="0" fontId="29" fillId="0" borderId="8" xfId="569" applyFont="1" applyBorder="1" applyAlignment="1">
      <alignment vertical="top" wrapText="1"/>
    </xf>
    <xf numFmtId="0" fontId="51" fillId="0" borderId="0" xfId="569" applyFont="1" applyAlignment="1">
      <alignment vertical="top"/>
    </xf>
    <xf numFmtId="168" fontId="51" fillId="0" borderId="0" xfId="569" applyNumberFormat="1" applyFont="1" applyAlignment="1" applyProtection="1">
      <alignment horizontal="right" vertical="top" wrapText="1"/>
      <protection locked="0"/>
    </xf>
    <xf numFmtId="0" fontId="14" fillId="0" borderId="0" xfId="569" applyAlignment="1">
      <alignment vertical="top" wrapText="1"/>
    </xf>
    <xf numFmtId="0" fontId="14" fillId="0" borderId="0" xfId="569" applyAlignment="1">
      <alignment vertical="top"/>
    </xf>
    <xf numFmtId="0" fontId="51" fillId="0" borderId="0" xfId="569" applyFont="1" applyAlignment="1">
      <alignment horizontal="right" vertical="top" wrapText="1"/>
    </xf>
    <xf numFmtId="0" fontId="21" fillId="0" borderId="0" xfId="569" applyFont="1" applyAlignment="1">
      <alignment horizontal="left" vertical="top" wrapText="1"/>
    </xf>
    <xf numFmtId="168" fontId="51" fillId="0" borderId="0" xfId="569" applyNumberFormat="1" applyFont="1" applyAlignment="1">
      <alignment horizontal="right" vertical="top" wrapText="1"/>
    </xf>
    <xf numFmtId="0" fontId="14" fillId="0" borderId="0" xfId="569" applyAlignment="1" applyProtection="1">
      <alignment horizontal="left" vertical="top" wrapText="1"/>
      <protection locked="0"/>
    </xf>
    <xf numFmtId="0" fontId="14" fillId="0" borderId="0" xfId="569" applyAlignment="1">
      <alignment horizontal="right" vertical="top" wrapText="1"/>
    </xf>
    <xf numFmtId="0" fontId="14" fillId="0" borderId="0" xfId="569" applyAlignment="1">
      <alignment horizontal="left" vertical="top"/>
    </xf>
    <xf numFmtId="0" fontId="79" fillId="0" borderId="0" xfId="569" applyFont="1" applyAlignment="1">
      <alignment vertical="top" wrapText="1"/>
    </xf>
    <xf numFmtId="0" fontId="79" fillId="0" borderId="12" xfId="569" applyFont="1" applyBorder="1" applyAlignment="1">
      <alignment vertical="top" wrapText="1"/>
    </xf>
    <xf numFmtId="0" fontId="79" fillId="0" borderId="8" xfId="569" applyFont="1" applyBorder="1" applyAlignment="1">
      <alignment vertical="top" wrapText="1"/>
    </xf>
    <xf numFmtId="0" fontId="28" fillId="0" borderId="0" xfId="569" applyFont="1" applyAlignment="1">
      <alignment horizontal="right" vertical="top" wrapText="1"/>
    </xf>
    <xf numFmtId="0" fontId="79" fillId="0" borderId="0" xfId="569" applyFont="1" applyAlignment="1">
      <alignment horizontal="right" vertical="top" wrapText="1"/>
    </xf>
    <xf numFmtId="0" fontId="52" fillId="0" borderId="3" xfId="569" applyFont="1" applyBorder="1" applyAlignment="1">
      <alignment horizontal="left"/>
    </xf>
    <xf numFmtId="0" fontId="52" fillId="0" borderId="13" xfId="569" applyFont="1" applyBorder="1" applyAlignment="1">
      <alignment horizontal="center" wrapText="1"/>
    </xf>
    <xf numFmtId="0" fontId="52" fillId="0" borderId="8" xfId="569" applyFont="1" applyBorder="1" applyAlignment="1">
      <alignment horizontal="center" wrapText="1"/>
    </xf>
    <xf numFmtId="0" fontId="52" fillId="0" borderId="0" xfId="569" applyFont="1" applyAlignment="1">
      <alignment horizontal="center" wrapText="1"/>
    </xf>
    <xf numFmtId="0" fontId="14" fillId="0" borderId="0" xfId="569"/>
    <xf numFmtId="0" fontId="20" fillId="0" borderId="0" xfId="569" applyFont="1" applyAlignment="1">
      <alignment horizontal="center" vertical="center"/>
    </xf>
    <xf numFmtId="0" fontId="21" fillId="0" borderId="0" xfId="569" applyFont="1"/>
    <xf numFmtId="0" fontId="14" fillId="0" borderId="1" xfId="569" applyBorder="1"/>
    <xf numFmtId="0" fontId="14" fillId="0" borderId="2" xfId="569" applyBorder="1"/>
    <xf numFmtId="0" fontId="14" fillId="0" borderId="8" xfId="569" applyBorder="1"/>
    <xf numFmtId="0" fontId="14" fillId="0" borderId="9" xfId="569" applyBorder="1"/>
    <xf numFmtId="0" fontId="14" fillId="0" borderId="6" xfId="569" applyBorder="1"/>
    <xf numFmtId="0" fontId="22" fillId="0" borderId="0" xfId="569" applyFont="1"/>
    <xf numFmtId="0" fontId="14" fillId="0" borderId="7" xfId="569" applyBorder="1"/>
    <xf numFmtId="0" fontId="14" fillId="0" borderId="12" xfId="569" applyBorder="1"/>
    <xf numFmtId="0" fontId="14" fillId="0" borderId="10" xfId="569" applyBorder="1"/>
    <xf numFmtId="0" fontId="22" fillId="0" borderId="0" xfId="569" applyFont="1" applyAlignment="1">
      <alignment vertical="top" wrapText="1"/>
    </xf>
    <xf numFmtId="0" fontId="14" fillId="0" borderId="0" xfId="569" applyAlignment="1">
      <alignment horizontal="right"/>
    </xf>
    <xf numFmtId="0" fontId="14" fillId="0" borderId="0" xfId="569" applyAlignment="1">
      <alignment wrapText="1"/>
    </xf>
    <xf numFmtId="0" fontId="14" fillId="0" borderId="0" xfId="569" applyAlignment="1">
      <alignment vertical="center"/>
    </xf>
    <xf numFmtId="0" fontId="38" fillId="0" borderId="0" xfId="569" applyFont="1" applyAlignment="1">
      <alignment vertical="center" wrapText="1"/>
    </xf>
    <xf numFmtId="0" fontId="32" fillId="0" borderId="0" xfId="569" applyFont="1" applyAlignment="1">
      <alignment vertical="top" wrapText="1"/>
    </xf>
    <xf numFmtId="0" fontId="21" fillId="0" borderId="0" xfId="569" applyFont="1" applyAlignment="1">
      <alignment vertical="top" wrapText="1"/>
    </xf>
    <xf numFmtId="0" fontId="22" fillId="0" borderId="0" xfId="569" applyFont="1" applyAlignment="1">
      <alignment horizontal="left" vertical="top" wrapText="1"/>
    </xf>
    <xf numFmtId="164" fontId="14" fillId="0" borderId="0" xfId="569" applyNumberFormat="1" applyAlignment="1">
      <alignment horizontal="right"/>
    </xf>
    <xf numFmtId="168" fontId="14" fillId="0" borderId="0" xfId="569" applyNumberFormat="1" applyAlignment="1">
      <alignment horizontal="right"/>
    </xf>
    <xf numFmtId="0" fontId="105" fillId="0" borderId="0" xfId="569" applyFont="1" applyAlignment="1">
      <alignment horizontal="left" vertical="top" wrapText="1"/>
    </xf>
    <xf numFmtId="168" fontId="14" fillId="0" borderId="0" xfId="569" applyNumberFormat="1" applyAlignment="1">
      <alignment wrapText="1"/>
    </xf>
    <xf numFmtId="0" fontId="19" fillId="0" borderId="11" xfId="253" applyFont="1" applyBorder="1" applyAlignment="1">
      <alignment horizontal="center" wrapText="1"/>
    </xf>
    <xf numFmtId="0" fontId="19" fillId="0" borderId="0" xfId="253" applyFont="1" applyAlignment="1">
      <alignment horizontal="center" wrapText="1"/>
    </xf>
    <xf numFmtId="3" fontId="19" fillId="0" borderId="11" xfId="271" applyNumberFormat="1" applyFont="1" applyBorder="1"/>
    <xf numFmtId="3" fontId="19" fillId="0" borderId="0" xfId="271" applyNumberFormat="1" applyFont="1"/>
    <xf numFmtId="0" fontId="63" fillId="0" borderId="0" xfId="271" applyFont="1" applyAlignment="1">
      <alignment horizontal="left"/>
    </xf>
    <xf numFmtId="0" fontId="63" fillId="0" borderId="0" xfId="271" applyFont="1" applyAlignment="1">
      <alignment horizontal="right"/>
    </xf>
    <xf numFmtId="168" fontId="19" fillId="0" borderId="11" xfId="271" applyNumberFormat="1" applyFont="1" applyBorder="1"/>
    <xf numFmtId="168" fontId="19" fillId="0" borderId="0" xfId="271" applyNumberFormat="1" applyFont="1"/>
    <xf numFmtId="0" fontId="19" fillId="0" borderId="0" xfId="271" applyFont="1"/>
    <xf numFmtId="0" fontId="51" fillId="0" borderId="0" xfId="569" applyFont="1" applyAlignment="1">
      <alignment horizontal="left"/>
    </xf>
    <xf numFmtId="0" fontId="14" fillId="0" borderId="3" xfId="569" applyBorder="1"/>
    <xf numFmtId="0" fontId="0" fillId="5" borderId="6" xfId="0" applyFill="1" applyBorder="1" applyProtection="1">
      <protection locked="0"/>
    </xf>
    <xf numFmtId="0" fontId="106" fillId="0" borderId="0" xfId="1834"/>
    <xf numFmtId="0" fontId="0" fillId="0" borderId="0" xfId="0" applyAlignment="1">
      <alignment horizontal="left" vertical="top"/>
    </xf>
    <xf numFmtId="0" fontId="105" fillId="0" borderId="0" xfId="0" applyFont="1" applyAlignment="1">
      <alignment vertical="top" wrapText="1"/>
    </xf>
    <xf numFmtId="0" fontId="51" fillId="0" borderId="0" xfId="271" applyFont="1" applyAlignment="1">
      <alignment vertical="top" wrapText="1"/>
    </xf>
    <xf numFmtId="4" fontId="14" fillId="0" borderId="0" xfId="1192" applyNumberFormat="1" applyAlignment="1">
      <alignment horizontal="left" vertical="top" wrapText="1"/>
    </xf>
    <xf numFmtId="0" fontId="14" fillId="0" borderId="0" xfId="0" applyFont="1" applyAlignment="1">
      <alignment horizontal="left" vertical="top" wrapText="1"/>
    </xf>
    <xf numFmtId="0" fontId="14" fillId="0" borderId="0" xfId="271" applyFont="1" applyAlignment="1">
      <alignment horizontal="left" vertical="top" wrapText="1"/>
    </xf>
    <xf numFmtId="0" fontId="21" fillId="0" borderId="12" xfId="543" applyFont="1" applyBorder="1" applyAlignment="1">
      <alignment horizontal="right"/>
    </xf>
    <xf numFmtId="0" fontId="33" fillId="0" borderId="0" xfId="543" applyFont="1" applyAlignment="1">
      <alignment horizontal="center"/>
    </xf>
    <xf numFmtId="4" fontId="14" fillId="0" borderId="0" xfId="569" applyNumberFormat="1" applyAlignment="1">
      <alignment horizontal="left"/>
    </xf>
    <xf numFmtId="0" fontId="14" fillId="0" borderId="0" xfId="569" applyAlignment="1">
      <alignment horizontal="left" vertical="top" wrapText="1"/>
    </xf>
    <xf numFmtId="0" fontId="14" fillId="0" borderId="0" xfId="569" applyAlignment="1">
      <alignment horizontal="left"/>
    </xf>
    <xf numFmtId="0" fontId="14" fillId="0" borderId="0" xfId="1192" applyAlignment="1">
      <alignment horizontal="left"/>
    </xf>
    <xf numFmtId="0" fontId="21" fillId="0" borderId="0" xfId="569" applyFont="1" applyAlignment="1">
      <alignment horizontal="left"/>
    </xf>
    <xf numFmtId="0" fontId="43" fillId="0" borderId="0" xfId="1192" applyFont="1"/>
    <xf numFmtId="0" fontId="51" fillId="0" borderId="11" xfId="0" applyFont="1" applyBorder="1" applyAlignment="1">
      <alignment horizontal="right" vertical="center"/>
    </xf>
    <xf numFmtId="0" fontId="14" fillId="0" borderId="0" xfId="1192" applyAlignment="1">
      <alignment horizontal="left" vertical="top" wrapText="1"/>
    </xf>
    <xf numFmtId="0" fontId="43" fillId="0" borderId="0" xfId="0" applyFont="1" applyAlignment="1">
      <alignment vertical="top" wrapText="1"/>
    </xf>
    <xf numFmtId="0" fontId="43" fillId="0" borderId="0" xfId="0" applyFont="1" applyAlignment="1">
      <alignment horizontal="left" vertical="top" wrapText="1"/>
    </xf>
    <xf numFmtId="6" fontId="52" fillId="0" borderId="0" xfId="569" applyNumberFormat="1" applyFont="1" applyAlignment="1">
      <alignment horizontal="right" vertical="top"/>
    </xf>
    <xf numFmtId="0" fontId="14" fillId="0" borderId="0" xfId="0" applyFont="1" applyAlignment="1">
      <alignment vertical="top" wrapText="1"/>
    </xf>
    <xf numFmtId="168" fontId="23" fillId="0" borderId="0" xfId="0" applyNumberFormat="1" applyFont="1" applyAlignment="1">
      <alignment horizontal="right"/>
    </xf>
    <xf numFmtId="168" fontId="23" fillId="0" borderId="28" xfId="540" applyNumberFormat="1" applyBorder="1" applyAlignment="1" applyProtection="1">
      <alignment horizontal="center"/>
    </xf>
    <xf numFmtId="168" fontId="23" fillId="0" borderId="29" xfId="540" applyNumberFormat="1" applyBorder="1" applyAlignment="1" applyProtection="1">
      <alignment horizontal="center"/>
    </xf>
    <xf numFmtId="168" fontId="23" fillId="0" borderId="30" xfId="540" applyNumberFormat="1" applyBorder="1" applyAlignment="1" applyProtection="1">
      <alignment horizontal="center"/>
    </xf>
    <xf numFmtId="168" fontId="23" fillId="0" borderId="31" xfId="540" applyNumberFormat="1" applyBorder="1" applyAlignment="1" applyProtection="1">
      <alignment horizontal="center"/>
    </xf>
    <xf numFmtId="168" fontId="23" fillId="0" borderId="32" xfId="540" applyNumberFormat="1" applyBorder="1" applyAlignment="1" applyProtection="1">
      <alignment horizontal="center"/>
    </xf>
    <xf numFmtId="168" fontId="23" fillId="0" borderId="33" xfId="540" applyNumberFormat="1" applyBorder="1" applyAlignment="1" applyProtection="1">
      <alignment horizontal="center"/>
    </xf>
    <xf numFmtId="168" fontId="23" fillId="0" borderId="34" xfId="540" applyNumberFormat="1" applyBorder="1" applyAlignment="1" applyProtection="1">
      <alignment horizontal="center"/>
    </xf>
    <xf numFmtId="168" fontId="23" fillId="0" borderId="35" xfId="540" applyNumberFormat="1" applyBorder="1" applyAlignment="1" applyProtection="1">
      <alignment horizontal="center"/>
    </xf>
    <xf numFmtId="168" fontId="23" fillId="0" borderId="36" xfId="540" applyNumberFormat="1" applyBorder="1" applyAlignment="1" applyProtection="1">
      <alignment horizontal="center"/>
    </xf>
    <xf numFmtId="168" fontId="23" fillId="0" borderId="37" xfId="540" applyNumberFormat="1" applyBorder="1" applyAlignment="1" applyProtection="1">
      <alignment horizontal="center"/>
    </xf>
    <xf numFmtId="168" fontId="23" fillId="0" borderId="38" xfId="540" applyNumberFormat="1" applyBorder="1" applyAlignment="1" applyProtection="1">
      <alignment horizontal="center"/>
    </xf>
    <xf numFmtId="168" fontId="23" fillId="0" borderId="39" xfId="540" applyNumberFormat="1" applyBorder="1" applyAlignment="1" applyProtection="1">
      <alignment horizontal="center"/>
    </xf>
    <xf numFmtId="168" fontId="23" fillId="0" borderId="40" xfId="540" applyNumberFormat="1" applyBorder="1" applyAlignment="1" applyProtection="1">
      <alignment horizontal="center"/>
    </xf>
    <xf numFmtId="168" fontId="23" fillId="0" borderId="0" xfId="540" applyNumberFormat="1" applyAlignment="1" applyProtection="1">
      <alignment horizontal="center"/>
    </xf>
    <xf numFmtId="168" fontId="23" fillId="0" borderId="14" xfId="540" applyNumberFormat="1" applyBorder="1" applyAlignment="1" applyProtection="1">
      <alignment horizontal="center"/>
    </xf>
    <xf numFmtId="168" fontId="23" fillId="0" borderId="41" xfId="540" applyNumberFormat="1" applyBorder="1" applyAlignment="1" applyProtection="1">
      <alignment horizontal="center"/>
    </xf>
    <xf numFmtId="168" fontId="23" fillId="0" borderId="42" xfId="540" applyNumberFormat="1" applyBorder="1" applyAlignment="1" applyProtection="1">
      <alignment horizontal="center"/>
    </xf>
    <xf numFmtId="168" fontId="23" fillId="0" borderId="43" xfId="540" applyNumberFormat="1" applyBorder="1" applyAlignment="1" applyProtection="1">
      <alignment horizontal="center"/>
    </xf>
    <xf numFmtId="168" fontId="23" fillId="0" borderId="44" xfId="540" applyNumberFormat="1" applyBorder="1" applyAlignment="1" applyProtection="1">
      <alignment horizontal="center"/>
    </xf>
    <xf numFmtId="0" fontId="14" fillId="0" borderId="0" xfId="1192"/>
    <xf numFmtId="0" fontId="14" fillId="0" borderId="0" xfId="0" applyFont="1" applyAlignment="1">
      <alignment wrapText="1"/>
    </xf>
    <xf numFmtId="0" fontId="43" fillId="0" borderId="0" xfId="0" applyFont="1" applyAlignment="1">
      <alignment horizontal="left" vertical="top"/>
    </xf>
    <xf numFmtId="0" fontId="43" fillId="0" borderId="0" xfId="0" applyFont="1" applyAlignment="1">
      <alignment vertical="top"/>
    </xf>
    <xf numFmtId="0" fontId="14" fillId="0" borderId="0" xfId="569" applyAlignment="1">
      <alignment horizontal="center"/>
    </xf>
    <xf numFmtId="0" fontId="32" fillId="0" borderId="0" xfId="569" applyFont="1" applyAlignment="1">
      <alignment horizontal="left"/>
    </xf>
    <xf numFmtId="0" fontId="32" fillId="0" borderId="0" xfId="569" applyFont="1" applyAlignment="1">
      <alignment horizontal="center"/>
    </xf>
    <xf numFmtId="49" fontId="21" fillId="0" borderId="0" xfId="569" applyNumberFormat="1" applyFont="1" applyAlignment="1">
      <alignment horizontal="center"/>
    </xf>
    <xf numFmtId="0" fontId="49" fillId="0" borderId="0" xfId="569" applyFont="1" applyAlignment="1">
      <alignment horizontal="center"/>
    </xf>
    <xf numFmtId="0" fontId="14" fillId="5" borderId="6" xfId="569" applyFill="1" applyBorder="1" applyProtection="1">
      <protection locked="0"/>
    </xf>
    <xf numFmtId="0" fontId="15" fillId="0" borderId="0" xfId="244" applyAlignment="1" applyProtection="1">
      <alignment horizontal="center"/>
    </xf>
    <xf numFmtId="49" fontId="14" fillId="0" borderId="0" xfId="569" applyNumberFormat="1" applyAlignment="1">
      <alignment horizontal="center"/>
    </xf>
    <xf numFmtId="0" fontId="14" fillId="0" borderId="0" xfId="569" applyAlignment="1">
      <alignment horizontal="center" vertical="center"/>
    </xf>
    <xf numFmtId="0" fontId="14" fillId="0" borderId="0" xfId="1192" applyAlignment="1">
      <alignment horizontal="center"/>
    </xf>
    <xf numFmtId="0" fontId="21" fillId="0" borderId="0" xfId="569" applyFont="1" applyAlignment="1">
      <alignment horizontal="center"/>
    </xf>
    <xf numFmtId="0" fontId="14" fillId="0" borderId="0" xfId="569" applyAlignment="1">
      <alignment horizontal="left" indent="4"/>
    </xf>
    <xf numFmtId="0" fontId="14" fillId="0" borderId="0" xfId="569" quotePrefix="1" applyAlignment="1">
      <alignment horizontal="left"/>
    </xf>
    <xf numFmtId="0" fontId="32" fillId="0" borderId="0" xfId="569" applyFont="1"/>
    <xf numFmtId="0" fontId="14" fillId="0" borderId="0" xfId="1192" applyAlignment="1" applyProtection="1">
      <alignment horizontal="left"/>
      <protection locked="0"/>
    </xf>
    <xf numFmtId="0" fontId="14" fillId="0" borderId="0" xfId="569" applyAlignment="1" applyProtection="1">
      <alignment horizontal="left"/>
      <protection locked="0"/>
    </xf>
    <xf numFmtId="49" fontId="14" fillId="0" borderId="0" xfId="1192" applyNumberFormat="1" applyAlignment="1">
      <alignment horizontal="center"/>
    </xf>
    <xf numFmtId="0" fontId="49" fillId="0" borderId="0" xfId="1192" applyFont="1" applyAlignment="1">
      <alignment horizontal="center"/>
    </xf>
    <xf numFmtId="0" fontId="21" fillId="0" borderId="0" xfId="1192" applyFont="1" applyAlignment="1">
      <alignment horizontal="left"/>
    </xf>
    <xf numFmtId="4" fontId="14" fillId="0" borderId="0" xfId="1192" applyNumberFormat="1" applyAlignment="1">
      <alignment horizontal="left"/>
    </xf>
    <xf numFmtId="0" fontId="21" fillId="0" borderId="0" xfId="569" quotePrefix="1" applyFont="1" applyAlignment="1">
      <alignment horizontal="center"/>
    </xf>
    <xf numFmtId="49" fontId="14" fillId="0" borderId="0" xfId="569" applyNumberFormat="1"/>
    <xf numFmtId="0" fontId="46" fillId="0" borderId="0" xfId="569" applyFont="1" applyAlignment="1">
      <alignment horizontal="left"/>
    </xf>
    <xf numFmtId="4" fontId="49" fillId="0" borderId="0" xfId="569" applyNumberFormat="1" applyFont="1" applyAlignment="1">
      <alignment horizontal="center"/>
    </xf>
    <xf numFmtId="4" fontId="14" fillId="0" borderId="0" xfId="569" applyNumberFormat="1" applyAlignment="1">
      <alignment horizontal="center"/>
    </xf>
    <xf numFmtId="4" fontId="14" fillId="0" borderId="0" xfId="569" applyNumberFormat="1"/>
    <xf numFmtId="0" fontId="44" fillId="0" borderId="0" xfId="569" applyFont="1" applyAlignment="1">
      <alignment horizontal="left"/>
    </xf>
    <xf numFmtId="0" fontId="15" fillId="0" borderId="0" xfId="244" applyNumberFormat="1" applyFill="1" applyAlignment="1" applyProtection="1">
      <alignment horizontal="left"/>
      <protection locked="0"/>
    </xf>
    <xf numFmtId="0" fontId="51" fillId="0" borderId="11" xfId="0" applyFont="1" applyBorder="1" applyAlignment="1" applyProtection="1">
      <alignment horizontal="right" vertical="top" wrapText="1"/>
      <protection locked="0"/>
    </xf>
    <xf numFmtId="168" fontId="54" fillId="44" borderId="11" xfId="0" applyNumberFormat="1" applyFont="1" applyFill="1" applyBorder="1" applyAlignment="1">
      <alignment vertical="top" wrapText="1"/>
    </xf>
    <xf numFmtId="0" fontId="14" fillId="0" borderId="11" xfId="271" applyFont="1" applyBorder="1" applyAlignment="1">
      <alignment horizontal="right" vertical="top" wrapText="1"/>
    </xf>
    <xf numFmtId="0" fontId="22" fillId="0" borderId="0" xfId="569" applyFont="1" applyAlignment="1">
      <alignment horizontal="left"/>
    </xf>
    <xf numFmtId="0" fontId="103" fillId="0" borderId="0" xfId="0" applyFont="1"/>
    <xf numFmtId="0" fontId="114" fillId="0" borderId="0" xfId="0" applyFont="1" applyAlignment="1">
      <alignment horizontal="left" vertical="top"/>
    </xf>
    <xf numFmtId="0" fontId="115" fillId="0" borderId="0" xfId="0" applyFont="1" applyAlignment="1">
      <alignment horizontal="left" vertical="top"/>
    </xf>
    <xf numFmtId="168" fontId="22" fillId="0" borderId="0" xfId="0" applyNumberFormat="1" applyFont="1" applyAlignment="1">
      <alignment horizontal="left" vertical="top" wrapText="1"/>
    </xf>
    <xf numFmtId="168" fontId="51" fillId="5" borderId="11" xfId="0" applyNumberFormat="1" applyFont="1" applyFill="1" applyBorder="1" applyAlignment="1">
      <alignment vertical="top" wrapText="1"/>
    </xf>
    <xf numFmtId="0" fontId="14" fillId="0" borderId="0" xfId="271" applyFont="1" applyAlignment="1">
      <alignment horizontal="left" vertical="top"/>
    </xf>
    <xf numFmtId="0" fontId="51" fillId="0" borderId="0" xfId="569" applyFont="1"/>
    <xf numFmtId="0" fontId="14" fillId="0" borderId="0" xfId="0" applyFont="1" applyAlignment="1">
      <alignment horizontal="left" vertical="top"/>
    </xf>
    <xf numFmtId="4" fontId="14" fillId="0" borderId="0" xfId="1192" applyNumberFormat="1" applyAlignment="1">
      <alignment vertical="top" wrapText="1"/>
    </xf>
    <xf numFmtId="0" fontId="21" fillId="0" borderId="16" xfId="271" applyFont="1" applyBorder="1"/>
    <xf numFmtId="0" fontId="58" fillId="0" borderId="0" xfId="569" applyFont="1"/>
    <xf numFmtId="0" fontId="38" fillId="0" borderId="0" xfId="569" applyFont="1"/>
    <xf numFmtId="0" fontId="14" fillId="0" borderId="0" xfId="1192" applyAlignment="1">
      <alignment vertical="top" wrapText="1"/>
    </xf>
    <xf numFmtId="49" fontId="14" fillId="0" borderId="0" xfId="1192" applyNumberFormat="1" applyAlignment="1">
      <alignment vertical="top" wrapText="1"/>
    </xf>
    <xf numFmtId="0" fontId="53" fillId="0" borderId="9" xfId="543" applyFont="1" applyBorder="1" applyAlignment="1">
      <alignment vertical="top"/>
    </xf>
    <xf numFmtId="0" fontId="14" fillId="0" borderId="0" xfId="0" applyFont="1" applyAlignment="1">
      <alignment vertical="center"/>
    </xf>
    <xf numFmtId="0" fontId="116" fillId="0" borderId="0" xfId="0" applyFont="1"/>
    <xf numFmtId="3" fontId="103" fillId="0" borderId="0" xfId="0" applyNumberFormat="1" applyFont="1"/>
    <xf numFmtId="0" fontId="103" fillId="0" borderId="0" xfId="0" applyFont="1" applyAlignment="1">
      <alignment horizontal="left"/>
    </xf>
    <xf numFmtId="168" fontId="117" fillId="0" borderId="0" xfId="0" applyNumberFormat="1" applyFont="1" applyAlignment="1">
      <alignment horizontal="left" vertical="top"/>
    </xf>
    <xf numFmtId="0" fontId="103" fillId="0" borderId="0" xfId="0" applyFont="1" applyAlignment="1">
      <alignment horizontal="left" vertical="center"/>
    </xf>
    <xf numFmtId="0" fontId="119" fillId="0" borderId="0" xfId="0" applyFont="1"/>
    <xf numFmtId="172" fontId="14" fillId="0" borderId="8" xfId="543" applyNumberFormat="1" applyBorder="1"/>
    <xf numFmtId="0" fontId="14" fillId="0" borderId="8" xfId="4495" applyFont="1" applyBorder="1"/>
    <xf numFmtId="0" fontId="14" fillId="0" borderId="0" xfId="4495" applyFont="1"/>
    <xf numFmtId="0" fontId="20" fillId="0" borderId="0" xfId="4495" applyFont="1" applyAlignment="1">
      <alignment horizontal="center" vertical="center"/>
    </xf>
    <xf numFmtId="0" fontId="21" fillId="0" borderId="0" xfId="4495" applyFont="1" applyAlignment="1">
      <alignment horizontal="left"/>
    </xf>
    <xf numFmtId="0" fontId="21" fillId="0" borderId="0" xfId="4495" applyFont="1"/>
    <xf numFmtId="0" fontId="24" fillId="0" borderId="0" xfId="4495" applyFont="1" applyAlignment="1">
      <alignment horizontal="center" vertical="center"/>
    </xf>
    <xf numFmtId="0" fontId="24" fillId="0" borderId="27" xfId="4495" applyFont="1" applyBorder="1" applyAlignment="1">
      <alignment horizontal="center" vertical="center"/>
    </xf>
    <xf numFmtId="0" fontId="24" fillId="0" borderId="46" xfId="4495" applyFont="1" applyBorder="1" applyAlignment="1">
      <alignment horizontal="center" vertical="center"/>
    </xf>
    <xf numFmtId="0" fontId="21" fillId="0" borderId="0" xfId="4495" applyFont="1" applyAlignment="1">
      <alignment horizontal="right"/>
    </xf>
    <xf numFmtId="0" fontId="32" fillId="0" borderId="0" xfId="4495" applyFont="1" applyAlignment="1">
      <alignment horizontal="left" vertical="center"/>
    </xf>
    <xf numFmtId="0" fontId="14" fillId="0" borderId="0" xfId="1192" quotePrefix="1" applyAlignment="1">
      <alignment horizontal="center"/>
    </xf>
    <xf numFmtId="0" fontId="44" fillId="0" borderId="0" xfId="4495" applyFont="1" applyAlignment="1">
      <alignment horizontal="left" vertical="center"/>
    </xf>
    <xf numFmtId="49" fontId="22" fillId="0" borderId="0" xfId="4495" applyNumberFormat="1" applyFont="1" applyAlignment="1">
      <alignment horizontal="left" vertical="top"/>
    </xf>
    <xf numFmtId="0" fontId="14" fillId="0" borderId="47" xfId="4495" applyFont="1" applyBorder="1" applyAlignment="1">
      <alignment horizontal="left" vertical="center"/>
    </xf>
    <xf numFmtId="0" fontId="24" fillId="0" borderId="48" xfId="4495" applyFont="1" applyBorder="1" applyAlignment="1">
      <alignment horizontal="center" vertical="center"/>
    </xf>
    <xf numFmtId="0" fontId="22" fillId="0" borderId="0" xfId="4495" applyFont="1"/>
    <xf numFmtId="0" fontId="22" fillId="0" borderId="0" xfId="4495" applyFont="1" applyAlignment="1">
      <alignment horizontal="left" vertical="top"/>
    </xf>
    <xf numFmtId="0" fontId="121" fillId="0" borderId="53" xfId="4496" applyFont="1" applyBorder="1" applyAlignment="1">
      <alignment horizontal="left" vertical="top"/>
    </xf>
    <xf numFmtId="0" fontId="120" fillId="0" borderId="0" xfId="4496" applyFont="1" applyAlignment="1">
      <alignment horizontal="left" vertical="top" wrapText="1"/>
    </xf>
    <xf numFmtId="0" fontId="120" fillId="0" borderId="54" xfId="4496" applyFont="1" applyBorder="1" applyAlignment="1">
      <alignment horizontal="left" vertical="top" wrapText="1"/>
    </xf>
    <xf numFmtId="0" fontId="14" fillId="0" borderId="0" xfId="4495" applyFont="1" applyAlignment="1">
      <alignment horizontal="left" vertical="center"/>
    </xf>
    <xf numFmtId="0" fontId="122" fillId="0" borderId="0" xfId="4496" applyFont="1" applyAlignment="1">
      <alignment vertical="center"/>
    </xf>
    <xf numFmtId="0" fontId="120" fillId="0" borderId="0" xfId="4496" applyFont="1"/>
    <xf numFmtId="0" fontId="120" fillId="0" borderId="0" xfId="4496" applyFont="1" applyAlignment="1">
      <alignment vertical="center"/>
    </xf>
    <xf numFmtId="0" fontId="123" fillId="0" borderId="0" xfId="4496" applyFont="1" applyAlignment="1">
      <alignment vertical="center"/>
    </xf>
    <xf numFmtId="0" fontId="14" fillId="0" borderId="0" xfId="4496" applyFont="1" applyAlignment="1">
      <alignment vertical="center"/>
    </xf>
    <xf numFmtId="0" fontId="22" fillId="0" borderId="3" xfId="4495" applyFont="1" applyBorder="1" applyAlignment="1">
      <alignment vertical="top" wrapText="1"/>
    </xf>
    <xf numFmtId="0" fontId="22" fillId="0" borderId="4" xfId="4495" applyFont="1" applyBorder="1" applyAlignment="1">
      <alignment vertical="top" wrapText="1"/>
    </xf>
    <xf numFmtId="164" fontId="118" fillId="0" borderId="4" xfId="4495" applyNumberFormat="1" applyBorder="1" applyAlignment="1">
      <alignment horizontal="right"/>
    </xf>
    <xf numFmtId="0" fontId="22" fillId="0" borderId="4" xfId="4495" applyFont="1" applyBorder="1"/>
    <xf numFmtId="0" fontId="21" fillId="0" borderId="5" xfId="4495" applyFont="1" applyBorder="1" applyAlignment="1">
      <alignment horizontal="right"/>
    </xf>
    <xf numFmtId="0" fontId="14" fillId="0" borderId="16" xfId="4495" applyFont="1" applyBorder="1"/>
    <xf numFmtId="0" fontId="14" fillId="0" borderId="16" xfId="4495" applyFont="1" applyBorder="1" applyAlignment="1">
      <alignment horizontal="left" vertical="top"/>
    </xf>
    <xf numFmtId="0" fontId="22" fillId="0" borderId="16" xfId="4495" applyFont="1" applyBorder="1" applyAlignment="1">
      <alignment horizontal="left" vertical="top" wrapText="1"/>
    </xf>
    <xf numFmtId="0" fontId="22" fillId="0" borderId="45" xfId="4495" applyFont="1" applyBorder="1" applyAlignment="1">
      <alignment horizontal="left" vertical="top" wrapText="1"/>
    </xf>
    <xf numFmtId="0" fontId="118" fillId="0" borderId="0" xfId="4495"/>
    <xf numFmtId="0" fontId="15" fillId="0" borderId="0" xfId="244" applyFill="1" applyBorder="1" applyAlignment="1" applyProtection="1">
      <alignment horizontal="left" vertical="top"/>
    </xf>
    <xf numFmtId="0" fontId="15" fillId="0" borderId="0" xfId="244" applyFill="1" applyBorder="1" applyAlignment="1" applyProtection="1">
      <alignment horizontal="left" vertical="top" wrapText="1"/>
    </xf>
    <xf numFmtId="0" fontId="22" fillId="0" borderId="0" xfId="4495" applyFont="1" applyAlignment="1">
      <alignment horizontal="left" vertical="top" wrapText="1"/>
    </xf>
    <xf numFmtId="0" fontId="22" fillId="0" borderId="0" xfId="4495" applyFont="1" applyAlignment="1">
      <alignment horizontal="right" vertical="top"/>
    </xf>
    <xf numFmtId="0" fontId="14" fillId="0" borderId="0" xfId="4495" applyFont="1" applyAlignment="1">
      <alignment vertical="center" wrapText="1"/>
    </xf>
    <xf numFmtId="0" fontId="120" fillId="0" borderId="53" xfId="4496" applyFont="1" applyBorder="1" applyAlignment="1">
      <alignment vertical="top" wrapText="1"/>
    </xf>
    <xf numFmtId="0" fontId="120" fillId="0" borderId="0" xfId="4496" applyFont="1" applyAlignment="1">
      <alignment vertical="top" wrapText="1"/>
    </xf>
    <xf numFmtId="10" fontId="120" fillId="0" borderId="0" xfId="4496" applyNumberFormat="1" applyFont="1" applyAlignment="1">
      <alignment vertical="top" wrapText="1"/>
    </xf>
    <xf numFmtId="0" fontId="120" fillId="0" borderId="54" xfId="4496" applyFont="1" applyBorder="1" applyAlignment="1">
      <alignment vertical="top" wrapText="1"/>
    </xf>
    <xf numFmtId="0" fontId="120" fillId="0" borderId="0" xfId="4496" applyFont="1" applyAlignment="1">
      <alignment vertical="top"/>
    </xf>
    <xf numFmtId="165" fontId="120" fillId="0" borderId="0" xfId="4496" applyNumberFormat="1" applyFont="1" applyAlignment="1">
      <alignment vertical="top" wrapText="1"/>
    </xf>
    <xf numFmtId="0" fontId="21" fillId="0" borderId="57" xfId="4495" applyFont="1" applyBorder="1"/>
    <xf numFmtId="0" fontId="21" fillId="0" borderId="58" xfId="4495" applyFont="1" applyBorder="1"/>
    <xf numFmtId="0" fontId="21" fillId="0" borderId="58" xfId="4495" applyFont="1" applyBorder="1" applyAlignment="1">
      <alignment horizontal="right"/>
    </xf>
    <xf numFmtId="0" fontId="21" fillId="0" borderId="59" xfId="4495" applyFont="1" applyBorder="1" applyAlignment="1">
      <alignment horizontal="right"/>
    </xf>
    <xf numFmtId="0" fontId="120" fillId="0" borderId="53" xfId="4496" applyFont="1" applyBorder="1" applyAlignment="1">
      <alignment horizontal="left" vertical="top" wrapText="1"/>
    </xf>
    <xf numFmtId="0" fontId="120" fillId="0" borderId="0" xfId="4496" applyFont="1" applyAlignment="1">
      <alignment horizontal="left" vertical="top"/>
    </xf>
    <xf numFmtId="0" fontId="24" fillId="0" borderId="57" xfId="4495" applyFont="1" applyBorder="1" applyAlignment="1">
      <alignment horizontal="center" vertical="center"/>
    </xf>
    <xf numFmtId="0" fontId="24" fillId="0" borderId="58" xfId="4495" applyFont="1" applyBorder="1" applyAlignment="1">
      <alignment horizontal="center" vertical="center"/>
    </xf>
    <xf numFmtId="0" fontId="24" fillId="0" borderId="59" xfId="4495" applyFont="1" applyBorder="1" applyAlignment="1">
      <alignment horizontal="center" vertical="center"/>
    </xf>
    <xf numFmtId="0" fontId="21" fillId="0" borderId="0" xfId="4495" applyFont="1" applyAlignment="1">
      <alignment horizontal="center"/>
    </xf>
    <xf numFmtId="0" fontId="21" fillId="0" borderId="8" xfId="4495" applyFont="1" applyBorder="1"/>
    <xf numFmtId="0" fontId="22" fillId="0" borderId="0" xfId="4495" applyFont="1" applyAlignment="1">
      <alignment horizontal="left"/>
    </xf>
    <xf numFmtId="0" fontId="21" fillId="0" borderId="0" xfId="4495" applyFont="1" applyAlignment="1">
      <alignment horizontal="center" vertical="top"/>
    </xf>
    <xf numFmtId="0" fontId="14" fillId="0" borderId="0" xfId="4495" applyFont="1" applyAlignment="1">
      <alignment horizontal="center"/>
    </xf>
    <xf numFmtId="0" fontId="30" fillId="0" borderId="0" xfId="4495" applyFont="1"/>
    <xf numFmtId="0" fontId="22" fillId="0" borderId="8" xfId="4495" applyFont="1" applyBorder="1"/>
    <xf numFmtId="0" fontId="51" fillId="0" borderId="8" xfId="4495" applyFont="1" applyBorder="1"/>
    <xf numFmtId="1" fontId="14" fillId="0" borderId="0" xfId="1192" applyNumberFormat="1"/>
    <xf numFmtId="0" fontId="14" fillId="0" borderId="3" xfId="4495" applyFont="1" applyBorder="1"/>
    <xf numFmtId="0" fontId="14" fillId="0" borderId="4" xfId="4495" applyFont="1" applyBorder="1"/>
    <xf numFmtId="0" fontId="14" fillId="0" borderId="0" xfId="1192" applyAlignment="1">
      <alignment wrapText="1"/>
    </xf>
    <xf numFmtId="0" fontId="22" fillId="0" borderId="0" xfId="4495" applyFont="1" applyAlignment="1">
      <alignment vertical="top" wrapText="1"/>
    </xf>
    <xf numFmtId="0" fontId="22" fillId="0" borderId="0" xfId="1192" applyFont="1"/>
    <xf numFmtId="0" fontId="14" fillId="0" borderId="0" xfId="4495" applyFont="1" applyAlignment="1">
      <alignment horizontal="left"/>
    </xf>
    <xf numFmtId="0" fontId="22" fillId="0" borderId="3" xfId="4495" applyFont="1" applyBorder="1"/>
    <xf numFmtId="0" fontId="14" fillId="0" borderId="4" xfId="4495" applyFont="1" applyBorder="1" applyAlignment="1">
      <alignment horizontal="right"/>
    </xf>
    <xf numFmtId="1" fontId="14" fillId="0" borderId="0" xfId="4495" applyNumberFormat="1" applyFont="1" applyAlignment="1">
      <alignment horizontal="center"/>
    </xf>
    <xf numFmtId="0" fontId="51" fillId="0" borderId="0" xfId="4495" applyFont="1"/>
    <xf numFmtId="0" fontId="14" fillId="0" borderId="0" xfId="4495" applyFont="1" applyAlignment="1">
      <alignment horizontal="right"/>
    </xf>
    <xf numFmtId="0" fontId="22" fillId="0" borderId="0" xfId="4495" applyFont="1" applyAlignment="1">
      <alignment vertical="top"/>
    </xf>
    <xf numFmtId="0" fontId="22" fillId="0" borderId="27" xfId="4495" applyFont="1" applyBorder="1"/>
    <xf numFmtId="0" fontId="21" fillId="0" borderId="0" xfId="4495" applyFont="1" applyAlignment="1">
      <alignment vertical="top"/>
    </xf>
    <xf numFmtId="0" fontId="32" fillId="0" borderId="0" xfId="4495" applyFont="1" applyAlignment="1">
      <alignment vertical="top" wrapText="1"/>
    </xf>
    <xf numFmtId="0" fontId="21" fillId="0" borderId="0" xfId="4495" applyFont="1" applyAlignment="1">
      <alignment horizontal="left" vertical="top" wrapText="1"/>
    </xf>
    <xf numFmtId="0" fontId="14" fillId="0" borderId="0" xfId="4495" applyFont="1" applyAlignment="1">
      <alignment horizontal="left" vertical="top"/>
    </xf>
    <xf numFmtId="0" fontId="32" fillId="0" borderId="0" xfId="4495" applyFont="1" applyAlignment="1">
      <alignment vertical="top"/>
    </xf>
    <xf numFmtId="0" fontId="14" fillId="0" borderId="10" xfId="4495" applyFont="1" applyBorder="1" applyAlignment="1">
      <alignment horizontal="center"/>
    </xf>
    <xf numFmtId="0" fontId="14" fillId="0" borderId="16" xfId="4495" applyFont="1" applyBorder="1" applyAlignment="1">
      <alignment horizontal="center"/>
    </xf>
    <xf numFmtId="0" fontId="30" fillId="0" borderId="16" xfId="4495" applyFont="1" applyBorder="1"/>
    <xf numFmtId="0" fontId="22" fillId="0" borderId="16" xfId="4495" applyFont="1" applyBorder="1"/>
    <xf numFmtId="0" fontId="14" fillId="0" borderId="0" xfId="4496" applyFont="1" applyAlignment="1">
      <alignment vertical="top" wrapText="1"/>
    </xf>
    <xf numFmtId="0" fontId="21" fillId="0" borderId="0" xfId="1192" applyFont="1" applyAlignment="1">
      <alignment horizontal="right"/>
    </xf>
    <xf numFmtId="0" fontId="14" fillId="0" borderId="0" xfId="4496" applyFont="1"/>
    <xf numFmtId="0" fontId="14" fillId="0" borderId="0" xfId="4496" applyFont="1" applyAlignment="1">
      <alignment horizontal="left"/>
    </xf>
    <xf numFmtId="0" fontId="14" fillId="0" borderId="0" xfId="4496" applyFont="1" applyAlignment="1">
      <alignment horizontal="right"/>
    </xf>
    <xf numFmtId="0" fontId="22" fillId="0" borderId="0" xfId="4496" applyFont="1" applyAlignment="1">
      <alignment vertical="top" wrapText="1"/>
    </xf>
    <xf numFmtId="0" fontId="14" fillId="0" borderId="4" xfId="4496" applyFont="1" applyBorder="1"/>
    <xf numFmtId="0" fontId="21" fillId="0" borderId="4" xfId="4496" applyFont="1" applyBorder="1" applyAlignment="1">
      <alignment horizontal="right"/>
    </xf>
    <xf numFmtId="0" fontId="22" fillId="0" borderId="27" xfId="4495" applyFont="1" applyBorder="1" applyAlignment="1">
      <alignment horizontal="left" vertical="top"/>
    </xf>
    <xf numFmtId="0" fontId="14" fillId="0" borderId="27" xfId="4495" applyFont="1" applyBorder="1" applyAlignment="1">
      <alignment horizontal="left" vertical="top"/>
    </xf>
    <xf numFmtId="0" fontId="21" fillId="0" borderId="27" xfId="4495" applyFont="1" applyBorder="1" applyAlignment="1">
      <alignment horizontal="right"/>
    </xf>
    <xf numFmtId="0" fontId="14" fillId="0" borderId="27" xfId="4495" applyFont="1" applyBorder="1" applyAlignment="1">
      <alignment horizontal="center"/>
    </xf>
    <xf numFmtId="0" fontId="14" fillId="0" borderId="46" xfId="4495" applyFont="1" applyBorder="1" applyAlignment="1">
      <alignment horizontal="center"/>
    </xf>
    <xf numFmtId="164" fontId="22" fillId="0" borderId="0" xfId="4495" applyNumberFormat="1" applyFont="1" applyAlignment="1">
      <alignment horizontal="left" vertical="top" wrapText="1"/>
    </xf>
    <xf numFmtId="0" fontId="25" fillId="0" borderId="0" xfId="4495" applyFont="1"/>
    <xf numFmtId="0" fontId="22" fillId="0" borderId="0" xfId="4495" applyFont="1" applyAlignment="1">
      <alignment horizontal="right"/>
    </xf>
    <xf numFmtId="0" fontId="14" fillId="0" borderId="27" xfId="543" applyBorder="1"/>
    <xf numFmtId="0" fontId="14" fillId="0" borderId="46" xfId="543" applyBorder="1"/>
    <xf numFmtId="0" fontId="21" fillId="0" borderId="0" xfId="4495" applyFont="1" applyAlignment="1">
      <alignment horizontal="left" vertical="top"/>
    </xf>
    <xf numFmtId="1" fontId="118" fillId="0" borderId="0" xfId="4495" applyNumberFormat="1"/>
    <xf numFmtId="0" fontId="14" fillId="0" borderId="0" xfId="4495" applyFont="1" applyAlignment="1">
      <alignment vertical="top" wrapText="1"/>
    </xf>
    <xf numFmtId="0" fontId="14" fillId="0" borderId="0" xfId="4495" applyFont="1" applyAlignment="1">
      <alignment horizontal="left" vertical="top" wrapText="1"/>
    </xf>
    <xf numFmtId="0" fontId="14" fillId="0" borderId="50" xfId="4495" applyFont="1" applyBorder="1" applyAlignment="1">
      <alignment vertical="top"/>
    </xf>
    <xf numFmtId="0" fontId="14" fillId="0" borderId="51" xfId="4495" applyFont="1" applyBorder="1" applyAlignment="1">
      <alignment vertical="top"/>
    </xf>
    <xf numFmtId="0" fontId="14" fillId="0" borderId="52" xfId="4495" applyFont="1" applyBorder="1" applyAlignment="1">
      <alignment vertical="top"/>
    </xf>
    <xf numFmtId="1" fontId="22" fillId="0" borderId="8" xfId="4495" applyNumberFormat="1" applyFont="1" applyBorder="1"/>
    <xf numFmtId="0" fontId="14" fillId="0" borderId="0" xfId="543" applyAlignment="1">
      <alignment vertical="top"/>
    </xf>
    <xf numFmtId="0" fontId="22" fillId="0" borderId="51" xfId="4495" applyFont="1" applyBorder="1" applyAlignment="1">
      <alignment horizontal="left" vertical="top"/>
    </xf>
    <xf numFmtId="0" fontId="22" fillId="0" borderId="52" xfId="4495" applyFont="1" applyBorder="1" applyAlignment="1">
      <alignment horizontal="left" vertical="top"/>
    </xf>
    <xf numFmtId="0" fontId="118" fillId="0" borderId="0" xfId="4495" applyAlignment="1" applyProtection="1">
      <alignment horizontal="center"/>
      <protection locked="0"/>
    </xf>
    <xf numFmtId="0" fontId="14" fillId="0" borderId="53" xfId="4495" applyFont="1" applyBorder="1" applyAlignment="1">
      <alignment vertical="top"/>
    </xf>
    <xf numFmtId="0" fontId="14" fillId="0" borderId="54" xfId="4495" applyFont="1" applyBorder="1" applyAlignment="1">
      <alignment vertical="top" wrapText="1"/>
    </xf>
    <xf numFmtId="0" fontId="59" fillId="0" borderId="53" xfId="4495" applyFont="1" applyBorder="1"/>
    <xf numFmtId="0" fontId="22" fillId="0" borderId="54" xfId="4495" applyFont="1" applyBorder="1" applyAlignment="1">
      <alignment horizontal="left" vertical="top"/>
    </xf>
    <xf numFmtId="0" fontId="14" fillId="0" borderId="53" xfId="4495" applyFont="1" applyBorder="1" applyAlignment="1">
      <alignment vertical="center" wrapText="1"/>
    </xf>
    <xf numFmtId="0" fontId="59" fillId="0" borderId="57" xfId="4495" applyFont="1" applyBorder="1"/>
    <xf numFmtId="0" fontId="22" fillId="0" borderId="58" xfId="4495" applyFont="1" applyBorder="1" applyAlignment="1">
      <alignment horizontal="left" vertical="top"/>
    </xf>
    <xf numFmtId="0" fontId="22" fillId="0" borderId="12" xfId="4495" applyFont="1" applyBorder="1"/>
    <xf numFmtId="0" fontId="14" fillId="0" borderId="57" xfId="4495" applyFont="1" applyBorder="1" applyAlignment="1">
      <alignment vertical="center"/>
    </xf>
    <xf numFmtId="0" fontId="14" fillId="0" borderId="58" xfId="4495" applyFont="1" applyBorder="1" applyAlignment="1">
      <alignment vertical="top"/>
    </xf>
    <xf numFmtId="0" fontId="14" fillId="0" borderId="59" xfId="4495" applyFont="1" applyBorder="1" applyAlignment="1">
      <alignment vertical="top"/>
    </xf>
    <xf numFmtId="0" fontId="14" fillId="0" borderId="0" xfId="4495" applyFont="1" applyAlignment="1">
      <alignment vertical="top"/>
    </xf>
    <xf numFmtId="0" fontId="22" fillId="0" borderId="4" xfId="4495" applyFont="1" applyBorder="1" applyAlignment="1">
      <alignment horizontal="left" vertical="top"/>
    </xf>
    <xf numFmtId="0" fontId="14" fillId="0" borderId="4" xfId="4495" applyFont="1" applyBorder="1" applyAlignment="1">
      <alignment horizontal="left" vertical="top"/>
    </xf>
    <xf numFmtId="0" fontId="14" fillId="0" borderId="2" xfId="4495" applyFont="1" applyBorder="1"/>
    <xf numFmtId="0" fontId="22" fillId="0" borderId="2" xfId="4495" applyFont="1" applyBorder="1"/>
    <xf numFmtId="0" fontId="14" fillId="0" borderId="2" xfId="4495" applyFont="1" applyBorder="1" applyAlignment="1">
      <alignment horizontal="center"/>
    </xf>
    <xf numFmtId="0" fontId="22" fillId="0" borderId="7" xfId="4495" applyFont="1" applyBorder="1"/>
    <xf numFmtId="0" fontId="30" fillId="0" borderId="0" xfId="4495" applyFont="1" applyAlignment="1">
      <alignment horizontal="right"/>
    </xf>
    <xf numFmtId="0" fontId="124" fillId="0" borderId="0" xfId="4495" applyFont="1" applyAlignment="1">
      <alignment horizontal="left" vertical="top" wrapText="1"/>
    </xf>
    <xf numFmtId="0" fontId="30" fillId="0" borderId="0" xfId="4495" applyFont="1" applyAlignment="1">
      <alignment horizontal="left" vertical="top"/>
    </xf>
    <xf numFmtId="0" fontId="22" fillId="0" borderId="0" xfId="4495" quotePrefix="1" applyFont="1" applyAlignment="1">
      <alignment horizontal="right"/>
    </xf>
    <xf numFmtId="0" fontId="14" fillId="0" borderId="0" xfId="4497"/>
    <xf numFmtId="0" fontId="22" fillId="0" borderId="0" xfId="4495" applyFont="1" applyAlignment="1">
      <alignment horizontal="left" vertical="top" wrapText="1" shrinkToFit="1"/>
    </xf>
    <xf numFmtId="0" fontId="118" fillId="0" borderId="0" xfId="4495" applyAlignment="1">
      <alignment vertical="top" wrapText="1"/>
    </xf>
    <xf numFmtId="0" fontId="22" fillId="0" borderId="4" xfId="4495" applyFont="1" applyBorder="1" applyAlignment="1">
      <alignment horizontal="left" vertical="top" wrapText="1" shrinkToFit="1"/>
    </xf>
    <xf numFmtId="0" fontId="30" fillId="0" borderId="8" xfId="4495" applyFont="1" applyBorder="1"/>
    <xf numFmtId="0" fontId="22" fillId="0" borderId="0" xfId="4495" applyFont="1" applyAlignment="1">
      <alignment horizontal="center"/>
    </xf>
    <xf numFmtId="0" fontId="22" fillId="0" borderId="0" xfId="4495" quotePrefix="1" applyFont="1"/>
    <xf numFmtId="0" fontId="22" fillId="0" borderId="0" xfId="4495" applyFont="1" applyAlignment="1">
      <alignment horizontal="left" vertical="top" shrinkToFit="1"/>
    </xf>
    <xf numFmtId="0" fontId="44" fillId="0" borderId="0" xfId="4495" applyFont="1"/>
    <xf numFmtId="0" fontId="22" fillId="0" borderId="3" xfId="4495" applyFont="1" applyBorder="1" applyAlignment="1">
      <alignment horizontal="center"/>
    </xf>
    <xf numFmtId="0" fontId="118" fillId="0" borderId="8" xfId="4495" applyBorder="1"/>
    <xf numFmtId="0" fontId="21" fillId="0" borderId="8" xfId="4495" applyFont="1" applyBorder="1" applyAlignment="1">
      <alignment vertical="top"/>
    </xf>
    <xf numFmtId="0" fontId="118" fillId="0" borderId="0" xfId="4495" applyAlignment="1">
      <alignment vertical="top"/>
    </xf>
    <xf numFmtId="0" fontId="21" fillId="0" borderId="4" xfId="4495" applyFont="1" applyBorder="1" applyAlignment="1">
      <alignment horizontal="center" vertical="top"/>
    </xf>
    <xf numFmtId="0" fontId="124" fillId="0" borderId="0" xfId="4495" applyFont="1" applyAlignment="1">
      <alignment horizontal="left" vertical="top"/>
    </xf>
    <xf numFmtId="0" fontId="124" fillId="0" borderId="4" xfId="4495" applyFont="1" applyBorder="1" applyAlignment="1">
      <alignment horizontal="left" vertical="top"/>
    </xf>
    <xf numFmtId="168" fontId="14" fillId="0" borderId="0" xfId="4497" applyNumberFormat="1"/>
    <xf numFmtId="1" fontId="22" fillId="0" borderId="0" xfId="4495" applyNumberFormat="1" applyFont="1" applyAlignment="1">
      <alignment horizontal="center" vertical="top"/>
    </xf>
    <xf numFmtId="0" fontId="128" fillId="0" borderId="0" xfId="4495" applyFont="1" applyAlignment="1">
      <alignment vertical="top" wrapText="1"/>
    </xf>
    <xf numFmtId="0" fontId="128" fillId="0" borderId="0" xfId="4495" applyFont="1" applyAlignment="1">
      <alignment horizontal="left" vertical="top" wrapText="1"/>
    </xf>
    <xf numFmtId="0" fontId="22" fillId="0" borderId="6" xfId="4495" applyFont="1" applyBorder="1"/>
    <xf numFmtId="1" fontId="22" fillId="0" borderId="8" xfId="4495" applyNumberFormat="1" applyFont="1" applyBorder="1" applyAlignment="1">
      <alignment horizontal="center" vertical="top"/>
    </xf>
    <xf numFmtId="0" fontId="118" fillId="0" borderId="12" xfId="4495" applyBorder="1"/>
    <xf numFmtId="0" fontId="22" fillId="0" borderId="9" xfId="4495" applyFont="1" applyBorder="1"/>
    <xf numFmtId="0" fontId="118" fillId="0" borderId="10" xfId="4495" applyBorder="1"/>
    <xf numFmtId="0" fontId="30" fillId="0" borderId="3" xfId="4495" applyFont="1" applyBorder="1"/>
    <xf numFmtId="0" fontId="21" fillId="0" borderId="4" xfId="4495" applyFont="1" applyBorder="1"/>
    <xf numFmtId="0" fontId="118" fillId="0" borderId="12" xfId="4495" applyBorder="1" applyAlignment="1">
      <alignment vertical="top"/>
    </xf>
    <xf numFmtId="0" fontId="30" fillId="0" borderId="1" xfId="4495" applyFont="1" applyBorder="1"/>
    <xf numFmtId="0" fontId="128" fillId="0" borderId="2" xfId="4495" applyFont="1" applyBorder="1" applyAlignment="1">
      <alignment horizontal="left" wrapText="1"/>
    </xf>
    <xf numFmtId="0" fontId="128" fillId="0" borderId="2" xfId="4495" applyFont="1" applyBorder="1" applyAlignment="1">
      <alignment horizontal="left"/>
    </xf>
    <xf numFmtId="0" fontId="128" fillId="0" borderId="7" xfId="4495" applyFont="1" applyBorder="1" applyAlignment="1">
      <alignment horizontal="left" wrapText="1"/>
    </xf>
    <xf numFmtId="0" fontId="128" fillId="0" borderId="0" xfId="4495" applyFont="1" applyAlignment="1">
      <alignment horizontal="left" wrapText="1"/>
    </xf>
    <xf numFmtId="0" fontId="30" fillId="0" borderId="9" xfId="4495" applyFont="1" applyBorder="1"/>
    <xf numFmtId="0" fontId="22" fillId="0" borderId="10" xfId="4495" applyFont="1" applyBorder="1"/>
    <xf numFmtId="0" fontId="128" fillId="0" borderId="0" xfId="4495" applyFont="1" applyAlignment="1">
      <alignment wrapText="1"/>
    </xf>
    <xf numFmtId="0" fontId="30" fillId="0" borderId="9" xfId="4495" applyFont="1" applyBorder="1" applyAlignment="1">
      <alignment horizontal="center"/>
    </xf>
    <xf numFmtId="0" fontId="21" fillId="0" borderId="10" xfId="4495" applyFont="1" applyBorder="1"/>
    <xf numFmtId="0" fontId="32" fillId="0" borderId="0" xfId="4495" applyFont="1"/>
    <xf numFmtId="0" fontId="22" fillId="0" borderId="50" xfId="4495" applyFont="1" applyBorder="1"/>
    <xf numFmtId="0" fontId="22" fillId="0" borderId="51" xfId="4495" applyFont="1" applyBorder="1"/>
    <xf numFmtId="1" fontId="22" fillId="0" borderId="51" xfId="4495" quotePrefix="1" applyNumberFormat="1" applyFont="1" applyBorder="1" applyAlignment="1">
      <alignment horizontal="center" vertical="top"/>
    </xf>
    <xf numFmtId="0" fontId="21" fillId="0" borderId="51" xfId="4495" applyFont="1" applyBorder="1"/>
    <xf numFmtId="0" fontId="21" fillId="0" borderId="52" xfId="4495" applyFont="1" applyBorder="1" applyAlignment="1">
      <alignment horizontal="center"/>
    </xf>
    <xf numFmtId="0" fontId="14" fillId="0" borderId="53" xfId="4495" applyFont="1" applyBorder="1"/>
    <xf numFmtId="1" fontId="22" fillId="0" borderId="0" xfId="4495" quotePrefix="1" applyNumberFormat="1" applyFont="1" applyAlignment="1">
      <alignment horizontal="center" vertical="top"/>
    </xf>
    <xf numFmtId="0" fontId="21" fillId="0" borderId="54" xfId="4495" applyFont="1" applyBorder="1" applyAlignment="1">
      <alignment horizontal="center"/>
    </xf>
    <xf numFmtId="0" fontId="30" fillId="0" borderId="0" xfId="4495" applyFont="1" applyAlignment="1">
      <alignment vertical="top"/>
    </xf>
    <xf numFmtId="0" fontId="22" fillId="0" borderId="61" xfId="4495" applyFont="1" applyBorder="1"/>
    <xf numFmtId="0" fontId="118" fillId="0" borderId="58" xfId="4495" applyBorder="1" applyAlignment="1">
      <alignment horizontal="center"/>
    </xf>
    <xf numFmtId="1" fontId="22" fillId="0" borderId="58" xfId="4495" quotePrefix="1" applyNumberFormat="1" applyFont="1" applyBorder="1" applyAlignment="1">
      <alignment horizontal="center" vertical="top"/>
    </xf>
    <xf numFmtId="0" fontId="30" fillId="0" borderId="58" xfId="4495" applyFont="1" applyBorder="1" applyAlignment="1">
      <alignment vertical="top"/>
    </xf>
    <xf numFmtId="0" fontId="22" fillId="0" borderId="58" xfId="4495" applyFont="1" applyBorder="1" applyAlignment="1">
      <alignment vertical="top" wrapText="1"/>
    </xf>
    <xf numFmtId="0" fontId="22" fillId="0" borderId="58" xfId="4495" applyFont="1" applyBorder="1"/>
    <xf numFmtId="0" fontId="21" fillId="0" borderId="58" xfId="4495" applyFont="1" applyBorder="1" applyAlignment="1">
      <alignment horizontal="center"/>
    </xf>
    <xf numFmtId="0" fontId="118" fillId="0" borderId="61" xfId="4495" applyBorder="1"/>
    <xf numFmtId="0" fontId="118" fillId="0" borderId="0" xfId="4495" applyAlignment="1">
      <alignment horizontal="center"/>
    </xf>
    <xf numFmtId="0" fontId="14" fillId="0" borderId="53" xfId="543" applyBorder="1"/>
    <xf numFmtId="0" fontId="22" fillId="0" borderId="54" xfId="4495" applyFont="1" applyBorder="1"/>
    <xf numFmtId="0" fontId="14" fillId="0" borderId="58" xfId="543" applyBorder="1"/>
    <xf numFmtId="1" fontId="22" fillId="0" borderId="58" xfId="4495" applyNumberFormat="1" applyFont="1" applyBorder="1" applyAlignment="1">
      <alignment horizontal="center" vertical="top"/>
    </xf>
    <xf numFmtId="0" fontId="30" fillId="0" borderId="58" xfId="4495" applyFont="1" applyBorder="1" applyAlignment="1">
      <alignment vertical="center"/>
    </xf>
    <xf numFmtId="0" fontId="118" fillId="0" borderId="58" xfId="4495" applyBorder="1" applyAlignment="1">
      <alignment vertical="top" wrapText="1"/>
    </xf>
    <xf numFmtId="0" fontId="14" fillId="0" borderId="58" xfId="4495" applyFont="1" applyBorder="1"/>
    <xf numFmtId="0" fontId="30" fillId="0" borderId="0" xfId="4495" applyFont="1" applyAlignment="1">
      <alignment vertical="center"/>
    </xf>
    <xf numFmtId="0" fontId="22" fillId="0" borderId="53" xfId="4495" applyFont="1" applyBorder="1"/>
    <xf numFmtId="0" fontId="14" fillId="0" borderId="57" xfId="543" applyBorder="1"/>
    <xf numFmtId="0" fontId="22" fillId="0" borderId="58" xfId="4495" applyFont="1" applyBorder="1" applyAlignment="1">
      <alignment vertical="top"/>
    </xf>
    <xf numFmtId="0" fontId="22" fillId="0" borderId="59" xfId="4495" applyFont="1" applyBorder="1"/>
    <xf numFmtId="0" fontId="22" fillId="0" borderId="57" xfId="4495" applyFont="1" applyBorder="1"/>
    <xf numFmtId="0" fontId="14" fillId="0" borderId="51" xfId="4495" applyFont="1" applyBorder="1"/>
    <xf numFmtId="0" fontId="22" fillId="0" borderId="52" xfId="4495" applyFont="1" applyBorder="1"/>
    <xf numFmtId="0" fontId="14" fillId="0" borderId="50" xfId="543" applyBorder="1"/>
    <xf numFmtId="0" fontId="14" fillId="0" borderId="51" xfId="543" applyBorder="1"/>
    <xf numFmtId="0" fontId="14" fillId="0" borderId="52" xfId="543" applyBorder="1"/>
    <xf numFmtId="0" fontId="22" fillId="0" borderId="0" xfId="4495" applyFont="1" applyAlignment="1">
      <alignment wrapText="1"/>
    </xf>
    <xf numFmtId="0" fontId="21" fillId="0" borderId="54" xfId="4495" applyFont="1" applyBorder="1" applyAlignment="1">
      <alignment horizontal="center" vertical="top"/>
    </xf>
    <xf numFmtId="0" fontId="118" fillId="0" borderId="53" xfId="4495" applyBorder="1" applyAlignment="1">
      <alignment horizontal="center"/>
    </xf>
    <xf numFmtId="2" fontId="22" fillId="0" borderId="0" xfId="4495" applyNumberFormat="1" applyFont="1" applyAlignment="1">
      <alignment horizontal="right"/>
    </xf>
    <xf numFmtId="2" fontId="22" fillId="0" borderId="8" xfId="4495" applyNumberFormat="1" applyFont="1" applyBorder="1" applyAlignment="1">
      <alignment horizontal="left"/>
    </xf>
    <xf numFmtId="0" fontId="22" fillId="0" borderId="8" xfId="4495" applyFont="1" applyBorder="1" applyAlignment="1">
      <alignment horizontal="right"/>
    </xf>
    <xf numFmtId="0" fontId="127" fillId="0" borderId="0" xfId="4495" applyFont="1"/>
    <xf numFmtId="0" fontId="118" fillId="0" borderId="57" xfId="4495" applyBorder="1" applyAlignment="1">
      <alignment horizontal="center"/>
    </xf>
    <xf numFmtId="0" fontId="21" fillId="0" borderId="59" xfId="4495" applyFont="1" applyBorder="1" applyAlignment="1">
      <alignment horizontal="center"/>
    </xf>
    <xf numFmtId="9" fontId="22" fillId="0" borderId="0" xfId="4495" applyNumberFormat="1" applyFont="1" applyAlignment="1">
      <alignment horizontal="left"/>
    </xf>
    <xf numFmtId="0" fontId="14" fillId="0" borderId="17" xfId="543" applyBorder="1"/>
    <xf numFmtId="0" fontId="14" fillId="0" borderId="16" xfId="543" applyBorder="1"/>
    <xf numFmtId="0" fontId="14" fillId="0" borderId="51" xfId="4495" quotePrefix="1" applyFont="1" applyBorder="1" applyAlignment="1">
      <alignment horizontal="center" vertical="top"/>
    </xf>
    <xf numFmtId="0" fontId="22" fillId="0" borderId="53" xfId="4495" applyFont="1" applyBorder="1" applyAlignment="1">
      <alignment horizontal="left" vertical="top"/>
    </xf>
    <xf numFmtId="0" fontId="22" fillId="0" borderId="0" xfId="4495" applyFont="1" applyAlignment="1">
      <alignment horizontal="center" vertical="top"/>
    </xf>
    <xf numFmtId="0" fontId="22" fillId="0" borderId="57" xfId="4495" applyFont="1" applyBorder="1" applyAlignment="1">
      <alignment horizontal="left" vertical="top"/>
    </xf>
    <xf numFmtId="0" fontId="22" fillId="0" borderId="58" xfId="4495" applyFont="1" applyBorder="1" applyAlignment="1">
      <alignment horizontal="center" vertical="top"/>
    </xf>
    <xf numFmtId="0" fontId="118" fillId="0" borderId="58" xfId="4495" applyBorder="1"/>
    <xf numFmtId="0" fontId="21" fillId="0" borderId="58" xfId="4495" applyFont="1" applyBorder="1" applyAlignment="1">
      <alignment vertical="top"/>
    </xf>
    <xf numFmtId="0" fontId="21" fillId="0" borderId="58" xfId="4495" applyFont="1" applyBorder="1" applyAlignment="1">
      <alignment horizontal="left" vertical="top"/>
    </xf>
    <xf numFmtId="0" fontId="21" fillId="0" borderId="51" xfId="4495" applyFont="1" applyBorder="1" applyAlignment="1">
      <alignment horizontal="left" vertical="top"/>
    </xf>
    <xf numFmtId="0" fontId="21" fillId="0" borderId="53" xfId="4495" applyFont="1" applyBorder="1" applyAlignment="1">
      <alignment horizontal="left" vertical="top"/>
    </xf>
    <xf numFmtId="0" fontId="51" fillId="0" borderId="0" xfId="4495" applyFont="1" applyAlignment="1">
      <alignment horizontal="left" vertical="top"/>
    </xf>
    <xf numFmtId="0" fontId="22" fillId="0" borderId="0" xfId="4495" quotePrefix="1" applyFont="1" applyAlignment="1">
      <alignment horizontal="center" vertical="top"/>
    </xf>
    <xf numFmtId="0" fontId="52" fillId="0" borderId="0" xfId="4495" applyFont="1" applyAlignment="1">
      <alignment horizontal="center"/>
    </xf>
    <xf numFmtId="0" fontId="52" fillId="0" borderId="0" xfId="4495" applyFont="1" applyAlignment="1">
      <alignment vertical="top"/>
    </xf>
    <xf numFmtId="0" fontId="105" fillId="0" borderId="0" xfId="4495" applyFont="1"/>
    <xf numFmtId="0" fontId="51" fillId="0" borderId="0" xfId="4495" applyFont="1" applyAlignment="1">
      <alignment vertical="top"/>
    </xf>
    <xf numFmtId="0" fontId="30" fillId="0" borderId="53" xfId="4495" applyFont="1" applyBorder="1"/>
    <xf numFmtId="2" fontId="22" fillId="0" borderId="8" xfId="4495" applyNumberFormat="1" applyFont="1" applyBorder="1" applyAlignment="1">
      <alignment horizontal="right"/>
    </xf>
    <xf numFmtId="0" fontId="21" fillId="0" borderId="50" xfId="4495" applyFont="1" applyBorder="1" applyAlignment="1">
      <alignment horizontal="left" vertical="top"/>
    </xf>
    <xf numFmtId="0" fontId="51" fillId="0" borderId="51" xfId="4495" applyFont="1" applyBorder="1" applyAlignment="1">
      <alignment horizontal="left" vertical="top"/>
    </xf>
    <xf numFmtId="0" fontId="118" fillId="0" borderId="53" xfId="4495" applyBorder="1"/>
    <xf numFmtId="0" fontId="105" fillId="0" borderId="0" xfId="4495" applyFont="1" applyAlignment="1">
      <alignment horizontal="left" vertical="top"/>
    </xf>
    <xf numFmtId="1" fontId="21" fillId="0" borderId="58" xfId="4495" applyNumberFormat="1" applyFont="1" applyBorder="1" applyAlignment="1">
      <alignment vertical="top"/>
    </xf>
    <xf numFmtId="172" fontId="21" fillId="0" borderId="8" xfId="543" applyNumberFormat="1" applyFont="1" applyBorder="1"/>
    <xf numFmtId="172" fontId="21" fillId="0" borderId="0" xfId="543" applyNumberFormat="1" applyFont="1"/>
    <xf numFmtId="0" fontId="30" fillId="0" borderId="0" xfId="4495" applyFont="1" applyAlignment="1">
      <alignment wrapText="1"/>
    </xf>
    <xf numFmtId="0" fontId="30" fillId="0" borderId="0" xfId="4495" applyFont="1" applyAlignment="1">
      <alignment horizontal="center"/>
    </xf>
    <xf numFmtId="0" fontId="30" fillId="0" borderId="0" xfId="4495" applyFont="1" applyAlignment="1">
      <alignment vertical="center" wrapText="1"/>
    </xf>
    <xf numFmtId="180" fontId="22" fillId="0" borderId="0" xfId="4495" applyNumberFormat="1" applyFont="1" applyAlignment="1">
      <alignment horizontal="center"/>
    </xf>
    <xf numFmtId="1" fontId="22" fillId="0" borderId="0" xfId="4495" applyNumberFormat="1" applyFont="1" applyAlignment="1">
      <alignment horizontal="center"/>
    </xf>
    <xf numFmtId="0" fontId="21" fillId="0" borderId="51" xfId="4495" applyFont="1" applyBorder="1" applyAlignment="1">
      <alignment horizontal="center"/>
    </xf>
    <xf numFmtId="0" fontId="21" fillId="0" borderId="51" xfId="4495" applyFont="1" applyBorder="1" applyAlignment="1">
      <alignment vertical="top"/>
    </xf>
    <xf numFmtId="0" fontId="21" fillId="0" borderId="53" xfId="4495" applyFont="1" applyBorder="1"/>
    <xf numFmtId="0" fontId="14" fillId="0" borderId="54" xfId="543" applyBorder="1"/>
    <xf numFmtId="49" fontId="22" fillId="0" borderId="0" xfId="4495" applyNumberFormat="1" applyFont="1" applyAlignment="1">
      <alignment horizontal="left" vertical="center" wrapText="1"/>
    </xf>
    <xf numFmtId="0" fontId="14" fillId="0" borderId="57" xfId="4495" applyFont="1" applyBorder="1"/>
    <xf numFmtId="1" fontId="14" fillId="0" borderId="0" xfId="4495" applyNumberFormat="1" applyFont="1" applyAlignment="1">
      <alignment vertical="center"/>
    </xf>
    <xf numFmtId="0" fontId="32" fillId="0" borderId="50" xfId="4495" applyFont="1" applyBorder="1"/>
    <xf numFmtId="0" fontId="22" fillId="0" borderId="51" xfId="4495" applyFont="1" applyBorder="1" applyAlignment="1">
      <alignment horizontal="center" vertical="top"/>
    </xf>
    <xf numFmtId="0" fontId="22" fillId="0" borderId="51" xfId="4495" applyFont="1" applyBorder="1" applyAlignment="1">
      <alignment vertical="top" wrapText="1"/>
    </xf>
    <xf numFmtId="0" fontId="22" fillId="0" borderId="51" xfId="4495" applyFont="1" applyBorder="1" applyAlignment="1">
      <alignment horizontal="left" vertical="top" wrapText="1"/>
    </xf>
    <xf numFmtId="0" fontId="14" fillId="0" borderId="0" xfId="4495" quotePrefix="1" applyFont="1" applyAlignment="1">
      <alignment horizontal="center" vertical="top"/>
    </xf>
    <xf numFmtId="1" fontId="22" fillId="0" borderId="0" xfId="4495" quotePrefix="1" applyNumberFormat="1" applyFont="1" applyAlignment="1">
      <alignment wrapText="1"/>
    </xf>
    <xf numFmtId="0" fontId="22" fillId="0" borderId="6" xfId="4495" applyFont="1" applyBorder="1" applyAlignment="1">
      <alignment horizontal="right"/>
    </xf>
    <xf numFmtId="0" fontId="120" fillId="0" borderId="0" xfId="4496" applyFont="1" applyAlignment="1">
      <alignment wrapText="1"/>
    </xf>
    <xf numFmtId="0" fontId="14" fillId="0" borderId="0" xfId="4496" applyFont="1" applyAlignment="1">
      <alignment wrapText="1"/>
    </xf>
    <xf numFmtId="0" fontId="30" fillId="0" borderId="51" xfId="4495" applyFont="1" applyBorder="1" applyAlignment="1">
      <alignment vertical="top"/>
    </xf>
    <xf numFmtId="0" fontId="14" fillId="0" borderId="51" xfId="4496" applyFont="1" applyBorder="1" applyAlignment="1">
      <alignment wrapText="1"/>
    </xf>
    <xf numFmtId="0" fontId="21" fillId="0" borderId="51" xfId="4495" applyFont="1" applyBorder="1" applyAlignment="1">
      <alignment horizontal="right"/>
    </xf>
    <xf numFmtId="0" fontId="14" fillId="0" borderId="52" xfId="4495" applyFont="1" applyBorder="1" applyAlignment="1">
      <alignment horizontal="center"/>
    </xf>
    <xf numFmtId="0" fontId="14" fillId="0" borderId="53" xfId="4495" applyFont="1" applyBorder="1" applyAlignment="1">
      <alignment horizontal="left" vertical="top"/>
    </xf>
    <xf numFmtId="0" fontId="14" fillId="0" borderId="54" xfId="4495" applyFont="1" applyBorder="1" applyAlignment="1">
      <alignment horizontal="left" vertical="top"/>
    </xf>
    <xf numFmtId="0" fontId="14" fillId="0" borderId="54" xfId="4495" applyFont="1" applyBorder="1" applyAlignment="1">
      <alignment horizontal="center"/>
    </xf>
    <xf numFmtId="0" fontId="14" fillId="0" borderId="59" xfId="4495" applyFont="1" applyBorder="1" applyAlignment="1">
      <alignment horizontal="center"/>
    </xf>
    <xf numFmtId="9" fontId="14" fillId="0" borderId="0" xfId="4496" applyNumberFormat="1" applyFont="1" applyAlignment="1">
      <alignment horizontal="center"/>
    </xf>
    <xf numFmtId="1" fontId="14" fillId="0" borderId="0" xfId="543" applyNumberFormat="1"/>
    <xf numFmtId="0" fontId="22" fillId="0" borderId="1" xfId="4495" applyFont="1" applyBorder="1"/>
    <xf numFmtId="0" fontId="21" fillId="0" borderId="0" xfId="4495" applyFont="1" applyAlignment="1">
      <alignment horizontal="center" wrapText="1"/>
    </xf>
    <xf numFmtId="0" fontId="21" fillId="0" borderId="9" xfId="4495" applyFont="1" applyBorder="1" applyAlignment="1">
      <alignment horizontal="left"/>
    </xf>
    <xf numFmtId="0" fontId="21" fillId="0" borderId="3" xfId="4495" applyFont="1" applyBorder="1" applyAlignment="1">
      <alignment horizontal="left"/>
    </xf>
    <xf numFmtId="0" fontId="21" fillId="0" borderId="4" xfId="4495" applyFont="1" applyBorder="1" applyAlignment="1">
      <alignment horizontal="left"/>
    </xf>
    <xf numFmtId="0" fontId="14" fillId="0" borderId="2" xfId="4495" applyFont="1" applyBorder="1" applyAlignment="1">
      <alignment horizontal="left"/>
    </xf>
    <xf numFmtId="0" fontId="21" fillId="0" borderId="2" xfId="4495" applyFont="1" applyBorder="1" applyAlignment="1">
      <alignment horizontal="left"/>
    </xf>
    <xf numFmtId="0" fontId="21" fillId="0" borderId="5" xfId="4495" applyFont="1" applyBorder="1" applyAlignment="1">
      <alignment horizontal="left"/>
    </xf>
    <xf numFmtId="180" fontId="62" fillId="0" borderId="0" xfId="4495" applyNumberFormat="1" applyFont="1" applyAlignment="1">
      <alignment horizontal="center" vertical="center"/>
    </xf>
    <xf numFmtId="0" fontId="14" fillId="0" borderId="12" xfId="4495" applyFont="1" applyBorder="1" applyAlignment="1">
      <alignment vertical="top"/>
    </xf>
    <xf numFmtId="0" fontId="44" fillId="0" borderId="0" xfId="4495" applyFont="1" applyAlignment="1">
      <alignment vertical="top" wrapText="1"/>
    </xf>
    <xf numFmtId="0" fontId="14" fillId="0" borderId="51" xfId="4495" applyFont="1" applyBorder="1" applyAlignment="1">
      <alignment horizontal="left" vertical="top" wrapText="1"/>
    </xf>
    <xf numFmtId="0" fontId="14" fillId="0" borderId="51" xfId="4495" applyFont="1" applyBorder="1" applyAlignment="1">
      <alignment horizontal="right"/>
    </xf>
    <xf numFmtId="0" fontId="14" fillId="0" borderId="52" xfId="4495" applyFont="1" applyBorder="1" applyAlignment="1">
      <alignment horizontal="right"/>
    </xf>
    <xf numFmtId="0" fontId="14" fillId="0" borderId="54" xfId="4495" applyFont="1" applyBorder="1" applyAlignment="1">
      <alignment horizontal="right"/>
    </xf>
    <xf numFmtId="0" fontId="14" fillId="0" borderId="58" xfId="4495" applyFont="1" applyBorder="1" applyAlignment="1">
      <alignment horizontal="left" vertical="top" wrapText="1"/>
    </xf>
    <xf numFmtId="0" fontId="14" fillId="0" borderId="58" xfId="4495" applyFont="1" applyBorder="1" applyAlignment="1">
      <alignment horizontal="right"/>
    </xf>
    <xf numFmtId="0" fontId="14" fillId="0" borderId="59" xfId="4495" applyFont="1" applyBorder="1" applyAlignment="1">
      <alignment horizontal="right"/>
    </xf>
    <xf numFmtId="0" fontId="44" fillId="0" borderId="0" xfId="4495" applyFont="1" applyAlignment="1">
      <alignment horizontal="left" vertical="top" wrapText="1"/>
    </xf>
    <xf numFmtId="0" fontId="14" fillId="0" borderId="0" xfId="1192" applyAlignment="1">
      <alignment horizontal="left" vertical="top"/>
    </xf>
    <xf numFmtId="0" fontId="32" fillId="0" borderId="0" xfId="1192" applyFont="1" applyAlignment="1">
      <alignment horizontal="left" vertical="top"/>
    </xf>
    <xf numFmtId="0" fontId="14" fillId="0" borderId="0" xfId="1192" applyAlignment="1">
      <alignment vertical="top"/>
    </xf>
    <xf numFmtId="168" fontId="14" fillId="0" borderId="0" xfId="1192" applyNumberFormat="1"/>
    <xf numFmtId="165" fontId="14" fillId="0" borderId="0" xfId="1192" applyNumberFormat="1"/>
    <xf numFmtId="165" fontId="14" fillId="0" borderId="0" xfId="1192" applyNumberFormat="1" applyAlignment="1">
      <alignment horizontal="right"/>
    </xf>
    <xf numFmtId="2" fontId="14" fillId="0" borderId="0" xfId="1192" applyNumberFormat="1"/>
    <xf numFmtId="6" fontId="14" fillId="0" borderId="0" xfId="1192" applyNumberFormat="1"/>
    <xf numFmtId="0" fontId="21" fillId="0" borderId="0" xfId="1192" applyFont="1"/>
    <xf numFmtId="0" fontId="44" fillId="0" borderId="0" xfId="1192" applyFont="1"/>
    <xf numFmtId="168" fontId="14" fillId="0" borderId="0" xfId="4495" applyNumberFormat="1" applyFont="1"/>
    <xf numFmtId="0" fontId="21" fillId="0" borderId="0" xfId="1192" applyFont="1" applyAlignment="1">
      <alignment vertical="center"/>
    </xf>
    <xf numFmtId="0" fontId="116" fillId="0" borderId="0" xfId="1192" applyFont="1" applyAlignment="1">
      <alignment horizontal="left"/>
    </xf>
    <xf numFmtId="0" fontId="113" fillId="0" borderId="0" xfId="1192" applyFont="1" applyAlignment="1">
      <alignment horizontal="left"/>
    </xf>
    <xf numFmtId="0" fontId="113" fillId="0" borderId="0" xfId="1192" applyFont="1" applyAlignment="1">
      <alignment horizontal="center"/>
    </xf>
    <xf numFmtId="168" fontId="14" fillId="0" borderId="0" xfId="1192" applyNumberFormat="1" applyAlignment="1">
      <alignment horizontal="center"/>
    </xf>
    <xf numFmtId="9" fontId="14" fillId="0" borderId="0" xfId="1192" applyNumberFormat="1"/>
    <xf numFmtId="0" fontId="14" fillId="0" borderId="0" xfId="1192" applyAlignment="1">
      <alignment horizontal="right"/>
    </xf>
    <xf numFmtId="0" fontId="14" fillId="0" borderId="53" xfId="4495" applyFont="1" applyBorder="1" applyAlignment="1">
      <alignment horizontal="left"/>
    </xf>
    <xf numFmtId="6" fontId="21" fillId="0" borderId="0" xfId="1192" applyNumberFormat="1" applyFont="1" applyAlignment="1">
      <alignment horizontal="right"/>
    </xf>
    <xf numFmtId="165" fontId="14" fillId="0" borderId="0" xfId="4495" applyNumberFormat="1" applyFont="1"/>
    <xf numFmtId="0" fontId="52" fillId="0" borderId="4" xfId="4495" applyFont="1" applyBorder="1"/>
    <xf numFmtId="0" fontId="34" fillId="0" borderId="0" xfId="543" applyFont="1" applyAlignment="1">
      <alignment vertical="center" wrapText="1"/>
    </xf>
    <xf numFmtId="1" fontId="21" fillId="0" borderId="13" xfId="271" applyNumberFormat="1" applyFont="1" applyBorder="1"/>
    <xf numFmtId="1" fontId="23" fillId="0" borderId="13" xfId="271" applyNumberFormat="1" applyBorder="1"/>
    <xf numFmtId="0" fontId="14" fillId="0" borderId="11" xfId="0" applyFont="1" applyBorder="1"/>
    <xf numFmtId="9" fontId="14" fillId="0" borderId="0" xfId="4495" applyNumberFormat="1" applyFont="1"/>
    <xf numFmtId="165" fontId="120" fillId="0" borderId="0" xfId="4496" applyNumberFormat="1" applyFont="1" applyAlignment="1">
      <alignment horizontal="center" vertical="top" wrapText="1"/>
    </xf>
    <xf numFmtId="168" fontId="120" fillId="0" borderId="0" xfId="4496" applyNumberFormat="1" applyFont="1" applyAlignment="1">
      <alignment vertical="top" wrapText="1"/>
    </xf>
    <xf numFmtId="165" fontId="120" fillId="0" borderId="64" xfId="4496" applyNumberFormat="1" applyFont="1" applyBorder="1" applyAlignment="1">
      <alignment horizontal="center" vertical="top" wrapText="1"/>
    </xf>
    <xf numFmtId="165" fontId="120" fillId="0" borderId="53" xfId="4496" applyNumberFormat="1" applyFont="1" applyBorder="1" applyAlignment="1">
      <alignment horizontal="left" vertical="top"/>
    </xf>
    <xf numFmtId="165" fontId="120" fillId="0" borderId="53" xfId="4496" applyNumberFormat="1" applyFont="1" applyBorder="1" applyAlignment="1">
      <alignment horizontal="center" vertical="top" wrapText="1"/>
    </xf>
    <xf numFmtId="168" fontId="120" fillId="0" borderId="0" xfId="4496" applyNumberFormat="1" applyFont="1" applyAlignment="1">
      <alignment vertical="top"/>
    </xf>
    <xf numFmtId="1" fontId="120" fillId="0" borderId="0" xfId="4496" applyNumberFormat="1" applyFont="1" applyAlignment="1">
      <alignment vertical="top" wrapText="1"/>
    </xf>
    <xf numFmtId="164" fontId="22" fillId="0" borderId="0" xfId="4495" applyNumberFormat="1" applyFont="1"/>
    <xf numFmtId="0" fontId="21" fillId="0" borderId="8" xfId="0" applyFont="1" applyBorder="1" applyAlignment="1">
      <alignment horizontal="center" vertical="center" wrapText="1"/>
    </xf>
    <xf numFmtId="0" fontId="21"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9" fillId="0" borderId="50" xfId="1192" applyFont="1" applyBorder="1" applyAlignment="1">
      <alignment horizontal="left"/>
    </xf>
    <xf numFmtId="0" fontId="140" fillId="0" borderId="51" xfId="4495" applyFont="1" applyBorder="1" applyAlignment="1">
      <alignment vertical="top"/>
    </xf>
    <xf numFmtId="0" fontId="139" fillId="0" borderId="51" xfId="4495" applyFont="1" applyBorder="1" applyAlignment="1">
      <alignment vertical="top" wrapText="1"/>
    </xf>
    <xf numFmtId="0" fontId="140" fillId="0" borderId="51" xfId="4495" applyFont="1" applyBorder="1"/>
    <xf numFmtId="0" fontId="140" fillId="0" borderId="53" xfId="1192" applyFont="1" applyBorder="1" applyAlignment="1">
      <alignment horizontal="left"/>
    </xf>
    <xf numFmtId="0" fontId="140" fillId="0" borderId="0" xfId="4495" applyFont="1" applyAlignment="1">
      <alignment vertical="top"/>
    </xf>
    <xf numFmtId="0" fontId="139" fillId="0" borderId="0" xfId="4495" applyFont="1" applyAlignment="1">
      <alignment vertical="top" wrapText="1"/>
    </xf>
    <xf numFmtId="0" fontId="140" fillId="0" borderId="0" xfId="4495" applyFont="1"/>
    <xf numFmtId="0" fontId="139" fillId="0" borderId="53" xfId="1192" applyFont="1" applyBorder="1" applyAlignment="1">
      <alignment horizontal="left"/>
    </xf>
    <xf numFmtId="0" fontId="139" fillId="0" borderId="57" xfId="1192" applyFont="1" applyBorder="1" applyAlignment="1">
      <alignment horizontal="left"/>
    </xf>
    <xf numFmtId="0" fontId="140" fillId="0" borderId="58" xfId="4495" applyFont="1" applyBorder="1" applyAlignment="1">
      <alignment vertical="top"/>
    </xf>
    <xf numFmtId="0" fontId="139" fillId="0" borderId="58" xfId="4495" applyFont="1" applyBorder="1" applyAlignment="1">
      <alignment vertical="top" wrapText="1"/>
    </xf>
    <xf numFmtId="0" fontId="140" fillId="0" borderId="58" xfId="4495" applyFont="1" applyBorder="1"/>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21" fillId="0" borderId="7" xfId="0" applyFont="1" applyBorder="1" applyAlignment="1">
      <alignment horizontal="right"/>
    </xf>
    <xf numFmtId="0" fontId="0" fillId="0" borderId="0" xfId="0" applyAlignment="1" applyProtection="1">
      <alignment horizontal="left" vertical="top" wrapText="1"/>
      <protection locked="0"/>
    </xf>
    <xf numFmtId="2" fontId="14" fillId="0" borderId="0" xfId="0" applyNumberFormat="1" applyFont="1"/>
    <xf numFmtId="0" fontId="14" fillId="0" borderId="9" xfId="0" applyFont="1" applyBorder="1" applyAlignment="1">
      <alignment horizontal="left"/>
    </xf>
    <xf numFmtId="0" fontId="14" fillId="0" borderId="6" xfId="0" applyFont="1" applyBorder="1"/>
    <xf numFmtId="0" fontId="14" fillId="0" borderId="9" xfId="0" applyFont="1" applyBorder="1"/>
    <xf numFmtId="0" fontId="47" fillId="0" borderId="0" xfId="0" applyFont="1" applyAlignment="1">
      <alignment horizontal="center"/>
    </xf>
    <xf numFmtId="0" fontId="20" fillId="0" borderId="0" xfId="0" applyFont="1" applyAlignment="1">
      <alignment horizontal="center" vertical="center" wrapText="1"/>
    </xf>
    <xf numFmtId="0" fontId="29" fillId="0" borderId="0" xfId="0" applyFont="1" applyAlignment="1">
      <alignment horizontal="center"/>
    </xf>
    <xf numFmtId="0" fontId="22" fillId="0" borderId="0" xfId="0" applyFont="1" applyAlignment="1">
      <alignment horizontal="center"/>
    </xf>
    <xf numFmtId="0" fontId="21" fillId="0" borderId="3" xfId="0" applyFont="1" applyBorder="1"/>
    <xf numFmtId="0" fontId="21" fillId="0" borderId="4" xfId="271" applyFont="1" applyBorder="1"/>
    <xf numFmtId="0" fontId="21" fillId="0" borderId="3" xfId="271" applyFont="1" applyBorder="1"/>
    <xf numFmtId="0" fontId="21" fillId="0" borderId="5" xfId="271" applyFont="1" applyBorder="1"/>
    <xf numFmtId="0" fontId="14" fillId="0" borderId="58" xfId="4495" applyFont="1" applyBorder="1" applyAlignment="1">
      <alignment vertical="center" wrapText="1"/>
    </xf>
    <xf numFmtId="0" fontId="14" fillId="0" borderId="59" xfId="4495" applyFont="1" applyBorder="1" applyAlignment="1">
      <alignment vertical="center" wrapText="1"/>
    </xf>
    <xf numFmtId="0" fontId="14" fillId="0" borderId="0" xfId="4495" applyFont="1" applyAlignment="1">
      <alignment horizontal="left" vertical="center" wrapText="1"/>
    </xf>
    <xf numFmtId="0" fontId="21" fillId="0" borderId="5" xfId="0" applyFont="1" applyBorder="1"/>
    <xf numFmtId="168" fontId="19" fillId="43" borderId="0" xfId="0" applyNumberFormat="1" applyFont="1" applyFill="1"/>
    <xf numFmtId="9" fontId="22" fillId="0" borderId="0" xfId="543" applyNumberFormat="1" applyFont="1" applyAlignment="1">
      <alignment horizontal="center"/>
    </xf>
    <xf numFmtId="171" fontId="14" fillId="0" borderId="0" xfId="543" applyNumberFormat="1"/>
    <xf numFmtId="171" fontId="14" fillId="0" borderId="11" xfId="543" applyNumberFormat="1" applyBorder="1"/>
    <xf numFmtId="1" fontId="14" fillId="0" borderId="11" xfId="543" applyNumberFormat="1" applyBorder="1" applyAlignment="1">
      <alignment horizontal="center"/>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41" fillId="0" borderId="8" xfId="543" applyFont="1" applyBorder="1" applyAlignment="1">
      <alignment vertical="center" wrapText="1"/>
    </xf>
    <xf numFmtId="0" fontId="41" fillId="0" borderId="0" xfId="543" applyFont="1" applyAlignment="1">
      <alignment vertical="center" wrapText="1"/>
    </xf>
    <xf numFmtId="0" fontId="41" fillId="0" borderId="12" xfId="543" applyFont="1" applyBorder="1" applyAlignment="1">
      <alignment vertical="center" wrapText="1"/>
    </xf>
    <xf numFmtId="0" fontId="41" fillId="0" borderId="9" xfId="543" applyFont="1" applyBorder="1" applyAlignment="1">
      <alignment vertical="center" wrapText="1"/>
    </xf>
    <xf numFmtId="0" fontId="41" fillId="0" borderId="6" xfId="543" applyFont="1" applyBorder="1" applyAlignment="1">
      <alignment vertical="center" wrapText="1"/>
    </xf>
    <xf numFmtId="0" fontId="41" fillId="0" borderId="10" xfId="543" applyFont="1" applyBorder="1" applyAlignment="1">
      <alignment vertical="center" wrapText="1"/>
    </xf>
    <xf numFmtId="0" fontId="34" fillId="0" borderId="12" xfId="543" applyFont="1" applyBorder="1" applyAlignment="1">
      <alignment horizontal="center" vertical="top"/>
    </xf>
    <xf numFmtId="0" fontId="35" fillId="0" borderId="7" xfId="543" applyFont="1" applyBorder="1"/>
    <xf numFmtId="0" fontId="14" fillId="0" borderId="12" xfId="543" quotePrefix="1" applyBorder="1"/>
    <xf numFmtId="0" fontId="51" fillId="0" borderId="2" xfId="569" applyFont="1" applyBorder="1" applyAlignment="1">
      <alignment vertical="top"/>
    </xf>
    <xf numFmtId="0" fontId="24" fillId="0" borderId="0" xfId="4495" applyFont="1"/>
    <xf numFmtId="0" fontId="14" fillId="0" borderId="0" xfId="4495" applyFont="1" applyAlignment="1">
      <alignment vertical="top" wrapText="1" shrinkToFit="1"/>
    </xf>
    <xf numFmtId="0" fontId="154" fillId="0" borderId="0" xfId="4495" applyFont="1"/>
    <xf numFmtId="164" fontId="14" fillId="0" borderId="0" xfId="1192" applyNumberFormat="1" applyAlignment="1">
      <alignment horizontal="right"/>
    </xf>
    <xf numFmtId="164" fontId="14" fillId="0" borderId="0" xfId="4495" applyNumberFormat="1" applyFont="1" applyAlignment="1">
      <alignment horizontal="right"/>
    </xf>
    <xf numFmtId="0" fontId="14" fillId="0" borderId="0" xfId="4495" applyFont="1" applyAlignment="1">
      <alignment horizontal="left" vertical="top" wrapText="1" shrinkToFit="1"/>
    </xf>
    <xf numFmtId="0" fontId="14" fillId="0" borderId="6" xfId="4495" applyFont="1" applyBorder="1" applyAlignment="1">
      <alignment vertical="top" wrapText="1"/>
    </xf>
    <xf numFmtId="0" fontId="154" fillId="0" borderId="4" xfId="4495" applyFont="1" applyBorder="1"/>
    <xf numFmtId="0" fontId="14" fillId="0" borderId="4" xfId="4495" applyFont="1" applyBorder="1" applyAlignment="1">
      <alignment horizontal="left" vertical="top" wrapText="1" shrinkToFit="1"/>
    </xf>
    <xf numFmtId="0" fontId="24" fillId="0" borderId="0" xfId="4495" applyFont="1" applyAlignment="1">
      <alignment horizontal="left" vertical="top"/>
    </xf>
    <xf numFmtId="0" fontId="14" fillId="0" borderId="0" xfId="4495" applyFont="1" applyAlignment="1">
      <alignment vertical="center" wrapText="1" shrinkToFit="1"/>
    </xf>
    <xf numFmtId="0" fontId="14" fillId="0" borderId="0" xfId="4495" applyFont="1" applyAlignment="1">
      <alignment horizontal="left" vertical="top" shrinkToFit="1"/>
    </xf>
    <xf numFmtId="0" fontId="14" fillId="0" borderId="0" xfId="4495" applyFont="1" applyAlignment="1">
      <alignment horizontal="left" vertical="center" shrinkToFit="1"/>
    </xf>
    <xf numFmtId="0" fontId="24" fillId="0" borderId="4" xfId="4495" applyFont="1" applyBorder="1"/>
    <xf numFmtId="0" fontId="14" fillId="0" borderId="4" xfId="4495" applyFont="1" applyBorder="1" applyAlignment="1">
      <alignment horizontal="left" vertical="top" shrinkToFit="1"/>
    </xf>
    <xf numFmtId="0" fontId="14" fillId="0" borderId="0" xfId="4495" applyFont="1" applyAlignment="1">
      <alignment vertical="center"/>
    </xf>
    <xf numFmtId="0" fontId="20" fillId="0" borderId="0" xfId="4495" applyFont="1"/>
    <xf numFmtId="0" fontId="24" fillId="0" borderId="0" xfId="4495" applyFont="1" applyAlignment="1">
      <alignment horizontal="center"/>
    </xf>
    <xf numFmtId="0" fontId="14" fillId="0" borderId="4" xfId="4495" applyFont="1" applyBorder="1" applyAlignment="1">
      <alignment horizontal="left" vertical="top" wrapText="1"/>
    </xf>
    <xf numFmtId="44" fontId="14" fillId="0" borderId="0" xfId="707" applyFont="1" applyFill="1" applyBorder="1" applyAlignment="1" applyProtection="1">
      <alignment horizontal="left" vertical="top" wrapText="1"/>
    </xf>
    <xf numFmtId="44" fontId="14" fillId="0" borderId="4" xfId="707" applyFont="1" applyFill="1" applyBorder="1" applyAlignment="1" applyProtection="1">
      <alignment horizontal="left" vertical="top" wrapText="1"/>
    </xf>
    <xf numFmtId="164" fontId="32" fillId="0" borderId="0" xfId="4495" applyNumberFormat="1" applyFont="1" applyAlignment="1">
      <alignment horizontal="left"/>
    </xf>
    <xf numFmtId="0" fontId="24" fillId="0" borderId="0" xfId="4495" applyFont="1" applyAlignment="1">
      <alignment horizontal="left"/>
    </xf>
    <xf numFmtId="0" fontId="14" fillId="0" borderId="4" xfId="4495" applyFont="1" applyBorder="1" applyAlignment="1">
      <alignment vertical="top" wrapText="1"/>
    </xf>
    <xf numFmtId="0" fontId="24" fillId="0" borderId="4" xfId="4495" applyFont="1" applyBorder="1" applyAlignment="1">
      <alignment horizontal="left" vertical="top"/>
    </xf>
    <xf numFmtId="0" fontId="14" fillId="0" borderId="0" xfId="4495" applyFont="1" applyAlignment="1">
      <alignment horizontal="left" vertical="center" wrapText="1" shrinkToFit="1"/>
    </xf>
    <xf numFmtId="0" fontId="14" fillId="0" borderId="6" xfId="4495" applyFont="1" applyBorder="1" applyAlignment="1">
      <alignment horizontal="left" vertical="top" wrapText="1"/>
    </xf>
    <xf numFmtId="2" fontId="116" fillId="0" borderId="0" xfId="0" applyNumberFormat="1" applyFont="1" applyAlignment="1">
      <alignment horizontal="center"/>
    </xf>
    <xf numFmtId="9" fontId="14" fillId="0" borderId="0" xfId="4494" applyFont="1" applyAlignment="1">
      <alignment horizontal="center"/>
    </xf>
    <xf numFmtId="3" fontId="14" fillId="0" borderId="0" xfId="0" applyNumberFormat="1" applyFont="1"/>
    <xf numFmtId="10" fontId="14" fillId="0" borderId="0" xfId="0" applyNumberFormat="1" applyFont="1" applyAlignment="1">
      <alignment horizontal="center"/>
    </xf>
    <xf numFmtId="168" fontId="14" fillId="0" borderId="0" xfId="0" applyNumberFormat="1" applyFont="1"/>
    <xf numFmtId="172" fontId="14" fillId="0" borderId="11" xfId="0" applyNumberFormat="1" applyFont="1" applyBorder="1" applyAlignment="1">
      <alignment horizontal="center"/>
    </xf>
    <xf numFmtId="168" fontId="14" fillId="5" borderId="0" xfId="0" applyNumberFormat="1" applyFont="1" applyFill="1"/>
    <xf numFmtId="3" fontId="14" fillId="5" borderId="0" xfId="0" applyNumberFormat="1" applyFont="1" applyFill="1"/>
    <xf numFmtId="0" fontId="14" fillId="5" borderId="0" xfId="0" applyFont="1" applyFill="1"/>
    <xf numFmtId="3" fontId="14" fillId="5" borderId="6" xfId="0" applyNumberFormat="1" applyFont="1" applyFill="1" applyBorder="1"/>
    <xf numFmtId="3" fontId="14" fillId="0" borderId="6" xfId="0" applyNumberFormat="1" applyFont="1" applyBorder="1"/>
    <xf numFmtId="168" fontId="14" fillId="0" borderId="0" xfId="0" applyNumberFormat="1" applyFont="1" applyAlignment="1">
      <alignment horizontal="center"/>
    </xf>
    <xf numFmtId="3" fontId="14" fillId="0" borderId="0" xfId="0" applyNumberFormat="1" applyFont="1" applyAlignment="1">
      <alignment horizontal="center"/>
    </xf>
    <xf numFmtId="0" fontId="14" fillId="0" borderId="50" xfId="4495" applyFont="1" applyBorder="1" applyAlignment="1">
      <alignment vertical="center"/>
    </xf>
    <xf numFmtId="0" fontId="14" fillId="0" borderId="51" xfId="4495" applyFont="1" applyBorder="1" applyAlignment="1">
      <alignment vertical="center"/>
    </xf>
    <xf numFmtId="0" fontId="14" fillId="0" borderId="52" xfId="4495" applyFont="1" applyBorder="1" applyAlignment="1">
      <alignment vertical="center"/>
    </xf>
    <xf numFmtId="0" fontId="14" fillId="0" borderId="54" xfId="4495" applyFont="1" applyBorder="1" applyAlignment="1">
      <alignment vertical="center" wrapText="1"/>
    </xf>
    <xf numFmtId="0" fontId="14" fillId="0" borderId="53" xfId="4495" applyFont="1" applyBorder="1" applyAlignment="1">
      <alignment vertical="top" wrapText="1"/>
    </xf>
    <xf numFmtId="0" fontId="14" fillId="0" borderId="58" xfId="0" applyFont="1" applyBorder="1" applyAlignment="1">
      <alignment horizontal="left"/>
    </xf>
    <xf numFmtId="9" fontId="14" fillId="0" borderId="0" xfId="543" applyNumberFormat="1" applyAlignment="1">
      <alignment horizontal="center"/>
    </xf>
    <xf numFmtId="0" fontId="46" fillId="0" borderId="0" xfId="4496" applyFont="1"/>
    <xf numFmtId="168" fontId="51" fillId="5" borderId="11" xfId="0" applyNumberFormat="1" applyFont="1" applyFill="1" applyBorder="1" applyAlignment="1" applyProtection="1">
      <alignment vertical="top" wrapText="1"/>
      <protection locked="0"/>
    </xf>
    <xf numFmtId="0" fontId="14" fillId="0" borderId="0" xfId="0" applyFont="1" applyAlignment="1">
      <alignment horizontal="left" wrapText="1"/>
    </xf>
    <xf numFmtId="4" fontId="32" fillId="0" borderId="0" xfId="0" applyNumberFormat="1" applyFont="1" applyAlignment="1">
      <alignment horizontal="left"/>
    </xf>
    <xf numFmtId="4" fontId="14" fillId="0" borderId="0" xfId="0" applyNumberFormat="1" applyFont="1" applyAlignment="1">
      <alignment horizontal="left" vertical="top" wrapText="1"/>
    </xf>
    <xf numFmtId="0" fontId="21" fillId="0" borderId="4" xfId="0" applyFont="1" applyBorder="1" applyAlignment="1">
      <alignment horizontal="left"/>
    </xf>
    <xf numFmtId="4" fontId="14" fillId="0" borderId="0" xfId="0" applyNumberFormat="1" applyFont="1" applyAlignment="1">
      <alignment horizontal="left"/>
    </xf>
    <xf numFmtId="43" fontId="49" fillId="0" borderId="0" xfId="4504" applyFont="1" applyAlignment="1" applyProtection="1">
      <alignment horizontal="center"/>
    </xf>
    <xf numFmtId="43" fontId="14" fillId="0" borderId="0" xfId="4504" applyFont="1" applyAlignment="1" applyProtection="1">
      <alignment horizontal="center"/>
    </xf>
    <xf numFmtId="43" fontId="14" fillId="0" borderId="0" xfId="4504" applyFont="1" applyProtection="1"/>
    <xf numFmtId="49" fontId="14" fillId="0" borderId="0" xfId="0" applyNumberFormat="1" applyFont="1"/>
    <xf numFmtId="49" fontId="14" fillId="0" borderId="0" xfId="0" applyNumberFormat="1" applyFont="1" applyAlignment="1">
      <alignment horizontal="center"/>
    </xf>
    <xf numFmtId="4" fontId="14" fillId="0" borderId="0" xfId="0" applyNumberFormat="1" applyFont="1" applyAlignment="1">
      <alignment vertical="top" wrapText="1"/>
    </xf>
    <xf numFmtId="0" fontId="14" fillId="0" borderId="0" xfId="0" quotePrefix="1" applyFont="1"/>
    <xf numFmtId="0" fontId="44" fillId="0" borderId="0" xfId="0" applyFont="1" applyAlignment="1">
      <alignment horizontal="left"/>
    </xf>
    <xf numFmtId="0" fontId="14" fillId="0" borderId="4" xfId="0" applyFont="1" applyBorder="1" applyAlignment="1">
      <alignment horizontal="left"/>
    </xf>
    <xf numFmtId="0" fontId="14" fillId="0" borderId="0" xfId="0" quotePrefix="1" applyFont="1" applyAlignment="1">
      <alignment horizontal="left"/>
    </xf>
    <xf numFmtId="0" fontId="14" fillId="0" borderId="0" xfId="0" quotePrefix="1" applyFont="1" applyAlignment="1">
      <alignment horizontal="left" vertical="top"/>
    </xf>
    <xf numFmtId="0" fontId="44" fillId="0" borderId="0" xfId="1192" applyFont="1" applyAlignment="1">
      <alignment horizontal="left"/>
    </xf>
    <xf numFmtId="0" fontId="49" fillId="0" borderId="0" xfId="0" applyFont="1" applyAlignment="1">
      <alignment horizontal="center" vertical="center"/>
    </xf>
    <xf numFmtId="49" fontId="21" fillId="0" borderId="0" xfId="0" applyNumberFormat="1" applyFont="1" applyAlignment="1">
      <alignment horizontal="center" vertical="center"/>
    </xf>
    <xf numFmtId="49" fontId="14" fillId="0" borderId="0" xfId="0" applyNumberFormat="1" applyFont="1" applyAlignment="1">
      <alignment vertical="center"/>
    </xf>
    <xf numFmtId="4" fontId="14" fillId="0" borderId="0" xfId="0" applyNumberFormat="1" applyFont="1" applyAlignment="1">
      <alignment horizontal="center"/>
    </xf>
    <xf numFmtId="4" fontId="14" fillId="0" borderId="0" xfId="0" applyNumberFormat="1" applyFont="1"/>
    <xf numFmtId="10" fontId="14" fillId="0" borderId="0" xfId="4495" applyNumberFormat="1" applyFont="1"/>
    <xf numFmtId="10" fontId="120" fillId="0" borderId="0" xfId="4496" applyNumberFormat="1" applyFont="1" applyAlignment="1">
      <alignment horizontal="center" vertical="top" wrapText="1"/>
    </xf>
    <xf numFmtId="10" fontId="120" fillId="0" borderId="64" xfId="4496" applyNumberFormat="1" applyFont="1" applyBorder="1" applyAlignment="1">
      <alignment horizontal="center" vertical="top" wrapText="1"/>
    </xf>
    <xf numFmtId="10" fontId="120"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4" fillId="0" borderId="0" xfId="1192" quotePrefix="1" applyNumberFormat="1" applyAlignment="1">
      <alignment horizontal="center"/>
    </xf>
    <xf numFmtId="0" fontId="120" fillId="0" borderId="0" xfId="4495" applyFont="1"/>
    <xf numFmtId="10" fontId="120" fillId="0" borderId="0" xfId="4495" applyNumberFormat="1" applyFont="1"/>
    <xf numFmtId="172" fontId="14" fillId="0" borderId="0" xfId="4495" applyNumberFormat="1" applyFont="1"/>
    <xf numFmtId="0" fontId="37" fillId="0" borderId="0" xfId="0" applyFont="1" applyAlignment="1">
      <alignment horizontal="center"/>
    </xf>
    <xf numFmtId="0" fontId="33" fillId="0" borderId="0" xfId="0" applyFont="1" applyAlignment="1">
      <alignment horizontal="left"/>
    </xf>
    <xf numFmtId="0" fontId="0" fillId="0" borderId="10" xfId="0" applyBorder="1" applyAlignment="1">
      <alignment horizontal="left"/>
    </xf>
    <xf numFmtId="1" fontId="14" fillId="0" borderId="0" xfId="1192" applyNumberFormat="1" applyAlignment="1">
      <alignment horizontal="center"/>
    </xf>
    <xf numFmtId="0" fontId="118" fillId="0" borderId="63" xfId="4495" applyBorder="1"/>
    <xf numFmtId="0" fontId="51" fillId="0" borderId="0" xfId="271" applyFont="1" applyAlignment="1">
      <alignment vertical="top"/>
    </xf>
    <xf numFmtId="0" fontId="21" fillId="0" borderId="11" xfId="0" applyFont="1" applyBorder="1" applyAlignment="1">
      <alignment horizontal="right" vertical="top" wrapText="1"/>
    </xf>
    <xf numFmtId="0" fontId="23" fillId="0" borderId="11" xfId="271" applyBorder="1" applyAlignment="1" applyProtection="1">
      <alignment horizontal="right" vertical="top" wrapText="1"/>
      <protection locked="0"/>
    </xf>
    <xf numFmtId="0" fontId="14" fillId="0" borderId="54" xfId="4495" applyFont="1" applyBorder="1" applyAlignment="1">
      <alignment vertical="top"/>
    </xf>
    <xf numFmtId="9" fontId="23" fillId="0" borderId="0" xfId="0" applyNumberFormat="1" applyFont="1"/>
    <xf numFmtId="0" fontId="14" fillId="0" borderId="16" xfId="569" applyBorder="1" applyAlignment="1">
      <alignment horizontal="center"/>
    </xf>
    <xf numFmtId="164" fontId="14" fillId="0" borderId="57" xfId="4495" applyNumberFormat="1" applyFont="1" applyBorder="1" applyAlignment="1">
      <alignment vertical="top" wrapText="1"/>
    </xf>
    <xf numFmtId="164" fontId="14" fillId="0" borderId="58" xfId="4495" applyNumberFormat="1" applyFont="1" applyBorder="1" applyAlignment="1">
      <alignment vertical="top" wrapText="1"/>
    </xf>
    <xf numFmtId="164" fontId="14" fillId="0" borderId="59" xfId="4495" applyNumberFormat="1" applyFont="1" applyBorder="1" applyAlignment="1">
      <alignment vertical="top" wrapText="1"/>
    </xf>
    <xf numFmtId="0" fontId="21" fillId="0" borderId="0" xfId="1192" applyFont="1" applyAlignment="1">
      <alignment horizontal="left" vertical="top" wrapText="1"/>
    </xf>
    <xf numFmtId="0" fontId="14" fillId="0" borderId="16" xfId="569" applyBorder="1"/>
    <xf numFmtId="0" fontId="14" fillId="0" borderId="4" xfId="569" applyBorder="1"/>
    <xf numFmtId="0" fontId="21" fillId="0" borderId="4" xfId="569" applyFont="1" applyBorder="1"/>
    <xf numFmtId="49" fontId="14" fillId="0" borderId="4" xfId="569" applyNumberFormat="1" applyBorder="1"/>
    <xf numFmtId="0" fontId="160" fillId="0" borderId="0" xfId="0" applyFont="1"/>
    <xf numFmtId="0" fontId="14" fillId="0" borderId="0" xfId="0" applyFont="1" applyAlignment="1">
      <alignment horizontal="right"/>
    </xf>
    <xf numFmtId="1" fontId="14" fillId="0" borderId="0" xfId="0" applyNumberFormat="1" applyFont="1" applyAlignment="1">
      <alignment horizontal="center"/>
    </xf>
    <xf numFmtId="0" fontId="21" fillId="0" borderId="0" xfId="0" applyFont="1" applyAlignment="1">
      <alignment horizontal="left" vertical="center"/>
    </xf>
    <xf numFmtId="0" fontId="14" fillId="0" borderId="0" xfId="0" applyFont="1" applyAlignment="1">
      <alignment horizontal="left" vertical="center"/>
    </xf>
    <xf numFmtId="0" fontId="21" fillId="0" borderId="0" xfId="569" applyFont="1" applyAlignment="1">
      <alignment vertical="top"/>
    </xf>
    <xf numFmtId="0" fontId="15" fillId="0" borderId="0" xfId="244" applyAlignment="1"/>
    <xf numFmtId="0" fontId="21" fillId="0" borderId="0" xfId="0" applyFont="1" applyAlignment="1">
      <alignment vertical="top" wrapText="1"/>
    </xf>
    <xf numFmtId="49" fontId="21" fillId="0" borderId="0" xfId="0" applyNumberFormat="1" applyFont="1"/>
    <xf numFmtId="49" fontId="21" fillId="0" borderId="0" xfId="0" applyNumberFormat="1" applyFont="1" applyAlignment="1">
      <alignment vertical="top"/>
    </xf>
    <xf numFmtId="0" fontId="37" fillId="0" borderId="11" xfId="0" applyFont="1" applyBorder="1"/>
    <xf numFmtId="175" fontId="14" fillId="0" borderId="0" xfId="543" applyNumberFormat="1" applyAlignment="1">
      <alignment vertical="center"/>
    </xf>
    <xf numFmtId="0" fontId="96" fillId="43" borderId="6" xfId="4496" applyFont="1" applyFill="1" applyBorder="1" applyAlignment="1" applyProtection="1">
      <alignment horizontal="center"/>
      <protection locked="0"/>
    </xf>
    <xf numFmtId="0" fontId="96" fillId="0" borderId="0" xfId="4496" applyFont="1"/>
    <xf numFmtId="0" fontId="96" fillId="0" borderId="0" xfId="4496" applyFont="1" applyAlignment="1">
      <alignment wrapText="1"/>
    </xf>
    <xf numFmtId="0" fontId="135" fillId="0" borderId="0" xfId="4496" applyFont="1"/>
    <xf numFmtId="181" fontId="136" fillId="0" borderId="0" xfId="4498" applyNumberFormat="1" applyFont="1" applyBorder="1" applyProtection="1"/>
    <xf numFmtId="0" fontId="137" fillId="0" borderId="0" xfId="4496" applyFont="1" applyAlignment="1">
      <alignment vertical="center" wrapText="1"/>
    </xf>
    <xf numFmtId="49" fontId="96" fillId="0" borderId="0" xfId="4496" applyNumberFormat="1" applyFont="1" applyAlignment="1">
      <alignment horizontal="center"/>
    </xf>
    <xf numFmtId="182" fontId="96" fillId="0" borderId="6" xfId="4496" applyNumberFormat="1" applyFont="1" applyBorder="1"/>
    <xf numFmtId="0" fontId="96" fillId="0" borderId="0" xfId="4496" applyFont="1" applyAlignment="1">
      <alignment vertical="center"/>
    </xf>
    <xf numFmtId="182" fontId="96" fillId="0" borderId="0" xfId="4496" applyNumberFormat="1" applyFont="1" applyAlignment="1">
      <alignment vertical="center"/>
    </xf>
    <xf numFmtId="175" fontId="96" fillId="0" borderId="0" xfId="4499" applyNumberFormat="1" applyFont="1" applyFill="1" applyBorder="1" applyAlignment="1" applyProtection="1">
      <alignment horizontal="left" vertical="center"/>
    </xf>
    <xf numFmtId="9" fontId="96" fillId="0" borderId="0" xfId="4499" applyFont="1" applyFill="1" applyBorder="1" applyAlignment="1" applyProtection="1">
      <alignment vertical="center"/>
    </xf>
    <xf numFmtId="183" fontId="96" fillId="0" borderId="0" xfId="4496" applyNumberFormat="1" applyFont="1" applyAlignment="1">
      <alignment vertical="center" wrapText="1"/>
    </xf>
    <xf numFmtId="9" fontId="96" fillId="0" borderId="0" xfId="4499" applyFont="1" applyBorder="1" applyAlignment="1" applyProtection="1">
      <alignment vertical="center"/>
    </xf>
    <xf numFmtId="164" fontId="96" fillId="0" borderId="0" xfId="4496" applyNumberFormat="1" applyFont="1" applyAlignment="1">
      <alignment vertical="center" wrapText="1"/>
    </xf>
    <xf numFmtId="0" fontId="96" fillId="0" borderId="0" xfId="4496" applyFont="1" applyAlignment="1">
      <alignment horizontal="center" vertical="center"/>
    </xf>
    <xf numFmtId="182" fontId="96" fillId="0" borderId="11" xfId="8722" applyNumberFormat="1" applyFont="1" applyBorder="1" applyProtection="1"/>
    <xf numFmtId="182" fontId="96" fillId="0" borderId="11" xfId="4496" applyNumberFormat="1" applyFont="1" applyBorder="1"/>
    <xf numFmtId="164" fontId="96" fillId="0" borderId="0" xfId="4496" applyNumberFormat="1" applyFont="1" applyAlignment="1">
      <alignment wrapText="1"/>
    </xf>
    <xf numFmtId="49" fontId="96" fillId="0" borderId="0" xfId="4496" applyNumberFormat="1" applyFont="1" applyAlignment="1">
      <alignment horizontal="left"/>
    </xf>
    <xf numFmtId="0" fontId="138" fillId="0" borderId="0" xfId="4496" applyFont="1"/>
    <xf numFmtId="9" fontId="96" fillId="0" borderId="11" xfId="4494" applyFont="1" applyFill="1" applyBorder="1" applyAlignment="1" applyProtection="1">
      <alignment horizontal="right"/>
    </xf>
    <xf numFmtId="182" fontId="96" fillId="0" borderId="11" xfId="4496" applyNumberFormat="1" applyFont="1" applyBorder="1" applyAlignment="1">
      <alignment horizontal="left"/>
    </xf>
    <xf numFmtId="1" fontId="96" fillId="0" borderId="0" xfId="4496" applyNumberFormat="1" applyFont="1"/>
    <xf numFmtId="2" fontId="96" fillId="0" borderId="0" xfId="4496" applyNumberFormat="1" applyFont="1" applyAlignment="1">
      <alignment horizontal="center"/>
    </xf>
    <xf numFmtId="2" fontId="96" fillId="0" borderId="0" xfId="4496" applyNumberFormat="1" applyFont="1"/>
    <xf numFmtId="0" fontId="135" fillId="45" borderId="3" xfId="4496" applyFont="1" applyFill="1" applyBorder="1" applyAlignment="1">
      <alignment horizontal="left" indent="1"/>
    </xf>
    <xf numFmtId="0" fontId="96" fillId="45" borderId="4" xfId="4496" applyFont="1" applyFill="1" applyBorder="1"/>
    <xf numFmtId="2" fontId="96" fillId="45" borderId="5" xfId="4496" applyNumberFormat="1" applyFont="1" applyFill="1" applyBorder="1"/>
    <xf numFmtId="181" fontId="96" fillId="0" borderId="0" xfId="4496" applyNumberFormat="1" applyFont="1"/>
    <xf numFmtId="165" fontId="136" fillId="0" borderId="0" xfId="4499" applyNumberFormat="1" applyFont="1" applyFill="1" applyBorder="1" applyProtection="1"/>
    <xf numFmtId="9" fontId="96" fillId="0" borderId="0" xfId="4494" applyFont="1" applyFill="1" applyProtection="1"/>
    <xf numFmtId="0" fontId="96" fillId="0" borderId="11" xfId="4496" applyFont="1" applyBorder="1" applyAlignment="1">
      <alignment horizontal="center"/>
    </xf>
    <xf numFmtId="2" fontId="96" fillId="0" borderId="11" xfId="4496" applyNumberFormat="1" applyFont="1" applyBorder="1" applyAlignment="1">
      <alignment horizontal="center"/>
    </xf>
    <xf numFmtId="0" fontId="96" fillId="0" borderId="0" xfId="4496" applyFont="1" applyAlignment="1">
      <alignment vertical="top" wrapText="1"/>
    </xf>
    <xf numFmtId="0" fontId="96" fillId="0" borderId="11" xfId="4496" applyFont="1" applyBorder="1" applyAlignment="1">
      <alignment horizontal="center" vertical="top" wrapText="1"/>
    </xf>
    <xf numFmtId="182" fontId="96" fillId="0" borderId="0" xfId="8722" applyNumberFormat="1" applyFont="1" applyBorder="1" applyProtection="1"/>
    <xf numFmtId="0" fontId="96" fillId="0" borderId="0" xfId="4496" applyFont="1" applyAlignment="1">
      <alignment horizontal="left" indent="1"/>
    </xf>
    <xf numFmtId="182" fontId="96" fillId="0" borderId="0" xfId="4496" applyNumberFormat="1" applyFont="1"/>
    <xf numFmtId="184" fontId="96" fillId="0" borderId="0" xfId="4496" applyNumberFormat="1" applyFont="1"/>
    <xf numFmtId="0" fontId="96" fillId="0" borderId="0" xfId="4496" applyFont="1" applyAlignment="1">
      <alignment horizontal="left"/>
    </xf>
    <xf numFmtId="0" fontId="96" fillId="0" borderId="0" xfId="4496" applyFont="1" applyAlignment="1">
      <alignment horizontal="center"/>
    </xf>
    <xf numFmtId="9" fontId="96" fillId="0" borderId="0" xfId="4494" applyFont="1" applyFill="1" applyBorder="1" applyProtection="1"/>
    <xf numFmtId="3" fontId="19" fillId="0" borderId="11" xfId="271" applyNumberFormat="1" applyFont="1" applyBorder="1" applyAlignment="1">
      <alignment horizontal="center"/>
    </xf>
    <xf numFmtId="3" fontId="19" fillId="43" borderId="11" xfId="271" applyNumberFormat="1" applyFont="1" applyFill="1" applyBorder="1" applyAlignment="1" applyProtection="1">
      <alignment horizontal="center"/>
      <protection locked="0"/>
    </xf>
    <xf numFmtId="3" fontId="19" fillId="43" borderId="11" xfId="271" applyNumberFormat="1" applyFont="1" applyFill="1" applyBorder="1" applyProtection="1">
      <protection locked="0"/>
    </xf>
    <xf numFmtId="0" fontId="96" fillId="0" borderId="0" xfId="4496" applyFont="1" applyAlignment="1">
      <alignment horizontal="right"/>
    </xf>
    <xf numFmtId="168" fontId="23" fillId="0" borderId="0" xfId="0" applyNumberFormat="1" applyFont="1"/>
    <xf numFmtId="0" fontId="96" fillId="0" borderId="15" xfId="4496" applyFont="1" applyBorder="1" applyAlignment="1">
      <alignment horizontal="center" vertical="top" wrapText="1"/>
    </xf>
    <xf numFmtId="2" fontId="96" fillId="0" borderId="15" xfId="4496" applyNumberFormat="1" applyFont="1" applyBorder="1" applyAlignment="1">
      <alignment horizontal="center"/>
    </xf>
    <xf numFmtId="0" fontId="96" fillId="0" borderId="15" xfId="4496" applyFont="1" applyBorder="1" applyAlignment="1">
      <alignment horizontal="center"/>
    </xf>
    <xf numFmtId="0" fontId="135" fillId="0" borderId="71" xfId="4496" applyFont="1" applyBorder="1" applyAlignment="1">
      <alignment horizontal="center" vertical="top" wrapText="1"/>
    </xf>
    <xf numFmtId="0" fontId="135" fillId="0" borderId="71" xfId="4496" applyFont="1" applyBorder="1" applyAlignment="1">
      <alignment horizontal="center"/>
    </xf>
    <xf numFmtId="0" fontId="165" fillId="0" borderId="0" xfId="4496" applyFont="1" applyAlignment="1">
      <alignment horizontal="right" vertical="center"/>
    </xf>
    <xf numFmtId="175" fontId="96" fillId="0" borderId="0" xfId="4499" applyNumberFormat="1" applyFont="1" applyFill="1" applyBorder="1" applyAlignment="1" applyProtection="1">
      <alignment horizontal="right" vertical="center"/>
    </xf>
    <xf numFmtId="5" fontId="96" fillId="0" borderId="6" xfId="4496" applyNumberFormat="1" applyFont="1" applyBorder="1" applyAlignment="1">
      <alignment vertical="center"/>
    </xf>
    <xf numFmtId="0" fontId="96" fillId="0" borderId="66" xfId="4496" applyFont="1" applyBorder="1" applyAlignment="1">
      <alignment vertical="center"/>
    </xf>
    <xf numFmtId="0" fontId="96" fillId="0" borderId="41" xfId="4496" applyFont="1" applyBorder="1" applyAlignment="1">
      <alignment vertical="center"/>
    </xf>
    <xf numFmtId="182" fontId="96" fillId="0" borderId="86" xfId="4496" applyNumberFormat="1" applyFont="1" applyBorder="1" applyAlignment="1">
      <alignment vertical="center"/>
    </xf>
    <xf numFmtId="175" fontId="96" fillId="0" borderId="42" xfId="4499" applyNumberFormat="1" applyFont="1" applyFill="1" applyBorder="1" applyAlignment="1" applyProtection="1">
      <alignment horizontal="left" vertical="center"/>
    </xf>
    <xf numFmtId="0" fontId="96" fillId="0" borderId="42" xfId="4496" applyFont="1" applyBorder="1" applyAlignment="1">
      <alignment vertical="center"/>
    </xf>
    <xf numFmtId="0" fontId="96" fillId="0" borderId="44" xfId="4496" applyFont="1" applyBorder="1" applyAlignment="1">
      <alignment vertical="center"/>
    </xf>
    <xf numFmtId="49" fontId="96" fillId="0" borderId="0" xfId="4496" applyNumberFormat="1" applyFont="1" applyAlignment="1">
      <alignment horizontal="center" vertical="center"/>
    </xf>
    <xf numFmtId="0" fontId="96" fillId="0" borderId="65" xfId="4496" applyFont="1" applyBorder="1" applyAlignment="1">
      <alignment vertical="center"/>
    </xf>
    <xf numFmtId="0" fontId="96" fillId="0" borderId="29" xfId="4496" applyFont="1" applyBorder="1" applyAlignment="1">
      <alignment vertical="center"/>
    </xf>
    <xf numFmtId="0" fontId="96" fillId="0" borderId="29" xfId="4496" applyFont="1" applyBorder="1" applyAlignment="1">
      <alignment horizontal="right" vertical="center"/>
    </xf>
    <xf numFmtId="5" fontId="96" fillId="0" borderId="29" xfId="4496" applyNumberFormat="1" applyFont="1" applyBorder="1" applyAlignment="1">
      <alignment vertical="center"/>
    </xf>
    <xf numFmtId="0" fontId="96" fillId="0" borderId="31" xfId="4496" applyFont="1" applyBorder="1" applyAlignment="1">
      <alignment vertical="center"/>
    </xf>
    <xf numFmtId="175" fontId="135" fillId="0" borderId="42" xfId="4494" applyNumberFormat="1" applyFont="1" applyFill="1" applyBorder="1" applyAlignment="1" applyProtection="1">
      <alignment horizontal="center" vertical="center"/>
    </xf>
    <xf numFmtId="0" fontId="135" fillId="0" borderId="29" xfId="4496" applyFont="1" applyBorder="1" applyAlignment="1">
      <alignment vertical="center"/>
    </xf>
    <xf numFmtId="0" fontId="135" fillId="0" borderId="0" xfId="4496" applyFont="1" applyAlignment="1">
      <alignment vertical="center"/>
    </xf>
    <xf numFmtId="0" fontId="135" fillId="0" borderId="42" xfId="4496" applyFont="1" applyBorder="1" applyAlignment="1">
      <alignment vertical="center"/>
    </xf>
    <xf numFmtId="9" fontId="135" fillId="0" borderId="42" xfId="4499" applyFont="1" applyFill="1" applyBorder="1" applyAlignment="1" applyProtection="1">
      <alignment vertical="center"/>
    </xf>
    <xf numFmtId="182" fontId="96" fillId="0" borderId="15" xfId="4496" applyNumberFormat="1" applyFont="1" applyBorder="1"/>
    <xf numFmtId="182" fontId="135" fillId="0" borderId="71" xfId="8722" applyNumberFormat="1" applyFont="1" applyBorder="1" applyProtection="1"/>
    <xf numFmtId="9" fontId="96" fillId="0" borderId="15" xfId="4494" applyFont="1" applyFill="1" applyBorder="1" applyAlignment="1" applyProtection="1">
      <alignment horizontal="right"/>
    </xf>
    <xf numFmtId="182" fontId="135" fillId="0" borderId="71" xfId="4496" applyNumberFormat="1" applyFont="1" applyBorder="1"/>
    <xf numFmtId="0" fontId="165" fillId="0" borderId="0" xfId="4496" applyFont="1" applyAlignment="1">
      <alignment horizontal="right"/>
    </xf>
    <xf numFmtId="0" fontId="96" fillId="0" borderId="0" xfId="4496" applyFont="1" applyAlignment="1">
      <alignment horizontal="right" vertical="top" wrapText="1" indent="1"/>
    </xf>
    <xf numFmtId="182" fontId="96" fillId="0" borderId="6" xfId="8722" applyNumberFormat="1" applyFont="1" applyBorder="1" applyAlignment="1" applyProtection="1">
      <alignment horizontal="center"/>
    </xf>
    <xf numFmtId="0" fontId="96" fillId="0" borderId="0" xfId="4496" applyFont="1" applyAlignment="1">
      <alignment horizontal="right" indent="1"/>
    </xf>
    <xf numFmtId="0" fontId="96" fillId="0" borderId="0" xfId="4496" applyFont="1" applyAlignment="1">
      <alignment horizontal="right" vertical="top"/>
    </xf>
    <xf numFmtId="0" fontId="135" fillId="0" borderId="0" xfId="4496" applyFont="1" applyAlignment="1">
      <alignment horizontal="right"/>
    </xf>
    <xf numFmtId="182" fontId="135" fillId="0" borderId="0" xfId="8722" applyNumberFormat="1" applyFont="1" applyBorder="1" applyAlignment="1" applyProtection="1">
      <alignment horizontal="center"/>
    </xf>
    <xf numFmtId="10" fontId="96" fillId="0" borderId="0" xfId="4494" applyNumberFormat="1" applyFont="1" applyBorder="1" applyAlignment="1" applyProtection="1">
      <alignment horizontal="center"/>
    </xf>
    <xf numFmtId="184" fontId="96" fillId="0" borderId="6" xfId="4496" applyNumberFormat="1" applyFont="1" applyBorder="1"/>
    <xf numFmtId="0" fontId="135" fillId="0" borderId="0" xfId="4496" applyFont="1" applyAlignment="1">
      <alignment horizontal="right" vertical="top"/>
    </xf>
    <xf numFmtId="182" fontId="135" fillId="0" borderId="0" xfId="4496" applyNumberFormat="1" applyFont="1"/>
    <xf numFmtId="182" fontId="96" fillId="0" borderId="6" xfId="8722" applyNumberFormat="1" applyFont="1" applyBorder="1" applyProtection="1"/>
    <xf numFmtId="184" fontId="96" fillId="0" borderId="0" xfId="4496" applyNumberFormat="1" applyFont="1" applyAlignment="1">
      <alignment horizontal="center"/>
    </xf>
    <xf numFmtId="0" fontId="96" fillId="0" borderId="6" xfId="4496" applyFont="1" applyBorder="1" applyAlignment="1">
      <alignment horizontal="right" vertical="top" wrapText="1" indent="1"/>
    </xf>
    <xf numFmtId="0" fontId="96" fillId="0" borderId="70" xfId="4496" applyFont="1" applyBorder="1" applyAlignment="1">
      <alignment horizontal="right" indent="1"/>
    </xf>
    <xf numFmtId="0" fontId="96" fillId="0" borderId="80" xfId="4496" applyFont="1" applyBorder="1" applyAlignment="1">
      <alignment horizontal="right" indent="1"/>
    </xf>
    <xf numFmtId="0" fontId="96" fillId="0" borderId="80" xfId="4496" quotePrefix="1" applyFont="1" applyBorder="1" applyAlignment="1">
      <alignment horizontal="right" indent="1"/>
    </xf>
    <xf numFmtId="0" fontId="96" fillId="0" borderId="72" xfId="4496" applyFont="1" applyBorder="1" applyAlignment="1">
      <alignment horizontal="right" indent="1"/>
    </xf>
    <xf numFmtId="182" fontId="96" fillId="0" borderId="74" xfId="4496" applyNumberFormat="1" applyFont="1" applyBorder="1"/>
    <xf numFmtId="182" fontId="96" fillId="0" borderId="91" xfId="4496" applyNumberFormat="1" applyFont="1" applyBorder="1"/>
    <xf numFmtId="182" fontId="96" fillId="0" borderId="93" xfId="4496" applyNumberFormat="1" applyFont="1" applyBorder="1"/>
    <xf numFmtId="175" fontId="21" fillId="0" borderId="0" xfId="543" applyNumberFormat="1" applyFont="1" applyAlignment="1">
      <alignment vertical="center"/>
    </xf>
    <xf numFmtId="10" fontId="135" fillId="0" borderId="0" xfId="4494" applyNumberFormat="1" applyFont="1" applyProtection="1"/>
    <xf numFmtId="0" fontId="21" fillId="0" borderId="0" xfId="1192" applyFont="1" applyAlignment="1">
      <alignment horizontal="left" indent="1"/>
    </xf>
    <xf numFmtId="168" fontId="96" fillId="0" borderId="11" xfId="4499" applyNumberFormat="1" applyFont="1" applyFill="1" applyBorder="1" applyAlignment="1" applyProtection="1">
      <alignment horizontal="left" vertical="center" indent="1"/>
    </xf>
    <xf numFmtId="168" fontId="135" fillId="0" borderId="71" xfId="4499" applyNumberFormat="1" applyFont="1" applyFill="1" applyBorder="1" applyAlignment="1" applyProtection="1">
      <alignment horizontal="left" vertical="center" indent="1"/>
    </xf>
    <xf numFmtId="182" fontId="96" fillId="0" borderId="13" xfId="4496" applyNumberFormat="1" applyFont="1" applyBorder="1"/>
    <xf numFmtId="182" fontId="96" fillId="0" borderId="73" xfId="4496" applyNumberFormat="1" applyFont="1" applyBorder="1"/>
    <xf numFmtId="0" fontId="135" fillId="0" borderId="4" xfId="4496" applyFont="1" applyBorder="1" applyAlignment="1">
      <alignment horizontal="left" indent="1"/>
    </xf>
    <xf numFmtId="0" fontId="96" fillId="0" borderId="4" xfId="4496" applyFont="1" applyBorder="1"/>
    <xf numFmtId="0" fontId="32" fillId="0" borderId="0" xfId="4495" applyFont="1" applyAlignment="1">
      <alignment vertical="center"/>
    </xf>
    <xf numFmtId="0" fontId="120" fillId="0" borderId="0" xfId="4496" applyFont="1" applyAlignment="1">
      <alignment vertical="center" wrapText="1"/>
    </xf>
    <xf numFmtId="0" fontId="19" fillId="43" borderId="0" xfId="1192" applyFont="1" applyFill="1"/>
    <xf numFmtId="3" fontId="66" fillId="43" borderId="6" xfId="1192" applyNumberFormat="1" applyFont="1" applyFill="1" applyBorder="1"/>
    <xf numFmtId="0" fontId="167" fillId="0" borderId="0" xfId="0" applyFont="1"/>
    <xf numFmtId="0" fontId="19" fillId="0" borderId="11" xfId="253" applyFont="1" applyBorder="1" applyAlignment="1" applyProtection="1">
      <alignment horizontal="center" wrapText="1"/>
      <protection locked="0"/>
    </xf>
    <xf numFmtId="0" fontId="168" fillId="0" borderId="0" xfId="0" applyFont="1"/>
    <xf numFmtId="0" fontId="169" fillId="0" borderId="0" xfId="0" applyFont="1" applyAlignment="1">
      <alignment horizontal="center"/>
    </xf>
    <xf numFmtId="0" fontId="51" fillId="5" borderId="11" xfId="0" applyFont="1" applyFill="1" applyBorder="1" applyAlignment="1" applyProtection="1">
      <alignment horizontal="right" vertical="top" wrapText="1"/>
      <protection locked="0"/>
    </xf>
    <xf numFmtId="0" fontId="14" fillId="43" borderId="3" xfId="569" applyFill="1" applyBorder="1"/>
    <xf numFmtId="0" fontId="174" fillId="0" borderId="0" xfId="0" applyFont="1" applyAlignment="1">
      <alignment horizontal="right"/>
    </xf>
    <xf numFmtId="1" fontId="22" fillId="0" borderId="0" xfId="4495" applyNumberFormat="1" applyFont="1"/>
    <xf numFmtId="0" fontId="2" fillId="0" borderId="0" xfId="8726"/>
    <xf numFmtId="0" fontId="101" fillId="0" borderId="0" xfId="8726" applyFont="1"/>
    <xf numFmtId="0" fontId="153" fillId="0" borderId="0" xfId="8726" applyFont="1"/>
    <xf numFmtId="0" fontId="2" fillId="48" borderId="44" xfId="8726" applyFill="1" applyBorder="1"/>
    <xf numFmtId="0" fontId="2" fillId="48" borderId="42" xfId="8726" applyFill="1" applyBorder="1"/>
    <xf numFmtId="0" fontId="2" fillId="48" borderId="41" xfId="8726" applyFill="1" applyBorder="1"/>
    <xf numFmtId="0" fontId="2" fillId="44" borderId="44" xfId="8726" applyFill="1" applyBorder="1"/>
    <xf numFmtId="0" fontId="2" fillId="44" borderId="42" xfId="8726" applyFill="1" applyBorder="1"/>
    <xf numFmtId="0" fontId="2" fillId="44" borderId="86" xfId="8726" applyFill="1" applyBorder="1"/>
    <xf numFmtId="0" fontId="2" fillId="48" borderId="0" xfId="8726" applyFill="1"/>
    <xf numFmtId="0" fontId="2" fillId="44" borderId="41" xfId="8726" applyFill="1" applyBorder="1"/>
    <xf numFmtId="0" fontId="2" fillId="44" borderId="0" xfId="8726" applyFill="1"/>
    <xf numFmtId="0" fontId="2" fillId="44" borderId="66" xfId="8726" applyFill="1" applyBorder="1"/>
    <xf numFmtId="0" fontId="2" fillId="44" borderId="0" xfId="8726" applyFill="1" applyAlignment="1">
      <alignment horizontal="left"/>
    </xf>
    <xf numFmtId="0" fontId="2" fillId="48" borderId="86" xfId="8726" applyFill="1" applyBorder="1"/>
    <xf numFmtId="0" fontId="2" fillId="48" borderId="66" xfId="8726" applyFill="1" applyBorder="1"/>
    <xf numFmtId="49" fontId="100" fillId="48" borderId="66" xfId="8726" applyNumberFormat="1" applyFont="1" applyFill="1" applyBorder="1" applyAlignment="1">
      <alignment horizontal="right" vertical="top"/>
    </xf>
    <xf numFmtId="0" fontId="100" fillId="48" borderId="0" xfId="8726" applyFont="1" applyFill="1"/>
    <xf numFmtId="0" fontId="100" fillId="48" borderId="66" xfId="8726" applyFont="1" applyFill="1" applyBorder="1"/>
    <xf numFmtId="0" fontId="100" fillId="48" borderId="41" xfId="8726" applyFont="1" applyFill="1" applyBorder="1" applyAlignment="1">
      <alignment horizontal="center"/>
    </xf>
    <xf numFmtId="0" fontId="101" fillId="48" borderId="0" xfId="8726" applyFont="1" applyFill="1"/>
    <xf numFmtId="0" fontId="2" fillId="48" borderId="69" xfId="8726" applyFill="1" applyBorder="1"/>
    <xf numFmtId="168" fontId="157" fillId="48" borderId="68" xfId="700" applyNumberFormat="1" applyFont="1" applyFill="1" applyBorder="1" applyAlignment="1" applyProtection="1">
      <protection locked="0"/>
    </xf>
    <xf numFmtId="0" fontId="162" fillId="48" borderId="0" xfId="8726" applyFont="1" applyFill="1"/>
    <xf numFmtId="0" fontId="147" fillId="47" borderId="91" xfId="8726" applyFont="1" applyFill="1" applyBorder="1" applyAlignment="1">
      <alignment horizontal="center"/>
    </xf>
    <xf numFmtId="0" fontId="147" fillId="47" borderId="11" xfId="8726" applyFont="1" applyFill="1" applyBorder="1" applyAlignment="1">
      <alignment horizontal="center"/>
    </xf>
    <xf numFmtId="0" fontId="161" fillId="47" borderId="91" xfId="8726" applyFont="1" applyFill="1" applyBorder="1"/>
    <xf numFmtId="0" fontId="161" fillId="47" borderId="11" xfId="8726" applyFont="1" applyFill="1" applyBorder="1"/>
    <xf numFmtId="0" fontId="2" fillId="45" borderId="69" xfId="8726" applyFill="1" applyBorder="1"/>
    <xf numFmtId="0" fontId="2" fillId="45" borderId="68" xfId="8726" applyFill="1" applyBorder="1"/>
    <xf numFmtId="0" fontId="100" fillId="45" borderId="68" xfId="8726" applyFont="1" applyFill="1" applyBorder="1"/>
    <xf numFmtId="0" fontId="100" fillId="45" borderId="67" xfId="8726" applyFont="1" applyFill="1" applyBorder="1"/>
    <xf numFmtId="0" fontId="100" fillId="45" borderId="69" xfId="8726" applyFont="1" applyFill="1" applyBorder="1"/>
    <xf numFmtId="0" fontId="2" fillId="48" borderId="0" xfId="8726" applyFill="1" applyAlignment="1">
      <alignment horizontal="left"/>
    </xf>
    <xf numFmtId="0" fontId="151" fillId="48" borderId="0" xfId="8726" applyFont="1" applyFill="1"/>
    <xf numFmtId="0" fontId="100" fillId="45" borderId="89" xfId="8726" applyFont="1" applyFill="1" applyBorder="1"/>
    <xf numFmtId="0" fontId="100" fillId="45" borderId="76" xfId="8726" applyFont="1" applyFill="1" applyBorder="1"/>
    <xf numFmtId="0" fontId="100" fillId="45" borderId="75" xfId="8726" applyFont="1" applyFill="1" applyBorder="1"/>
    <xf numFmtId="0" fontId="100" fillId="45" borderId="31" xfId="8726" applyFont="1" applyFill="1" applyBorder="1"/>
    <xf numFmtId="0" fontId="100" fillId="45" borderId="29" xfId="8726" applyFont="1" applyFill="1" applyBorder="1"/>
    <xf numFmtId="0" fontId="100" fillId="45" borderId="65" xfId="8726" applyFont="1" applyFill="1" applyBorder="1"/>
    <xf numFmtId="0" fontId="2" fillId="45" borderId="83" xfId="8726" applyFill="1" applyBorder="1"/>
    <xf numFmtId="0" fontId="2" fillId="45" borderId="82" xfId="8726" applyFill="1" applyBorder="1"/>
    <xf numFmtId="0" fontId="2" fillId="45" borderId="81" xfId="8726" applyFill="1" applyBorder="1"/>
    <xf numFmtId="0" fontId="100" fillId="45" borderId="81" xfId="8726" applyFont="1" applyFill="1" applyBorder="1"/>
    <xf numFmtId="0" fontId="2" fillId="45" borderId="31" xfId="8726" applyFill="1" applyBorder="1"/>
    <xf numFmtId="0" fontId="2" fillId="45" borderId="29" xfId="8726" applyFill="1" applyBorder="1"/>
    <xf numFmtId="0" fontId="2" fillId="45" borderId="67" xfId="8726" applyFill="1" applyBorder="1"/>
    <xf numFmtId="0" fontId="84" fillId="0" borderId="0" xfId="8726" applyFont="1"/>
    <xf numFmtId="0" fontId="2" fillId="45" borderId="99" xfId="8726" applyFill="1" applyBorder="1"/>
    <xf numFmtId="0" fontId="2" fillId="45" borderId="65" xfId="8726" applyFill="1" applyBorder="1"/>
    <xf numFmtId="0" fontId="100" fillId="45" borderId="28" xfId="8726" applyFont="1" applyFill="1" applyBorder="1"/>
    <xf numFmtId="0" fontId="2" fillId="52" borderId="101" xfId="8726" applyFill="1" applyBorder="1"/>
    <xf numFmtId="0" fontId="2" fillId="51" borderId="101" xfId="8726" applyFill="1" applyBorder="1"/>
    <xf numFmtId="0" fontId="100" fillId="50" borderId="100" xfId="8726" applyFont="1" applyFill="1" applyBorder="1"/>
    <xf numFmtId="0" fontId="100" fillId="0" borderId="0" xfId="8726" applyFont="1"/>
    <xf numFmtId="0" fontId="100" fillId="48" borderId="41" xfId="8726" applyFont="1" applyFill="1" applyBorder="1"/>
    <xf numFmtId="0" fontId="149" fillId="48" borderId="0" xfId="8726" applyFont="1" applyFill="1"/>
    <xf numFmtId="182" fontId="163" fillId="48" borderId="0" xfId="8727" applyNumberFormat="1" applyFont="1" applyFill="1" applyBorder="1" applyAlignment="1"/>
    <xf numFmtId="0" fontId="21" fillId="0" borderId="4" xfId="569" applyFont="1" applyBorder="1" applyAlignment="1">
      <alignment horizontal="center"/>
    </xf>
    <xf numFmtId="43" fontId="21" fillId="0" borderId="0" xfId="4504" applyFont="1" applyAlignment="1" applyProtection="1">
      <alignment horizontal="center"/>
    </xf>
    <xf numFmtId="0" fontId="21" fillId="0" borderId="0" xfId="569" applyFont="1" applyAlignment="1">
      <alignment horizontal="center" vertical="center"/>
    </xf>
    <xf numFmtId="0" fontId="21" fillId="0" borderId="16" xfId="569" applyFont="1" applyBorder="1" applyAlignment="1">
      <alignment horizontal="center"/>
    </xf>
    <xf numFmtId="49" fontId="21" fillId="0" borderId="4" xfId="569" applyNumberFormat="1" applyFont="1" applyBorder="1" applyAlignment="1">
      <alignment horizontal="center"/>
    </xf>
    <xf numFmtId="4" fontId="21" fillId="0" borderId="0" xfId="569" applyNumberFormat="1" applyFont="1" applyAlignment="1">
      <alignment horizontal="center"/>
    </xf>
    <xf numFmtId="0" fontId="14" fillId="0" borderId="0" xfId="569" applyAlignment="1">
      <alignment horizontal="center" wrapText="1"/>
    </xf>
    <xf numFmtId="0" fontId="96" fillId="0" borderId="6" xfId="4496" applyFont="1" applyBorder="1" applyAlignment="1">
      <alignment horizontal="left" vertical="top"/>
    </xf>
    <xf numFmtId="9" fontId="14" fillId="0" borderId="11" xfId="4494" applyFont="1" applyBorder="1" applyAlignment="1">
      <alignment horizontal="center"/>
    </xf>
    <xf numFmtId="2" fontId="19" fillId="0" borderId="0" xfId="0" applyNumberFormat="1" applyFont="1"/>
    <xf numFmtId="0" fontId="14" fillId="5" borderId="3" xfId="0" applyFont="1" applyFill="1" applyBorder="1" applyAlignment="1" applyProtection="1">
      <alignment horizontal="left"/>
      <protection locked="0"/>
    </xf>
    <xf numFmtId="0" fontId="14" fillId="0" borderId="0" xfId="0" applyFont="1" applyAlignment="1">
      <alignment horizontal="left" vertical="top" wrapText="1"/>
    </xf>
    <xf numFmtId="0" fontId="15" fillId="0" borderId="0" xfId="244"/>
    <xf numFmtId="0" fontId="0" fillId="0" borderId="0" xfId="0"/>
    <xf numFmtId="0" fontId="14" fillId="0" borderId="0" xfId="1192" applyAlignment="1">
      <alignment horizontal="left" vertical="top" wrapText="1"/>
    </xf>
    <xf numFmtId="0" fontId="21" fillId="0" borderId="0" xfId="0" applyFont="1" applyAlignment="1">
      <alignment horizontal="left" vertical="top" wrapText="1"/>
    </xf>
    <xf numFmtId="0" fontId="43" fillId="0" borderId="0" xfId="0" applyFont="1" applyAlignment="1">
      <alignment horizontal="left" vertical="top" wrapText="1"/>
    </xf>
    <xf numFmtId="0" fontId="14" fillId="0" borderId="0" xfId="0" applyFont="1" applyAlignment="1">
      <alignment horizontal="left" wrapText="1"/>
    </xf>
    <xf numFmtId="0" fontId="15" fillId="0" borderId="0" xfId="244" applyAlignment="1" applyProtection="1">
      <alignment horizontal="left"/>
    </xf>
    <xf numFmtId="0" fontId="111" fillId="0" borderId="0" xfId="0" applyFont="1" applyAlignment="1">
      <alignment horizontal="left" wrapText="1"/>
    </xf>
    <xf numFmtId="0" fontId="23" fillId="0" borderId="0" xfId="0" applyFont="1" applyAlignment="1">
      <alignment horizontal="left" wrapText="1"/>
    </xf>
    <xf numFmtId="0" fontId="20" fillId="3" borderId="0" xfId="0" applyFont="1" applyFill="1" applyAlignment="1">
      <alignment horizontal="center" vertical="center" wrapText="1"/>
    </xf>
    <xf numFmtId="0" fontId="20" fillId="3" borderId="16" xfId="0" applyFont="1" applyFill="1" applyBorder="1" applyAlignment="1">
      <alignment horizontal="center" vertical="center" wrapText="1"/>
    </xf>
    <xf numFmtId="0" fontId="103" fillId="0" borderId="0" xfId="0" applyFont="1" applyAlignment="1">
      <alignment horizontal="left" vertical="top" wrapText="1"/>
    </xf>
    <xf numFmtId="0" fontId="32" fillId="0" borderId="0" xfId="569" applyFont="1" applyAlignment="1">
      <alignment horizontal="left"/>
    </xf>
    <xf numFmtId="4" fontId="14" fillId="0" borderId="0" xfId="569" applyNumberFormat="1" applyAlignment="1">
      <alignment horizontal="left"/>
    </xf>
    <xf numFmtId="0" fontId="14" fillId="0" borderId="0" xfId="569" applyAlignment="1">
      <alignment horizontal="left" vertical="top" wrapText="1"/>
    </xf>
    <xf numFmtId="4" fontId="32" fillId="0" borderId="0" xfId="569" applyNumberFormat="1" applyFont="1" applyAlignment="1">
      <alignment horizontal="left" vertical="top" wrapText="1"/>
    </xf>
    <xf numFmtId="4" fontId="14" fillId="0" borderId="0" xfId="569" applyNumberFormat="1" applyAlignment="1">
      <alignment horizontal="left" vertical="top" wrapText="1"/>
    </xf>
    <xf numFmtId="0" fontId="23" fillId="0" borderId="0" xfId="0" applyFont="1" applyAlignment="1">
      <alignment horizontal="left" vertical="top"/>
    </xf>
    <xf numFmtId="0" fontId="32" fillId="0" borderId="0" xfId="0" applyFont="1" applyAlignment="1">
      <alignment horizontal="left"/>
    </xf>
    <xf numFmtId="0" fontId="14" fillId="0" borderId="0" xfId="0" applyFont="1" applyAlignment="1">
      <alignment horizontal="left"/>
    </xf>
    <xf numFmtId="0" fontId="21" fillId="0" borderId="4" xfId="569" applyFont="1" applyBorder="1" applyAlignment="1">
      <alignment horizontal="left"/>
    </xf>
    <xf numFmtId="0" fontId="21" fillId="0" borderId="4" xfId="569" applyFont="1" applyBorder="1" applyAlignment="1">
      <alignment horizontal="left" vertical="top"/>
    </xf>
    <xf numFmtId="0" fontId="32" fillId="0" borderId="0" xfId="0" applyFont="1" applyAlignment="1">
      <alignment horizontal="left" wrapText="1"/>
    </xf>
    <xf numFmtId="0" fontId="14" fillId="0" borderId="0" xfId="0" applyFont="1" applyAlignment="1">
      <alignment horizontal="left" vertical="top"/>
    </xf>
    <xf numFmtId="0" fontId="21" fillId="0" borderId="0" xfId="0" applyFont="1" applyAlignment="1">
      <alignment horizontal="left"/>
    </xf>
    <xf numFmtId="0" fontId="23" fillId="0" borderId="0" xfId="0" applyFont="1" applyAlignment="1">
      <alignment horizontal="left"/>
    </xf>
    <xf numFmtId="0" fontId="15" fillId="0" borderId="0" xfId="244" quotePrefix="1" applyAlignment="1" applyProtection="1">
      <alignment horizontal="left"/>
    </xf>
    <xf numFmtId="0" fontId="21" fillId="0" borderId="4" xfId="0" applyFont="1" applyBorder="1" applyAlignment="1">
      <alignment horizontal="left"/>
    </xf>
    <xf numFmtId="0" fontId="32" fillId="0" borderId="0" xfId="569" applyFont="1" applyAlignment="1">
      <alignment horizontal="left" vertical="top"/>
    </xf>
    <xf numFmtId="0" fontId="14" fillId="0" borderId="0" xfId="569" applyAlignment="1">
      <alignment horizontal="left" vertical="top"/>
    </xf>
    <xf numFmtId="0" fontId="21" fillId="0" borderId="0" xfId="569" applyFont="1" applyAlignment="1">
      <alignment horizontal="left" vertical="top"/>
    </xf>
    <xf numFmtId="0" fontId="32" fillId="0" borderId="0" xfId="0" applyFont="1" applyAlignment="1">
      <alignment horizontal="left" vertical="top" wrapText="1"/>
    </xf>
    <xf numFmtId="4" fontId="14" fillId="0" borderId="0" xfId="0" applyNumberFormat="1" applyFont="1" applyAlignment="1">
      <alignment horizontal="left" vertical="top" wrapText="1"/>
    </xf>
    <xf numFmtId="4" fontId="32" fillId="0" borderId="0" xfId="0" applyNumberFormat="1" applyFont="1" applyAlignment="1">
      <alignment horizontal="left"/>
    </xf>
    <xf numFmtId="4" fontId="15" fillId="0" borderId="0" xfId="244" applyNumberFormat="1" applyFill="1" applyAlignment="1" applyProtection="1">
      <alignment horizontal="left"/>
    </xf>
    <xf numFmtId="0" fontId="14" fillId="0" borderId="0" xfId="271" applyFont="1" applyAlignment="1">
      <alignment horizontal="left" vertical="top" wrapText="1"/>
    </xf>
    <xf numFmtId="4" fontId="14" fillId="0" borderId="0" xfId="1192" applyNumberFormat="1" applyAlignment="1">
      <alignment horizontal="left" vertical="top" wrapText="1"/>
    </xf>
    <xf numFmtId="0" fontId="32" fillId="0" borderId="0" xfId="0" applyFont="1" applyAlignment="1">
      <alignment horizontal="center"/>
    </xf>
    <xf numFmtId="0" fontId="0" fillId="0" borderId="0" xfId="0" applyAlignment="1">
      <alignment horizontal="center"/>
    </xf>
    <xf numFmtId="0" fontId="21" fillId="0" borderId="0" xfId="0" applyFont="1" applyAlignment="1">
      <alignment horizontal="center"/>
    </xf>
    <xf numFmtId="49" fontId="14" fillId="0" borderId="0" xfId="0" applyNumberFormat="1" applyFont="1" applyAlignment="1">
      <alignment horizontal="left" vertical="top" wrapText="1"/>
    </xf>
    <xf numFmtId="49" fontId="14" fillId="0" borderId="0" xfId="1192" applyNumberFormat="1" applyAlignment="1">
      <alignment horizontal="left" vertical="top" wrapText="1"/>
    </xf>
    <xf numFmtId="0" fontId="32" fillId="0" borderId="0" xfId="569" applyFont="1" applyAlignment="1">
      <alignment horizontal="left" vertical="top" wrapText="1"/>
    </xf>
    <xf numFmtId="0" fontId="14" fillId="0" borderId="0" xfId="569" applyAlignment="1">
      <alignment horizontal="left"/>
    </xf>
    <xf numFmtId="0" fontId="15" fillId="0" borderId="0" xfId="244" applyAlignment="1">
      <alignment horizontal="left"/>
    </xf>
    <xf numFmtId="0" fontId="21" fillId="0" borderId="16" xfId="0" applyFont="1" applyBorder="1" applyAlignment="1">
      <alignment horizontal="left"/>
    </xf>
    <xf numFmtId="0" fontId="14" fillId="0" borderId="27" xfId="0" applyFont="1" applyBorder="1" applyAlignment="1">
      <alignment horizontal="left"/>
    </xf>
    <xf numFmtId="0" fontId="14" fillId="0" borderId="0" xfId="1192" applyAlignment="1">
      <alignment horizontal="left"/>
    </xf>
    <xf numFmtId="0" fontId="0" fillId="0" borderId="0" xfId="0" applyAlignment="1">
      <alignment horizontal="left" vertical="top" wrapText="1"/>
    </xf>
    <xf numFmtId="0" fontId="14" fillId="0" borderId="0" xfId="271" applyFont="1" applyAlignment="1" applyProtection="1">
      <alignment horizontal="left" vertical="top" wrapText="1"/>
      <protection locked="0"/>
    </xf>
    <xf numFmtId="0" fontId="32" fillId="0" borderId="0" xfId="1192" applyFont="1" applyAlignment="1">
      <alignment horizontal="left"/>
    </xf>
    <xf numFmtId="0" fontId="21" fillId="0" borderId="0" xfId="271" applyFont="1" applyAlignment="1">
      <alignment horizontal="left" vertical="top" wrapText="1"/>
    </xf>
    <xf numFmtId="0" fontId="112" fillId="0" borderId="0" xfId="569" applyFont="1" applyAlignment="1">
      <alignment horizontal="center"/>
    </xf>
    <xf numFmtId="0" fontId="113" fillId="0" borderId="0" xfId="569" applyFont="1"/>
    <xf numFmtId="0" fontId="14" fillId="0" borderId="0" xfId="569" applyAlignment="1">
      <alignment wrapText="1"/>
    </xf>
    <xf numFmtId="0" fontId="21" fillId="0" borderId="0" xfId="569" applyFont="1" applyAlignment="1">
      <alignment wrapText="1"/>
    </xf>
    <xf numFmtId="0" fontId="29" fillId="0" borderId="0" xfId="569" applyFont="1" applyAlignment="1">
      <alignment horizontal="center"/>
    </xf>
    <xf numFmtId="0" fontId="14" fillId="0" borderId="0" xfId="569"/>
    <xf numFmtId="0" fontId="14" fillId="0" borderId="0" xfId="1192" applyAlignment="1">
      <alignment vertical="top" wrapText="1"/>
    </xf>
    <xf numFmtId="0" fontId="32" fillId="0" borderId="0" xfId="569" applyFont="1" applyAlignment="1">
      <alignment horizontal="center"/>
    </xf>
    <xf numFmtId="0" fontId="21" fillId="0" borderId="0" xfId="569" applyFont="1" applyAlignment="1">
      <alignment horizontal="center"/>
    </xf>
    <xf numFmtId="0" fontId="14" fillId="0" borderId="15" xfId="569" applyBorder="1" applyAlignment="1">
      <alignment horizontal="center" vertical="top" wrapText="1"/>
    </xf>
    <xf numFmtId="0" fontId="14" fillId="0" borderId="14" xfId="569" applyBorder="1" applyAlignment="1">
      <alignment horizontal="center" vertical="top" wrapText="1"/>
    </xf>
    <xf numFmtId="0" fontId="14" fillId="0" borderId="13" xfId="569" applyBorder="1" applyAlignment="1">
      <alignment horizontal="center" vertical="top" wrapText="1"/>
    </xf>
    <xf numFmtId="0" fontId="14" fillId="0" borderId="0" xfId="1192" applyAlignment="1" applyProtection="1">
      <alignment horizontal="left" vertical="top" wrapText="1"/>
      <protection locked="0"/>
    </xf>
    <xf numFmtId="0" fontId="14" fillId="0" borderId="27" xfId="569" applyBorder="1" applyAlignment="1">
      <alignment horizontal="left"/>
    </xf>
    <xf numFmtId="0" fontId="15" fillId="0" borderId="0" xfId="244" applyAlignment="1" applyProtection="1">
      <alignment horizontal="left" vertical="top" wrapText="1"/>
    </xf>
    <xf numFmtId="0" fontId="21" fillId="0" borderId="0" xfId="569" applyFont="1" applyAlignment="1">
      <alignment horizontal="left"/>
    </xf>
    <xf numFmtId="0" fontId="21" fillId="0" borderId="4" xfId="0" applyFont="1" applyBorder="1" applyAlignment="1">
      <alignment horizontal="left" vertical="top"/>
    </xf>
    <xf numFmtId="0" fontId="21" fillId="0" borderId="16" xfId="569" applyFont="1" applyBorder="1" applyAlignment="1">
      <alignment horizontal="left"/>
    </xf>
    <xf numFmtId="0" fontId="14" fillId="0" borderId="0" xfId="569" applyAlignment="1">
      <alignment horizontal="left" vertical="center" wrapText="1"/>
    </xf>
    <xf numFmtId="0" fontId="21" fillId="0" borderId="0" xfId="0" applyFont="1" applyAlignment="1">
      <alignment horizontal="left" vertical="top"/>
    </xf>
    <xf numFmtId="0" fontId="15" fillId="0" borderId="0" xfId="244" applyNumberFormat="1" applyFill="1" applyAlignment="1" applyProtection="1">
      <alignment horizontal="left"/>
    </xf>
    <xf numFmtId="0" fontId="32" fillId="0" borderId="0" xfId="569" applyFont="1" applyAlignment="1">
      <alignment horizontal="left" wrapText="1"/>
    </xf>
    <xf numFmtId="0" fontId="32" fillId="0" borderId="0" xfId="569" applyFont="1" applyAlignment="1">
      <alignment horizontal="center" wrapText="1"/>
    </xf>
    <xf numFmtId="0" fontId="14" fillId="0" borderId="0" xfId="0" quotePrefix="1" applyFont="1" applyAlignment="1">
      <alignment horizontal="left" vertical="top"/>
    </xf>
    <xf numFmtId="0" fontId="14" fillId="0" borderId="0" xfId="0" quotePrefix="1" applyFont="1" applyAlignment="1">
      <alignment horizontal="left" vertical="top" wrapText="1"/>
    </xf>
    <xf numFmtId="0" fontId="14" fillId="0" borderId="0" xfId="569" applyAlignment="1">
      <alignment vertical="top" wrapText="1"/>
    </xf>
    <xf numFmtId="4" fontId="32" fillId="0" borderId="0" xfId="0" applyNumberFormat="1" applyFont="1" applyAlignment="1">
      <alignment horizontal="left" vertical="top" wrapText="1"/>
    </xf>
    <xf numFmtId="0" fontId="32" fillId="0" borderId="0" xfId="1192" applyFont="1" applyAlignment="1">
      <alignment horizontal="left" vertical="top" wrapText="1"/>
    </xf>
    <xf numFmtId="0" fontId="21" fillId="0" borderId="0" xfId="1192" applyFont="1" applyAlignment="1">
      <alignment horizontal="left" vertical="top" wrapText="1"/>
    </xf>
    <xf numFmtId="4" fontId="14" fillId="0" borderId="0" xfId="0" applyNumberFormat="1" applyFont="1" applyAlignment="1">
      <alignment horizontal="left"/>
    </xf>
    <xf numFmtId="0" fontId="21" fillId="0" borderId="0" xfId="0" applyFont="1" applyAlignment="1">
      <alignment vertical="top" wrapText="1"/>
    </xf>
    <xf numFmtId="0" fontId="14" fillId="0" borderId="0" xfId="0" applyFont="1" applyAlignment="1">
      <alignment horizontal="left" vertical="center" wrapText="1"/>
    </xf>
    <xf numFmtId="0" fontId="14" fillId="0" borderId="0" xfId="569" applyAlignment="1">
      <alignment horizontal="left" wrapText="1"/>
    </xf>
    <xf numFmtId="0" fontId="14" fillId="0" borderId="0" xfId="0" applyFont="1" applyAlignment="1">
      <alignment vertical="top" wrapText="1"/>
    </xf>
    <xf numFmtId="0" fontId="15" fillId="0" borderId="0" xfId="244" applyFill="1" applyBorder="1" applyAlignment="1">
      <alignment horizontal="left" vertical="top" wrapText="1"/>
    </xf>
    <xf numFmtId="0" fontId="32" fillId="0" borderId="0" xfId="0" applyFont="1" applyAlignment="1">
      <alignment horizontal="left" vertical="top"/>
    </xf>
    <xf numFmtId="0" fontId="14" fillId="5" borderId="4" xfId="569" applyFill="1" applyBorder="1" applyAlignment="1" applyProtection="1">
      <alignment horizontal="left"/>
      <protection locked="0"/>
    </xf>
    <xf numFmtId="166" fontId="14" fillId="5" borderId="4" xfId="569" applyNumberFormat="1" applyFill="1" applyBorder="1" applyAlignment="1" applyProtection="1">
      <alignment horizontal="left"/>
      <protection locked="0"/>
    </xf>
    <xf numFmtId="166" fontId="14" fillId="5" borderId="6" xfId="569" applyNumberFormat="1" applyFill="1" applyBorder="1" applyAlignment="1" applyProtection="1">
      <alignment horizontal="left"/>
      <protection locked="0"/>
    </xf>
    <xf numFmtId="0" fontId="14" fillId="5" borderId="105" xfId="569" applyFill="1" applyBorder="1" applyAlignment="1" applyProtection="1">
      <alignment horizontal="left"/>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8" fontId="23" fillId="5" borderId="3" xfId="0" applyNumberFormat="1" applyFont="1" applyFill="1" applyBorder="1" applyAlignment="1" applyProtection="1">
      <alignment horizontal="center"/>
      <protection locked="0"/>
    </xf>
    <xf numFmtId="168" fontId="23" fillId="5" borderId="4" xfId="0" applyNumberFormat="1" applyFont="1" applyFill="1" applyBorder="1" applyAlignment="1" applyProtection="1">
      <alignment horizontal="center"/>
      <protection locked="0"/>
    </xf>
    <xf numFmtId="168" fontId="23" fillId="5" borderId="5" xfId="0" applyNumberFormat="1" applyFont="1" applyFill="1" applyBorder="1" applyAlignment="1" applyProtection="1">
      <alignment horizontal="center"/>
      <protection locked="0"/>
    </xf>
    <xf numFmtId="0" fontId="23" fillId="5" borderId="3" xfId="0" applyFont="1" applyFill="1" applyBorder="1" applyAlignment="1" applyProtection="1">
      <alignment horizontal="center"/>
      <protection locked="0"/>
    </xf>
    <xf numFmtId="0" fontId="23" fillId="5" borderId="4" xfId="0" applyFont="1" applyFill="1" applyBorder="1" applyAlignment="1" applyProtection="1">
      <alignment horizontal="center"/>
      <protection locked="0"/>
    </xf>
    <xf numFmtId="0" fontId="23" fillId="5" borderId="5" xfId="0" applyFont="1" applyFill="1" applyBorder="1" applyAlignment="1" applyProtection="1">
      <alignment horizontal="center"/>
      <protection locked="0"/>
    </xf>
    <xf numFmtId="1" fontId="23" fillId="5" borderId="3" xfId="0" applyNumberFormat="1" applyFont="1" applyFill="1" applyBorder="1" applyAlignment="1" applyProtection="1">
      <alignment horizontal="center"/>
      <protection locked="0"/>
    </xf>
    <xf numFmtId="1" fontId="23" fillId="5" borderId="4" xfId="0" applyNumberFormat="1" applyFont="1" applyFill="1" applyBorder="1" applyAlignment="1" applyProtection="1">
      <alignment horizontal="center"/>
      <protection locked="0"/>
    </xf>
    <xf numFmtId="1" fontId="23" fillId="5" borderId="5" xfId="0" applyNumberFormat="1" applyFont="1" applyFill="1" applyBorder="1" applyAlignment="1" applyProtection="1">
      <alignment horizontal="center"/>
      <protection locked="0"/>
    </xf>
    <xf numFmtId="0" fontId="0" fillId="0" borderId="11" xfId="0" applyBorder="1" applyAlignment="1">
      <alignment horizontal="center"/>
    </xf>
    <xf numFmtId="0" fontId="14" fillId="0" borderId="3" xfId="0" applyFont="1" applyBorder="1" applyAlignment="1">
      <alignment horizontal="center"/>
    </xf>
    <xf numFmtId="0" fontId="14" fillId="0" borderId="4" xfId="0" applyFont="1" applyBorder="1" applyAlignment="1">
      <alignment horizontal="center"/>
    </xf>
    <xf numFmtId="0" fontId="14" fillId="0" borderId="5" xfId="0" applyFont="1" applyBorder="1" applyAlignment="1">
      <alignment horizontal="center"/>
    </xf>
    <xf numFmtId="0" fontId="23" fillId="2" borderId="11" xfId="0" applyFont="1" applyFill="1" applyBorder="1" applyAlignment="1">
      <alignment horizontal="center"/>
    </xf>
    <xf numFmtId="0" fontId="14" fillId="0" borderId="1" xfId="0" applyFont="1" applyBorder="1" applyAlignment="1">
      <alignment horizontal="center" vertical="top" wrapText="1"/>
    </xf>
    <xf numFmtId="0" fontId="23" fillId="0" borderId="2" xfId="0" applyFont="1" applyBorder="1" applyAlignment="1">
      <alignment horizontal="center" vertical="top" wrapText="1"/>
    </xf>
    <xf numFmtId="0" fontId="23" fillId="0" borderId="7" xfId="0" applyFont="1" applyBorder="1" applyAlignment="1">
      <alignment horizontal="center" vertical="top" wrapText="1"/>
    </xf>
    <xf numFmtId="0" fontId="23" fillId="0" borderId="8" xfId="0" applyFont="1" applyBorder="1" applyAlignment="1">
      <alignment horizontal="center" vertical="top" wrapText="1"/>
    </xf>
    <xf numFmtId="0" fontId="23" fillId="0" borderId="0" xfId="0" applyFont="1" applyAlignment="1">
      <alignment horizontal="center" vertical="top" wrapText="1"/>
    </xf>
    <xf numFmtId="0" fontId="23" fillId="0" borderId="12" xfId="0" applyFont="1" applyBorder="1" applyAlignment="1">
      <alignment horizontal="center" vertical="top" wrapText="1"/>
    </xf>
    <xf numFmtId="0" fontId="23" fillId="0" borderId="9" xfId="0" applyFont="1" applyBorder="1" applyAlignment="1">
      <alignment horizontal="center" vertical="top" wrapText="1"/>
    </xf>
    <xf numFmtId="0" fontId="23" fillId="0" borderId="6" xfId="0" applyFont="1" applyBorder="1" applyAlignment="1">
      <alignment horizontal="center" vertical="top" wrapText="1"/>
    </xf>
    <xf numFmtId="0" fontId="23" fillId="0" borderId="10" xfId="0" applyFont="1" applyBorder="1" applyAlignment="1">
      <alignment horizontal="center" vertical="top" wrapText="1"/>
    </xf>
    <xf numFmtId="168" fontId="23" fillId="0" borderId="3" xfId="0" applyNumberFormat="1" applyFont="1" applyBorder="1" applyAlignment="1">
      <alignment horizontal="center"/>
    </xf>
    <xf numFmtId="168" fontId="23" fillId="0" borderId="4" xfId="0" applyNumberFormat="1" applyFont="1" applyBorder="1" applyAlignment="1">
      <alignment horizontal="center"/>
    </xf>
    <xf numFmtId="168" fontId="23" fillId="0" borderId="5" xfId="0" applyNumberFormat="1" applyFont="1" applyBorder="1" applyAlignment="1">
      <alignment horizontal="center"/>
    </xf>
    <xf numFmtId="165" fontId="23" fillId="0" borderId="1" xfId="0" applyNumberFormat="1" applyFont="1" applyBorder="1" applyAlignment="1">
      <alignment horizontal="right"/>
    </xf>
    <xf numFmtId="165" fontId="23" fillId="0" borderId="2" xfId="0" applyNumberFormat="1" applyFont="1" applyBorder="1" applyAlignment="1">
      <alignment horizontal="right"/>
    </xf>
    <xf numFmtId="165" fontId="23" fillId="0" borderId="7" xfId="0" applyNumberFormat="1" applyFont="1" applyBorder="1" applyAlignment="1">
      <alignment horizontal="right"/>
    </xf>
    <xf numFmtId="9" fontId="23" fillId="5" borderId="3" xfId="0" applyNumberFormat="1" applyFont="1" applyFill="1" applyBorder="1" applyAlignment="1" applyProtection="1">
      <alignment horizontal="center"/>
      <protection locked="0"/>
    </xf>
    <xf numFmtId="9" fontId="23" fillId="5" borderId="4" xfId="0" applyNumberFormat="1" applyFont="1" applyFill="1" applyBorder="1" applyAlignment="1" applyProtection="1">
      <alignment horizontal="center"/>
      <protection locked="0"/>
    </xf>
    <xf numFmtId="9" fontId="23" fillId="5" borderId="5" xfId="0" applyNumberFormat="1" applyFont="1" applyFill="1" applyBorder="1" applyAlignment="1" applyProtection="1">
      <alignment horizontal="center"/>
      <protection locked="0"/>
    </xf>
    <xf numFmtId="0" fontId="14"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23" fillId="45" borderId="11" xfId="0" applyFont="1" applyFill="1" applyBorder="1" applyAlignment="1">
      <alignment horizontal="center"/>
    </xf>
    <xf numFmtId="0" fontId="23" fillId="5" borderId="4" xfId="0" applyFont="1" applyFill="1" applyBorder="1" applyAlignment="1" applyProtection="1">
      <alignment horizontal="left"/>
      <protection locked="0"/>
    </xf>
    <xf numFmtId="0" fontId="23" fillId="45" borderId="3" xfId="0" applyFont="1" applyFill="1" applyBorder="1" applyAlignment="1">
      <alignment horizontal="center"/>
    </xf>
    <xf numFmtId="0" fontId="23" fillId="45" borderId="4" xfId="0" applyFont="1" applyFill="1" applyBorder="1" applyAlignment="1">
      <alignment horizontal="center"/>
    </xf>
    <xf numFmtId="0" fontId="23" fillId="45" borderId="5" xfId="0" applyFont="1" applyFill="1" applyBorder="1" applyAlignment="1">
      <alignment horizontal="center"/>
    </xf>
    <xf numFmtId="175" fontId="14" fillId="43" borderId="3" xfId="0" applyNumberFormat="1" applyFont="1" applyFill="1" applyBorder="1" applyAlignment="1" applyProtection="1">
      <alignment horizontal="center"/>
      <protection locked="0"/>
    </xf>
    <xf numFmtId="175" fontId="14" fillId="43" borderId="4" xfId="0" applyNumberFormat="1" applyFont="1" applyFill="1" applyBorder="1" applyAlignment="1" applyProtection="1">
      <alignment horizontal="center"/>
      <protection locked="0"/>
    </xf>
    <xf numFmtId="175" fontId="14" fillId="43" borderId="5" xfId="0" applyNumberFormat="1" applyFont="1" applyFill="1" applyBorder="1" applyAlignment="1" applyProtection="1">
      <alignment horizontal="center"/>
      <protection locked="0"/>
    </xf>
    <xf numFmtId="0" fontId="0" fillId="5" borderId="6" xfId="0" applyFill="1" applyBorder="1" applyAlignment="1" applyProtection="1">
      <alignment horizontal="left"/>
      <protection locked="0"/>
    </xf>
    <xf numFmtId="0" fontId="0" fillId="5" borderId="6" xfId="0" applyFill="1" applyBorder="1" applyAlignment="1" applyProtection="1">
      <alignment horizontal="center"/>
      <protection locked="0"/>
    </xf>
    <xf numFmtId="0" fontId="37" fillId="0" borderId="3" xfId="0" applyFont="1" applyBorder="1" applyAlignment="1">
      <alignment horizontal="center"/>
    </xf>
    <xf numFmtId="0" fontId="37" fillId="0" borderId="4" xfId="0" applyFont="1" applyBorder="1" applyAlignment="1">
      <alignment horizontal="center"/>
    </xf>
    <xf numFmtId="0" fontId="37" fillId="0" borderId="5" xfId="0" applyFont="1" applyBorder="1" applyAlignment="1">
      <alignment horizontal="center"/>
    </xf>
    <xf numFmtId="0" fontId="14" fillId="5" borderId="6" xfId="0" applyFont="1" applyFill="1" applyBorder="1" applyAlignment="1" applyProtection="1">
      <alignment horizontal="left"/>
      <protection locked="0"/>
    </xf>
    <xf numFmtId="0" fontId="0" fillId="0" borderId="6" xfId="0" applyBorder="1" applyAlignment="1">
      <alignment horizontal="left"/>
    </xf>
    <xf numFmtId="0" fontId="14" fillId="0" borderId="11" xfId="0" applyFont="1" applyBorder="1" applyAlignment="1">
      <alignment horizontal="center"/>
    </xf>
    <xf numFmtId="0" fontId="14" fillId="5" borderId="1" xfId="0" applyFont="1"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0" fontId="23" fillId="5" borderId="9" xfId="0" applyFont="1" applyFill="1" applyBorder="1" applyAlignment="1" applyProtection="1">
      <alignment horizontal="center"/>
      <protection locked="0"/>
    </xf>
    <xf numFmtId="0" fontId="23" fillId="5" borderId="6" xfId="0" applyFont="1"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14" fillId="0" borderId="6" xfId="0" applyFont="1" applyBorder="1" applyAlignment="1" applyProtection="1">
      <alignment horizontal="center"/>
      <protection locked="0"/>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0" xfId="0" applyFont="1" applyAlignment="1">
      <alignment horizontal="center" vertical="center" wrapText="1"/>
    </xf>
    <xf numFmtId="0" fontId="21" fillId="0" borderId="12"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10" xfId="0" applyFont="1" applyBorder="1" applyAlignment="1">
      <alignment horizontal="center" vertical="center" wrapText="1"/>
    </xf>
    <xf numFmtId="168" fontId="14" fillId="0" borderId="3" xfId="0" applyNumberFormat="1" applyFont="1" applyBorder="1" applyAlignment="1">
      <alignment horizontal="left" vertical="top"/>
    </xf>
    <xf numFmtId="168" fontId="14" fillId="0" borderId="4" xfId="0" applyNumberFormat="1" applyFont="1" applyBorder="1" applyAlignment="1">
      <alignment horizontal="left" vertical="top"/>
    </xf>
    <xf numFmtId="168" fontId="14" fillId="0" borderId="5" xfId="0" applyNumberFormat="1" applyFont="1" applyBorder="1" applyAlignment="1">
      <alignment horizontal="left" vertical="top"/>
    </xf>
    <xf numFmtId="1" fontId="23" fillId="5" borderId="3" xfId="0" applyNumberFormat="1" applyFont="1" applyFill="1" applyBorder="1" applyAlignment="1" applyProtection="1">
      <alignment horizontal="right" vertical="top"/>
      <protection locked="0"/>
    </xf>
    <xf numFmtId="1" fontId="23" fillId="5" borderId="4" xfId="0" applyNumberFormat="1" applyFont="1" applyFill="1" applyBorder="1" applyAlignment="1" applyProtection="1">
      <alignment horizontal="right" vertical="top"/>
      <protection locked="0"/>
    </xf>
    <xf numFmtId="1" fontId="23" fillId="5" borderId="5" xfId="0" applyNumberFormat="1" applyFont="1" applyFill="1" applyBorder="1" applyAlignment="1" applyProtection="1">
      <alignment horizontal="right" vertical="top"/>
      <protection locked="0"/>
    </xf>
    <xf numFmtId="0" fontId="14"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80" fontId="22" fillId="43" borderId="3" xfId="0" applyNumberFormat="1" applyFont="1" applyFill="1" applyBorder="1" applyAlignment="1" applyProtection="1">
      <alignment horizontal="center" vertical="center"/>
      <protection locked="0"/>
    </xf>
    <xf numFmtId="180" fontId="22" fillId="43" borderId="4" xfId="0" applyNumberFormat="1" applyFont="1" applyFill="1" applyBorder="1" applyAlignment="1" applyProtection="1">
      <alignment horizontal="center" vertical="center"/>
      <protection locked="0"/>
    </xf>
    <xf numFmtId="180" fontId="22"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3" fillId="5" borderId="11" xfId="0" applyNumberFormat="1" applyFont="1" applyFill="1" applyBorder="1" applyAlignment="1" applyProtection="1">
      <alignment horizontal="center"/>
      <protection locked="0"/>
    </xf>
    <xf numFmtId="0" fontId="14" fillId="0" borderId="3" xfId="0" applyFont="1" applyBorder="1" applyAlignment="1">
      <alignment horizontal="left"/>
    </xf>
    <xf numFmtId="0" fontId="14" fillId="0" borderId="4" xfId="0" applyFont="1" applyBorder="1" applyAlignment="1">
      <alignment horizontal="left"/>
    </xf>
    <xf numFmtId="0" fontId="14" fillId="0" borderId="5" xfId="0" applyFont="1" applyBorder="1" applyAlignment="1">
      <alignment horizontal="left"/>
    </xf>
    <xf numFmtId="168" fontId="23" fillId="0" borderId="4" xfId="0" applyNumberFormat="1" applyFont="1" applyBorder="1" applyAlignment="1">
      <alignment horizontal="left" vertical="top"/>
    </xf>
    <xf numFmtId="168" fontId="23" fillId="0" borderId="5" xfId="0" applyNumberFormat="1" applyFont="1" applyBorder="1" applyAlignment="1">
      <alignment horizontal="left" vertical="top"/>
    </xf>
    <xf numFmtId="168" fontId="14" fillId="43" borderId="3" xfId="0" applyNumberFormat="1" applyFont="1" applyFill="1" applyBorder="1" applyAlignment="1" applyProtection="1">
      <alignment horizontal="center" vertical="center"/>
      <protection locked="0"/>
    </xf>
    <xf numFmtId="168" fontId="14" fillId="43" borderId="4" xfId="0" applyNumberFormat="1" applyFont="1" applyFill="1" applyBorder="1" applyAlignment="1" applyProtection="1">
      <alignment horizontal="center" vertical="center"/>
      <protection locked="0"/>
    </xf>
    <xf numFmtId="168" fontId="14" fillId="43" borderId="5" xfId="0" applyNumberFormat="1" applyFont="1" applyFill="1" applyBorder="1" applyAlignment="1" applyProtection="1">
      <alignment horizontal="center" vertical="center"/>
      <protection locked="0"/>
    </xf>
    <xf numFmtId="168" fontId="23" fillId="0" borderId="11" xfId="0" applyNumberFormat="1" applyFont="1" applyBorder="1" applyAlignment="1">
      <alignment horizontal="center"/>
    </xf>
    <xf numFmtId="0" fontId="0" fillId="0" borderId="12" xfId="0" applyBorder="1" applyAlignment="1">
      <alignment horizontal="center"/>
    </xf>
    <xf numFmtId="165" fontId="14" fillId="5" borderId="3" xfId="0" applyNumberFormat="1" applyFont="1" applyFill="1" applyBorder="1" applyAlignment="1" applyProtection="1">
      <alignment horizontal="center"/>
      <protection locked="0"/>
    </xf>
    <xf numFmtId="165" fontId="23" fillId="5" borderId="4" xfId="0" applyNumberFormat="1" applyFont="1" applyFill="1" applyBorder="1" applyAlignment="1" applyProtection="1">
      <alignment horizontal="center"/>
      <protection locked="0"/>
    </xf>
    <xf numFmtId="165" fontId="23"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0" fillId="0" borderId="6" xfId="0" applyBorder="1" applyAlignment="1" applyProtection="1">
      <alignment horizontal="center"/>
      <protection locked="0"/>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0" fontId="23" fillId="5" borderId="11" xfId="0" applyFont="1" applyFill="1" applyBorder="1" applyAlignment="1" applyProtection="1">
      <alignment horizontal="center"/>
      <protection locked="0"/>
    </xf>
    <xf numFmtId="3" fontId="23" fillId="0" borderId="11" xfId="0" applyNumberFormat="1" applyFont="1" applyBorder="1" applyAlignment="1">
      <alignment horizontal="center"/>
    </xf>
    <xf numFmtId="168" fontId="170" fillId="0" borderId="0" xfId="0" applyNumberFormat="1" applyFont="1" applyAlignment="1">
      <alignment horizontal="center" vertical="center" wrapText="1"/>
    </xf>
    <xf numFmtId="168" fontId="23" fillId="0" borderId="3" xfId="0" applyNumberFormat="1" applyFont="1" applyBorder="1" applyAlignment="1">
      <alignment horizontal="left" vertical="top"/>
    </xf>
    <xf numFmtId="0" fontId="14"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1" fillId="0" borderId="6" xfId="0" applyFont="1" applyBorder="1" applyAlignment="1">
      <alignment horizontal="center"/>
    </xf>
    <xf numFmtId="0" fontId="21" fillId="0" borderId="10" xfId="0" applyFont="1" applyBorder="1" applyAlignment="1">
      <alignment horizontal="center"/>
    </xf>
    <xf numFmtId="0" fontId="0" fillId="0" borderId="4" xfId="0" applyBorder="1" applyAlignment="1">
      <alignment horizontal="left"/>
    </xf>
    <xf numFmtId="0" fontId="0" fillId="0" borderId="5" xfId="0" applyBorder="1" applyAlignment="1">
      <alignment horizontal="left"/>
    </xf>
    <xf numFmtId="175" fontId="14" fillId="43" borderId="3" xfId="0" applyNumberFormat="1" applyFont="1" applyFill="1" applyBorder="1" applyAlignment="1" applyProtection="1">
      <alignment horizontal="center" vertical="center"/>
      <protection locked="0"/>
    </xf>
    <xf numFmtId="175" fontId="14" fillId="43" borderId="4" xfId="0" applyNumberFormat="1" applyFont="1" applyFill="1" applyBorder="1" applyAlignment="1" applyProtection="1">
      <alignment horizontal="center" vertical="center"/>
      <protection locked="0"/>
    </xf>
    <xf numFmtId="175" fontId="14" fillId="43" borderId="5" xfId="0" applyNumberFormat="1" applyFont="1" applyFill="1" applyBorder="1" applyAlignment="1" applyProtection="1">
      <alignment horizontal="center" vertical="center"/>
      <protection locked="0"/>
    </xf>
    <xf numFmtId="0" fontId="14" fillId="5" borderId="11" xfId="0" applyFont="1" applyFill="1" applyBorder="1" applyAlignment="1" applyProtection="1">
      <alignment vertical="center" wrapText="1"/>
      <protection locked="0"/>
    </xf>
    <xf numFmtId="0" fontId="14" fillId="5" borderId="11" xfId="0" applyFont="1" applyFill="1" applyBorder="1" applyAlignment="1" applyProtection="1">
      <alignment horizontal="left" vertical="center" wrapText="1"/>
      <protection locked="0"/>
    </xf>
    <xf numFmtId="0" fontId="0" fillId="43" borderId="10" xfId="0" applyFill="1" applyBorder="1" applyAlignment="1" applyProtection="1">
      <alignment horizontal="left"/>
      <protection locked="0"/>
    </xf>
    <xf numFmtId="1" fontId="14" fillId="5" borderId="6" xfId="0" applyNumberFormat="1" applyFont="1" applyFill="1" applyBorder="1" applyAlignment="1" applyProtection="1">
      <alignment horizontal="center"/>
      <protection locked="0"/>
    </xf>
    <xf numFmtId="1" fontId="0" fillId="5" borderId="6" xfId="0" applyNumberFormat="1" applyFill="1" applyBorder="1" applyAlignment="1" applyProtection="1">
      <alignment horizontal="center"/>
      <protection locked="0"/>
    </xf>
    <xf numFmtId="0" fontId="0" fillId="0" borderId="3" xfId="0" applyBorder="1" applyAlignment="1">
      <alignment horizontal="left"/>
    </xf>
    <xf numFmtId="0" fontId="23" fillId="5" borderId="6" xfId="0" applyFont="1" applyFill="1" applyBorder="1" applyAlignment="1" applyProtection="1">
      <alignment horizontal="left"/>
      <protection locked="0"/>
    </xf>
    <xf numFmtId="10" fontId="23"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14" fillId="5" borderId="3" xfId="0" applyFont="1" applyFill="1" applyBorder="1" applyAlignment="1" applyProtection="1">
      <alignment horizontal="left"/>
      <protection locked="0"/>
    </xf>
    <xf numFmtId="0" fontId="0" fillId="43" borderId="6" xfId="0" applyFill="1" applyBorder="1" applyAlignment="1" applyProtection="1">
      <alignment horizontal="center"/>
      <protection locked="0"/>
    </xf>
    <xf numFmtId="168" fontId="23" fillId="5" borderId="6" xfId="0" applyNumberFormat="1" applyFont="1" applyFill="1" applyBorder="1" applyAlignment="1" applyProtection="1">
      <alignment horizontal="right"/>
      <protection locked="0"/>
    </xf>
    <xf numFmtId="0" fontId="14" fillId="5" borderId="6" xfId="0" applyFont="1" applyFill="1" applyBorder="1" applyAlignment="1" applyProtection="1">
      <alignment horizontal="center"/>
      <protection locked="0"/>
    </xf>
    <xf numFmtId="166" fontId="23" fillId="5" borderId="4" xfId="0" applyNumberFormat="1" applyFont="1" applyFill="1" applyBorder="1" applyAlignment="1" applyProtection="1">
      <alignment horizontal="left"/>
      <protection locked="0"/>
    </xf>
    <xf numFmtId="0" fontId="14" fillId="5" borderId="0" xfId="0" applyFont="1" applyFill="1" applyAlignment="1" applyProtection="1">
      <alignment horizontal="left" vertical="top" wrapText="1"/>
      <protection locked="0"/>
    </xf>
    <xf numFmtId="0" fontId="23" fillId="5" borderId="0" xfId="0" applyFont="1" applyFill="1" applyAlignment="1" applyProtection="1">
      <alignment horizontal="left" vertical="top" wrapText="1"/>
      <protection locked="0"/>
    </xf>
    <xf numFmtId="0" fontId="23" fillId="5" borderId="6" xfId="0" applyFont="1"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14" fillId="5" borderId="4" xfId="0" applyFont="1" applyFill="1" applyBorder="1" applyAlignment="1" applyProtection="1">
      <alignment horizontal="left"/>
      <protection locked="0"/>
    </xf>
    <xf numFmtId="0" fontId="22" fillId="43" borderId="6" xfId="0" applyFont="1" applyFill="1" applyBorder="1" applyAlignment="1" applyProtection="1">
      <alignment horizontal="left"/>
      <protection locked="0"/>
    </xf>
    <xf numFmtId="1" fontId="23" fillId="5" borderId="6" xfId="0" applyNumberFormat="1" applyFont="1" applyFill="1" applyBorder="1" applyAlignment="1" applyProtection="1">
      <alignment horizontal="right"/>
      <protection locked="0"/>
    </xf>
    <xf numFmtId="0" fontId="14" fillId="5" borderId="4" xfId="0" applyFont="1" applyFill="1" applyBorder="1" applyAlignment="1" applyProtection="1">
      <alignment horizontal="center"/>
      <protection locked="0"/>
    </xf>
    <xf numFmtId="1" fontId="23" fillId="5" borderId="11" xfId="0" quotePrefix="1" applyNumberFormat="1" applyFont="1" applyFill="1" applyBorder="1" applyAlignment="1" applyProtection="1">
      <alignment horizontal="center"/>
      <protection locked="0"/>
    </xf>
    <xf numFmtId="1" fontId="23" fillId="5" borderId="11" xfId="0" applyNumberFormat="1" applyFont="1" applyFill="1" applyBorder="1" applyAlignment="1" applyProtection="1">
      <alignment horizontal="center"/>
      <protection locked="0"/>
    </xf>
    <xf numFmtId="0" fontId="22" fillId="5" borderId="6" xfId="0" applyFont="1" applyFill="1" applyBorder="1" applyAlignment="1" applyProtection="1">
      <alignment horizontal="left"/>
      <protection locked="0"/>
    </xf>
    <xf numFmtId="0" fontId="33" fillId="5" borderId="6" xfId="0" applyFont="1" applyFill="1" applyBorder="1" applyAlignment="1" applyProtection="1">
      <alignment horizontal="left"/>
      <protection locked="0"/>
    </xf>
    <xf numFmtId="168" fontId="14" fillId="43" borderId="6" xfId="0" applyNumberFormat="1" applyFont="1" applyFill="1" applyBorder="1" applyAlignment="1" applyProtection="1">
      <alignment horizontal="right"/>
      <protection locked="0"/>
    </xf>
    <xf numFmtId="168" fontId="0" fillId="43" borderId="6" xfId="0" applyNumberFormat="1" applyFill="1" applyBorder="1" applyAlignment="1" applyProtection="1">
      <alignment horizontal="right"/>
      <protection locked="0"/>
    </xf>
    <xf numFmtId="166" fontId="14" fillId="5" borderId="4" xfId="0" applyNumberFormat="1" applyFont="1" applyFill="1" applyBorder="1" applyAlignment="1" applyProtection="1">
      <alignment horizontal="left"/>
      <protection locked="0"/>
    </xf>
    <xf numFmtId="175" fontId="0" fillId="5" borderId="4" xfId="0" applyNumberFormat="1" applyFill="1" applyBorder="1" applyAlignment="1" applyProtection="1">
      <alignment horizontal="left" vertical="center" wrapText="1"/>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3" fillId="0" borderId="1" xfId="0" applyFont="1" applyBorder="1" applyAlignment="1">
      <alignment horizontal="center" vertical="top" wrapText="1"/>
    </xf>
    <xf numFmtId="0" fontId="21" fillId="0" borderId="9" xfId="0" applyFont="1" applyBorder="1" applyAlignment="1">
      <alignment horizontal="right"/>
    </xf>
    <xf numFmtId="0" fontId="21" fillId="0" borderId="6" xfId="0" applyFont="1" applyBorder="1" applyAlignment="1">
      <alignment horizontal="right"/>
    </xf>
    <xf numFmtId="0" fontId="21" fillId="0" borderId="10" xfId="0" applyFont="1" applyBorder="1" applyAlignment="1">
      <alignment horizontal="right"/>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4" fillId="43" borderId="4" xfId="0" applyFont="1" applyFill="1" applyBorder="1" applyAlignment="1" applyProtection="1">
      <alignment horizontal="left" wrapText="1"/>
      <protection locked="0"/>
    </xf>
    <xf numFmtId="0" fontId="14" fillId="0" borderId="11" xfId="543" applyBorder="1" applyAlignment="1">
      <alignment horizontal="center"/>
    </xf>
    <xf numFmtId="168" fontId="23" fillId="5" borderId="3" xfId="0" applyNumberFormat="1" applyFont="1" applyFill="1" applyBorder="1" applyAlignment="1" applyProtection="1">
      <alignment horizontal="left" vertical="top"/>
      <protection locked="0"/>
    </xf>
    <xf numFmtId="168" fontId="23" fillId="5" borderId="4" xfId="0" applyNumberFormat="1" applyFont="1" applyFill="1" applyBorder="1" applyAlignment="1" applyProtection="1">
      <alignment horizontal="left" vertical="top"/>
      <protection locked="0"/>
    </xf>
    <xf numFmtId="168" fontId="23" fillId="5" borderId="5" xfId="0" applyNumberFormat="1" applyFont="1" applyFill="1" applyBorder="1" applyAlignment="1" applyProtection="1">
      <alignment horizontal="left" vertical="top"/>
      <protection locked="0"/>
    </xf>
    <xf numFmtId="0" fontId="14" fillId="0" borderId="3" xfId="543" applyBorder="1" applyAlignment="1">
      <alignment horizontal="center"/>
    </xf>
    <xf numFmtId="0" fontId="14" fillId="0" borderId="4" xfId="543" applyBorder="1" applyAlignment="1">
      <alignment horizontal="center"/>
    </xf>
    <xf numFmtId="0" fontId="14" fillId="0" borderId="5" xfId="543" applyBorder="1" applyAlignment="1">
      <alignment horizontal="center"/>
    </xf>
    <xf numFmtId="166" fontId="23" fillId="5" borderId="6" xfId="0" applyNumberFormat="1" applyFont="1" applyFill="1" applyBorder="1" applyAlignment="1" applyProtection="1">
      <alignment horizontal="left"/>
      <protection locked="0"/>
    </xf>
    <xf numFmtId="0" fontId="14" fillId="0" borderId="3" xfId="271" applyFont="1" applyBorder="1" applyAlignment="1">
      <alignment horizontal="left"/>
    </xf>
    <xf numFmtId="0" fontId="14" fillId="0" borderId="4" xfId="271" applyFont="1" applyBorder="1" applyAlignment="1">
      <alignment horizontal="left"/>
    </xf>
    <xf numFmtId="0" fontId="14" fillId="0" borderId="5" xfId="271" applyFont="1" applyBorder="1" applyAlignment="1">
      <alignment horizontal="left"/>
    </xf>
    <xf numFmtId="168" fontId="51" fillId="0" borderId="2" xfId="0" applyNumberFormat="1" applyFont="1" applyBorder="1" applyAlignment="1">
      <alignment horizontal="left" vertical="top" wrapText="1"/>
    </xf>
    <xf numFmtId="168" fontId="51" fillId="0" borderId="0" xfId="0" applyNumberFormat="1" applyFont="1" applyAlignment="1">
      <alignment horizontal="left" vertical="top" wrapText="1"/>
    </xf>
    <xf numFmtId="168" fontId="14" fillId="5" borderId="6" xfId="0" applyNumberFormat="1" applyFont="1" applyFill="1" applyBorder="1" applyAlignment="1" applyProtection="1">
      <alignment horizontal="right"/>
      <protection locked="0"/>
    </xf>
    <xf numFmtId="178" fontId="14" fillId="5" borderId="4" xfId="0" applyNumberFormat="1" applyFont="1" applyFill="1" applyBorder="1" applyAlignment="1" applyProtection="1">
      <alignment horizontal="right"/>
      <protection locked="0"/>
    </xf>
    <xf numFmtId="178" fontId="23"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0" fontId="21" fillId="0" borderId="4" xfId="0" applyFont="1" applyBorder="1" applyAlignment="1">
      <alignment horizontal="center"/>
    </xf>
    <xf numFmtId="0" fontId="21" fillId="0" borderId="5" xfId="0" applyFont="1" applyBorder="1" applyAlignment="1">
      <alignment horizontal="center"/>
    </xf>
    <xf numFmtId="0" fontId="14" fillId="5" borderId="6" xfId="244" applyFont="1" applyFill="1" applyBorder="1" applyAlignment="1" applyProtection="1">
      <alignment horizontal="left"/>
      <protection locked="0"/>
    </xf>
    <xf numFmtId="0" fontId="14" fillId="5" borderId="0" xfId="244" applyFont="1" applyFill="1" applyBorder="1" applyAlignment="1" applyProtection="1">
      <alignment horizontal="left"/>
      <protection locked="0"/>
    </xf>
    <xf numFmtId="0" fontId="14" fillId="5" borderId="6" xfId="0" applyFont="1" applyFill="1" applyBorder="1" applyAlignment="1" applyProtection="1">
      <alignment horizontal="left" wrapText="1"/>
      <protection locked="0"/>
    </xf>
    <xf numFmtId="0" fontId="23" fillId="5" borderId="6" xfId="0" applyFont="1" applyFill="1" applyBorder="1" applyAlignment="1" applyProtection="1">
      <alignment horizontal="left" wrapText="1"/>
      <protection locked="0"/>
    </xf>
    <xf numFmtId="0" fontId="14" fillId="5" borderId="6" xfId="569" applyFill="1" applyBorder="1" applyAlignment="1" applyProtection="1">
      <alignment horizontal="left"/>
      <protection locked="0"/>
    </xf>
    <xf numFmtId="0" fontId="23" fillId="0" borderId="6" xfId="0" applyFont="1" applyBorder="1" applyAlignment="1">
      <alignment horizontal="left"/>
    </xf>
    <xf numFmtId="166" fontId="14" fillId="5" borderId="6" xfId="271" applyNumberFormat="1" applyFont="1" applyFill="1" applyBorder="1" applyAlignment="1" applyProtection="1">
      <alignment horizontal="left"/>
      <protection locked="0"/>
    </xf>
    <xf numFmtId="166" fontId="23" fillId="5" borderId="6" xfId="271" applyNumberFormat="1" applyFill="1" applyBorder="1" applyAlignment="1" applyProtection="1">
      <alignment horizontal="left"/>
      <protection locked="0"/>
    </xf>
    <xf numFmtId="166" fontId="23" fillId="5" borderId="4" xfId="271" applyNumberFormat="1" applyFill="1" applyBorder="1" applyAlignment="1" applyProtection="1">
      <alignment horizontal="left"/>
      <protection locked="0"/>
    </xf>
    <xf numFmtId="14" fontId="0" fillId="5" borderId="6" xfId="0" applyNumberFormat="1" applyFill="1" applyBorder="1" applyAlignment="1" applyProtection="1">
      <alignment horizontal="center"/>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23" fillId="0" borderId="0" xfId="0" applyFont="1" applyAlignment="1">
      <alignment horizontal="left" vertical="top" wrapText="1"/>
    </xf>
    <xf numFmtId="0" fontId="167" fillId="0" borderId="0" xfId="0" applyFont="1" applyAlignment="1" applyProtection="1">
      <alignment horizontal="left" vertical="top" wrapText="1"/>
      <protection locked="0"/>
    </xf>
    <xf numFmtId="0" fontId="14" fillId="0" borderId="6" xfId="0" applyFont="1" applyBorder="1" applyAlignment="1" applyProtection="1">
      <alignment horizontal="left"/>
      <protection locked="0"/>
    </xf>
    <xf numFmtId="0" fontId="15" fillId="0" borderId="0" xfId="244" applyFill="1" applyAlignment="1" applyProtection="1">
      <alignment horizontal="left"/>
      <protection locked="0"/>
    </xf>
    <xf numFmtId="168" fontId="14" fillId="0" borderId="6" xfId="0" applyNumberFormat="1" applyFont="1" applyBorder="1" applyAlignment="1">
      <alignment horizontal="center"/>
    </xf>
    <xf numFmtId="168" fontId="0" fillId="0" borderId="6" xfId="0" applyNumberFormat="1" applyBorder="1" applyAlignment="1">
      <alignment horizontal="center"/>
    </xf>
    <xf numFmtId="174" fontId="0" fillId="5" borderId="4" xfId="0" applyNumberFormat="1" applyFill="1" applyBorder="1" applyAlignment="1" applyProtection="1">
      <alignment horizontal="left"/>
      <protection locked="0"/>
    </xf>
    <xf numFmtId="0" fontId="23" fillId="0" borderId="6" xfId="0" applyFont="1" applyBorder="1" applyAlignment="1">
      <alignment horizontal="left" wrapText="1"/>
    </xf>
    <xf numFmtId="0" fontId="14" fillId="43" borderId="6" xfId="0" applyFont="1" applyFill="1" applyBorder="1" applyAlignment="1" applyProtection="1">
      <alignment vertical="center"/>
      <protection locked="0"/>
    </xf>
    <xf numFmtId="0" fontId="0" fillId="5" borderId="6" xfId="0" applyFill="1" applyBorder="1" applyProtection="1">
      <protection locked="0"/>
    </xf>
    <xf numFmtId="0" fontId="14" fillId="0" borderId="4" xfId="0" applyFont="1" applyBorder="1" applyAlignment="1" applyProtection="1">
      <alignment horizontal="left"/>
      <protection locked="0"/>
    </xf>
    <xf numFmtId="0" fontId="23" fillId="0" borderId="4" xfId="0" applyFont="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4" fillId="0" borderId="0" xfId="0" applyFont="1" applyAlignment="1" applyProtection="1">
      <alignment horizontal="left"/>
      <protection locked="0"/>
    </xf>
    <xf numFmtId="0" fontId="14" fillId="0" borderId="6" xfId="0" applyFont="1" applyBorder="1" applyAlignment="1">
      <alignment horizontal="left"/>
    </xf>
    <xf numFmtId="9" fontId="22" fillId="0" borderId="3" xfId="4494" applyFont="1" applyBorder="1" applyAlignment="1" applyProtection="1">
      <alignment horizontal="center"/>
    </xf>
    <xf numFmtId="9" fontId="22" fillId="0" borderId="5" xfId="4494" applyFont="1" applyBorder="1" applyAlignment="1" applyProtection="1">
      <alignment horizontal="center"/>
    </xf>
    <xf numFmtId="0" fontId="0" fillId="43" borderId="6" xfId="0" applyFill="1" applyBorder="1" applyAlignment="1" applyProtection="1">
      <alignment horizontal="left" vertical="top" wrapText="1"/>
      <protection locked="0"/>
    </xf>
    <xf numFmtId="0" fontId="14" fillId="43" borderId="4" xfId="0"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21" fillId="0" borderId="3" xfId="0" applyFont="1" applyBorder="1" applyAlignment="1">
      <alignment horizontal="center"/>
    </xf>
    <xf numFmtId="10" fontId="14" fillId="5" borderId="4" xfId="0" applyNumberFormat="1" applyFont="1" applyFill="1" applyBorder="1" applyAlignment="1" applyProtection="1">
      <alignment horizontal="right"/>
      <protection locked="0"/>
    </xf>
    <xf numFmtId="10" fontId="23"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4" fontId="0" fillId="5" borderId="4" xfId="0" applyNumberForma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0" fontId="21"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1" fillId="0" borderId="3" xfId="0" applyFont="1" applyBorder="1" applyAlignment="1">
      <alignment horizontal="right"/>
    </xf>
    <xf numFmtId="0" fontId="21" fillId="0" borderId="4" xfId="0" applyFont="1" applyBorder="1" applyAlignment="1">
      <alignment horizontal="right"/>
    </xf>
    <xf numFmtId="0" fontId="21" fillId="0" borderId="5" xfId="0" applyFont="1" applyBorder="1" applyAlignment="1">
      <alignment horizontal="right"/>
    </xf>
    <xf numFmtId="0" fontId="21"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68" fontId="0" fillId="0" borderId="11" xfId="0" applyNumberFormat="1" applyBorder="1" applyAlignment="1">
      <alignment horizontal="right"/>
    </xf>
    <xf numFmtId="1" fontId="14" fillId="0" borderId="3" xfId="0" applyNumberFormat="1" applyFont="1" applyBorder="1" applyAlignment="1">
      <alignment horizontal="center"/>
    </xf>
    <xf numFmtId="1" fontId="23" fillId="0" borderId="4" xfId="0" applyNumberFormat="1" applyFont="1" applyBorder="1" applyAlignment="1">
      <alignment horizontal="center"/>
    </xf>
    <xf numFmtId="1" fontId="23" fillId="0" borderId="5" xfId="0" applyNumberFormat="1" applyFont="1" applyBorder="1" applyAlignment="1">
      <alignment horizontal="center"/>
    </xf>
    <xf numFmtId="0" fontId="0" fillId="0" borderId="9" xfId="0" applyBorder="1" applyAlignment="1">
      <alignment horizontal="left"/>
    </xf>
    <xf numFmtId="0" fontId="21" fillId="0" borderId="0" xfId="0" applyFont="1" applyAlignment="1">
      <alignment horizontal="center" vertical="center"/>
    </xf>
    <xf numFmtId="0" fontId="23" fillId="0" borderId="11" xfId="0" applyFont="1" applyBorder="1" applyAlignment="1">
      <alignment horizontal="center"/>
    </xf>
    <xf numFmtId="0" fontId="21" fillId="0" borderId="2" xfId="0" applyFont="1" applyBorder="1" applyAlignment="1">
      <alignment horizontal="center" wrapText="1"/>
    </xf>
    <xf numFmtId="0" fontId="21" fillId="0" borderId="7" xfId="0" applyFont="1" applyBorder="1" applyAlignment="1">
      <alignment horizontal="center" wrapText="1"/>
    </xf>
    <xf numFmtId="0" fontId="21" fillId="0" borderId="6" xfId="0" applyFont="1" applyBorder="1" applyAlignment="1">
      <alignment horizontal="center" wrapText="1"/>
    </xf>
    <xf numFmtId="0" fontId="21" fillId="0" borderId="10" xfId="0" applyFont="1" applyBorder="1" applyAlignment="1">
      <alignment horizontal="center" wrapText="1"/>
    </xf>
    <xf numFmtId="165" fontId="21" fillId="0" borderId="3" xfId="271" applyNumberFormat="1" applyFont="1" applyBorder="1" applyAlignment="1">
      <alignment horizontal="center"/>
    </xf>
    <xf numFmtId="165" fontId="21" fillId="0" borderId="4" xfId="271" applyNumberFormat="1" applyFont="1" applyBorder="1" applyAlignment="1">
      <alignment horizontal="center"/>
    </xf>
    <xf numFmtId="165" fontId="21" fillId="0" borderId="5" xfId="271" applyNumberFormat="1" applyFont="1" applyBorder="1" applyAlignment="1">
      <alignment horizontal="center"/>
    </xf>
    <xf numFmtId="164" fontId="22" fillId="5" borderId="3" xfId="0" applyNumberFormat="1" applyFont="1" applyFill="1" applyBorder="1" applyAlignment="1" applyProtection="1">
      <alignment horizontal="left"/>
      <protection locked="0"/>
    </xf>
    <xf numFmtId="164" fontId="22" fillId="5" borderId="4" xfId="0" applyNumberFormat="1" applyFont="1" applyFill="1" applyBorder="1" applyAlignment="1" applyProtection="1">
      <alignment horizontal="left"/>
      <protection locked="0"/>
    </xf>
    <xf numFmtId="164" fontId="22" fillId="5" borderId="5" xfId="0" applyNumberFormat="1" applyFont="1" applyFill="1" applyBorder="1" applyAlignment="1" applyProtection="1">
      <alignment horizontal="left"/>
      <protection locked="0"/>
    </xf>
    <xf numFmtId="168" fontId="0" fillId="5" borderId="11" xfId="0" applyNumberFormat="1" applyFill="1" applyBorder="1" applyProtection="1">
      <protection locked="0"/>
    </xf>
    <xf numFmtId="168" fontId="14" fillId="5" borderId="10" xfId="0" applyNumberFormat="1" applyFont="1" applyFill="1" applyBorder="1" applyAlignment="1" applyProtection="1">
      <alignment horizontal="right"/>
      <protection locked="0"/>
    </xf>
    <xf numFmtId="168" fontId="14" fillId="5" borderId="13" xfId="0" applyNumberFormat="1" applyFont="1" applyFill="1" applyBorder="1" applyAlignment="1" applyProtection="1">
      <alignment horizontal="right"/>
      <protection locked="0"/>
    </xf>
    <xf numFmtId="0" fontId="23" fillId="0" borderId="11" xfId="0" applyFont="1" applyBorder="1" applyAlignment="1">
      <alignment horizontal="center" vertical="top" wrapText="1"/>
    </xf>
    <xf numFmtId="168" fontId="0" fillId="5" borderId="11" xfId="0" applyNumberFormat="1" applyFill="1" applyBorder="1" applyAlignment="1" applyProtection="1">
      <alignment horizontal="right"/>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71" fontId="14" fillId="0" borderId="0" xfId="543" applyNumberFormat="1" applyAlignment="1">
      <alignment horizontal="center"/>
    </xf>
    <xf numFmtId="171" fontId="14" fillId="0" borderId="0" xfId="543" applyNumberFormat="1" applyAlignment="1">
      <alignment horizontal="right"/>
    </xf>
    <xf numFmtId="0" fontId="0" fillId="5" borderId="3" xfId="0" applyFill="1" applyBorder="1" applyAlignment="1" applyProtection="1">
      <alignment horizontal="center"/>
      <protection locked="0"/>
    </xf>
    <xf numFmtId="0" fontId="14" fillId="0" borderId="0" xfId="543" applyAlignment="1">
      <alignment horizontal="center"/>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2" fontId="14" fillId="0" borderId="0" xfId="543" applyNumberFormat="1" applyAlignment="1">
      <alignment horizontal="center"/>
    </xf>
    <xf numFmtId="9" fontId="14"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1" fillId="5" borderId="3" xfId="0" applyFont="1" applyFill="1" applyBorder="1" applyAlignment="1" applyProtection="1">
      <alignment horizontal="right"/>
      <protection locked="0"/>
    </xf>
    <xf numFmtId="0" fontId="21" fillId="5" borderId="4" xfId="0" applyFont="1" applyFill="1" applyBorder="1" applyAlignment="1" applyProtection="1">
      <alignment horizontal="right"/>
      <protection locked="0"/>
    </xf>
    <xf numFmtId="0" fontId="21" fillId="5" borderId="5" xfId="0" applyFon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4" fillId="5" borderId="5" xfId="0" applyFont="1" applyFill="1" applyBorder="1" applyAlignment="1" applyProtection="1">
      <alignment horizontal="left"/>
      <protection locked="0"/>
    </xf>
    <xf numFmtId="0" fontId="21" fillId="0" borderId="8" xfId="0" applyFont="1" applyBorder="1" applyAlignment="1">
      <alignment horizontal="center" wrapText="1"/>
    </xf>
    <xf numFmtId="0" fontId="21" fillId="0" borderId="0" xfId="0" applyFont="1" applyAlignment="1">
      <alignment horizontal="center" wrapText="1"/>
    </xf>
    <xf numFmtId="0" fontId="21" fillId="0" borderId="12" xfId="0" applyFont="1" applyBorder="1" applyAlignment="1">
      <alignment horizontal="center" wrapText="1"/>
    </xf>
    <xf numFmtId="0" fontId="21" fillId="0" borderId="9" xfId="0" applyFont="1" applyBorder="1" applyAlignment="1">
      <alignment horizontal="center" wrapText="1"/>
    </xf>
    <xf numFmtId="0" fontId="21" fillId="0" borderId="1" xfId="0" applyFont="1" applyBorder="1" applyAlignment="1">
      <alignment horizontal="center" wrapText="1"/>
    </xf>
    <xf numFmtId="0" fontId="14" fillId="0" borderId="3" xfId="0" applyFont="1" applyBorder="1"/>
    <xf numFmtId="0" fontId="14" fillId="0" borderId="4" xfId="0" applyFont="1" applyBorder="1"/>
    <xf numFmtId="0" fontId="14" fillId="0" borderId="5" xfId="0" applyFont="1" applyBorder="1"/>
    <xf numFmtId="168" fontId="14" fillId="5" borderId="3" xfId="0" applyNumberFormat="1" applyFont="1" applyFill="1" applyBorder="1" applyAlignment="1" applyProtection="1">
      <alignment horizontal="right"/>
      <protection locked="0"/>
    </xf>
    <xf numFmtId="168" fontId="14" fillId="5" borderId="4" xfId="0" applyNumberFormat="1" applyFont="1" applyFill="1" applyBorder="1" applyAlignment="1" applyProtection="1">
      <alignment horizontal="right"/>
      <protection locked="0"/>
    </xf>
    <xf numFmtId="168" fontId="14" fillId="5" borderId="5" xfId="0" applyNumberFormat="1" applyFont="1" applyFill="1" applyBorder="1" applyAlignment="1" applyProtection="1">
      <alignment horizontal="right"/>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0" fontId="51" fillId="5" borderId="3" xfId="0" applyFont="1" applyFill="1" applyBorder="1" applyAlignment="1" applyProtection="1">
      <alignment horizontal="right"/>
      <protection locked="0"/>
    </xf>
    <xf numFmtId="0" fontId="51" fillId="5" borderId="4" xfId="0" applyFont="1" applyFill="1" applyBorder="1" applyAlignment="1" applyProtection="1">
      <alignment horizontal="right"/>
      <protection locked="0"/>
    </xf>
    <xf numFmtId="0" fontId="51" fillId="5" borderId="5" xfId="0" applyFont="1" applyFill="1" applyBorder="1" applyAlignment="1" applyProtection="1">
      <alignment horizontal="right"/>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3" borderId="0" xfId="0" applyFont="1" applyFill="1" applyAlignment="1">
      <alignment horizontal="center" vertical="center"/>
    </xf>
    <xf numFmtId="9" fontId="14"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164" fontId="33" fillId="5" borderId="3" xfId="0" applyNumberFormat="1" applyFont="1" applyFill="1" applyBorder="1" applyAlignment="1" applyProtection="1">
      <alignment horizontal="left"/>
      <protection locked="0"/>
    </xf>
    <xf numFmtId="164" fontId="33" fillId="5" borderId="4" xfId="0" applyNumberFormat="1" applyFont="1" applyFill="1" applyBorder="1" applyAlignment="1" applyProtection="1">
      <alignment horizontal="left"/>
      <protection locked="0"/>
    </xf>
    <xf numFmtId="164" fontId="33"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0" fontId="21" fillId="0" borderId="8" xfId="543" applyFont="1" applyBorder="1" applyAlignment="1">
      <alignment horizontal="left" vertical="center" wrapText="1"/>
    </xf>
    <xf numFmtId="0" fontId="21" fillId="0" borderId="0" xfId="543" applyFont="1" applyAlignment="1">
      <alignment horizontal="left" vertical="center" wrapText="1"/>
    </xf>
    <xf numFmtId="0" fontId="21" fillId="0" borderId="12" xfId="543" applyFont="1" applyBorder="1" applyAlignment="1">
      <alignment horizontal="left" vertical="center" wrapText="1"/>
    </xf>
    <xf numFmtId="0" fontId="14" fillId="0" borderId="8" xfId="543" applyBorder="1" applyAlignment="1">
      <alignment horizontal="left" vertical="center" wrapText="1"/>
    </xf>
    <xf numFmtId="0" fontId="14" fillId="0" borderId="0" xfId="543" applyAlignment="1">
      <alignment horizontal="left" vertical="center" wrapText="1"/>
    </xf>
    <xf numFmtId="0" fontId="14" fillId="0" borderId="12" xfId="543" applyBorder="1" applyAlignment="1">
      <alignment horizontal="left" vertical="center" wrapText="1"/>
    </xf>
    <xf numFmtId="0" fontId="14" fillId="0" borderId="9" xfId="543" applyBorder="1" applyAlignment="1">
      <alignment horizontal="left" vertical="center" wrapText="1"/>
    </xf>
    <xf numFmtId="0" fontId="14" fillId="0" borderId="6" xfId="543" applyBorder="1" applyAlignment="1">
      <alignment horizontal="left" vertical="center" wrapText="1"/>
    </xf>
    <xf numFmtId="0" fontId="14" fillId="0" borderId="10" xfId="543" applyBorder="1" applyAlignment="1">
      <alignment horizontal="left" vertical="center" wrapText="1"/>
    </xf>
    <xf numFmtId="0" fontId="14" fillId="0" borderId="9" xfId="543" applyBorder="1" applyAlignment="1">
      <alignment horizontal="left" vertical="top" wrapText="1"/>
    </xf>
    <xf numFmtId="0" fontId="14" fillId="0" borderId="6" xfId="543" applyBorder="1" applyAlignment="1">
      <alignment horizontal="left" vertical="top" wrapText="1"/>
    </xf>
    <xf numFmtId="0" fontId="14" fillId="0" borderId="10" xfId="543" applyBorder="1" applyAlignment="1">
      <alignment horizontal="left" vertical="top" wrapText="1"/>
    </xf>
    <xf numFmtId="182" fontId="22" fillId="43" borderId="11" xfId="8722" applyNumberFormat="1" applyFont="1" applyFill="1" applyBorder="1" applyAlignment="1" applyProtection="1">
      <alignment horizontal="center" vertical="center" wrapText="1"/>
      <protection locked="0"/>
    </xf>
    <xf numFmtId="168" fontId="0" fillId="0" borderId="11"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0" fontId="21" fillId="0" borderId="11" xfId="0" applyFont="1" applyBorder="1" applyAlignment="1">
      <alignment horizontal="center" vertical="center" wrapText="1"/>
    </xf>
    <xf numFmtId="0" fontId="14" fillId="5" borderId="4" xfId="0" applyFont="1" applyFill="1" applyBorder="1" applyAlignment="1" applyProtection="1">
      <alignment wrapText="1"/>
      <protection locked="0"/>
    </xf>
    <xf numFmtId="0" fontId="23" fillId="5" borderId="4" xfId="0" applyFont="1" applyFill="1" applyBorder="1" applyAlignment="1" applyProtection="1">
      <alignment wrapText="1"/>
      <protection locked="0"/>
    </xf>
    <xf numFmtId="0" fontId="14" fillId="5" borderId="11" xfId="0" applyFont="1" applyFill="1" applyBorder="1" applyAlignment="1" applyProtection="1">
      <alignment horizontal="left" wrapText="1"/>
      <protection locked="0"/>
    </xf>
    <xf numFmtId="0" fontId="52" fillId="0" borderId="1" xfId="0" applyFont="1" applyBorder="1" applyAlignment="1">
      <alignment horizontal="center" vertical="center" wrapText="1"/>
    </xf>
    <xf numFmtId="0" fontId="52" fillId="0" borderId="2" xfId="0" applyFont="1" applyBorder="1" applyAlignment="1">
      <alignment horizontal="center" vertical="center" wrapText="1"/>
    </xf>
    <xf numFmtId="0" fontId="52" fillId="0" borderId="7" xfId="0" applyFont="1" applyBorder="1" applyAlignment="1">
      <alignment horizontal="center" vertical="center" wrapText="1"/>
    </xf>
    <xf numFmtId="0" fontId="52" fillId="0" borderId="8" xfId="0" applyFont="1" applyBorder="1" applyAlignment="1">
      <alignment horizontal="center" vertical="center" wrapText="1"/>
    </xf>
    <xf numFmtId="0" fontId="52" fillId="0" borderId="0" xfId="0" applyFont="1" applyAlignment="1">
      <alignment horizontal="center" vertical="center" wrapText="1"/>
    </xf>
    <xf numFmtId="0" fontId="52" fillId="0" borderId="12" xfId="0" applyFont="1" applyBorder="1" applyAlignment="1">
      <alignment horizontal="center" vertical="center" wrapText="1"/>
    </xf>
    <xf numFmtId="0" fontId="52" fillId="0" borderId="9" xfId="0" applyFont="1" applyBorder="1" applyAlignment="1">
      <alignment horizontal="center" vertical="center" wrapText="1"/>
    </xf>
    <xf numFmtId="0" fontId="52" fillId="0" borderId="6" xfId="0" applyFont="1" applyBorder="1" applyAlignment="1">
      <alignment horizontal="center" vertical="center" wrapText="1"/>
    </xf>
    <xf numFmtId="0" fontId="52"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1" fillId="0" borderId="11" xfId="0" applyFont="1" applyBorder="1" applyAlignment="1">
      <alignment horizontal="center" vertical="center"/>
    </xf>
    <xf numFmtId="0" fontId="21" fillId="0" borderId="9" xfId="0" applyFont="1" applyBorder="1" applyAlignment="1">
      <alignment horizontal="center"/>
    </xf>
    <xf numFmtId="2" fontId="0" fillId="0" borderId="6" xfId="0" applyNumberFormat="1" applyBorder="1" applyAlignment="1">
      <alignment horizontal="center"/>
    </xf>
    <xf numFmtId="168" fontId="23"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14" fillId="5" borderId="4"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14" fontId="23" fillId="5" borderId="4" xfId="0" applyNumberFormat="1" applyFont="1" applyFill="1" applyBorder="1" applyAlignment="1" applyProtection="1">
      <alignment horizontal="right"/>
      <protection locked="0"/>
    </xf>
    <xf numFmtId="0" fontId="14" fillId="5" borderId="3" xfId="0" applyFont="1" applyFill="1" applyBorder="1" applyProtection="1">
      <protection locked="0"/>
    </xf>
    <xf numFmtId="0" fontId="23" fillId="0" borderId="4" xfId="0" applyFont="1" applyBorder="1" applyProtection="1">
      <protection locked="0"/>
    </xf>
    <xf numFmtId="0" fontId="23" fillId="0" borderId="5" xfId="0" applyFont="1" applyBorder="1" applyProtection="1">
      <protection locked="0"/>
    </xf>
    <xf numFmtId="0" fontId="33" fillId="5" borderId="3" xfId="543" applyFont="1" applyFill="1" applyBorder="1" applyAlignment="1">
      <alignment horizontal="center"/>
    </xf>
    <xf numFmtId="0" fontId="33" fillId="5" borderId="4" xfId="543" applyFont="1" applyFill="1" applyBorder="1" applyAlignment="1">
      <alignment horizontal="center"/>
    </xf>
    <xf numFmtId="0" fontId="33" fillId="5" borderId="5" xfId="543" applyFont="1" applyFill="1" applyBorder="1" applyAlignment="1">
      <alignment horizontal="center"/>
    </xf>
    <xf numFmtId="49" fontId="14" fillId="5" borderId="3" xfId="543" applyNumberFormat="1" applyFill="1" applyBorder="1" applyAlignment="1">
      <alignment horizontal="center"/>
    </xf>
    <xf numFmtId="49" fontId="14" fillId="5" borderId="5" xfId="543" applyNumberFormat="1" applyFill="1" applyBorder="1" applyAlignment="1">
      <alignment horizontal="center"/>
    </xf>
    <xf numFmtId="3" fontId="0" fillId="5" borderId="3" xfId="0" applyNumberFormat="1" applyFill="1" applyBorder="1" applyAlignment="1" applyProtection="1">
      <alignment horizontal="right"/>
      <protection locked="0"/>
    </xf>
    <xf numFmtId="0" fontId="22" fillId="5" borderId="3" xfId="0" applyFont="1" applyFill="1" applyBorder="1" applyAlignment="1" applyProtection="1">
      <alignment horizontal="left"/>
      <protection locked="0"/>
    </xf>
    <xf numFmtId="0" fontId="22" fillId="5" borderId="4" xfId="0" applyFont="1" applyFill="1" applyBorder="1" applyAlignment="1" applyProtection="1">
      <alignment horizontal="left"/>
      <protection locked="0"/>
    </xf>
    <xf numFmtId="0" fontId="22" fillId="5" borderId="5" xfId="0" applyFont="1" applyFill="1" applyBorder="1" applyAlignment="1" applyProtection="1">
      <alignment horizontal="left"/>
      <protection locked="0"/>
    </xf>
    <xf numFmtId="0" fontId="21" fillId="0" borderId="2" xfId="0" applyFont="1" applyBorder="1" applyAlignment="1">
      <alignment horizontal="right"/>
    </xf>
    <xf numFmtId="0" fontId="21" fillId="0" borderId="7" xfId="0" applyFont="1" applyBorder="1" applyAlignment="1">
      <alignment horizontal="right"/>
    </xf>
    <xf numFmtId="0" fontId="23" fillId="5" borderId="6" xfId="271" applyFill="1" applyBorder="1" applyProtection="1">
      <protection locked="0"/>
    </xf>
    <xf numFmtId="168" fontId="14" fillId="10" borderId="3" xfId="543" applyNumberFormat="1" applyFill="1" applyBorder="1" applyAlignment="1">
      <alignment horizontal="center"/>
    </xf>
    <xf numFmtId="168" fontId="14" fillId="10" borderId="4" xfId="543" applyNumberFormat="1" applyFill="1" applyBorder="1" applyAlignment="1">
      <alignment horizontal="center"/>
    </xf>
    <xf numFmtId="168" fontId="14" fillId="10" borderId="5" xfId="543" applyNumberFormat="1" applyFill="1" applyBorder="1" applyAlignment="1">
      <alignment horizontal="center"/>
    </xf>
    <xf numFmtId="0" fontId="14" fillId="43" borderId="11" xfId="0" applyFont="1" applyFill="1" applyBorder="1" applyAlignment="1" applyProtection="1">
      <alignment horizontal="center"/>
      <protection locked="0"/>
    </xf>
    <xf numFmtId="168" fontId="14" fillId="0" borderId="11" xfId="543" applyNumberFormat="1" applyBorder="1" applyAlignment="1">
      <alignment horizontal="center"/>
    </xf>
    <xf numFmtId="0" fontId="23" fillId="0" borderId="3" xfId="0" applyFont="1" applyBorder="1" applyAlignment="1">
      <alignment horizontal="left"/>
    </xf>
    <xf numFmtId="0" fontId="0" fillId="5" borderId="6" xfId="0" applyFill="1" applyBorder="1" applyAlignment="1" applyProtection="1">
      <alignment horizontal="right"/>
      <protection locked="0"/>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0" xfId="0" applyFont="1" applyAlignment="1">
      <alignment horizontal="center" vertical="center" wrapText="1"/>
    </xf>
    <xf numFmtId="0" fontId="30" fillId="0" borderId="12" xfId="0" applyFont="1" applyBorder="1" applyAlignment="1">
      <alignment horizontal="center" vertical="center" wrapText="1"/>
    </xf>
    <xf numFmtId="0" fontId="30" fillId="0" borderId="9"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10" xfId="0" applyFont="1" applyBorder="1" applyAlignment="1">
      <alignment horizontal="center" vertical="center" wrapText="1"/>
    </xf>
    <xf numFmtId="180" fontId="0" fillId="0" borderId="6" xfId="0" applyNumberFormat="1" applyBorder="1" applyAlignment="1">
      <alignment horizontal="center"/>
    </xf>
    <xf numFmtId="0" fontId="22"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0" borderId="1" xfId="543" applyFont="1" applyBorder="1" applyAlignment="1">
      <alignment horizontal="left" vertical="top" wrapText="1"/>
    </xf>
    <xf numFmtId="0" fontId="21" fillId="0" borderId="2" xfId="543" applyFont="1" applyBorder="1" applyAlignment="1">
      <alignment horizontal="left" vertical="top" wrapText="1"/>
    </xf>
    <xf numFmtId="0" fontId="21" fillId="0" borderId="7" xfId="543" applyFont="1" applyBorder="1" applyAlignment="1">
      <alignment horizontal="left" vertical="top" wrapText="1"/>
    </xf>
    <xf numFmtId="0" fontId="21" fillId="0" borderId="8" xfId="543" applyFont="1" applyBorder="1" applyAlignment="1">
      <alignment horizontal="left" vertical="top" wrapText="1"/>
    </xf>
    <xf numFmtId="0" fontId="21" fillId="0" borderId="0" xfId="543" applyFont="1" applyAlignment="1">
      <alignment horizontal="left" vertical="top" wrapText="1"/>
    </xf>
    <xf numFmtId="0" fontId="21" fillId="0" borderId="12" xfId="543" applyFont="1" applyBorder="1" applyAlignment="1">
      <alignment horizontal="left" vertical="top" wrapText="1"/>
    </xf>
    <xf numFmtId="1" fontId="14" fillId="0" borderId="3" xfId="543" applyNumberFormat="1" applyBorder="1" applyAlignment="1">
      <alignment horizontal="center"/>
    </xf>
    <xf numFmtId="1" fontId="14" fillId="0" borderId="4" xfId="543" applyNumberFormat="1" applyBorder="1" applyAlignment="1">
      <alignment horizontal="center"/>
    </xf>
    <xf numFmtId="1" fontId="14" fillId="0" borderId="5" xfId="543" applyNumberFormat="1" applyBorder="1" applyAlignment="1">
      <alignment horizontal="center"/>
    </xf>
    <xf numFmtId="0" fontId="166" fillId="0" borderId="8" xfId="543" applyFont="1" applyBorder="1" applyAlignment="1">
      <alignment horizontal="center" vertical="center" wrapText="1"/>
    </xf>
    <xf numFmtId="0" fontId="166" fillId="0" borderId="0" xfId="543" applyFont="1" applyAlignment="1">
      <alignment horizontal="center" vertical="center" wrapText="1"/>
    </xf>
    <xf numFmtId="0" fontId="166" fillId="0" borderId="12" xfId="543" applyFont="1" applyBorder="1" applyAlignment="1">
      <alignment horizontal="center" vertical="center" wrapText="1"/>
    </xf>
    <xf numFmtId="0" fontId="35" fillId="0" borderId="3" xfId="543" applyFont="1" applyBorder="1" applyAlignment="1">
      <alignment horizontal="center"/>
    </xf>
    <xf numFmtId="0" fontId="35" fillId="0" borderId="4" xfId="543" applyFont="1" applyBorder="1" applyAlignment="1">
      <alignment horizontal="center"/>
    </xf>
    <xf numFmtId="0" fontId="35" fillId="0" borderId="5" xfId="543" applyFont="1" applyBorder="1" applyAlignment="1">
      <alignment horizontal="center"/>
    </xf>
    <xf numFmtId="168" fontId="14" fillId="0" borderId="1" xfId="543" applyNumberFormat="1" applyBorder="1" applyAlignment="1">
      <alignment horizontal="center" vertical="center"/>
    </xf>
    <xf numFmtId="168" fontId="14" fillId="0" borderId="2" xfId="543" applyNumberFormat="1" applyBorder="1" applyAlignment="1">
      <alignment horizontal="center" vertical="center"/>
    </xf>
    <xf numFmtId="168" fontId="14" fillId="0" borderId="7" xfId="543" applyNumberFormat="1" applyBorder="1" applyAlignment="1">
      <alignment horizontal="center" vertical="center"/>
    </xf>
    <xf numFmtId="168" fontId="14" fillId="0" borderId="9" xfId="543" applyNumberFormat="1" applyBorder="1" applyAlignment="1">
      <alignment horizontal="center" vertical="center"/>
    </xf>
    <xf numFmtId="168" fontId="14" fillId="0" borderId="6" xfId="543" applyNumberFormat="1" applyBorder="1" applyAlignment="1">
      <alignment horizontal="center" vertical="center"/>
    </xf>
    <xf numFmtId="168" fontId="14" fillId="0" borderId="10" xfId="543" applyNumberFormat="1" applyBorder="1" applyAlignment="1">
      <alignment horizontal="center" vertical="center"/>
    </xf>
    <xf numFmtId="168" fontId="14"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34" fillId="0" borderId="1" xfId="543" applyFont="1" applyBorder="1" applyAlignment="1">
      <alignment horizontal="right"/>
    </xf>
    <xf numFmtId="0" fontId="34" fillId="0" borderId="2" xfId="543" applyFont="1" applyBorder="1" applyAlignment="1">
      <alignment horizontal="right"/>
    </xf>
    <xf numFmtId="0" fontId="34" fillId="0" borderId="7" xfId="543" applyFont="1" applyBorder="1" applyAlignment="1">
      <alignment horizontal="right"/>
    </xf>
    <xf numFmtId="168" fontId="14" fillId="5" borderId="3" xfId="0" applyNumberFormat="1" applyFont="1" applyFill="1" applyBorder="1" applyAlignment="1" applyProtection="1">
      <alignment horizontal="left"/>
      <protection locked="0"/>
    </xf>
    <xf numFmtId="168" fontId="14" fillId="5" borderId="4" xfId="0" applyNumberFormat="1" applyFont="1" applyFill="1" applyBorder="1" applyAlignment="1" applyProtection="1">
      <alignment horizontal="left"/>
      <protection locked="0"/>
    </xf>
    <xf numFmtId="168" fontId="14" fillId="5" borderId="5" xfId="0" applyNumberFormat="1" applyFont="1" applyFill="1" applyBorder="1" applyAlignment="1" applyProtection="1">
      <alignment horizontal="left"/>
      <protection locked="0"/>
    </xf>
    <xf numFmtId="0" fontId="21" fillId="0" borderId="1" xfId="543" applyFont="1" applyBorder="1" applyAlignment="1">
      <alignment horizontal="left" vertical="center" wrapText="1"/>
    </xf>
    <xf numFmtId="0" fontId="21" fillId="0" borderId="2" xfId="543" applyFont="1" applyBorder="1" applyAlignment="1">
      <alignment horizontal="left" vertical="center" wrapText="1"/>
    </xf>
    <xf numFmtId="0" fontId="21" fillId="0" borderId="7" xfId="543" applyFont="1" applyBorder="1" applyAlignment="1">
      <alignment horizontal="left" vertical="center" wrapText="1"/>
    </xf>
    <xf numFmtId="0" fontId="21" fillId="0" borderId="3" xfId="543" applyFont="1" applyBorder="1" applyAlignment="1">
      <alignment horizontal="right"/>
    </xf>
    <xf numFmtId="0" fontId="21" fillId="0" borderId="4" xfId="543" applyFont="1" applyBorder="1" applyAlignment="1">
      <alignment horizontal="right"/>
    </xf>
    <xf numFmtId="0" fontId="21" fillId="0" borderId="5" xfId="543" applyFont="1" applyBorder="1" applyAlignment="1">
      <alignment horizontal="right"/>
    </xf>
    <xf numFmtId="0" fontId="14" fillId="5" borderId="3" xfId="543" applyFill="1" applyBorder="1" applyAlignment="1" applyProtection="1">
      <alignment horizontal="left" vertical="top" wrapText="1"/>
      <protection locked="0"/>
    </xf>
    <xf numFmtId="0" fontId="23" fillId="5" borderId="4" xfId="543" applyFont="1" applyFill="1" applyBorder="1" applyAlignment="1" applyProtection="1">
      <alignment horizontal="left" vertical="top" wrapText="1"/>
      <protection locked="0"/>
    </xf>
    <xf numFmtId="0" fontId="23" fillId="5" borderId="5" xfId="543" applyFont="1" applyFill="1" applyBorder="1" applyAlignment="1" applyProtection="1">
      <alignment horizontal="left" vertical="top" wrapText="1"/>
      <protection locked="0"/>
    </xf>
    <xf numFmtId="0" fontId="34" fillId="0" borderId="4" xfId="543" applyFont="1" applyBorder="1" applyAlignment="1">
      <alignment horizontal="right" vertical="top" wrapText="1"/>
    </xf>
    <xf numFmtId="0" fontId="34" fillId="0" borderId="5" xfId="543" applyFont="1" applyBorder="1" applyAlignment="1">
      <alignment horizontal="right" vertical="top" wrapText="1"/>
    </xf>
    <xf numFmtId="0" fontId="14" fillId="0" borderId="8" xfId="543" applyBorder="1" applyAlignment="1">
      <alignment horizontal="left" vertical="top" wrapText="1"/>
    </xf>
    <xf numFmtId="0" fontId="14" fillId="0" borderId="0" xfId="543" applyAlignment="1">
      <alignment horizontal="left" vertical="top" wrapText="1"/>
    </xf>
    <xf numFmtId="0" fontId="14" fillId="0" borderId="12" xfId="543" applyBorder="1" applyAlignment="1">
      <alignment horizontal="left" vertical="top" wrapText="1"/>
    </xf>
    <xf numFmtId="0" fontId="22" fillId="0" borderId="3" xfId="543" applyFont="1" applyBorder="1" applyAlignment="1">
      <alignment horizontal="center"/>
    </xf>
    <xf numFmtId="0" fontId="22" fillId="0" borderId="5" xfId="543" applyFont="1" applyBorder="1" applyAlignment="1">
      <alignment horizontal="center"/>
    </xf>
    <xf numFmtId="1" fontId="22" fillId="0" borderId="3" xfId="543" applyNumberFormat="1" applyFont="1" applyBorder="1" applyAlignment="1">
      <alignment horizontal="center"/>
    </xf>
    <xf numFmtId="1" fontId="22" fillId="0" borderId="5" xfId="543" applyNumberFormat="1" applyFont="1" applyBorder="1" applyAlignment="1">
      <alignment horizontal="center"/>
    </xf>
    <xf numFmtId="0" fontId="33" fillId="0" borderId="3" xfId="543" applyFont="1" applyBorder="1" applyAlignment="1">
      <alignment horizontal="center"/>
    </xf>
    <xf numFmtId="0" fontId="33" fillId="0" borderId="5" xfId="543" applyFont="1" applyBorder="1" applyAlignment="1">
      <alignment horizontal="center"/>
    </xf>
    <xf numFmtId="0" fontId="33" fillId="5" borderId="3" xfId="543" applyFont="1" applyFill="1" applyBorder="1" applyAlignment="1" applyProtection="1">
      <alignment horizontal="center"/>
      <protection locked="0"/>
    </xf>
    <xf numFmtId="0" fontId="33" fillId="5" borderId="5" xfId="543" applyFont="1" applyFill="1" applyBorder="1" applyAlignment="1" applyProtection="1">
      <alignment horizontal="center"/>
      <protection locked="0"/>
    </xf>
    <xf numFmtId="168" fontId="14" fillId="0" borderId="8" xfId="543" applyNumberFormat="1" applyBorder="1" applyAlignment="1">
      <alignment horizontal="center" vertical="center"/>
    </xf>
    <xf numFmtId="168" fontId="14" fillId="0" borderId="0" xfId="543" applyNumberFormat="1" applyAlignment="1">
      <alignment horizontal="center" vertical="center"/>
    </xf>
    <xf numFmtId="168" fontId="14" fillId="0" borderId="12" xfId="543" applyNumberFormat="1" applyBorder="1" applyAlignment="1">
      <alignment horizontal="center" vertical="center"/>
    </xf>
    <xf numFmtId="0" fontId="14" fillId="0" borderId="8" xfId="0" applyFont="1" applyBorder="1" applyAlignment="1">
      <alignment horizontal="left" wrapText="1"/>
    </xf>
    <xf numFmtId="0" fontId="14" fillId="0" borderId="12" xfId="0" applyFont="1" applyBorder="1" applyAlignment="1">
      <alignment horizontal="left" wrapText="1"/>
    </xf>
    <xf numFmtId="0" fontId="14" fillId="0" borderId="9" xfId="0" applyFont="1" applyBorder="1" applyAlignment="1">
      <alignment horizontal="left" wrapText="1"/>
    </xf>
    <xf numFmtId="0" fontId="14" fillId="0" borderId="6" xfId="0" applyFont="1" applyBorder="1" applyAlignment="1">
      <alignment horizontal="left" wrapText="1"/>
    </xf>
    <xf numFmtId="0" fontId="14" fillId="0" borderId="10" xfId="0" applyFont="1" applyBorder="1" applyAlignment="1">
      <alignment horizontal="left" wrapText="1"/>
    </xf>
    <xf numFmtId="168" fontId="21" fillId="0" borderId="3" xfId="543" applyNumberFormat="1" applyFont="1" applyBorder="1" applyAlignment="1">
      <alignment horizontal="center" vertical="center"/>
    </xf>
    <xf numFmtId="168" fontId="21" fillId="0" borderId="4" xfId="543" applyNumberFormat="1" applyFont="1" applyBorder="1" applyAlignment="1">
      <alignment horizontal="center" vertical="center"/>
    </xf>
    <xf numFmtId="168" fontId="21" fillId="0" borderId="5" xfId="543" applyNumberFormat="1" applyFont="1" applyBorder="1" applyAlignment="1">
      <alignment horizontal="center" vertical="center"/>
    </xf>
    <xf numFmtId="0" fontId="14" fillId="2" borderId="3" xfId="543" applyFill="1" applyBorder="1" applyAlignment="1">
      <alignment horizontal="center"/>
    </xf>
    <xf numFmtId="0" fontId="14" fillId="2" borderId="4" xfId="543" applyFill="1" applyBorder="1" applyAlignment="1">
      <alignment horizontal="center"/>
    </xf>
    <xf numFmtId="0" fontId="14" fillId="2" borderId="5" xfId="543" applyFill="1" applyBorder="1" applyAlignment="1">
      <alignment horizontal="center"/>
    </xf>
    <xf numFmtId="0" fontId="33" fillId="5" borderId="9" xfId="543" applyFont="1" applyFill="1" applyBorder="1" applyAlignment="1" applyProtection="1">
      <alignment horizontal="center"/>
      <protection locked="0"/>
    </xf>
    <xf numFmtId="0" fontId="33" fillId="5" borderId="10" xfId="543" applyFont="1" applyFill="1" applyBorder="1" applyAlignment="1" applyProtection="1">
      <alignment horizontal="center"/>
      <protection locked="0"/>
    </xf>
    <xf numFmtId="0" fontId="22" fillId="5" borderId="3" xfId="543" applyFont="1"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21" fillId="10" borderId="3" xfId="543" applyFont="1" applyFill="1" applyBorder="1" applyAlignment="1">
      <alignment horizontal="center"/>
    </xf>
    <xf numFmtId="0" fontId="21" fillId="10" borderId="4" xfId="543" applyFont="1" applyFill="1" applyBorder="1" applyAlignment="1">
      <alignment horizontal="center"/>
    </xf>
    <xf numFmtId="0" fontId="21" fillId="10" borderId="5" xfId="543" applyFont="1" applyFill="1" applyBorder="1" applyAlignment="1">
      <alignment horizontal="center"/>
    </xf>
    <xf numFmtId="0" fontId="33" fillId="5" borderId="3" xfId="543" applyFont="1" applyFill="1" applyBorder="1" applyAlignment="1" applyProtection="1">
      <alignment horizontal="center" vertical="top"/>
      <protection locked="0"/>
    </xf>
    <xf numFmtId="0" fontId="33" fillId="5" borderId="5" xfId="543" applyFont="1" applyFill="1" applyBorder="1" applyAlignment="1" applyProtection="1">
      <alignment horizontal="center" vertical="top"/>
      <protection locked="0"/>
    </xf>
    <xf numFmtId="0" fontId="41" fillId="0" borderId="8" xfId="543" applyFont="1" applyBorder="1" applyAlignment="1">
      <alignment horizontal="center" vertical="center" wrapText="1"/>
    </xf>
    <xf numFmtId="0" fontId="41" fillId="0" borderId="0" xfId="543" applyFont="1" applyAlignment="1">
      <alignment horizontal="center" vertical="center" wrapText="1"/>
    </xf>
    <xf numFmtId="0" fontId="41" fillId="0" borderId="12" xfId="543" applyFont="1" applyBorder="1" applyAlignment="1">
      <alignment horizontal="center" vertical="center" wrapText="1"/>
    </xf>
    <xf numFmtId="0" fontId="21" fillId="0" borderId="1" xfId="0" applyFont="1" applyBorder="1" applyAlignment="1">
      <alignment horizontal="center"/>
    </xf>
    <xf numFmtId="0" fontId="21" fillId="0" borderId="2" xfId="0" applyFont="1" applyBorder="1" applyAlignment="1">
      <alignment horizontal="center"/>
    </xf>
    <xf numFmtId="0" fontId="21" fillId="0" borderId="7" xfId="0" applyFont="1" applyBorder="1" applyAlignment="1">
      <alignment horizontal="center"/>
    </xf>
    <xf numFmtId="14" fontId="14" fillId="5" borderId="3" xfId="0" applyNumberFormat="1" applyFont="1" applyFill="1" applyBorder="1" applyAlignment="1" applyProtection="1">
      <alignment horizontal="right"/>
      <protection locked="0"/>
    </xf>
    <xf numFmtId="172" fontId="21" fillId="0" borderId="11" xfId="0" applyNumberFormat="1" applyFont="1" applyBorder="1" applyAlignment="1">
      <alignment horizontal="center" vertical="center" wrapText="1"/>
    </xf>
    <xf numFmtId="0" fontId="14" fillId="0" borderId="0" xfId="0" applyFont="1" applyAlignment="1">
      <alignment wrapText="1"/>
    </xf>
    <xf numFmtId="0" fontId="47" fillId="0" borderId="0" xfId="0" applyFont="1" applyAlignment="1">
      <alignment horizontal="center"/>
    </xf>
    <xf numFmtId="0" fontId="14" fillId="0" borderId="0" xfId="0" applyFont="1" applyAlignment="1">
      <alignment horizontal="center"/>
    </xf>
    <xf numFmtId="0" fontId="29" fillId="0" borderId="0" xfId="0" applyFont="1" applyAlignment="1">
      <alignment horizontal="center"/>
    </xf>
    <xf numFmtId="0" fontId="14" fillId="0" borderId="0" xfId="0" applyFont="1" applyAlignment="1">
      <alignment horizontal="center" vertical="top"/>
    </xf>
    <xf numFmtId="168" fontId="23" fillId="0" borderId="6" xfId="0" applyNumberFormat="1" applyFont="1" applyBorder="1" applyAlignment="1">
      <alignment horizontal="center"/>
    </xf>
    <xf numFmtId="0" fontId="22" fillId="0" borderId="0" xfId="0" applyFont="1" applyAlignment="1">
      <alignment horizontal="center"/>
    </xf>
    <xf numFmtId="0" fontId="175" fillId="0" borderId="8" xfId="543" applyFont="1" applyBorder="1" applyAlignment="1">
      <alignment horizontal="center" wrapText="1"/>
    </xf>
    <xf numFmtId="0" fontId="175" fillId="0" borderId="0" xfId="543" applyFont="1" applyAlignment="1">
      <alignment horizontal="center" wrapText="1"/>
    </xf>
    <xf numFmtId="0" fontId="175" fillId="0" borderId="12" xfId="543" applyFont="1" applyBorder="1" applyAlignment="1">
      <alignment horizontal="center" wrapText="1"/>
    </xf>
    <xf numFmtId="0" fontId="175" fillId="0" borderId="9" xfId="543" applyFont="1" applyBorder="1" applyAlignment="1">
      <alignment horizontal="center" wrapText="1"/>
    </xf>
    <xf numFmtId="0" fontId="175" fillId="0" borderId="6" xfId="543" applyFont="1" applyBorder="1" applyAlignment="1">
      <alignment horizontal="center" wrapText="1"/>
    </xf>
    <xf numFmtId="0" fontId="175" fillId="0" borderId="10" xfId="543" applyFont="1" applyBorder="1" applyAlignment="1">
      <alignment horizontal="center" wrapText="1"/>
    </xf>
    <xf numFmtId="0" fontId="175" fillId="0" borderId="8" xfId="543" applyFont="1" applyBorder="1" applyAlignment="1">
      <alignment horizontal="center" vertical="top" wrapText="1"/>
    </xf>
    <xf numFmtId="0" fontId="175" fillId="0" borderId="0" xfId="543" applyFont="1" applyAlignment="1">
      <alignment horizontal="center" vertical="top" wrapText="1"/>
    </xf>
    <xf numFmtId="0" fontId="175" fillId="0" borderId="12" xfId="543" applyFont="1" applyBorder="1" applyAlignment="1">
      <alignment horizontal="center" vertical="top" wrapText="1"/>
    </xf>
    <xf numFmtId="0" fontId="175" fillId="0" borderId="9" xfId="543" applyFont="1" applyBorder="1" applyAlignment="1">
      <alignment horizontal="center" vertical="top" wrapText="1"/>
    </xf>
    <xf numFmtId="0" fontId="175" fillId="0" borderId="6" xfId="543" applyFont="1" applyBorder="1" applyAlignment="1">
      <alignment horizontal="center" vertical="top" wrapText="1"/>
    </xf>
    <xf numFmtId="0" fontId="175" fillId="0" borderId="10" xfId="543" applyFont="1" applyBorder="1" applyAlignment="1">
      <alignment horizontal="center" vertical="top" wrapText="1"/>
    </xf>
    <xf numFmtId="0" fontId="170" fillId="0" borderId="0" xfId="0" applyFont="1" applyAlignment="1">
      <alignment horizontal="center" vertical="center" wrapText="1"/>
    </xf>
    <xf numFmtId="3" fontId="42" fillId="10" borderId="0" xfId="543" applyNumberFormat="1" applyFont="1" applyFill="1" applyAlignment="1">
      <alignment horizontal="left" vertical="center" wrapText="1"/>
    </xf>
    <xf numFmtId="0" fontId="23" fillId="0" borderId="2" xfId="0" applyFont="1" applyBorder="1" applyAlignment="1">
      <alignment horizontal="left" vertical="top" wrapText="1"/>
    </xf>
    <xf numFmtId="177" fontId="23" fillId="5" borderId="6" xfId="0" applyNumberFormat="1" applyFont="1" applyFill="1" applyBorder="1" applyAlignment="1" applyProtection="1">
      <alignment horizontal="left" vertical="top" wrapText="1"/>
      <protection locked="0"/>
    </xf>
    <xf numFmtId="0" fontId="52" fillId="0" borderId="0" xfId="0" applyFont="1" applyAlignment="1">
      <alignment vertical="top" wrapText="1"/>
    </xf>
    <xf numFmtId="0" fontId="23" fillId="0" borderId="0" xfId="0" applyFont="1" applyAlignment="1">
      <alignment vertical="top" wrapText="1"/>
    </xf>
    <xf numFmtId="0" fontId="23" fillId="0" borderId="6" xfId="0" applyFont="1" applyBorder="1" applyAlignment="1">
      <alignment horizontal="right" vertical="top" wrapText="1"/>
    </xf>
    <xf numFmtId="0" fontId="23" fillId="0" borderId="6" xfId="0" applyFont="1" applyBorder="1" applyAlignment="1">
      <alignment vertical="top" wrapText="1"/>
    </xf>
    <xf numFmtId="0" fontId="56" fillId="2" borderId="3" xfId="0" applyFont="1" applyFill="1" applyBorder="1" applyAlignment="1">
      <alignment horizontal="center" vertical="top"/>
    </xf>
    <xf numFmtId="0" fontId="56" fillId="2" borderId="4" xfId="0" applyFont="1" applyFill="1" applyBorder="1" applyAlignment="1">
      <alignment horizontal="center" vertical="top"/>
    </xf>
    <xf numFmtId="0" fontId="56" fillId="2" borderId="5" xfId="0" applyFont="1" applyFill="1" applyBorder="1" applyAlignment="1">
      <alignment horizontal="center" vertical="top"/>
    </xf>
    <xf numFmtId="0" fontId="23" fillId="0" borderId="2" xfId="0" applyFont="1" applyBorder="1" applyAlignment="1">
      <alignment vertical="top" wrapText="1"/>
    </xf>
    <xf numFmtId="0" fontId="51" fillId="0" borderId="0" xfId="0" applyFont="1" applyAlignment="1">
      <alignment vertical="top" wrapText="1"/>
    </xf>
    <xf numFmtId="0" fontId="52" fillId="0" borderId="0" xfId="569" applyFont="1" applyAlignment="1">
      <alignment vertical="top" wrapText="1"/>
    </xf>
    <xf numFmtId="0" fontId="14" fillId="0" borderId="0" xfId="569" applyAlignment="1">
      <alignment horizontal="right" vertical="top" wrapText="1"/>
    </xf>
    <xf numFmtId="0" fontId="20" fillId="3" borderId="3" xfId="0" applyFont="1" applyFill="1" applyBorder="1" applyAlignment="1">
      <alignment horizontal="left" vertical="top"/>
    </xf>
    <xf numFmtId="0" fontId="20" fillId="3" borderId="4" xfId="0" applyFont="1" applyFill="1" applyBorder="1" applyAlignment="1">
      <alignment horizontal="left" vertical="top"/>
    </xf>
    <xf numFmtId="0" fontId="20" fillId="3" borderId="5" xfId="0" applyFont="1" applyFill="1" applyBorder="1" applyAlignment="1">
      <alignment horizontal="left" vertical="top"/>
    </xf>
    <xf numFmtId="164" fontId="14" fillId="0" borderId="50" xfId="4495" applyNumberFormat="1" applyFont="1" applyBorder="1" applyAlignment="1">
      <alignment horizontal="left" vertical="top" wrapText="1"/>
    </xf>
    <xf numFmtId="164" fontId="14" fillId="0" borderId="51" xfId="4495" applyNumberFormat="1" applyFont="1" applyBorder="1" applyAlignment="1">
      <alignment horizontal="left" vertical="top" wrapText="1"/>
    </xf>
    <xf numFmtId="164" fontId="14" fillId="0" borderId="52" xfId="4495" applyNumberFormat="1" applyFont="1" applyBorder="1" applyAlignment="1">
      <alignment horizontal="left" vertical="top" wrapText="1"/>
    </xf>
    <xf numFmtId="164" fontId="14" fillId="0" borderId="53" xfId="4495" applyNumberFormat="1" applyFont="1" applyBorder="1" applyAlignment="1">
      <alignment horizontal="left" vertical="top" wrapText="1"/>
    </xf>
    <xf numFmtId="164" fontId="14" fillId="0" borderId="0" xfId="4495" applyNumberFormat="1" applyFont="1" applyAlignment="1">
      <alignment horizontal="left" vertical="top" wrapText="1"/>
    </xf>
    <xf numFmtId="164" fontId="14" fillId="0" borderId="54" xfId="4495" applyNumberFormat="1" applyFont="1" applyBorder="1" applyAlignment="1">
      <alignment horizontal="left" vertical="top" wrapText="1"/>
    </xf>
    <xf numFmtId="164" fontId="14" fillId="0" borderId="57" xfId="4495" applyNumberFormat="1" applyFont="1" applyBorder="1" applyAlignment="1">
      <alignment horizontal="left" vertical="top" wrapText="1"/>
    </xf>
    <xf numFmtId="164" fontId="14" fillId="0" borderId="58" xfId="4495" applyNumberFormat="1" applyFont="1" applyBorder="1" applyAlignment="1">
      <alignment horizontal="left" vertical="top" wrapText="1"/>
    </xf>
    <xf numFmtId="164" fontId="14" fillId="0" borderId="59" xfId="4495" applyNumberFormat="1" applyFont="1" applyBorder="1" applyAlignment="1">
      <alignment horizontal="left" vertical="top" wrapText="1"/>
    </xf>
    <xf numFmtId="0" fontId="14" fillId="45" borderId="11" xfId="4495" applyFont="1" applyFill="1" applyBorder="1" applyAlignment="1">
      <alignment horizontal="center"/>
    </xf>
    <xf numFmtId="4" fontId="22" fillId="0" borderId="3" xfId="4495" applyNumberFormat="1" applyFont="1" applyBorder="1" applyAlignment="1">
      <alignment horizontal="center"/>
    </xf>
    <xf numFmtId="4" fontId="22" fillId="0" borderId="4" xfId="4495" applyNumberFormat="1" applyFont="1" applyBorder="1" applyAlignment="1">
      <alignment horizontal="center"/>
    </xf>
    <xf numFmtId="4" fontId="22" fillId="0" borderId="5" xfId="4495" applyNumberFormat="1" applyFont="1" applyBorder="1" applyAlignment="1">
      <alignment horizontal="center"/>
    </xf>
    <xf numFmtId="165" fontId="120" fillId="0" borderId="3" xfId="4496" applyNumberFormat="1" applyFont="1" applyBorder="1" applyAlignment="1">
      <alignment horizontal="center" vertical="top" wrapText="1"/>
    </xf>
    <xf numFmtId="165" fontId="120" fillId="0" borderId="4" xfId="4496" applyNumberFormat="1" applyFont="1" applyBorder="1" applyAlignment="1">
      <alignment horizontal="center" vertical="top" wrapText="1"/>
    </xf>
    <xf numFmtId="165" fontId="120" fillId="0" borderId="5" xfId="4496" applyNumberFormat="1" applyFont="1" applyBorder="1" applyAlignment="1">
      <alignment horizontal="center" vertical="top" wrapText="1"/>
    </xf>
    <xf numFmtId="3" fontId="14" fillId="43" borderId="6" xfId="1192" applyNumberFormat="1" applyFill="1" applyBorder="1" applyAlignment="1" applyProtection="1">
      <alignment horizontal="right"/>
      <protection locked="0"/>
    </xf>
    <xf numFmtId="168" fontId="14" fillId="0" borderId="0" xfId="1192" applyNumberFormat="1" applyAlignment="1">
      <alignment horizontal="right"/>
    </xf>
    <xf numFmtId="0" fontId="140" fillId="0" borderId="0" xfId="1192" applyFont="1" applyAlignment="1">
      <alignment horizontal="center"/>
    </xf>
    <xf numFmtId="168" fontId="14" fillId="43" borderId="6" xfId="543" applyNumberFormat="1" applyFill="1" applyBorder="1" applyAlignment="1" applyProtection="1">
      <alignment horizontal="center"/>
      <protection locked="0"/>
    </xf>
    <xf numFmtId="168" fontId="14" fillId="5" borderId="4" xfId="1192" applyNumberFormat="1" applyFill="1" applyBorder="1" applyAlignment="1" applyProtection="1">
      <alignment horizontal="center"/>
      <protection locked="0"/>
    </xf>
    <xf numFmtId="4" fontId="22" fillId="0" borderId="0" xfId="4495" applyNumberFormat="1" applyFont="1" applyAlignment="1">
      <alignment horizontal="center"/>
    </xf>
    <xf numFmtId="4" fontId="22" fillId="0" borderId="6" xfId="4495" applyNumberFormat="1" applyFont="1" applyBorder="1" applyAlignment="1">
      <alignment horizontal="center"/>
    </xf>
    <xf numFmtId="1" fontId="14" fillId="5" borderId="2" xfId="1192" applyNumberFormat="1" applyFill="1" applyBorder="1" applyAlignment="1" applyProtection="1">
      <alignment horizontal="center"/>
      <protection locked="0"/>
    </xf>
    <xf numFmtId="168" fontId="14" fillId="0" borderId="6" xfId="1192" applyNumberFormat="1" applyBorder="1" applyAlignment="1">
      <alignment horizontal="right"/>
    </xf>
    <xf numFmtId="168" fontId="14" fillId="0" borderId="4" xfId="1192" applyNumberFormat="1" applyBorder="1" applyAlignment="1">
      <alignment horizontal="right"/>
    </xf>
    <xf numFmtId="0" fontId="14" fillId="0" borderId="53" xfId="4495" applyFont="1" applyBorder="1" applyAlignment="1">
      <alignment horizontal="left" vertical="top" wrapText="1"/>
    </xf>
    <xf numFmtId="0" fontId="14" fillId="0" borderId="0" xfId="4495" applyFont="1" applyAlignment="1">
      <alignment horizontal="left" vertical="top" wrapText="1"/>
    </xf>
    <xf numFmtId="0" fontId="14" fillId="0" borderId="54" xfId="4495" applyFont="1" applyBorder="1" applyAlignment="1">
      <alignment horizontal="left" vertical="top" wrapText="1"/>
    </xf>
    <xf numFmtId="0" fontId="14" fillId="0" borderId="57" xfId="4495" applyFont="1" applyBorder="1" applyAlignment="1">
      <alignment horizontal="left" vertical="top" wrapText="1"/>
    </xf>
    <xf numFmtId="0" fontId="14" fillId="0" borderId="58" xfId="4495" applyFont="1" applyBorder="1" applyAlignment="1">
      <alignment horizontal="left" vertical="top" wrapText="1"/>
    </xf>
    <xf numFmtId="168" fontId="14" fillId="0" borderId="6" xfId="4496" applyNumberFormat="1" applyFont="1" applyBorder="1" applyAlignment="1">
      <alignment horizontal="center"/>
    </xf>
    <xf numFmtId="168" fontId="14" fillId="0" borderId="4" xfId="4496" applyNumberFormat="1" applyFont="1" applyBorder="1" applyAlignment="1">
      <alignment horizontal="center"/>
    </xf>
    <xf numFmtId="9" fontId="14" fillId="0" borderId="4" xfId="4496" applyNumberFormat="1" applyFont="1" applyBorder="1" applyAlignment="1">
      <alignment horizontal="center"/>
    </xf>
    <xf numFmtId="0" fontId="14" fillId="0" borderId="3" xfId="4495" applyFont="1" applyBorder="1" applyAlignment="1">
      <alignment horizontal="center"/>
    </xf>
    <xf numFmtId="0" fontId="14" fillId="0" borderId="4" xfId="4495" applyFont="1" applyBorder="1" applyAlignment="1">
      <alignment horizontal="center"/>
    </xf>
    <xf numFmtId="0" fontId="14" fillId="0" borderId="5" xfId="4495" applyFont="1" applyBorder="1" applyAlignment="1">
      <alignment horizontal="center"/>
    </xf>
    <xf numFmtId="0" fontId="21" fillId="0" borderId="0" xfId="4495" applyFont="1" applyAlignment="1">
      <alignment horizontal="center"/>
    </xf>
    <xf numFmtId="0" fontId="22" fillId="0" borderId="51" xfId="4495" applyFont="1" applyBorder="1" applyAlignment="1">
      <alignment horizontal="left" vertical="top" wrapText="1"/>
    </xf>
    <xf numFmtId="0" fontId="22" fillId="0" borderId="0" xfId="4495" applyFont="1" applyAlignment="1">
      <alignment horizontal="left" vertical="top" wrapText="1"/>
    </xf>
    <xf numFmtId="0" fontId="21" fillId="0" borderId="0" xfId="4495" applyFont="1" applyAlignment="1">
      <alignment horizontal="right"/>
    </xf>
    <xf numFmtId="10" fontId="22" fillId="0" borderId="2" xfId="4495" applyNumberFormat="1" applyFont="1" applyBorder="1" applyAlignment="1">
      <alignment horizontal="center"/>
    </xf>
    <xf numFmtId="0" fontId="22" fillId="0" borderId="0" xfId="4495" applyFont="1" applyAlignment="1">
      <alignment horizontal="center"/>
    </xf>
    <xf numFmtId="9" fontId="22" fillId="5" borderId="6" xfId="4495" applyNumberFormat="1" applyFont="1" applyFill="1" applyBorder="1" applyAlignment="1">
      <alignment horizontal="left"/>
    </xf>
    <xf numFmtId="0" fontId="128" fillId="0" borderId="0" xfId="4495" applyFont="1" applyAlignment="1">
      <alignment horizontal="left" vertical="top" wrapText="1"/>
    </xf>
    <xf numFmtId="0" fontId="30" fillId="42" borderId="2" xfId="4495" applyFont="1" applyFill="1" applyBorder="1" applyAlignment="1">
      <alignment horizontal="center"/>
    </xf>
    <xf numFmtId="0" fontId="30" fillId="42" borderId="6" xfId="4495" applyFont="1" applyFill="1" applyBorder="1" applyAlignment="1">
      <alignment horizontal="center"/>
    </xf>
    <xf numFmtId="0" fontId="21" fillId="0" borderId="11" xfId="4495" applyFont="1" applyBorder="1" applyAlignment="1">
      <alignment horizontal="center"/>
    </xf>
    <xf numFmtId="0" fontId="118" fillId="5" borderId="55" xfId="4495" applyFill="1" applyBorder="1" applyAlignment="1" applyProtection="1">
      <alignment horizontal="center"/>
      <protection locked="0"/>
    </xf>
    <xf numFmtId="0" fontId="118" fillId="5" borderId="6" xfId="4495" applyFill="1" applyBorder="1" applyAlignment="1" applyProtection="1">
      <alignment horizontal="center"/>
      <protection locked="0"/>
    </xf>
    <xf numFmtId="0" fontId="21" fillId="0" borderId="54" xfId="4495" applyFont="1" applyBorder="1" applyAlignment="1">
      <alignment horizontal="center"/>
    </xf>
    <xf numFmtId="0" fontId="14" fillId="5" borderId="6" xfId="4495" applyFont="1" applyFill="1" applyBorder="1" applyAlignment="1" applyProtection="1">
      <alignment horizontal="center" vertical="center" wrapText="1" shrinkToFit="1"/>
      <protection locked="0"/>
    </xf>
    <xf numFmtId="0" fontId="116" fillId="0" borderId="4" xfId="1192" applyFont="1" applyBorder="1" applyAlignment="1">
      <alignment horizontal="left"/>
    </xf>
    <xf numFmtId="0" fontId="140" fillId="0" borderId="6" xfId="1192" applyFont="1" applyBorder="1" applyAlignment="1">
      <alignment horizontal="center"/>
    </xf>
    <xf numFmtId="0" fontId="14" fillId="0" borderId="6" xfId="1192" applyBorder="1" applyAlignment="1">
      <alignment horizontal="left"/>
    </xf>
    <xf numFmtId="9" fontId="14" fillId="5" borderId="4" xfId="1192" applyNumberFormat="1" applyFill="1" applyBorder="1" applyAlignment="1" applyProtection="1">
      <alignment horizontal="left"/>
      <protection locked="0"/>
    </xf>
    <xf numFmtId="0" fontId="14" fillId="0" borderId="6" xfId="1192" applyBorder="1" applyAlignment="1">
      <alignment horizontal="right"/>
    </xf>
    <xf numFmtId="168" fontId="14" fillId="43" borderId="6" xfId="1192" applyNumberFormat="1" applyFill="1" applyBorder="1" applyAlignment="1" applyProtection="1">
      <alignment horizontal="right"/>
      <protection locked="0"/>
    </xf>
    <xf numFmtId="0" fontId="21" fillId="0" borderId="4" xfId="4495" applyFont="1" applyBorder="1" applyAlignment="1">
      <alignment horizontal="left"/>
    </xf>
    <xf numFmtId="0" fontId="21" fillId="0" borderId="5" xfId="4495" applyFont="1" applyBorder="1" applyAlignment="1">
      <alignment horizontal="left"/>
    </xf>
    <xf numFmtId="1" fontId="21" fillId="0" borderId="11" xfId="4495" applyNumberFormat="1" applyFont="1" applyBorder="1" applyAlignment="1">
      <alignment horizontal="center"/>
    </xf>
    <xf numFmtId="0" fontId="21" fillId="0" borderId="3" xfId="4495" applyFont="1" applyBorder="1" applyAlignment="1">
      <alignment horizontal="center" wrapText="1"/>
    </xf>
    <xf numFmtId="0" fontId="21" fillId="0" borderId="4" xfId="4495" applyFont="1" applyBorder="1" applyAlignment="1">
      <alignment horizontal="center" wrapText="1"/>
    </xf>
    <xf numFmtId="0" fontId="21" fillId="0" borderId="5" xfId="4495" applyFont="1" applyBorder="1" applyAlignment="1">
      <alignment horizontal="center" wrapText="1"/>
    </xf>
    <xf numFmtId="0" fontId="14" fillId="0" borderId="4" xfId="4495" applyFont="1" applyBorder="1" applyAlignment="1">
      <alignment horizontal="left"/>
    </xf>
    <xf numFmtId="0" fontId="14" fillId="0" borderId="5" xfId="4495" applyFont="1" applyBorder="1" applyAlignment="1">
      <alignment horizontal="left"/>
    </xf>
    <xf numFmtId="1" fontId="14" fillId="0" borderId="11" xfId="4495" applyNumberFormat="1" applyFont="1" applyBorder="1" applyAlignment="1">
      <alignment horizontal="center"/>
    </xf>
    <xf numFmtId="0" fontId="14" fillId="0" borderId="11" xfId="4495" applyFont="1" applyBorder="1" applyAlignment="1">
      <alignment horizontal="center"/>
    </xf>
    <xf numFmtId="1" fontId="14" fillId="46" borderId="11" xfId="4495" applyNumberFormat="1" applyFont="1" applyFill="1" applyBorder="1" applyAlignment="1">
      <alignment horizontal="center"/>
    </xf>
    <xf numFmtId="0" fontId="21" fillId="0" borderId="3" xfId="4495" applyFont="1" applyBorder="1" applyAlignment="1">
      <alignment horizontal="center"/>
    </xf>
    <xf numFmtId="0" fontId="21" fillId="0" borderId="4" xfId="4495" applyFont="1" applyBorder="1" applyAlignment="1">
      <alignment horizontal="center"/>
    </xf>
    <xf numFmtId="0" fontId="21" fillId="0" borderId="5" xfId="4495" applyFont="1" applyBorder="1" applyAlignment="1">
      <alignment horizontal="center"/>
    </xf>
    <xf numFmtId="0" fontId="21" fillId="0" borderId="3" xfId="4495" applyFont="1" applyBorder="1" applyAlignment="1">
      <alignment horizontal="left"/>
    </xf>
    <xf numFmtId="0" fontId="14" fillId="5" borderId="11" xfId="4495" applyFont="1" applyFill="1" applyBorder="1" applyAlignment="1" applyProtection="1">
      <alignment horizontal="center"/>
      <protection locked="0"/>
    </xf>
    <xf numFmtId="164" fontId="62" fillId="0" borderId="1" xfId="4495" applyNumberFormat="1" applyFont="1" applyBorder="1" applyAlignment="1">
      <alignment horizontal="right" vertical="center"/>
    </xf>
    <xf numFmtId="164" fontId="62" fillId="0" borderId="2" xfId="4495" applyNumberFormat="1" applyFont="1" applyBorder="1" applyAlignment="1">
      <alignment horizontal="right" vertical="center"/>
    </xf>
    <xf numFmtId="164" fontId="62" fillId="0" borderId="7" xfId="4495" applyNumberFormat="1" applyFont="1" applyBorder="1" applyAlignment="1">
      <alignment horizontal="right" vertical="center"/>
    </xf>
    <xf numFmtId="164" fontId="62" fillId="0" borderId="9" xfId="4495" applyNumberFormat="1" applyFont="1" applyBorder="1" applyAlignment="1">
      <alignment horizontal="right" vertical="center"/>
    </xf>
    <xf numFmtId="164" fontId="62" fillId="0" borderId="6" xfId="4495" applyNumberFormat="1" applyFont="1" applyBorder="1" applyAlignment="1">
      <alignment horizontal="right" vertical="center"/>
    </xf>
    <xf numFmtId="164" fontId="62" fillId="0" borderId="10" xfId="4495" applyNumberFormat="1" applyFont="1" applyBorder="1" applyAlignment="1">
      <alignment horizontal="right" vertical="center"/>
    </xf>
    <xf numFmtId="180" fontId="62" fillId="0" borderId="1" xfId="4495" applyNumberFormat="1" applyFont="1" applyBorder="1" applyAlignment="1">
      <alignment horizontal="center" vertical="center"/>
    </xf>
    <xf numFmtId="180" fontId="62" fillId="0" borderId="2" xfId="4495" applyNumberFormat="1" applyFont="1" applyBorder="1" applyAlignment="1">
      <alignment horizontal="center" vertical="center"/>
    </xf>
    <xf numFmtId="180" fontId="62" fillId="0" borderId="7" xfId="4495" applyNumberFormat="1" applyFont="1" applyBorder="1" applyAlignment="1">
      <alignment horizontal="center" vertical="center"/>
    </xf>
    <xf numFmtId="180" fontId="62" fillId="0" borderId="9" xfId="4495" applyNumberFormat="1" applyFont="1" applyBorder="1" applyAlignment="1">
      <alignment horizontal="center" vertical="center"/>
    </xf>
    <xf numFmtId="180" fontId="62" fillId="0" borderId="6" xfId="4495" applyNumberFormat="1" applyFont="1" applyBorder="1" applyAlignment="1">
      <alignment horizontal="center" vertical="center"/>
    </xf>
    <xf numFmtId="180" fontId="62" fillId="0" borderId="10" xfId="4495" applyNumberFormat="1" applyFont="1" applyBorder="1" applyAlignment="1">
      <alignment horizontal="center" vertical="center"/>
    </xf>
    <xf numFmtId="1" fontId="21" fillId="0" borderId="4" xfId="4495" applyNumberFormat="1" applyFont="1" applyBorder="1" applyAlignment="1">
      <alignment horizontal="center" wrapText="1"/>
    </xf>
    <xf numFmtId="0" fontId="14" fillId="0" borderId="50" xfId="4496" applyFont="1" applyBorder="1" applyAlignment="1">
      <alignment horizontal="left" wrapText="1"/>
    </xf>
    <xf numFmtId="0" fontId="14" fillId="0" borderId="51" xfId="4496" applyFont="1" applyBorder="1" applyAlignment="1">
      <alignment horizontal="left" wrapText="1"/>
    </xf>
    <xf numFmtId="0" fontId="14" fillId="0" borderId="52" xfId="4496" applyFont="1" applyBorder="1" applyAlignment="1">
      <alignment horizontal="left" wrapText="1"/>
    </xf>
    <xf numFmtId="0" fontId="14" fillId="0" borderId="53" xfId="4496" applyFont="1" applyBorder="1" applyAlignment="1">
      <alignment horizontal="left" wrapText="1"/>
    </xf>
    <xf numFmtId="0" fontId="14" fillId="0" borderId="0" xfId="4496" applyFont="1" applyAlignment="1">
      <alignment horizontal="left" wrapText="1"/>
    </xf>
    <xf numFmtId="0" fontId="14" fillId="0" borderId="54" xfId="4496" applyFont="1" applyBorder="1" applyAlignment="1">
      <alignment horizontal="left" wrapText="1"/>
    </xf>
    <xf numFmtId="0" fontId="14" fillId="0" borderId="57" xfId="4496" applyFont="1" applyBorder="1" applyAlignment="1">
      <alignment horizontal="left" wrapText="1"/>
    </xf>
    <xf numFmtId="0" fontId="14" fillId="0" borderId="58" xfId="4496" applyFont="1" applyBorder="1" applyAlignment="1">
      <alignment horizontal="left" wrapText="1"/>
    </xf>
    <xf numFmtId="0" fontId="14" fillId="0" borderId="59" xfId="4496" applyFont="1" applyBorder="1" applyAlignment="1">
      <alignment horizontal="left" wrapText="1"/>
    </xf>
    <xf numFmtId="1" fontId="14" fillId="0" borderId="4" xfId="4496" applyNumberFormat="1" applyFont="1" applyBorder="1" applyAlignment="1">
      <alignment horizontal="center"/>
    </xf>
    <xf numFmtId="1" fontId="14" fillId="0" borderId="5" xfId="4496" applyNumberFormat="1" applyFont="1" applyBorder="1" applyAlignment="1">
      <alignment horizontal="center"/>
    </xf>
    <xf numFmtId="49" fontId="20" fillId="3" borderId="2" xfId="4495" applyNumberFormat="1" applyFont="1" applyFill="1" applyBorder="1" applyAlignment="1">
      <alignment horizontal="center" vertical="center" wrapText="1"/>
    </xf>
    <xf numFmtId="49" fontId="20" fillId="3" borderId="2" xfId="4495" applyNumberFormat="1" applyFont="1" applyFill="1" applyBorder="1" applyAlignment="1">
      <alignment horizontal="center" vertical="center"/>
    </xf>
    <xf numFmtId="49" fontId="20" fillId="3" borderId="0" xfId="4495" applyNumberFormat="1" applyFont="1" applyFill="1" applyAlignment="1">
      <alignment horizontal="center" vertical="center"/>
    </xf>
    <xf numFmtId="0" fontId="21" fillId="0" borderId="1" xfId="4495" applyFont="1" applyBorder="1" applyAlignment="1">
      <alignment horizontal="center" wrapText="1"/>
    </xf>
    <xf numFmtId="0" fontId="21" fillId="0" borderId="2" xfId="4495" applyFont="1" applyBorder="1" applyAlignment="1">
      <alignment horizontal="center" wrapText="1"/>
    </xf>
    <xf numFmtId="0" fontId="21" fillId="0" borderId="7" xfId="4495" applyFont="1" applyBorder="1" applyAlignment="1">
      <alignment horizontal="center" wrapText="1"/>
    </xf>
    <xf numFmtId="0" fontId="21" fillId="0" borderId="9" xfId="4495" applyFont="1" applyBorder="1" applyAlignment="1">
      <alignment horizontal="center" wrapText="1"/>
    </xf>
    <xf numFmtId="0" fontId="21" fillId="0" borderId="6" xfId="4495" applyFont="1" applyBorder="1" applyAlignment="1">
      <alignment horizontal="center" wrapText="1"/>
    </xf>
    <xf numFmtId="0" fontId="21" fillId="0" borderId="10" xfId="4495" applyFont="1" applyBorder="1" applyAlignment="1">
      <alignment horizontal="center" wrapText="1"/>
    </xf>
    <xf numFmtId="0" fontId="21" fillId="0" borderId="0" xfId="4495" applyFont="1" applyAlignment="1">
      <alignment horizontal="center" vertical="top"/>
    </xf>
    <xf numFmtId="0" fontId="120" fillId="0" borderId="50" xfId="4496" applyFont="1" applyBorder="1" applyAlignment="1">
      <alignment horizontal="left" wrapText="1"/>
    </xf>
    <xf numFmtId="0" fontId="120" fillId="0" borderId="51" xfId="4496" applyFont="1" applyBorder="1" applyAlignment="1">
      <alignment horizontal="left" wrapText="1"/>
    </xf>
    <xf numFmtId="0" fontId="120" fillId="0" borderId="52" xfId="4496" applyFont="1" applyBorder="1" applyAlignment="1">
      <alignment horizontal="left" wrapText="1"/>
    </xf>
    <xf numFmtId="0" fontId="120" fillId="0" borderId="57" xfId="4496" applyFont="1" applyBorder="1" applyAlignment="1">
      <alignment horizontal="left" wrapText="1"/>
    </xf>
    <xf numFmtId="0" fontId="120" fillId="0" borderId="58" xfId="4496" applyFont="1" applyBorder="1" applyAlignment="1">
      <alignment horizontal="left" wrapText="1"/>
    </xf>
    <xf numFmtId="0" fontId="120" fillId="0" borderId="59" xfId="4496" applyFont="1" applyBorder="1" applyAlignment="1">
      <alignment horizontal="left" wrapText="1"/>
    </xf>
    <xf numFmtId="0" fontId="118" fillId="5" borderId="50" xfId="4495" applyFill="1" applyBorder="1" applyAlignment="1">
      <alignment horizontal="center"/>
    </xf>
    <xf numFmtId="0" fontId="118" fillId="5" borderId="51" xfId="4495" applyFill="1" applyBorder="1" applyAlignment="1">
      <alignment horizontal="center"/>
    </xf>
    <xf numFmtId="0" fontId="118" fillId="0" borderId="53" xfId="4495" applyBorder="1" applyAlignment="1">
      <alignment horizontal="center"/>
    </xf>
    <xf numFmtId="0" fontId="118" fillId="0" borderId="0" xfId="4495" applyAlignment="1">
      <alignment horizontal="center"/>
    </xf>
    <xf numFmtId="0" fontId="22" fillId="5" borderId="0" xfId="4495" applyFont="1" applyFill="1" applyAlignment="1">
      <alignment horizontal="left" vertical="top"/>
    </xf>
    <xf numFmtId="0" fontId="118" fillId="5" borderId="53" xfId="4495" applyFill="1" applyBorder="1" applyAlignment="1">
      <alignment horizontal="center"/>
    </xf>
    <xf numFmtId="0" fontId="118" fillId="5" borderId="0" xfId="4495" applyFill="1" applyAlignment="1">
      <alignment horizontal="center"/>
    </xf>
    <xf numFmtId="0" fontId="22" fillId="0" borderId="58" xfId="4495" applyFont="1" applyBorder="1" applyAlignment="1">
      <alignment horizontal="left" vertical="top" wrapText="1"/>
    </xf>
    <xf numFmtId="0" fontId="22" fillId="5" borderId="58" xfId="4495" applyFont="1" applyFill="1" applyBorder="1" applyAlignment="1">
      <alignment horizontal="left"/>
    </xf>
    <xf numFmtId="0" fontId="51" fillId="0" borderId="51" xfId="4495" applyFont="1" applyBorder="1" applyAlignment="1">
      <alignment horizontal="left" vertical="top" wrapText="1"/>
    </xf>
    <xf numFmtId="0" fontId="51" fillId="0" borderId="0" xfId="4495" applyFont="1" applyAlignment="1">
      <alignment horizontal="left" vertical="top" wrapText="1"/>
    </xf>
    <xf numFmtId="9" fontId="22" fillId="5" borderId="58" xfId="4495" applyNumberFormat="1" applyFont="1" applyFill="1" applyBorder="1" applyAlignment="1">
      <alignment horizontal="left"/>
    </xf>
    <xf numFmtId="0" fontId="118" fillId="5" borderId="55" xfId="4495" applyFill="1" applyBorder="1" applyAlignment="1">
      <alignment horizontal="center"/>
    </xf>
    <xf numFmtId="0" fontId="118" fillId="5" borderId="6" xfId="4495" applyFill="1" applyBorder="1" applyAlignment="1">
      <alignment horizontal="center"/>
    </xf>
    <xf numFmtId="0" fontId="22" fillId="5" borderId="0" xfId="4495" applyFont="1" applyFill="1" applyAlignment="1">
      <alignment horizontal="left" vertical="top" wrapText="1"/>
    </xf>
    <xf numFmtId="0" fontId="22" fillId="5" borderId="58" xfId="4495" applyFont="1" applyFill="1" applyBorder="1" applyAlignment="1">
      <alignment horizontal="left" vertical="top" wrapText="1"/>
    </xf>
    <xf numFmtId="0" fontId="22" fillId="5" borderId="6" xfId="4495" applyFont="1" applyFill="1" applyBorder="1" applyAlignment="1">
      <alignment horizontal="left"/>
    </xf>
    <xf numFmtId="0" fontId="118" fillId="5" borderId="62" xfId="4495" applyFill="1" applyBorder="1" applyAlignment="1">
      <alignment horizontal="center"/>
    </xf>
    <xf numFmtId="0" fontId="118" fillId="5" borderId="63" xfId="4495" applyFill="1" applyBorder="1" applyAlignment="1">
      <alignment horizontal="center"/>
    </xf>
    <xf numFmtId="0" fontId="21" fillId="0" borderId="51" xfId="4495" applyFont="1" applyBorder="1" applyAlignment="1">
      <alignment horizontal="center" vertical="top"/>
    </xf>
    <xf numFmtId="0" fontId="21" fillId="0" borderId="52" xfId="4495" applyFont="1" applyBorder="1" applyAlignment="1">
      <alignment horizontal="center" vertical="top"/>
    </xf>
    <xf numFmtId="0" fontId="51" fillId="0" borderId="51" xfId="4495" applyFont="1" applyBorder="1" applyAlignment="1">
      <alignment horizontal="left" wrapText="1"/>
    </xf>
    <xf numFmtId="0" fontId="51" fillId="0" borderId="0" xfId="4495" applyFont="1" applyAlignment="1">
      <alignment horizontal="left" wrapText="1"/>
    </xf>
    <xf numFmtId="0" fontId="21" fillId="0" borderId="54" xfId="4495" applyFont="1" applyBorder="1" applyAlignment="1">
      <alignment horizontal="center" vertical="top"/>
    </xf>
    <xf numFmtId="0" fontId="128" fillId="0" borderId="0" xfId="4495" applyFont="1" applyAlignment="1">
      <alignment horizontal="left" vertical="center" wrapText="1"/>
    </xf>
    <xf numFmtId="0" fontId="21" fillId="0" borderId="0" xfId="4495" applyFont="1" applyAlignment="1">
      <alignment horizontal="left" vertical="top" wrapText="1"/>
    </xf>
    <xf numFmtId="0" fontId="14" fillId="0" borderId="0" xfId="4495" applyFont="1" applyAlignment="1">
      <alignment horizontal="left" vertical="top" wrapText="1" shrinkToFit="1"/>
    </xf>
    <xf numFmtId="44" fontId="14" fillId="0" borderId="0" xfId="707" applyFont="1" applyFill="1" applyBorder="1" applyAlignment="1" applyProtection="1">
      <alignment horizontal="left" vertical="top" wrapText="1"/>
    </xf>
    <xf numFmtId="0" fontId="14" fillId="0" borderId="0" xfId="4495" applyFont="1" applyAlignment="1">
      <alignment wrapText="1"/>
    </xf>
    <xf numFmtId="0" fontId="14" fillId="5" borderId="6" xfId="4495" applyFont="1" applyFill="1" applyBorder="1" applyAlignment="1" applyProtection="1">
      <alignment horizontal="center"/>
      <protection locked="0"/>
    </xf>
    <xf numFmtId="0" fontId="14" fillId="0" borderId="0" xfId="4495" applyFont="1" applyAlignment="1">
      <alignment horizontal="left" vertical="center" wrapText="1" shrinkToFit="1"/>
    </xf>
    <xf numFmtId="0" fontId="14" fillId="5" borderId="6" xfId="4495" applyFont="1" applyFill="1" applyBorder="1" applyAlignment="1" applyProtection="1">
      <alignment horizontal="left" wrapText="1" shrinkToFit="1"/>
      <protection locked="0"/>
    </xf>
    <xf numFmtId="0" fontId="14" fillId="43" borderId="6" xfId="1192" applyFill="1" applyBorder="1" applyAlignment="1" applyProtection="1">
      <alignment horizontal="left" vertical="top"/>
      <protection locked="0"/>
    </xf>
    <xf numFmtId="0" fontId="173" fillId="0" borderId="0" xfId="0" applyFont="1" applyAlignment="1" applyProtection="1">
      <alignment horizontal="left"/>
      <protection locked="0"/>
    </xf>
    <xf numFmtId="168" fontId="170" fillId="0" borderId="0" xfId="0" applyNumberFormat="1" applyFont="1" applyAlignment="1">
      <alignment horizontal="center" vertical="top" wrapText="1"/>
    </xf>
    <xf numFmtId="168" fontId="170" fillId="0" borderId="12" xfId="0" applyNumberFormat="1" applyFont="1" applyBorder="1" applyAlignment="1">
      <alignment horizontal="center" vertical="top" wrapText="1"/>
    </xf>
    <xf numFmtId="0" fontId="14" fillId="0" borderId="50" xfId="4495" applyFont="1" applyBorder="1" applyAlignment="1">
      <alignment horizontal="left" vertical="center" wrapText="1"/>
    </xf>
    <xf numFmtId="0" fontId="14" fillId="0" borderId="51" xfId="4495" applyFont="1" applyBorder="1" applyAlignment="1">
      <alignment horizontal="left" vertical="center" wrapText="1"/>
    </xf>
    <xf numFmtId="0" fontId="14" fillId="0" borderId="52" xfId="4495" applyFont="1" applyBorder="1" applyAlignment="1">
      <alignment horizontal="left" vertical="center" wrapText="1"/>
    </xf>
    <xf numFmtId="0" fontId="14" fillId="0" borderId="53" xfId="4495" applyFont="1" applyBorder="1" applyAlignment="1">
      <alignment horizontal="left" vertical="center" wrapText="1"/>
    </xf>
    <xf numFmtId="0" fontId="14" fillId="0" borderId="0" xfId="4495" applyFont="1" applyAlignment="1">
      <alignment horizontal="left" vertical="center" wrapText="1"/>
    </xf>
    <xf numFmtId="0" fontId="14" fillId="0" borderId="54" xfId="4495" applyFont="1" applyBorder="1" applyAlignment="1">
      <alignment horizontal="left" vertical="center" wrapText="1"/>
    </xf>
    <xf numFmtId="0" fontId="14" fillId="43" borderId="53" xfId="4495" applyFont="1" applyFill="1" applyBorder="1" applyAlignment="1" applyProtection="1">
      <alignment vertical="top" wrapText="1"/>
      <protection locked="0"/>
    </xf>
    <xf numFmtId="0" fontId="14" fillId="43" borderId="0" xfId="4495" applyFont="1" applyFill="1" applyAlignment="1" applyProtection="1">
      <alignment vertical="top" wrapText="1"/>
      <protection locked="0"/>
    </xf>
    <xf numFmtId="0" fontId="14" fillId="43" borderId="54" xfId="4495" applyFont="1" applyFill="1" applyBorder="1" applyAlignment="1" applyProtection="1">
      <alignment vertical="top" wrapText="1"/>
      <protection locked="0"/>
    </xf>
    <xf numFmtId="0" fontId="14" fillId="43" borderId="55" xfId="4495" applyFont="1" applyFill="1" applyBorder="1" applyAlignment="1" applyProtection="1">
      <alignment vertical="top" wrapText="1"/>
      <protection locked="0"/>
    </xf>
    <xf numFmtId="0" fontId="14" fillId="43" borderId="6" xfId="4495" applyFont="1" applyFill="1" applyBorder="1" applyAlignment="1" applyProtection="1">
      <alignment vertical="top" wrapText="1"/>
      <protection locked="0"/>
    </xf>
    <xf numFmtId="0" fontId="14" fillId="43" borderId="56" xfId="4495" applyFont="1" applyFill="1" applyBorder="1" applyAlignment="1" applyProtection="1">
      <alignment vertical="top" wrapText="1"/>
      <protection locked="0"/>
    </xf>
    <xf numFmtId="0" fontId="14" fillId="43" borderId="0" xfId="4495" applyFont="1" applyFill="1" applyAlignment="1" applyProtection="1">
      <alignment horizontal="left" vertical="center" wrapText="1"/>
      <protection locked="0"/>
    </xf>
    <xf numFmtId="0" fontId="14" fillId="43" borderId="54" xfId="4495" applyFont="1" applyFill="1" applyBorder="1" applyAlignment="1" applyProtection="1">
      <alignment horizontal="left" vertical="center" wrapText="1"/>
      <protection locked="0"/>
    </xf>
    <xf numFmtId="0" fontId="14" fillId="43" borderId="6" xfId="4495" applyFont="1" applyFill="1" applyBorder="1" applyAlignment="1" applyProtection="1">
      <alignment horizontal="left" vertical="center" wrapText="1"/>
      <protection locked="0"/>
    </xf>
    <xf numFmtId="0" fontId="14" fillId="43" borderId="56" xfId="4495" applyFont="1" applyFill="1" applyBorder="1" applyAlignment="1" applyProtection="1">
      <alignment horizontal="left" vertical="center" wrapText="1"/>
      <protection locked="0"/>
    </xf>
    <xf numFmtId="0" fontId="118" fillId="5" borderId="62" xfId="4495" applyFill="1" applyBorder="1" applyAlignment="1" applyProtection="1">
      <alignment horizontal="center"/>
      <protection locked="0"/>
    </xf>
    <xf numFmtId="0" fontId="118" fillId="5" borderId="63" xfId="4495" applyFill="1" applyBorder="1" applyAlignment="1" applyProtection="1">
      <alignment horizontal="center"/>
      <protection locked="0"/>
    </xf>
    <xf numFmtId="0" fontId="14" fillId="0" borderId="59" xfId="4495" applyFont="1" applyBorder="1" applyAlignment="1">
      <alignment horizontal="left" vertical="top" wrapText="1"/>
    </xf>
    <xf numFmtId="0" fontId="14" fillId="0" borderId="4" xfId="4496" applyFont="1" applyBorder="1" applyAlignment="1">
      <alignment horizontal="center"/>
    </xf>
    <xf numFmtId="0" fontId="14" fillId="0" borderId="5" xfId="4496" applyFont="1" applyBorder="1" applyAlignment="1">
      <alignment horizontal="center"/>
    </xf>
    <xf numFmtId="0" fontId="14" fillId="0" borderId="50" xfId="4495" applyFont="1" applyBorder="1" applyAlignment="1">
      <alignment horizontal="left" vertical="top" wrapText="1"/>
    </xf>
    <xf numFmtId="0" fontId="14" fillId="0" borderId="51" xfId="4495" applyFont="1" applyBorder="1" applyAlignment="1">
      <alignment horizontal="left" vertical="top" wrapText="1"/>
    </xf>
    <xf numFmtId="0" fontId="14" fillId="0" borderId="52" xfId="4495" applyFont="1" applyBorder="1" applyAlignment="1">
      <alignment horizontal="left" vertical="top" wrapText="1"/>
    </xf>
    <xf numFmtId="0" fontId="21" fillId="0" borderId="0" xfId="4495" applyFont="1"/>
    <xf numFmtId="0" fontId="14" fillId="0" borderId="57" xfId="4495" applyFont="1" applyBorder="1" applyAlignment="1">
      <alignment horizontal="left" vertical="center" wrapText="1"/>
    </xf>
    <xf numFmtId="0" fontId="14" fillId="0" borderId="58" xfId="4495" applyFont="1" applyBorder="1" applyAlignment="1">
      <alignment horizontal="left" vertical="center" wrapText="1"/>
    </xf>
    <xf numFmtId="0" fontId="14" fillId="0" borderId="59" xfId="4495" applyFont="1" applyBorder="1" applyAlignment="1">
      <alignment horizontal="left" vertical="center" wrapText="1"/>
    </xf>
    <xf numFmtId="0" fontId="21" fillId="0" borderId="0" xfId="4495" applyFont="1" applyAlignment="1">
      <alignment horizontal="left" vertical="top"/>
    </xf>
    <xf numFmtId="0" fontId="118" fillId="0" borderId="0" xfId="4495" applyAlignment="1" applyProtection="1">
      <alignment horizontal="center"/>
      <protection locked="0"/>
    </xf>
    <xf numFmtId="9" fontId="14" fillId="0" borderId="4" xfId="543" applyNumberFormat="1" applyBorder="1" applyAlignment="1">
      <alignment horizontal="center"/>
    </xf>
    <xf numFmtId="168" fontId="14" fillId="0" borderId="6" xfId="4495" applyNumberFormat="1" applyFont="1" applyBorder="1" applyAlignment="1">
      <alignment horizontal="right"/>
    </xf>
    <xf numFmtId="168" fontId="116" fillId="0" borderId="6" xfId="4495" applyNumberFormat="1" applyFont="1" applyBorder="1" applyAlignment="1">
      <alignment horizontal="right"/>
    </xf>
    <xf numFmtId="168" fontId="14" fillId="43" borderId="6" xfId="4495" applyNumberFormat="1" applyFont="1" applyFill="1" applyBorder="1" applyAlignment="1" applyProtection="1">
      <alignment horizontal="right"/>
      <protection locked="0"/>
    </xf>
    <xf numFmtId="6" fontId="14" fillId="0" borderId="3" xfId="1192" applyNumberFormat="1" applyBorder="1" applyAlignment="1">
      <alignment horizontal="right"/>
    </xf>
    <xf numFmtId="6" fontId="14" fillId="0" borderId="4" xfId="1192" applyNumberFormat="1" applyBorder="1" applyAlignment="1">
      <alignment horizontal="right"/>
    </xf>
    <xf numFmtId="6" fontId="14" fillId="0" borderId="5" xfId="1192" applyNumberFormat="1" applyBorder="1" applyAlignment="1">
      <alignment horizontal="right"/>
    </xf>
    <xf numFmtId="168" fontId="14" fillId="0" borderId="4" xfId="4495" applyNumberFormat="1" applyFont="1" applyBorder="1" applyAlignment="1">
      <alignment horizontal="right"/>
    </xf>
    <xf numFmtId="165" fontId="14" fillId="43" borderId="3" xfId="4495" applyNumberFormat="1" applyFont="1" applyFill="1" applyBorder="1" applyAlignment="1" applyProtection="1">
      <alignment horizontal="center"/>
      <protection locked="0"/>
    </xf>
    <xf numFmtId="165" fontId="14" fillId="43" borderId="4" xfId="4495" applyNumberFormat="1" applyFont="1" applyFill="1" applyBorder="1" applyAlignment="1" applyProtection="1">
      <alignment horizontal="center"/>
      <protection locked="0"/>
    </xf>
    <xf numFmtId="165" fontId="14" fillId="43" borderId="5" xfId="4495" applyNumberFormat="1" applyFont="1" applyFill="1" applyBorder="1" applyAlignment="1" applyProtection="1">
      <alignment horizontal="center"/>
      <protection locked="0"/>
    </xf>
    <xf numFmtId="165" fontId="14" fillId="0" borderId="6" xfId="1192" applyNumberFormat="1" applyBorder="1" applyAlignment="1">
      <alignment horizontal="right"/>
    </xf>
    <xf numFmtId="168" fontId="14" fillId="0" borderId="2" xfId="1192" applyNumberFormat="1" applyBorder="1" applyAlignment="1">
      <alignment horizontal="right"/>
    </xf>
    <xf numFmtId="0" fontId="14" fillId="5" borderId="6" xfId="1192" applyFill="1" applyBorder="1" applyAlignment="1" applyProtection="1">
      <alignment horizontal="left"/>
      <protection locked="0"/>
    </xf>
    <xf numFmtId="165" fontId="14" fillId="0" borderId="0" xfId="1192" applyNumberFormat="1" applyAlignment="1">
      <alignment horizontal="right"/>
    </xf>
    <xf numFmtId="2" fontId="14" fillId="0" borderId="0" xfId="1192" applyNumberFormat="1" applyAlignment="1">
      <alignment horizontal="right"/>
    </xf>
    <xf numFmtId="1" fontId="14" fillId="0" borderId="3" xfId="4495" applyNumberFormat="1" applyFont="1" applyBorder="1" applyAlignment="1">
      <alignment horizontal="center"/>
    </xf>
    <xf numFmtId="1" fontId="14" fillId="0" borderId="4" xfId="4495" applyNumberFormat="1" applyFont="1" applyBorder="1" applyAlignment="1">
      <alignment horizontal="center"/>
    </xf>
    <xf numFmtId="1" fontId="14" fillId="0" borderId="5" xfId="4495" applyNumberFormat="1" applyFont="1" applyBorder="1" applyAlignment="1">
      <alignment horizontal="center"/>
    </xf>
    <xf numFmtId="0" fontId="22" fillId="5" borderId="6" xfId="4495" applyFont="1" applyFill="1" applyBorder="1" applyAlignment="1" applyProtection="1">
      <alignment horizontal="left"/>
      <protection locked="0"/>
    </xf>
    <xf numFmtId="0" fontId="14" fillId="0" borderId="0" xfId="4495" applyFont="1" applyAlignment="1">
      <alignment horizontal="left"/>
    </xf>
    <xf numFmtId="0" fontId="14" fillId="5" borderId="6" xfId="4495" applyFont="1" applyFill="1" applyBorder="1" applyAlignment="1" applyProtection="1">
      <alignment horizontal="left"/>
      <protection locked="0"/>
    </xf>
    <xf numFmtId="0" fontId="51" fillId="5" borderId="6" xfId="4495" applyFont="1" applyFill="1" applyBorder="1" applyAlignment="1" applyProtection="1">
      <alignment horizontal="left"/>
      <protection locked="0"/>
    </xf>
    <xf numFmtId="0" fontId="14" fillId="44" borderId="6" xfId="4495" applyFont="1" applyFill="1" applyBorder="1" applyAlignment="1">
      <alignment horizontal="left"/>
    </xf>
    <xf numFmtId="0" fontId="14" fillId="0" borderId="0" xfId="1192" applyAlignment="1">
      <alignment horizontal="right"/>
    </xf>
    <xf numFmtId="9" fontId="14" fillId="0" borderId="6" xfId="1192" applyNumberFormat="1" applyBorder="1" applyAlignment="1">
      <alignment horizontal="center"/>
    </xf>
    <xf numFmtId="9" fontId="14" fillId="0" borderId="6" xfId="1192" quotePrefix="1" applyNumberFormat="1" applyBorder="1" applyAlignment="1">
      <alignment horizontal="center"/>
    </xf>
    <xf numFmtId="9" fontId="14" fillId="0" borderId="0" xfId="1192" quotePrefix="1" applyNumberFormat="1" applyAlignment="1">
      <alignment horizontal="center"/>
    </xf>
    <xf numFmtId="1" fontId="14" fillId="5" borderId="4" xfId="1192" applyNumberFormat="1" applyFill="1" applyBorder="1" applyAlignment="1" applyProtection="1">
      <alignment horizontal="center"/>
      <protection locked="0"/>
    </xf>
    <xf numFmtId="1" fontId="120" fillId="0" borderId="55" xfId="4496" applyNumberFormat="1" applyFont="1" applyBorder="1" applyAlignment="1">
      <alignment horizontal="center" vertical="top" wrapText="1"/>
    </xf>
    <xf numFmtId="1" fontId="120" fillId="0" borderId="6" xfId="4496" applyNumberFormat="1" applyFont="1" applyBorder="1" applyAlignment="1">
      <alignment horizontal="center" vertical="top" wrapText="1"/>
    </xf>
    <xf numFmtId="165" fontId="120" fillId="0" borderId="55" xfId="4496" applyNumberFormat="1" applyFont="1" applyBorder="1" applyAlignment="1">
      <alignment horizontal="center" vertical="top" wrapText="1"/>
    </xf>
    <xf numFmtId="165" fontId="120" fillId="0" borderId="6" xfId="4496" applyNumberFormat="1" applyFont="1" applyBorder="1" applyAlignment="1">
      <alignment horizontal="center" vertical="top" wrapText="1"/>
    </xf>
    <xf numFmtId="168" fontId="120" fillId="43" borderId="55" xfId="4496" applyNumberFormat="1" applyFont="1" applyFill="1" applyBorder="1" applyAlignment="1" applyProtection="1">
      <alignment horizontal="center" vertical="top" wrapText="1"/>
      <protection locked="0"/>
    </xf>
    <xf numFmtId="168" fontId="120" fillId="43" borderId="6" xfId="4496" applyNumberFormat="1" applyFont="1" applyFill="1" applyBorder="1" applyAlignment="1" applyProtection="1">
      <alignment horizontal="center" vertical="top" wrapText="1"/>
      <protection locked="0"/>
    </xf>
    <xf numFmtId="0" fontId="120" fillId="0" borderId="50" xfId="4496" applyFont="1" applyBorder="1" applyAlignment="1">
      <alignment horizontal="left" vertical="top" wrapText="1"/>
    </xf>
    <xf numFmtId="0" fontId="120" fillId="0" borderId="51" xfId="4496" applyFont="1" applyBorder="1" applyAlignment="1">
      <alignment horizontal="left" vertical="top" wrapText="1"/>
    </xf>
    <xf numFmtId="0" fontId="120" fillId="0" borderId="52" xfId="4496" applyFont="1" applyBorder="1" applyAlignment="1">
      <alignment horizontal="left" vertical="top" wrapText="1"/>
    </xf>
    <xf numFmtId="0" fontId="120" fillId="0" borderId="53" xfId="4496" applyFont="1" applyBorder="1" applyAlignment="1">
      <alignment horizontal="left" vertical="top" wrapText="1"/>
    </xf>
    <xf numFmtId="0" fontId="120" fillId="0" borderId="0" xfId="4496" applyFont="1" applyAlignment="1">
      <alignment horizontal="left" vertical="top" wrapText="1"/>
    </xf>
    <xf numFmtId="0" fontId="120" fillId="0" borderId="54" xfId="4496" applyFont="1" applyBorder="1" applyAlignment="1">
      <alignment horizontal="left" vertical="top" wrapText="1"/>
    </xf>
    <xf numFmtId="168" fontId="120" fillId="0" borderId="55" xfId="4496" applyNumberFormat="1" applyFont="1" applyBorder="1" applyAlignment="1">
      <alignment horizontal="center" vertical="top"/>
    </xf>
    <xf numFmtId="168" fontId="120" fillId="0" borderId="6" xfId="4496" applyNumberFormat="1" applyFont="1" applyBorder="1" applyAlignment="1">
      <alignment horizontal="center" vertical="top"/>
    </xf>
    <xf numFmtId="0" fontId="120" fillId="5" borderId="6" xfId="4496" applyFont="1" applyFill="1" applyBorder="1" applyAlignment="1" applyProtection="1">
      <alignment horizontal="center"/>
      <protection locked="0"/>
    </xf>
    <xf numFmtId="10" fontId="120" fillId="0" borderId="3" xfId="4496" applyNumberFormat="1" applyFont="1" applyBorder="1" applyAlignment="1">
      <alignment horizontal="center" vertical="top" wrapText="1"/>
    </xf>
    <xf numFmtId="10" fontId="120" fillId="0" borderId="4" xfId="4496" applyNumberFormat="1" applyFont="1" applyBorder="1" applyAlignment="1">
      <alignment horizontal="center" vertical="top" wrapText="1"/>
    </xf>
    <xf numFmtId="10" fontId="120" fillId="0" borderId="5" xfId="4496" applyNumberFormat="1" applyFont="1" applyBorder="1" applyAlignment="1">
      <alignment horizontal="center" vertical="top" wrapText="1"/>
    </xf>
    <xf numFmtId="0" fontId="120" fillId="0" borderId="55" xfId="4496" applyFont="1" applyBorder="1" applyAlignment="1">
      <alignment horizontal="center" vertical="top" wrapText="1"/>
    </xf>
    <xf numFmtId="0" fontId="120" fillId="0" borderId="6" xfId="4496" applyFont="1" applyBorder="1" applyAlignment="1">
      <alignment horizontal="center" vertical="top" wrapText="1"/>
    </xf>
    <xf numFmtId="0" fontId="20" fillId="3" borderId="2" xfId="4495" applyFont="1" applyFill="1" applyBorder="1" applyAlignment="1">
      <alignment horizontal="center" vertical="center"/>
    </xf>
    <xf numFmtId="0" fontId="20" fillId="3" borderId="16" xfId="4495" applyFont="1" applyFill="1" applyBorder="1" applyAlignment="1">
      <alignment horizontal="center" vertical="center"/>
    </xf>
    <xf numFmtId="0" fontId="21" fillId="0" borderId="48" xfId="4495" applyFont="1" applyBorder="1" applyAlignment="1">
      <alignment horizontal="left" vertical="top"/>
    </xf>
    <xf numFmtId="0" fontId="21" fillId="0" borderId="49" xfId="4495" applyFont="1" applyBorder="1" applyAlignment="1">
      <alignment horizontal="left" vertical="top"/>
    </xf>
    <xf numFmtId="0" fontId="14" fillId="0" borderId="50" xfId="4495" applyFont="1" applyBorder="1" applyAlignment="1">
      <alignment vertical="center" wrapText="1"/>
    </xf>
    <xf numFmtId="0" fontId="14" fillId="0" borderId="51" xfId="4495" applyFont="1" applyBorder="1" applyAlignment="1">
      <alignment vertical="center" wrapText="1"/>
    </xf>
    <xf numFmtId="0" fontId="14" fillId="0" borderId="52" xfId="4495" applyFont="1" applyBorder="1" applyAlignment="1">
      <alignment vertical="center" wrapText="1"/>
    </xf>
    <xf numFmtId="0" fontId="14" fillId="0" borderId="57" xfId="4495" applyFont="1" applyBorder="1" applyAlignment="1">
      <alignment vertical="center" wrapText="1"/>
    </xf>
    <xf numFmtId="0" fontId="14" fillId="0" borderId="58" xfId="4495" applyFont="1" applyBorder="1" applyAlignment="1">
      <alignment vertical="center" wrapText="1"/>
    </xf>
    <xf numFmtId="0" fontId="14" fillId="0" borderId="59" xfId="4495" applyFont="1" applyBorder="1" applyAlignment="1">
      <alignment vertical="center" wrapText="1"/>
    </xf>
    <xf numFmtId="0" fontId="120" fillId="43" borderId="55" xfId="4496" applyFont="1" applyFill="1" applyBorder="1" applyAlignment="1" applyProtection="1">
      <alignment horizontal="left" vertical="top" wrapText="1"/>
      <protection locked="0"/>
    </xf>
    <xf numFmtId="0" fontId="120" fillId="43" borderId="6" xfId="4496" applyFont="1" applyFill="1" applyBorder="1" applyAlignment="1" applyProtection="1">
      <alignment horizontal="left" vertical="top" wrapText="1"/>
      <protection locked="0"/>
    </xf>
    <xf numFmtId="0" fontId="120" fillId="43" borderId="56" xfId="4496" applyFont="1" applyFill="1" applyBorder="1" applyAlignment="1" applyProtection="1">
      <alignment horizontal="left" vertical="top" wrapText="1"/>
      <protection locked="0"/>
    </xf>
    <xf numFmtId="165" fontId="120" fillId="0" borderId="60" xfId="4496" applyNumberFormat="1" applyFont="1" applyBorder="1" applyAlignment="1">
      <alignment horizontal="center" vertical="top" wrapText="1"/>
    </xf>
    <xf numFmtId="0" fontId="120" fillId="5" borderId="60" xfId="4496" applyFont="1" applyFill="1" applyBorder="1" applyAlignment="1" applyProtection="1">
      <alignment horizontal="center"/>
      <protection locked="0"/>
    </xf>
    <xf numFmtId="0" fontId="120" fillId="5" borderId="4" xfId="4496" applyFont="1" applyFill="1" applyBorder="1" applyAlignment="1" applyProtection="1">
      <alignment horizontal="center"/>
      <protection locked="0"/>
    </xf>
    <xf numFmtId="0" fontId="120" fillId="0" borderId="57" xfId="4496" applyFont="1" applyBorder="1" applyAlignment="1">
      <alignment horizontal="left" vertical="top" wrapText="1"/>
    </xf>
    <xf numFmtId="0" fontId="120" fillId="0" borderId="58" xfId="4496" applyFont="1" applyBorder="1" applyAlignment="1">
      <alignment horizontal="left" vertical="top" wrapText="1"/>
    </xf>
    <xf numFmtId="0" fontId="120" fillId="0" borderId="59" xfId="4496" applyFont="1" applyBorder="1" applyAlignment="1">
      <alignment horizontal="left" vertical="top" wrapText="1"/>
    </xf>
    <xf numFmtId="0" fontId="120" fillId="5" borderId="55" xfId="4496" applyFont="1" applyFill="1" applyBorder="1" applyAlignment="1" applyProtection="1">
      <alignment horizontal="center"/>
      <protection locked="0"/>
    </xf>
    <xf numFmtId="0" fontId="120" fillId="0" borderId="47" xfId="4496" applyFont="1" applyBorder="1"/>
    <xf numFmtId="0" fontId="120" fillId="0" borderId="48" xfId="4496" applyFont="1" applyBorder="1"/>
    <xf numFmtId="0" fontId="120" fillId="0" borderId="49" xfId="4496" applyFont="1" applyBorder="1"/>
    <xf numFmtId="49" fontId="96" fillId="45" borderId="15" xfId="4496" applyNumberFormat="1" applyFont="1" applyFill="1" applyBorder="1" applyAlignment="1">
      <alignment horizontal="center" vertical="center" wrapText="1"/>
    </xf>
    <xf numFmtId="49" fontId="96" fillId="45" borderId="13" xfId="4496" applyNumberFormat="1" applyFont="1" applyFill="1" applyBorder="1" applyAlignment="1">
      <alignment horizontal="center" vertical="center" wrapText="1"/>
    </xf>
    <xf numFmtId="168" fontId="96" fillId="0" borderId="84" xfId="4499" applyNumberFormat="1" applyFont="1" applyFill="1" applyBorder="1" applyAlignment="1" applyProtection="1">
      <alignment horizontal="left" vertical="center" indent="1"/>
    </xf>
    <xf numFmtId="168" fontId="96" fillId="0" borderId="83" xfId="4499" applyNumberFormat="1" applyFont="1" applyFill="1" applyBorder="1" applyAlignment="1" applyProtection="1">
      <alignment horizontal="left" vertical="center" indent="1"/>
    </xf>
    <xf numFmtId="0" fontId="96" fillId="0" borderId="11" xfId="4496" applyFont="1" applyBorder="1" applyAlignment="1">
      <alignment horizontal="left" indent="1"/>
    </xf>
    <xf numFmtId="0" fontId="96" fillId="0" borderId="15" xfId="4496" applyFont="1" applyBorder="1" applyAlignment="1">
      <alignment horizontal="left" indent="1"/>
    </xf>
    <xf numFmtId="0" fontId="135" fillId="0" borderId="71" xfId="4496" applyFont="1" applyBorder="1" applyAlignment="1">
      <alignment horizontal="left" indent="1"/>
    </xf>
    <xf numFmtId="168" fontId="96" fillId="0" borderId="11" xfId="4499" applyNumberFormat="1" applyFont="1" applyFill="1" applyBorder="1" applyAlignment="1" applyProtection="1">
      <alignment horizontal="left" vertical="center" indent="1"/>
    </xf>
    <xf numFmtId="168" fontId="96" fillId="0" borderId="13" xfId="4499" applyNumberFormat="1" applyFont="1" applyFill="1" applyBorder="1" applyAlignment="1" applyProtection="1">
      <alignment horizontal="left" vertical="center" indent="1"/>
    </xf>
    <xf numFmtId="49" fontId="134" fillId="3" borderId="0" xfId="1192" applyNumberFormat="1" applyFont="1" applyFill="1" applyAlignment="1">
      <alignment horizontal="center" vertical="center"/>
    </xf>
    <xf numFmtId="0" fontId="135" fillId="45" borderId="3" xfId="4496" applyFont="1" applyFill="1" applyBorder="1" applyAlignment="1">
      <alignment horizontal="center" vertical="center"/>
    </xf>
    <xf numFmtId="0" fontId="135" fillId="45" borderId="4" xfId="4496" applyFont="1" applyFill="1" applyBorder="1" applyAlignment="1">
      <alignment horizontal="center" vertical="center"/>
    </xf>
    <xf numFmtId="0" fontId="135" fillId="45" borderId="5" xfId="4496" applyFont="1" applyFill="1" applyBorder="1" applyAlignment="1">
      <alignment horizontal="center" vertical="center"/>
    </xf>
    <xf numFmtId="9" fontId="135" fillId="45" borderId="3" xfId="4499" applyFont="1" applyFill="1" applyBorder="1" applyAlignment="1" applyProtection="1">
      <alignment horizontal="center" vertical="center"/>
    </xf>
    <xf numFmtId="9" fontId="135" fillId="45" borderId="4" xfId="4499" applyFont="1" applyFill="1" applyBorder="1" applyAlignment="1" applyProtection="1">
      <alignment horizontal="center" vertical="center"/>
    </xf>
    <xf numFmtId="9" fontId="135" fillId="45" borderId="5" xfId="4499" applyFont="1" applyFill="1" applyBorder="1" applyAlignment="1" applyProtection="1">
      <alignment horizontal="center" vertical="center"/>
    </xf>
    <xf numFmtId="0" fontId="135" fillId="0" borderId="90" xfId="4496" applyFont="1" applyBorder="1" applyAlignment="1">
      <alignment horizontal="center" vertical="top" wrapText="1"/>
    </xf>
    <xf numFmtId="0" fontId="135" fillId="0" borderId="89" xfId="4496" applyFont="1" applyBorder="1" applyAlignment="1">
      <alignment horizontal="center" vertical="top" wrapText="1"/>
    </xf>
    <xf numFmtId="0" fontId="96" fillId="0" borderId="71" xfId="4496" applyFont="1" applyBorder="1"/>
    <xf numFmtId="0" fontId="96" fillId="0" borderId="74" xfId="4496" applyFont="1" applyBorder="1"/>
    <xf numFmtId="0" fontId="96" fillId="0" borderId="11" xfId="4496" applyFont="1" applyBorder="1"/>
    <xf numFmtId="0" fontId="96" fillId="0" borderId="91" xfId="4496" applyFont="1" applyBorder="1"/>
    <xf numFmtId="0" fontId="96" fillId="0" borderId="0" xfId="4496" applyFont="1" applyAlignment="1">
      <alignment horizontal="left" wrapText="1"/>
    </xf>
    <xf numFmtId="0" fontId="96" fillId="43" borderId="0" xfId="4496" applyFont="1" applyFill="1" applyAlignment="1" applyProtection="1">
      <alignment horizontal="left" vertical="top" wrapText="1"/>
      <protection locked="0"/>
    </xf>
    <xf numFmtId="0" fontId="96" fillId="43" borderId="6" xfId="4496" applyFont="1" applyFill="1" applyBorder="1" applyAlignment="1" applyProtection="1">
      <alignment horizontal="left" vertical="top" wrapText="1"/>
      <protection locked="0"/>
    </xf>
    <xf numFmtId="0" fontId="96" fillId="0" borderId="80" xfId="4496" applyFont="1" applyBorder="1" applyAlignment="1">
      <alignment horizontal="right"/>
    </xf>
    <xf numFmtId="0" fontId="96" fillId="0" borderId="11" xfId="4496" applyFont="1" applyBorder="1" applyAlignment="1">
      <alignment horizontal="right"/>
    </xf>
    <xf numFmtId="0" fontId="96" fillId="0" borderId="72" xfId="4496" applyFont="1" applyBorder="1" applyAlignment="1">
      <alignment horizontal="right"/>
    </xf>
    <xf numFmtId="0" fontId="96" fillId="0" borderId="73" xfId="4496" applyFont="1" applyBorder="1" applyAlignment="1">
      <alignment horizontal="right"/>
    </xf>
    <xf numFmtId="0" fontId="96" fillId="0" borderId="73" xfId="4496" applyFont="1" applyBorder="1"/>
    <xf numFmtId="0" fontId="96" fillId="0" borderId="93" xfId="4496" applyFont="1" applyBorder="1"/>
    <xf numFmtId="0" fontId="96" fillId="0" borderId="70" xfId="4496" applyFont="1" applyBorder="1" applyAlignment="1">
      <alignment horizontal="right"/>
    </xf>
    <xf numFmtId="0" fontId="96" fillId="0" borderId="71" xfId="4496" applyFont="1" applyBorder="1" applyAlignment="1">
      <alignment horizontal="right"/>
    </xf>
    <xf numFmtId="0" fontId="147" fillId="45" borderId="72" xfId="8726" applyFont="1" applyFill="1" applyBorder="1" applyAlignment="1">
      <alignment horizontal="center"/>
    </xf>
    <xf numFmtId="0" fontId="147" fillId="45" borderId="73" xfId="8726" applyFont="1" applyFill="1" applyBorder="1" applyAlignment="1">
      <alignment horizontal="center"/>
    </xf>
    <xf numFmtId="0" fontId="2" fillId="49" borderId="73" xfId="8726" applyFill="1" applyBorder="1" applyAlignment="1" applyProtection="1">
      <alignment horizontal="center"/>
      <protection locked="0"/>
    </xf>
    <xf numFmtId="0" fontId="2" fillId="49" borderId="93" xfId="8726" applyFill="1" applyBorder="1" applyAlignment="1" applyProtection="1">
      <alignment horizontal="center"/>
      <protection locked="0"/>
    </xf>
    <xf numFmtId="0" fontId="2" fillId="49" borderId="11" xfId="8726" applyFill="1" applyBorder="1" applyAlignment="1" applyProtection="1">
      <alignment horizontal="center"/>
      <protection locked="0"/>
    </xf>
    <xf numFmtId="0" fontId="2" fillId="49" borderId="91" xfId="8726" applyFill="1" applyBorder="1" applyAlignment="1" applyProtection="1">
      <alignment horizontal="center"/>
      <protection locked="0"/>
    </xf>
    <xf numFmtId="0" fontId="147" fillId="45" borderId="80" xfId="8726" applyFont="1" applyFill="1" applyBorder="1" applyAlignment="1">
      <alignment horizontal="center"/>
    </xf>
    <xf numFmtId="0" fontId="147" fillId="45" borderId="11" xfId="8726" applyFont="1" applyFill="1" applyBorder="1" applyAlignment="1">
      <alignment horizontal="center"/>
    </xf>
    <xf numFmtId="0" fontId="147" fillId="45" borderId="11" xfId="8726" applyFont="1" applyFill="1" applyBorder="1" applyAlignment="1">
      <alignment horizontal="center" wrapText="1"/>
    </xf>
    <xf numFmtId="0" fontId="148" fillId="45" borderId="11" xfId="8726" applyFont="1" applyFill="1" applyBorder="1" applyAlignment="1">
      <alignment horizontal="center"/>
    </xf>
    <xf numFmtId="0" fontId="148" fillId="45" borderId="91" xfId="8726" applyFont="1" applyFill="1" applyBorder="1" applyAlignment="1">
      <alignment horizontal="center"/>
    </xf>
    <xf numFmtId="0" fontId="100" fillId="45" borderId="70" xfId="8726" applyFont="1" applyFill="1" applyBorder="1" applyAlignment="1">
      <alignment horizontal="center"/>
    </xf>
    <xf numFmtId="0" fontId="100" fillId="45" borderId="71" xfId="8726" applyFont="1" applyFill="1" applyBorder="1" applyAlignment="1">
      <alignment horizontal="center"/>
    </xf>
    <xf numFmtId="0" fontId="100" fillId="45" borderId="74" xfId="8726" applyFont="1" applyFill="1" applyBorder="1" applyAlignment="1">
      <alignment horizontal="center"/>
    </xf>
    <xf numFmtId="0" fontId="100" fillId="45" borderId="70" xfId="8726" applyFont="1" applyFill="1" applyBorder="1" applyAlignment="1">
      <alignment horizontal="left" wrapText="1"/>
    </xf>
    <xf numFmtId="0" fontId="100" fillId="45" borderId="71" xfId="8726" applyFont="1" applyFill="1" applyBorder="1" applyAlignment="1">
      <alignment horizontal="left" wrapText="1"/>
    </xf>
    <xf numFmtId="0" fontId="100" fillId="45" borderId="80" xfId="8726" applyFont="1" applyFill="1" applyBorder="1" applyAlignment="1">
      <alignment horizontal="left" wrapText="1"/>
    </xf>
    <xf numFmtId="0" fontId="100" fillId="45" borderId="11" xfId="8726" applyFont="1" applyFill="1" applyBorder="1" applyAlignment="1">
      <alignment horizontal="left" wrapText="1"/>
    </xf>
    <xf numFmtId="0" fontId="161" fillId="49" borderId="80" xfId="8726" applyFont="1" applyFill="1" applyBorder="1" applyAlignment="1">
      <alignment horizontal="left" vertical="top"/>
    </xf>
    <xf numFmtId="0" fontId="161" fillId="49" borderId="11" xfId="8726" applyFont="1" applyFill="1" applyBorder="1" applyAlignment="1">
      <alignment horizontal="left" vertical="top"/>
    </xf>
    <xf numFmtId="0" fontId="161" fillId="49" borderId="91" xfId="8726" applyFont="1" applyFill="1" applyBorder="1" applyAlignment="1">
      <alignment horizontal="left" vertical="top"/>
    </xf>
    <xf numFmtId="0" fontId="161" fillId="49" borderId="72" xfId="8726" applyFont="1" applyFill="1" applyBorder="1" applyAlignment="1">
      <alignment horizontal="left" vertical="top"/>
    </xf>
    <xf numFmtId="0" fontId="161" fillId="49" borderId="73" xfId="8726" applyFont="1" applyFill="1" applyBorder="1" applyAlignment="1">
      <alignment horizontal="left" vertical="top"/>
    </xf>
    <xf numFmtId="0" fontId="161" fillId="49" borderId="93" xfId="8726" applyFont="1" applyFill="1" applyBorder="1" applyAlignment="1">
      <alignment horizontal="left" vertical="top"/>
    </xf>
    <xf numFmtId="10" fontId="2" fillId="49" borderId="84" xfId="8726" applyNumberFormat="1" applyFill="1" applyBorder="1" applyAlignment="1" applyProtection="1">
      <alignment horizontal="center"/>
      <protection locked="0"/>
    </xf>
    <xf numFmtId="10" fontId="2" fillId="49" borderId="82" xfId="8726" applyNumberFormat="1" applyFill="1" applyBorder="1" applyAlignment="1" applyProtection="1">
      <alignment horizontal="center"/>
      <protection locked="0"/>
    </xf>
    <xf numFmtId="10" fontId="2" fillId="49" borderId="85" xfId="8726" applyNumberFormat="1" applyFill="1" applyBorder="1" applyAlignment="1" applyProtection="1">
      <alignment horizontal="center"/>
      <protection locked="0"/>
    </xf>
    <xf numFmtId="0" fontId="2" fillId="49" borderId="3" xfId="8726" applyFill="1" applyBorder="1" applyAlignment="1" applyProtection="1">
      <alignment horizontal="center"/>
      <protection locked="0"/>
    </xf>
    <xf numFmtId="0" fontId="2" fillId="49" borderId="4" xfId="8726" applyFill="1" applyBorder="1" applyAlignment="1" applyProtection="1">
      <alignment horizontal="center"/>
      <protection locked="0"/>
    </xf>
    <xf numFmtId="0" fontId="2" fillId="49" borderId="79" xfId="8726" applyFill="1" applyBorder="1" applyAlignment="1" applyProtection="1">
      <alignment horizontal="center"/>
      <protection locked="0"/>
    </xf>
    <xf numFmtId="0" fontId="146" fillId="49" borderId="3" xfId="8726" applyFont="1" applyFill="1" applyBorder="1" applyAlignment="1" applyProtection="1">
      <alignment horizontal="center"/>
      <protection locked="0"/>
    </xf>
    <xf numFmtId="0" fontId="146" fillId="49" borderId="4" xfId="8726" applyFont="1" applyFill="1" applyBorder="1" applyAlignment="1" applyProtection="1">
      <alignment horizontal="center"/>
      <protection locked="0"/>
    </xf>
    <xf numFmtId="0" fontId="146" fillId="49" borderId="79" xfId="8726" applyFont="1" applyFill="1" applyBorder="1" applyAlignment="1" applyProtection="1">
      <alignment horizontal="center"/>
      <protection locked="0"/>
    </xf>
    <xf numFmtId="10" fontId="2" fillId="0" borderId="84" xfId="8726" applyNumberFormat="1" applyBorder="1" applyAlignment="1">
      <alignment horizontal="center"/>
    </xf>
    <xf numFmtId="10" fontId="2" fillId="0" borderId="82" xfId="8726" applyNumberFormat="1" applyBorder="1" applyAlignment="1">
      <alignment horizontal="center"/>
    </xf>
    <xf numFmtId="10" fontId="2" fillId="0" borderId="85" xfId="8726" applyNumberFormat="1" applyBorder="1" applyAlignment="1">
      <alignment horizontal="center"/>
    </xf>
    <xf numFmtId="0" fontId="146" fillId="49" borderId="71" xfId="8726" applyFont="1" applyFill="1" applyBorder="1" applyAlignment="1" applyProtection="1">
      <alignment horizontal="left" wrapText="1"/>
      <protection locked="0"/>
    </xf>
    <xf numFmtId="0" fontId="146" fillId="49" borderId="74" xfId="8726" applyFont="1" applyFill="1" applyBorder="1" applyAlignment="1" applyProtection="1">
      <alignment horizontal="left" wrapText="1"/>
      <protection locked="0"/>
    </xf>
    <xf numFmtId="0" fontId="146" fillId="49" borderId="11" xfId="8726" applyFont="1" applyFill="1" applyBorder="1" applyAlignment="1" applyProtection="1">
      <alignment horizontal="left" wrapText="1"/>
      <protection locked="0"/>
    </xf>
    <xf numFmtId="0" fontId="146" fillId="49" borderId="91" xfId="8726" applyFont="1" applyFill="1" applyBorder="1" applyAlignment="1" applyProtection="1">
      <alignment horizontal="left" wrapText="1"/>
      <protection locked="0"/>
    </xf>
    <xf numFmtId="168" fontId="163" fillId="49" borderId="11" xfId="700" applyNumberFormat="1" applyFont="1" applyFill="1" applyBorder="1" applyAlignment="1" applyProtection="1">
      <alignment horizontal="left"/>
      <protection locked="0"/>
    </xf>
    <xf numFmtId="168" fontId="163" fillId="49" borderId="91" xfId="700" applyNumberFormat="1" applyFont="1" applyFill="1" applyBorder="1" applyAlignment="1" applyProtection="1">
      <alignment horizontal="left"/>
      <protection locked="0"/>
    </xf>
    <xf numFmtId="0" fontId="144" fillId="45" borderId="95" xfId="8726" applyFont="1" applyFill="1" applyBorder="1" applyAlignment="1">
      <alignment horizontal="center"/>
    </xf>
    <xf numFmtId="0" fontId="144" fillId="45" borderId="13" xfId="8726" applyFont="1" applyFill="1" applyBorder="1" applyAlignment="1">
      <alignment horizontal="center"/>
    </xf>
    <xf numFmtId="0" fontId="144" fillId="45" borderId="71" xfId="8726" applyFont="1" applyFill="1" applyBorder="1" applyAlignment="1">
      <alignment horizontal="center"/>
    </xf>
    <xf numFmtId="0" fontId="144" fillId="45" borderId="74" xfId="8726" applyFont="1" applyFill="1" applyBorder="1" applyAlignment="1">
      <alignment horizontal="center"/>
    </xf>
    <xf numFmtId="0" fontId="161" fillId="49" borderId="80" xfId="8726" applyFont="1" applyFill="1" applyBorder="1" applyAlignment="1" applyProtection="1">
      <alignment horizontal="right"/>
      <protection locked="0"/>
    </xf>
    <xf numFmtId="0" fontId="161" fillId="49" borderId="11" xfId="8726" applyFont="1" applyFill="1" applyBorder="1" applyAlignment="1" applyProtection="1">
      <alignment horizontal="right"/>
      <protection locked="0"/>
    </xf>
    <xf numFmtId="168" fontId="144" fillId="45" borderId="43" xfId="8726" applyNumberFormat="1" applyFont="1" applyFill="1" applyBorder="1" applyAlignment="1">
      <alignment horizontal="left"/>
    </xf>
    <xf numFmtId="168" fontId="144" fillId="45" borderId="96" xfId="8726" applyNumberFormat="1" applyFont="1" applyFill="1" applyBorder="1" applyAlignment="1">
      <alignment horizontal="left"/>
    </xf>
    <xf numFmtId="0" fontId="159" fillId="45" borderId="11" xfId="8726" applyFont="1" applyFill="1" applyBorder="1" applyAlignment="1">
      <alignment horizontal="right"/>
    </xf>
    <xf numFmtId="14" fontId="146" fillId="49" borderId="11" xfId="8726" applyNumberFormat="1" applyFont="1" applyFill="1" applyBorder="1" applyAlignment="1" applyProtection="1">
      <alignment horizontal="center"/>
      <protection locked="0"/>
    </xf>
    <xf numFmtId="0" fontId="146" fillId="49" borderId="11" xfId="8726" applyFont="1" applyFill="1" applyBorder="1" applyAlignment="1" applyProtection="1">
      <alignment horizontal="center"/>
      <protection locked="0"/>
    </xf>
    <xf numFmtId="1" fontId="162" fillId="49" borderId="11" xfId="8726" applyNumberFormat="1" applyFont="1" applyFill="1" applyBorder="1" applyAlignment="1" applyProtection="1">
      <alignment horizontal="center"/>
      <protection locked="0"/>
    </xf>
    <xf numFmtId="1" fontId="162" fillId="49" borderId="3" xfId="8726" applyNumberFormat="1" applyFont="1" applyFill="1" applyBorder="1" applyAlignment="1" applyProtection="1">
      <alignment horizontal="center"/>
      <protection locked="0"/>
    </xf>
    <xf numFmtId="1" fontId="162" fillId="49" borderId="4" xfId="8726" applyNumberFormat="1" applyFont="1" applyFill="1" applyBorder="1" applyAlignment="1" applyProtection="1">
      <alignment horizontal="center"/>
      <protection locked="0"/>
    </xf>
    <xf numFmtId="1" fontId="162" fillId="49" borderId="5" xfId="8726" applyNumberFormat="1" applyFont="1" applyFill="1" applyBorder="1" applyAlignment="1" applyProtection="1">
      <alignment horizontal="center"/>
      <protection locked="0"/>
    </xf>
    <xf numFmtId="1" fontId="148" fillId="44" borderId="3" xfId="8726" applyNumberFormat="1" applyFont="1" applyFill="1" applyBorder="1" applyAlignment="1">
      <alignment horizontal="center"/>
    </xf>
    <xf numFmtId="1" fontId="148" fillId="44" borderId="4" xfId="8726" applyNumberFormat="1" applyFont="1" applyFill="1" applyBorder="1" applyAlignment="1">
      <alignment horizontal="center"/>
    </xf>
    <xf numFmtId="1" fontId="148" fillId="44" borderId="5" xfId="8726" applyNumberFormat="1" applyFont="1" applyFill="1" applyBorder="1" applyAlignment="1">
      <alignment horizontal="center"/>
    </xf>
    <xf numFmtId="0" fontId="2" fillId="49" borderId="1" xfId="8726" applyFill="1" applyBorder="1" applyAlignment="1" applyProtection="1">
      <alignment horizontal="center"/>
      <protection locked="0"/>
    </xf>
    <xf numFmtId="0" fontId="2" fillId="49" borderId="2" xfId="8726" applyFill="1" applyBorder="1" applyAlignment="1" applyProtection="1">
      <alignment horizontal="center"/>
      <protection locked="0"/>
    </xf>
    <xf numFmtId="0" fontId="146" fillId="49" borderId="89" xfId="8726" applyFont="1" applyFill="1" applyBorder="1" applyAlignment="1" applyProtection="1">
      <alignment horizontal="left"/>
      <protection locked="0"/>
    </xf>
    <xf numFmtId="0" fontId="146" fillId="49" borderId="71" xfId="8726" applyFont="1" applyFill="1" applyBorder="1" applyAlignment="1" applyProtection="1">
      <alignment horizontal="left"/>
      <protection locked="0"/>
    </xf>
    <xf numFmtId="0" fontId="146" fillId="49" borderId="74" xfId="8726" applyFont="1" applyFill="1" applyBorder="1" applyAlignment="1" applyProtection="1">
      <alignment horizontal="left"/>
      <protection locked="0"/>
    </xf>
    <xf numFmtId="0" fontId="144" fillId="45" borderId="80" xfId="8726" applyFont="1" applyFill="1" applyBorder="1" applyAlignment="1">
      <alignment horizontal="center"/>
    </xf>
    <xf numFmtId="0" fontId="144" fillId="45" borderId="11" xfId="8726" applyFont="1" applyFill="1" applyBorder="1" applyAlignment="1">
      <alignment horizontal="center"/>
    </xf>
    <xf numFmtId="0" fontId="144" fillId="45" borderId="3" xfId="8726" applyFont="1" applyFill="1" applyBorder="1" applyAlignment="1">
      <alignment horizontal="center"/>
    </xf>
    <xf numFmtId="0" fontId="144" fillId="45" borderId="4" xfId="8726" applyFont="1" applyFill="1" applyBorder="1" applyAlignment="1">
      <alignment horizontal="center"/>
    </xf>
    <xf numFmtId="0" fontId="144" fillId="45" borderId="79" xfId="8726" applyFont="1" applyFill="1" applyBorder="1" applyAlignment="1">
      <alignment horizontal="center"/>
    </xf>
    <xf numFmtId="0" fontId="100" fillId="45" borderId="72" xfId="8726" applyFont="1" applyFill="1" applyBorder="1" applyAlignment="1">
      <alignment horizontal="center"/>
    </xf>
    <xf numFmtId="0" fontId="100" fillId="45" borderId="73" xfId="8726" applyFont="1" applyFill="1" applyBorder="1" applyAlignment="1">
      <alignment horizontal="center"/>
    </xf>
    <xf numFmtId="14" fontId="146" fillId="49" borderId="83" xfId="8726" applyNumberFormat="1" applyFont="1" applyFill="1" applyBorder="1" applyAlignment="1" applyProtection="1">
      <alignment horizontal="center"/>
      <protection locked="0"/>
    </xf>
    <xf numFmtId="0" fontId="146" fillId="49" borderId="73" xfId="8726" applyFont="1" applyFill="1" applyBorder="1" applyAlignment="1" applyProtection="1">
      <alignment horizontal="center"/>
      <protection locked="0"/>
    </xf>
    <xf numFmtId="0" fontId="146" fillId="49" borderId="93" xfId="8726" applyFont="1" applyFill="1" applyBorder="1" applyAlignment="1" applyProtection="1">
      <alignment horizontal="center"/>
      <protection locked="0"/>
    </xf>
    <xf numFmtId="0" fontId="163" fillId="49" borderId="80" xfId="8726" applyFont="1" applyFill="1" applyBorder="1" applyAlignment="1" applyProtection="1">
      <alignment horizontal="right"/>
      <protection locked="0"/>
    </xf>
    <xf numFmtId="0" fontId="163" fillId="49" borderId="11" xfId="8726" applyFont="1" applyFill="1" applyBorder="1" applyAlignment="1" applyProtection="1">
      <alignment horizontal="right"/>
      <protection locked="0"/>
    </xf>
    <xf numFmtId="43" fontId="144" fillId="53" borderId="3" xfId="698" applyFont="1" applyFill="1" applyBorder="1" applyAlignment="1" applyProtection="1">
      <alignment horizontal="center"/>
      <protection hidden="1"/>
    </xf>
    <xf numFmtId="43" fontId="144" fillId="53" borderId="4" xfId="698" applyFont="1" applyFill="1" applyBorder="1" applyAlignment="1" applyProtection="1">
      <alignment horizontal="center"/>
      <protection hidden="1"/>
    </xf>
    <xf numFmtId="43" fontId="144" fillId="53" borderId="79" xfId="698" applyFont="1" applyFill="1" applyBorder="1" applyAlignment="1" applyProtection="1">
      <alignment horizontal="center"/>
      <protection hidden="1"/>
    </xf>
    <xf numFmtId="0" fontId="176" fillId="54" borderId="3" xfId="698" applyNumberFormat="1" applyFont="1" applyFill="1" applyBorder="1" applyAlignment="1" applyProtection="1">
      <alignment horizontal="center"/>
      <protection locked="0"/>
    </xf>
    <xf numFmtId="0" fontId="176" fillId="54" borderId="4" xfId="698" applyNumberFormat="1" applyFont="1" applyFill="1" applyBorder="1" applyAlignment="1" applyProtection="1">
      <alignment horizontal="center"/>
      <protection locked="0"/>
    </xf>
    <xf numFmtId="0" fontId="176" fillId="54" borderId="79" xfId="698" applyNumberFormat="1" applyFont="1" applyFill="1" applyBorder="1" applyAlignment="1" applyProtection="1">
      <alignment horizontal="center"/>
      <protection locked="0"/>
    </xf>
    <xf numFmtId="44" fontId="145" fillId="0" borderId="8" xfId="700" applyFont="1" applyBorder="1" applyAlignment="1" applyProtection="1">
      <alignment horizontal="center" wrapText="1"/>
      <protection hidden="1"/>
    </xf>
    <xf numFmtId="44" fontId="145" fillId="0" borderId="0" xfId="700" applyFont="1" applyBorder="1" applyAlignment="1" applyProtection="1">
      <alignment horizontal="center" wrapText="1"/>
      <protection hidden="1"/>
    </xf>
    <xf numFmtId="44" fontId="145" fillId="0" borderId="12" xfId="700" applyFont="1" applyBorder="1" applyAlignment="1" applyProtection="1">
      <alignment horizontal="center" wrapText="1"/>
      <protection hidden="1"/>
    </xf>
    <xf numFmtId="44" fontId="145" fillId="0" borderId="9" xfId="700" applyFont="1" applyBorder="1" applyAlignment="1" applyProtection="1">
      <alignment horizontal="center" wrapText="1"/>
      <protection hidden="1"/>
    </xf>
    <xf numFmtId="44" fontId="145" fillId="0" borderId="6" xfId="700" applyFont="1" applyBorder="1" applyAlignment="1" applyProtection="1">
      <alignment horizontal="center" wrapText="1"/>
      <protection hidden="1"/>
    </xf>
    <xf numFmtId="44" fontId="145" fillId="0" borderId="10" xfId="700" applyFont="1" applyBorder="1" applyAlignment="1" applyProtection="1">
      <alignment horizontal="center" wrapText="1"/>
      <protection hidden="1"/>
    </xf>
    <xf numFmtId="43" fontId="145" fillId="53" borderId="8" xfId="698" applyFont="1" applyFill="1" applyBorder="1" applyAlignment="1" applyProtection="1">
      <alignment horizontal="center" wrapText="1"/>
      <protection hidden="1"/>
    </xf>
    <xf numFmtId="43" fontId="145" fillId="53" borderId="0" xfId="698" applyFont="1" applyFill="1" applyBorder="1" applyAlignment="1" applyProtection="1">
      <alignment horizontal="center" wrapText="1"/>
      <protection hidden="1"/>
    </xf>
    <xf numFmtId="43" fontId="145" fillId="53" borderId="41" xfId="698" applyFont="1" applyFill="1" applyBorder="1" applyAlignment="1" applyProtection="1">
      <alignment horizontal="center" wrapText="1"/>
      <protection hidden="1"/>
    </xf>
    <xf numFmtId="43" fontId="145" fillId="53" borderId="9" xfId="698" applyFont="1" applyFill="1" applyBorder="1" applyAlignment="1" applyProtection="1">
      <alignment horizontal="center" wrapText="1"/>
      <protection hidden="1"/>
    </xf>
    <xf numFmtId="43" fontId="145" fillId="53" borderId="6" xfId="698" applyFont="1" applyFill="1" applyBorder="1" applyAlignment="1" applyProtection="1">
      <alignment horizontal="center" wrapText="1"/>
      <protection hidden="1"/>
    </xf>
    <xf numFmtId="43" fontId="145" fillId="53" borderId="103" xfId="698" applyFont="1" applyFill="1" applyBorder="1" applyAlignment="1" applyProtection="1">
      <alignment horizontal="center" wrapText="1"/>
      <protection hidden="1"/>
    </xf>
    <xf numFmtId="0" fontId="146" fillId="53" borderId="80" xfId="698" applyNumberFormat="1" applyFont="1" applyFill="1" applyBorder="1" applyAlignment="1" applyProtection="1">
      <alignment horizontal="center"/>
      <protection hidden="1"/>
    </xf>
    <xf numFmtId="0" fontId="146" fillId="53" borderId="11" xfId="698" applyNumberFormat="1" applyFont="1" applyFill="1" applyBorder="1" applyAlignment="1" applyProtection="1">
      <alignment horizontal="center"/>
      <protection hidden="1"/>
    </xf>
    <xf numFmtId="0" fontId="146" fillId="49" borderId="11" xfId="0" applyFont="1" applyFill="1" applyBorder="1" applyAlignment="1" applyProtection="1">
      <alignment horizontal="center"/>
      <protection locked="0"/>
    </xf>
    <xf numFmtId="14" fontId="176" fillId="49" borderId="11" xfId="700" applyNumberFormat="1" applyFont="1" applyFill="1" applyBorder="1" applyAlignment="1" applyProtection="1">
      <alignment horizontal="center"/>
      <protection locked="0"/>
    </xf>
    <xf numFmtId="44" fontId="176" fillId="49" borderId="11" xfId="700" applyFont="1" applyFill="1" applyBorder="1" applyAlignment="1" applyProtection="1">
      <alignment horizontal="center"/>
      <protection locked="0"/>
    </xf>
    <xf numFmtId="164" fontId="146" fillId="49" borderId="11" xfId="700" applyNumberFormat="1" applyFont="1" applyFill="1" applyBorder="1" applyAlignment="1" applyProtection="1">
      <alignment horizontal="center"/>
      <protection locked="0"/>
    </xf>
    <xf numFmtId="9" fontId="146" fillId="49" borderId="11" xfId="1022" applyFont="1" applyFill="1" applyBorder="1" applyAlignment="1" applyProtection="1">
      <alignment horizontal="center"/>
      <protection locked="0"/>
    </xf>
    <xf numFmtId="0" fontId="100" fillId="44" borderId="0" xfId="8726" applyFont="1" applyFill="1" applyAlignment="1">
      <alignment horizontal="left"/>
    </xf>
    <xf numFmtId="0" fontId="148" fillId="44" borderId="0" xfId="8726" applyFont="1" applyFill="1" applyAlignment="1">
      <alignment horizontal="left" vertical="top"/>
    </xf>
    <xf numFmtId="0" fontId="100" fillId="44" borderId="0" xfId="4503" applyFont="1" applyFill="1" applyBorder="1" applyAlignment="1">
      <alignment horizontal="left" vertical="top"/>
    </xf>
    <xf numFmtId="0" fontId="172" fillId="48" borderId="65" xfId="8726" applyFont="1" applyFill="1" applyBorder="1" applyAlignment="1">
      <alignment horizontal="center"/>
    </xf>
    <xf numFmtId="0" fontId="172" fillId="48" borderId="29" xfId="8726" applyFont="1" applyFill="1" applyBorder="1" applyAlignment="1">
      <alignment horizontal="center"/>
    </xf>
    <xf numFmtId="0" fontId="172" fillId="48" borderId="31" xfId="8726" applyFont="1" applyFill="1" applyBorder="1" applyAlignment="1">
      <alignment horizontal="center"/>
    </xf>
    <xf numFmtId="0" fontId="2" fillId="48" borderId="66" xfId="8726" applyFill="1" applyBorder="1" applyAlignment="1">
      <alignment horizontal="center"/>
    </xf>
    <xf numFmtId="0" fontId="2" fillId="48" borderId="0" xfId="8726" applyFill="1" applyAlignment="1">
      <alignment horizontal="center"/>
    </xf>
    <xf numFmtId="0" fontId="2" fillId="48" borderId="41" xfId="8726" applyFill="1" applyBorder="1" applyAlignment="1">
      <alignment horizontal="center"/>
    </xf>
    <xf numFmtId="0" fontId="144" fillId="48" borderId="66" xfId="8726" applyFont="1" applyFill="1" applyBorder="1" applyAlignment="1">
      <alignment horizontal="center"/>
    </xf>
    <xf numFmtId="0" fontId="144" fillId="48" borderId="0" xfId="8726" applyFont="1" applyFill="1" applyAlignment="1">
      <alignment horizontal="center"/>
    </xf>
    <xf numFmtId="0" fontId="144" fillId="48" borderId="41" xfId="8726" applyFont="1" applyFill="1" applyBorder="1" applyAlignment="1">
      <alignment horizontal="center"/>
    </xf>
    <xf numFmtId="0" fontId="100" fillId="48" borderId="66" xfId="8726" applyFont="1" applyFill="1" applyBorder="1" applyAlignment="1">
      <alignment horizontal="center"/>
    </xf>
    <xf numFmtId="0" fontId="100" fillId="48" borderId="0" xfId="8726" applyFont="1" applyFill="1" applyAlignment="1">
      <alignment horizontal="center"/>
    </xf>
    <xf numFmtId="0" fontId="100" fillId="48" borderId="41" xfId="8726" applyFont="1" applyFill="1" applyBorder="1" applyAlignment="1">
      <alignment horizontal="center"/>
    </xf>
    <xf numFmtId="14" fontId="2" fillId="49" borderId="67" xfId="8726" applyNumberFormat="1" applyFill="1" applyBorder="1" applyAlignment="1" applyProtection="1">
      <alignment horizontal="center"/>
      <protection locked="0"/>
    </xf>
    <xf numFmtId="14" fontId="2" fillId="49" borderId="68" xfId="8726" applyNumberFormat="1" applyFill="1" applyBorder="1" applyAlignment="1" applyProtection="1">
      <alignment horizontal="center"/>
      <protection locked="0"/>
    </xf>
    <xf numFmtId="14" fontId="2" fillId="49" borderId="69" xfId="8726" applyNumberFormat="1" applyFill="1" applyBorder="1" applyAlignment="1" applyProtection="1">
      <alignment horizontal="center"/>
      <protection locked="0"/>
    </xf>
    <xf numFmtId="0" fontId="2" fillId="49" borderId="67" xfId="8726" applyFill="1" applyBorder="1" applyAlignment="1" applyProtection="1">
      <alignment horizontal="left"/>
      <protection locked="0"/>
    </xf>
    <xf numFmtId="0" fontId="2" fillId="49" borderId="68" xfId="8726" applyFill="1" applyBorder="1" applyAlignment="1" applyProtection="1">
      <alignment horizontal="left"/>
      <protection locked="0"/>
    </xf>
    <xf numFmtId="0" fontId="2" fillId="49" borderId="69" xfId="8726" applyFill="1" applyBorder="1" applyAlignment="1" applyProtection="1">
      <alignment horizontal="left"/>
      <protection locked="0"/>
    </xf>
    <xf numFmtId="0" fontId="2" fillId="49" borderId="67" xfId="8726" applyFill="1" applyBorder="1" applyAlignment="1" applyProtection="1">
      <alignment horizontal="center"/>
      <protection locked="0"/>
    </xf>
    <xf numFmtId="0" fontId="2" fillId="49" borderId="68" xfId="8726" applyFill="1" applyBorder="1" applyAlignment="1" applyProtection="1">
      <alignment horizontal="center"/>
      <protection locked="0"/>
    </xf>
    <xf numFmtId="0" fontId="2" fillId="49" borderId="69" xfId="8726" applyFill="1" applyBorder="1" applyAlignment="1" applyProtection="1">
      <alignment horizontal="center"/>
      <protection locked="0"/>
    </xf>
    <xf numFmtId="0" fontId="100" fillId="48" borderId="42" xfId="8726" applyFont="1" applyFill="1" applyBorder="1" applyAlignment="1">
      <alignment horizontal="center"/>
    </xf>
    <xf numFmtId="0" fontId="144" fillId="48" borderId="0" xfId="8726" applyFont="1" applyFill="1" applyAlignment="1">
      <alignment horizontal="left" vertical="top" wrapText="1"/>
    </xf>
    <xf numFmtId="0" fontId="100" fillId="48" borderId="0" xfId="8726" applyFont="1" applyFill="1" applyAlignment="1">
      <alignment horizontal="left"/>
    </xf>
    <xf numFmtId="43" fontId="144" fillId="45" borderId="67" xfId="698" applyFont="1" applyFill="1" applyBorder="1" applyAlignment="1" applyProtection="1">
      <alignment horizontal="center"/>
      <protection hidden="1"/>
    </xf>
    <xf numFmtId="43" fontId="144" fillId="45" borderId="68" xfId="698" applyFont="1" applyFill="1" applyBorder="1" applyAlignment="1" applyProtection="1">
      <alignment horizontal="center"/>
      <protection hidden="1"/>
    </xf>
    <xf numFmtId="43" fontId="144" fillId="45" borderId="69" xfId="698" applyFont="1" applyFill="1" applyBorder="1" applyAlignment="1" applyProtection="1">
      <alignment horizontal="center"/>
      <protection hidden="1"/>
    </xf>
    <xf numFmtId="43" fontId="145" fillId="53" borderId="66" xfId="698" applyFont="1" applyFill="1" applyBorder="1" applyAlignment="1" applyProtection="1">
      <alignment horizontal="center" wrapText="1"/>
      <protection hidden="1"/>
    </xf>
    <xf numFmtId="43" fontId="145" fillId="53" borderId="12" xfId="698" applyFont="1" applyFill="1" applyBorder="1" applyAlignment="1" applyProtection="1">
      <alignment horizontal="center" wrapText="1"/>
      <protection hidden="1"/>
    </xf>
    <xf numFmtId="43" fontId="145" fillId="53" borderId="102" xfId="698" applyFont="1" applyFill="1" applyBorder="1" applyAlignment="1" applyProtection="1">
      <alignment horizontal="center" wrapText="1"/>
      <protection hidden="1"/>
    </xf>
    <xf numFmtId="43" fontId="145" fillId="53" borderId="10" xfId="698" applyFont="1" applyFill="1" applyBorder="1" applyAlignment="1" applyProtection="1">
      <alignment horizontal="center" wrapText="1"/>
      <protection hidden="1"/>
    </xf>
    <xf numFmtId="14" fontId="145" fillId="0" borderId="8" xfId="700" applyNumberFormat="1" applyFont="1" applyFill="1" applyBorder="1" applyAlignment="1" applyProtection="1">
      <alignment horizontal="center" wrapText="1"/>
      <protection hidden="1"/>
    </xf>
    <xf numFmtId="14" fontId="145" fillId="0" borderId="0" xfId="700" applyNumberFormat="1" applyFont="1" applyFill="1" applyBorder="1" applyAlignment="1" applyProtection="1">
      <alignment horizontal="center" wrapText="1"/>
      <protection hidden="1"/>
    </xf>
    <xf numFmtId="14" fontId="145" fillId="0" borderId="12" xfId="700" applyNumberFormat="1" applyFont="1" applyFill="1" applyBorder="1" applyAlignment="1" applyProtection="1">
      <alignment horizontal="center" wrapText="1"/>
      <protection hidden="1"/>
    </xf>
    <xf numFmtId="14" fontId="145" fillId="0" borderId="9" xfId="700" applyNumberFormat="1" applyFont="1" applyFill="1" applyBorder="1" applyAlignment="1" applyProtection="1">
      <alignment horizontal="center" wrapText="1"/>
      <protection hidden="1"/>
    </xf>
    <xf numFmtId="14" fontId="145" fillId="0" borderId="6" xfId="700" applyNumberFormat="1" applyFont="1" applyFill="1" applyBorder="1" applyAlignment="1" applyProtection="1">
      <alignment horizontal="center" wrapText="1"/>
      <protection hidden="1"/>
    </xf>
    <xf numFmtId="14" fontId="145" fillId="0" borderId="10" xfId="700" applyNumberFormat="1" applyFont="1" applyFill="1" applyBorder="1" applyAlignment="1" applyProtection="1">
      <alignment horizontal="center" wrapText="1"/>
      <protection hidden="1"/>
    </xf>
    <xf numFmtId="0" fontId="100" fillId="0" borderId="67" xfId="8726" applyFont="1" applyBorder="1" applyAlignment="1">
      <alignment horizontal="left"/>
    </xf>
    <xf numFmtId="0" fontId="100" fillId="0" borderId="68" xfId="8726" applyFont="1" applyBorder="1" applyAlignment="1">
      <alignment horizontal="left"/>
    </xf>
    <xf numFmtId="0" fontId="147" fillId="45" borderId="72" xfId="8726" applyFont="1" applyFill="1" applyBorder="1" applyAlignment="1">
      <alignment horizontal="right"/>
    </xf>
    <xf numFmtId="0" fontId="147" fillId="45" borderId="73" xfId="8726" applyFont="1" applyFill="1" applyBorder="1" applyAlignment="1">
      <alignment horizontal="right"/>
    </xf>
    <xf numFmtId="0" fontId="148" fillId="44" borderId="73" xfId="700" applyNumberFormat="1" applyFont="1" applyFill="1" applyBorder="1" applyAlignment="1">
      <alignment horizontal="left"/>
    </xf>
    <xf numFmtId="168" fontId="148" fillId="44" borderId="73" xfId="700" applyNumberFormat="1" applyFont="1" applyFill="1" applyBorder="1" applyAlignment="1">
      <alignment horizontal="left"/>
    </xf>
    <xf numFmtId="168" fontId="148" fillId="44" borderId="93" xfId="700" applyNumberFormat="1" applyFont="1" applyFill="1" applyBorder="1" applyAlignment="1">
      <alignment horizontal="left"/>
    </xf>
    <xf numFmtId="0" fontId="144" fillId="48" borderId="0" xfId="8726" applyFont="1" applyFill="1" applyAlignment="1">
      <alignment horizontal="right"/>
    </xf>
    <xf numFmtId="182" fontId="2" fillId="49" borderId="11" xfId="700" applyNumberFormat="1" applyFont="1" applyFill="1" applyBorder="1" applyAlignment="1" applyProtection="1">
      <alignment horizontal="center"/>
      <protection locked="0"/>
    </xf>
    <xf numFmtId="10" fontId="161" fillId="49" borderId="11" xfId="1022" applyNumberFormat="1" applyFont="1" applyFill="1" applyBorder="1" applyAlignment="1" applyProtection="1">
      <alignment horizontal="center"/>
      <protection locked="0"/>
    </xf>
    <xf numFmtId="44" fontId="2" fillId="49" borderId="97" xfId="700" applyFont="1" applyFill="1" applyBorder="1" applyAlignment="1" applyProtection="1">
      <alignment horizontal="center"/>
      <protection locked="0"/>
    </xf>
    <xf numFmtId="168" fontId="145" fillId="48" borderId="0" xfId="700" applyNumberFormat="1" applyFont="1" applyFill="1" applyBorder="1" applyAlignment="1" applyProtection="1">
      <alignment horizontal="left"/>
      <protection locked="0"/>
    </xf>
    <xf numFmtId="0" fontId="148" fillId="45" borderId="67" xfId="0" applyFont="1" applyFill="1" applyBorder="1" applyAlignment="1" applyProtection="1">
      <alignment horizontal="center" wrapText="1"/>
      <protection hidden="1"/>
    </xf>
    <xf numFmtId="0" fontId="148" fillId="45" borderId="68" xfId="0" applyFont="1" applyFill="1" applyBorder="1" applyAlignment="1" applyProtection="1">
      <alignment horizontal="center" wrapText="1"/>
      <protection hidden="1"/>
    </xf>
    <xf numFmtId="0" fontId="148" fillId="45" borderId="69" xfId="0" applyFont="1" applyFill="1" applyBorder="1" applyAlignment="1" applyProtection="1">
      <alignment horizontal="center" wrapText="1"/>
      <protection hidden="1"/>
    </xf>
    <xf numFmtId="44" fontId="2" fillId="44" borderId="11" xfId="700" applyFont="1" applyFill="1" applyBorder="1" applyAlignment="1" applyProtection="1">
      <alignment horizontal="center"/>
      <protection hidden="1"/>
    </xf>
    <xf numFmtId="0" fontId="2" fillId="48" borderId="3" xfId="8726" applyFill="1" applyBorder="1" applyAlignment="1">
      <alignment horizontal="center"/>
    </xf>
    <xf numFmtId="0" fontId="2" fillId="48" borderId="4" xfId="8726" applyFill="1" applyBorder="1" applyAlignment="1">
      <alignment horizontal="center"/>
    </xf>
    <xf numFmtId="0" fontId="2" fillId="48" borderId="5" xfId="8726" applyFill="1" applyBorder="1" applyAlignment="1">
      <alignment horizontal="center"/>
    </xf>
    <xf numFmtId="0" fontId="2" fillId="48" borderId="1" xfId="8726" applyFill="1" applyBorder="1" applyAlignment="1">
      <alignment horizontal="center"/>
    </xf>
    <xf numFmtId="0" fontId="2" fillId="48" borderId="2" xfId="8726" applyFill="1" applyBorder="1" applyAlignment="1">
      <alignment horizontal="center"/>
    </xf>
    <xf numFmtId="0" fontId="2" fillId="48" borderId="7" xfId="8726" applyFill="1" applyBorder="1" applyAlignment="1">
      <alignment horizontal="center"/>
    </xf>
    <xf numFmtId="0" fontId="163" fillId="45" borderId="70" xfId="8726" applyFont="1" applyFill="1" applyBorder="1" applyAlignment="1">
      <alignment horizontal="right"/>
    </xf>
    <xf numFmtId="0" fontId="163" fillId="45" borderId="71" xfId="8726" applyFont="1" applyFill="1" applyBorder="1" applyAlignment="1">
      <alignment horizontal="right"/>
    </xf>
    <xf numFmtId="168" fontId="146" fillId="44" borderId="71" xfId="700" applyNumberFormat="1" applyFont="1" applyFill="1" applyBorder="1" applyAlignment="1">
      <alignment horizontal="left"/>
    </xf>
    <xf numFmtId="168" fontId="146" fillId="44" borderId="74" xfId="700" applyNumberFormat="1" applyFont="1" applyFill="1" applyBorder="1" applyAlignment="1">
      <alignment horizontal="left"/>
    </xf>
    <xf numFmtId="0" fontId="161" fillId="49" borderId="81" xfId="8726" applyFont="1" applyFill="1" applyBorder="1" applyAlignment="1" applyProtection="1">
      <alignment horizontal="center"/>
      <protection locked="0"/>
    </xf>
    <xf numFmtId="0" fontId="161" fillId="49" borderId="82" xfId="8726" applyFont="1" applyFill="1" applyBorder="1" applyAlignment="1" applyProtection="1">
      <alignment horizontal="center"/>
      <protection locked="0"/>
    </xf>
    <xf numFmtId="0" fontId="163" fillId="49" borderId="73" xfId="8726" applyFont="1" applyFill="1" applyBorder="1" applyAlignment="1" applyProtection="1">
      <alignment horizontal="left"/>
      <protection locked="0"/>
    </xf>
    <xf numFmtId="0" fontId="163" fillId="49" borderId="93" xfId="8726" applyFont="1" applyFill="1" applyBorder="1" applyAlignment="1" applyProtection="1">
      <alignment horizontal="left"/>
      <protection locked="0"/>
    </xf>
    <xf numFmtId="168" fontId="161" fillId="49" borderId="82" xfId="700" applyNumberFormat="1" applyFont="1" applyFill="1" applyBorder="1" applyAlignment="1" applyProtection="1">
      <alignment horizontal="left"/>
      <protection locked="0"/>
    </xf>
    <xf numFmtId="168" fontId="161" fillId="49" borderId="85" xfId="700" applyNumberFormat="1" applyFont="1" applyFill="1" applyBorder="1" applyAlignment="1" applyProtection="1">
      <alignment horizontal="left"/>
      <protection locked="0"/>
    </xf>
    <xf numFmtId="0" fontId="161" fillId="49" borderId="81" xfId="8726" applyFont="1" applyFill="1" applyBorder="1" applyAlignment="1" applyProtection="1">
      <alignment horizontal="left"/>
      <protection locked="0"/>
    </xf>
    <xf numFmtId="0" fontId="161" fillId="49" borderId="82" xfId="8726" applyFont="1" applyFill="1" applyBorder="1" applyAlignment="1" applyProtection="1">
      <alignment horizontal="left"/>
      <protection locked="0"/>
    </xf>
    <xf numFmtId="0" fontId="161" fillId="49" borderId="85" xfId="8726" applyFont="1" applyFill="1" applyBorder="1" applyAlignment="1" applyProtection="1">
      <alignment horizontal="left"/>
      <protection locked="0"/>
    </xf>
    <xf numFmtId="0" fontId="171" fillId="48" borderId="0" xfId="8726" applyFont="1" applyFill="1" applyAlignment="1">
      <alignment horizontal="left" wrapText="1"/>
    </xf>
    <xf numFmtId="0" fontId="171" fillId="48" borderId="41" xfId="8726" applyFont="1" applyFill="1" applyBorder="1" applyAlignment="1">
      <alignment horizontal="left" wrapText="1"/>
    </xf>
    <xf numFmtId="0" fontId="161" fillId="49" borderId="80"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0" fontId="163" fillId="49" borderId="11" xfId="8726" applyFont="1" applyFill="1" applyBorder="1" applyAlignment="1" applyProtection="1">
      <alignment horizontal="left"/>
      <protection locked="0"/>
    </xf>
    <xf numFmtId="168" fontId="161" fillId="49" borderId="11" xfId="700" applyNumberFormat="1" applyFont="1" applyFill="1" applyBorder="1" applyAlignment="1" applyProtection="1">
      <alignment horizontal="left"/>
      <protection locked="0"/>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3" fillId="49" borderId="80" xfId="8726" applyFont="1" applyFill="1" applyBorder="1" applyAlignment="1" applyProtection="1">
      <alignment horizontal="center"/>
      <protection locked="0"/>
    </xf>
    <xf numFmtId="0" fontId="163" fillId="49" borderId="11" xfId="8726" applyFont="1" applyFill="1" applyBorder="1" applyAlignment="1" applyProtection="1">
      <alignment horizontal="center"/>
      <protection locked="0"/>
    </xf>
    <xf numFmtId="44" fontId="2" fillId="49" borderId="11" xfId="700" applyFont="1" applyFill="1" applyBorder="1" applyAlignment="1" applyProtection="1">
      <alignment horizontal="center"/>
      <protection locked="0"/>
    </xf>
    <xf numFmtId="0" fontId="161" fillId="45" borderId="80" xfId="8726" applyFont="1" applyFill="1" applyBorder="1" applyAlignment="1">
      <alignment horizontal="right"/>
    </xf>
    <xf numFmtId="0" fontId="161" fillId="45" borderId="11" xfId="8726" applyFont="1" applyFill="1" applyBorder="1" applyAlignment="1">
      <alignment horizontal="right"/>
    </xf>
    <xf numFmtId="168" fontId="161" fillId="44" borderId="11" xfId="700" applyNumberFormat="1" applyFont="1" applyFill="1" applyBorder="1" applyAlignment="1">
      <alignment horizontal="left"/>
    </xf>
    <xf numFmtId="43" fontId="144" fillId="55" borderId="104" xfId="698" applyFont="1" applyFill="1" applyBorder="1" applyAlignment="1" applyProtection="1">
      <alignment horizontal="center"/>
      <protection hidden="1"/>
    </xf>
    <xf numFmtId="43" fontId="144" fillId="55" borderId="97" xfId="698" applyFont="1" applyFill="1" applyBorder="1" applyAlignment="1" applyProtection="1">
      <alignment horizontal="center"/>
      <protection hidden="1"/>
    </xf>
    <xf numFmtId="43" fontId="144" fillId="55" borderId="98" xfId="698" applyFont="1" applyFill="1" applyBorder="1" applyAlignment="1" applyProtection="1">
      <alignment horizontal="center"/>
      <protection hidden="1"/>
    </xf>
    <xf numFmtId="43" fontId="146" fillId="53" borderId="13" xfId="698" applyFont="1" applyFill="1" applyBorder="1" applyAlignment="1" applyProtection="1">
      <alignment horizontal="left"/>
      <protection hidden="1"/>
    </xf>
    <xf numFmtId="44" fontId="2" fillId="49" borderId="13" xfId="700" applyFont="1" applyFill="1" applyBorder="1" applyAlignment="1" applyProtection="1">
      <alignment horizontal="center"/>
      <protection locked="0"/>
    </xf>
    <xf numFmtId="0" fontId="161" fillId="48" borderId="9" xfId="8726" applyFont="1" applyFill="1" applyBorder="1" applyAlignment="1">
      <alignment horizontal="center"/>
    </xf>
    <xf numFmtId="0" fontId="161" fillId="48" borderId="6" xfId="8726" applyFont="1" applyFill="1" applyBorder="1" applyAlignment="1">
      <alignment horizontal="center"/>
    </xf>
    <xf numFmtId="0" fontId="161" fillId="48" borderId="10" xfId="8726" applyFont="1" applyFill="1" applyBorder="1" applyAlignment="1">
      <alignment horizontal="center"/>
    </xf>
    <xf numFmtId="43" fontId="146" fillId="53" borderId="11" xfId="698" applyFont="1" applyFill="1" applyBorder="1" applyAlignment="1" applyProtection="1">
      <alignment horizontal="left"/>
      <protection hidden="1"/>
    </xf>
    <xf numFmtId="14" fontId="161" fillId="49" borderId="11" xfId="8726" applyNumberFormat="1" applyFont="1" applyFill="1" applyBorder="1" applyAlignment="1" applyProtection="1">
      <alignment horizontal="center"/>
      <protection locked="0"/>
    </xf>
    <xf numFmtId="14" fontId="161" fillId="49" borderId="91" xfId="8726" applyNumberFormat="1" applyFont="1" applyFill="1" applyBorder="1" applyAlignment="1" applyProtection="1">
      <alignment horizontal="center"/>
      <protection locked="0"/>
    </xf>
    <xf numFmtId="168" fontId="163" fillId="44" borderId="11" xfId="700" applyNumberFormat="1" applyFont="1" applyFill="1" applyBorder="1" applyAlignment="1">
      <alignment horizontal="left"/>
    </xf>
    <xf numFmtId="0" fontId="147" fillId="47" borderId="11" xfId="8726" applyFont="1" applyFill="1" applyBorder="1" applyAlignment="1">
      <alignment horizontal="center"/>
    </xf>
    <xf numFmtId="0" fontId="147" fillId="47" borderId="91" xfId="8726" applyFont="1" applyFill="1" applyBorder="1" applyAlignment="1">
      <alignment horizontal="center"/>
    </xf>
    <xf numFmtId="0" fontId="163" fillId="45" borderId="80" xfId="8726" applyFont="1" applyFill="1" applyBorder="1" applyAlignment="1">
      <alignment horizontal="right"/>
    </xf>
    <xf numFmtId="0" fontId="163" fillId="45" borderId="11" xfId="8726" applyFont="1" applyFill="1" applyBorder="1" applyAlignment="1">
      <alignment horizontal="right"/>
    </xf>
    <xf numFmtId="0" fontId="171" fillId="45" borderId="72" xfId="8726" applyFont="1" applyFill="1" applyBorder="1" applyAlignment="1">
      <alignment horizontal="center"/>
    </xf>
    <xf numFmtId="0" fontId="171" fillId="45" borderId="73" xfId="8726" applyFont="1" applyFill="1" applyBorder="1" applyAlignment="1">
      <alignment horizontal="center"/>
    </xf>
    <xf numFmtId="0" fontId="157" fillId="49" borderId="73" xfId="8726" applyFont="1" applyFill="1" applyBorder="1" applyAlignment="1" applyProtection="1">
      <alignment horizontal="left"/>
      <protection locked="0"/>
    </xf>
    <xf numFmtId="0" fontId="163" fillId="49" borderId="73" xfId="8726" applyFont="1" applyFill="1" applyBorder="1" applyAlignment="1" applyProtection="1">
      <alignment horizontal="center"/>
      <protection locked="0"/>
    </xf>
    <xf numFmtId="14" fontId="163" fillId="49" borderId="73" xfId="8726" applyNumberFormat="1" applyFont="1" applyFill="1" applyBorder="1" applyAlignment="1" applyProtection="1">
      <alignment horizontal="center"/>
      <protection locked="0"/>
    </xf>
    <xf numFmtId="168" fontId="163" fillId="49" borderId="73" xfId="8727" applyNumberFormat="1" applyFont="1" applyFill="1" applyBorder="1" applyAlignment="1" applyProtection="1">
      <alignment horizontal="center"/>
      <protection locked="0"/>
    </xf>
    <xf numFmtId="168" fontId="163" fillId="49" borderId="93" xfId="8727" applyNumberFormat="1" applyFont="1" applyFill="1" applyBorder="1" applyAlignment="1" applyProtection="1">
      <alignment horizontal="center"/>
      <protection locked="0"/>
    </xf>
    <xf numFmtId="0" fontId="161" fillId="49" borderId="72" xfId="8726" applyFont="1" applyFill="1" applyBorder="1" applyAlignment="1" applyProtection="1">
      <alignment horizontal="center"/>
      <protection locked="0"/>
    </xf>
    <xf numFmtId="0" fontId="161" fillId="49" borderId="73" xfId="8726" applyFont="1" applyFill="1" applyBorder="1" applyAlignment="1" applyProtection="1">
      <alignment horizontal="center"/>
      <protection locked="0"/>
    </xf>
    <xf numFmtId="14" fontId="161" fillId="49" borderId="73" xfId="8726" applyNumberFormat="1" applyFont="1" applyFill="1" applyBorder="1" applyAlignment="1" applyProtection="1">
      <alignment horizontal="center"/>
      <protection locked="0"/>
    </xf>
    <xf numFmtId="14" fontId="161" fillId="49" borderId="93" xfId="8726" applyNumberFormat="1" applyFont="1" applyFill="1" applyBorder="1" applyAlignment="1" applyProtection="1">
      <alignment horizontal="center"/>
      <protection locked="0"/>
    </xf>
    <xf numFmtId="0" fontId="100" fillId="45" borderId="65" xfId="8726" applyFont="1" applyFill="1" applyBorder="1" applyAlignment="1">
      <alignment horizontal="left" wrapText="1"/>
    </xf>
    <xf numFmtId="0" fontId="100" fillId="45" borderId="29" xfId="8726" applyFont="1" applyFill="1" applyBorder="1" applyAlignment="1">
      <alignment horizontal="left" wrapText="1"/>
    </xf>
    <xf numFmtId="0" fontId="100" fillId="45" borderId="31" xfId="8726" applyFont="1" applyFill="1" applyBorder="1" applyAlignment="1">
      <alignment horizontal="left" wrapText="1"/>
    </xf>
    <xf numFmtId="0" fontId="100" fillId="45" borderId="86" xfId="8726" applyFont="1" applyFill="1" applyBorder="1" applyAlignment="1">
      <alignment horizontal="left" wrapText="1"/>
    </xf>
    <xf numFmtId="0" fontId="100" fillId="45" borderId="42" xfId="8726" applyFont="1" applyFill="1" applyBorder="1" applyAlignment="1">
      <alignment horizontal="left" wrapText="1"/>
    </xf>
    <xf numFmtId="0" fontId="100" fillId="45" borderId="44" xfId="8726" applyFont="1" applyFill="1" applyBorder="1" applyAlignment="1">
      <alignment horizontal="left" wrapText="1"/>
    </xf>
    <xf numFmtId="0" fontId="144" fillId="45" borderId="70" xfId="8726" applyFont="1" applyFill="1" applyBorder="1" applyAlignment="1">
      <alignment horizontal="left"/>
    </xf>
    <xf numFmtId="0" fontId="144" fillId="45" borderId="71" xfId="8726" applyFont="1" applyFill="1" applyBorder="1" applyAlignment="1">
      <alignment horizontal="left"/>
    </xf>
    <xf numFmtId="0" fontId="144" fillId="45" borderId="74" xfId="8726" applyFont="1" applyFill="1" applyBorder="1" applyAlignment="1">
      <alignment horizontal="left"/>
    </xf>
    <xf numFmtId="0" fontId="100" fillId="45" borderId="80" xfId="8726" applyFont="1" applyFill="1" applyBorder="1" applyAlignment="1">
      <alignment horizontal="center"/>
    </xf>
    <xf numFmtId="0" fontId="100" fillId="45" borderId="11" xfId="8726" applyFont="1" applyFill="1" applyBorder="1" applyAlignment="1">
      <alignment horizontal="center"/>
    </xf>
    <xf numFmtId="0" fontId="100" fillId="45" borderId="91" xfId="8726" applyFont="1" applyFill="1" applyBorder="1" applyAlignment="1">
      <alignment horizontal="center"/>
    </xf>
    <xf numFmtId="0" fontId="161" fillId="49" borderId="80" xfId="8726" applyFont="1" applyFill="1" applyBorder="1" applyAlignment="1" applyProtection="1">
      <alignment horizontal="left" vertical="top"/>
      <protection locked="0"/>
    </xf>
    <xf numFmtId="0" fontId="161" fillId="49" borderId="11" xfId="8726" applyFont="1" applyFill="1" applyBorder="1" applyAlignment="1" applyProtection="1">
      <alignment horizontal="left" vertical="top"/>
      <protection locked="0"/>
    </xf>
    <xf numFmtId="0" fontId="161" fillId="49" borderId="91" xfId="8726" applyFont="1" applyFill="1" applyBorder="1" applyAlignment="1" applyProtection="1">
      <alignment horizontal="left" vertical="top"/>
      <protection locked="0"/>
    </xf>
    <xf numFmtId="0" fontId="161" fillId="49" borderId="72" xfId="8726" applyFont="1" applyFill="1" applyBorder="1" applyAlignment="1" applyProtection="1">
      <alignment horizontal="left" vertical="top"/>
      <protection locked="0"/>
    </xf>
    <xf numFmtId="0" fontId="161" fillId="49" borderId="73" xfId="8726" applyFont="1" applyFill="1" applyBorder="1" applyAlignment="1" applyProtection="1">
      <alignment horizontal="left" vertical="top"/>
      <protection locked="0"/>
    </xf>
    <xf numFmtId="0" fontId="161" fillId="49" borderId="93" xfId="8726" applyFont="1" applyFill="1" applyBorder="1" applyAlignment="1" applyProtection="1">
      <alignment horizontal="left" vertical="top"/>
      <protection locked="0"/>
    </xf>
    <xf numFmtId="0" fontId="171" fillId="45" borderId="80" xfId="8726" applyFont="1" applyFill="1" applyBorder="1" applyAlignment="1">
      <alignment horizontal="center"/>
    </xf>
    <xf numFmtId="0" fontId="171" fillId="45" borderId="11" xfId="8726" applyFont="1" applyFill="1" applyBorder="1" applyAlignment="1">
      <alignment horizontal="center"/>
    </xf>
    <xf numFmtId="0" fontId="157" fillId="49" borderId="11" xfId="8726" applyFont="1" applyFill="1" applyBorder="1" applyAlignment="1" applyProtection="1">
      <alignment horizontal="left"/>
      <protection locked="0"/>
    </xf>
    <xf numFmtId="14" fontId="163" fillId="49" borderId="11" xfId="8726" applyNumberFormat="1" applyFont="1" applyFill="1" applyBorder="1" applyAlignment="1" applyProtection="1">
      <alignment horizontal="center"/>
      <protection locked="0"/>
    </xf>
    <xf numFmtId="168" fontId="163" fillId="49" borderId="11" xfId="8727" applyNumberFormat="1" applyFont="1" applyFill="1" applyBorder="1" applyAlignment="1" applyProtection="1">
      <alignment horizontal="center"/>
      <protection locked="0"/>
    </xf>
    <xf numFmtId="168" fontId="163" fillId="49" borderId="91" xfId="8727" applyNumberFormat="1" applyFont="1" applyFill="1" applyBorder="1" applyAlignment="1" applyProtection="1">
      <alignment horizontal="center"/>
      <protection locked="0"/>
    </xf>
    <xf numFmtId="0" fontId="148" fillId="45" borderId="11" xfId="8726" applyFont="1" applyFill="1" applyBorder="1" applyAlignment="1">
      <alignment horizontal="center" wrapText="1"/>
    </xf>
    <xf numFmtId="0" fontId="148" fillId="45" borderId="91" xfId="8726" applyFont="1" applyFill="1" applyBorder="1" applyAlignment="1">
      <alignment horizontal="center" wrapText="1"/>
    </xf>
    <xf numFmtId="0" fontId="159" fillId="45" borderId="80" xfId="8726" applyFont="1" applyFill="1" applyBorder="1" applyAlignment="1">
      <alignment horizontal="left"/>
    </xf>
    <xf numFmtId="0" fontId="159" fillId="45" borderId="11" xfId="8726" applyFont="1" applyFill="1" applyBorder="1" applyAlignment="1">
      <alignment horizontal="left"/>
    </xf>
    <xf numFmtId="0" fontId="159" fillId="45" borderId="72" xfId="8726" applyFont="1" applyFill="1" applyBorder="1" applyAlignment="1">
      <alignment horizontal="left"/>
    </xf>
    <xf numFmtId="0" fontId="159" fillId="45" borderId="73" xfId="8726" applyFont="1" applyFill="1" applyBorder="1" applyAlignment="1">
      <alignment horizontal="left"/>
    </xf>
    <xf numFmtId="0" fontId="144" fillId="45" borderId="70" xfId="8726" applyFont="1" applyFill="1" applyBorder="1" applyAlignment="1">
      <alignment horizontal="center"/>
    </xf>
    <xf numFmtId="0" fontId="152" fillId="45" borderId="80" xfId="8726" applyFont="1" applyFill="1" applyBorder="1" applyAlignment="1">
      <alignment horizontal="left"/>
    </xf>
    <xf numFmtId="0" fontId="152" fillId="45" borderId="11" xfId="8726" applyFont="1" applyFill="1" applyBorder="1" applyAlignment="1">
      <alignment horizontal="left"/>
    </xf>
    <xf numFmtId="0" fontId="162" fillId="49" borderId="11" xfId="8726" applyFont="1" applyFill="1" applyBorder="1" applyAlignment="1" applyProtection="1">
      <alignment horizontal="left"/>
      <protection locked="0"/>
    </xf>
    <xf numFmtId="0" fontId="162" fillId="49" borderId="91" xfId="8726" applyFont="1" applyFill="1" applyBorder="1" applyAlignment="1" applyProtection="1">
      <alignment horizontal="left"/>
      <protection locked="0"/>
    </xf>
    <xf numFmtId="0" fontId="163" fillId="49" borderId="80" xfId="8726" applyFont="1" applyFill="1" applyBorder="1" applyAlignment="1" applyProtection="1">
      <alignment horizontal="left" vertical="top"/>
      <protection locked="0"/>
    </xf>
    <xf numFmtId="0" fontId="163" fillId="49" borderId="11" xfId="8726" applyFont="1" applyFill="1" applyBorder="1" applyAlignment="1" applyProtection="1">
      <alignment horizontal="left" vertical="top"/>
      <protection locked="0"/>
    </xf>
    <xf numFmtId="0" fontId="163" fillId="49" borderId="91" xfId="8726" applyFont="1" applyFill="1" applyBorder="1" applyAlignment="1" applyProtection="1">
      <alignment horizontal="left" vertical="top"/>
      <protection locked="0"/>
    </xf>
    <xf numFmtId="0" fontId="163" fillId="49" borderId="72" xfId="8726" applyFont="1" applyFill="1" applyBorder="1" applyAlignment="1" applyProtection="1">
      <alignment horizontal="left" vertical="top"/>
      <protection locked="0"/>
    </xf>
    <xf numFmtId="0" fontId="163" fillId="49" borderId="73" xfId="8726" applyFont="1" applyFill="1" applyBorder="1" applyAlignment="1" applyProtection="1">
      <alignment horizontal="left" vertical="top"/>
      <protection locked="0"/>
    </xf>
    <xf numFmtId="0" fontId="163" fillId="49" borderId="93" xfId="8726" applyFont="1" applyFill="1" applyBorder="1" applyAlignment="1" applyProtection="1">
      <alignment horizontal="left" vertical="top"/>
      <protection locked="0"/>
    </xf>
    <xf numFmtId="0" fontId="144" fillId="45" borderId="75" xfId="8726" applyFont="1" applyFill="1" applyBorder="1" applyAlignment="1">
      <alignment horizontal="center"/>
    </xf>
    <xf numFmtId="0" fontId="144" fillId="45" borderId="76" xfId="8726" applyFont="1" applyFill="1" applyBorder="1" applyAlignment="1">
      <alignment horizontal="center"/>
    </xf>
    <xf numFmtId="0" fontId="144" fillId="45" borderId="77" xfId="8726" applyFont="1" applyFill="1" applyBorder="1" applyAlignment="1">
      <alignment horizontal="center"/>
    </xf>
    <xf numFmtId="0" fontId="100" fillId="45" borderId="74" xfId="8726" applyFont="1" applyFill="1" applyBorder="1" applyAlignment="1">
      <alignment horizontal="left" wrapText="1"/>
    </xf>
    <xf numFmtId="0" fontId="100" fillId="45" borderId="91" xfId="8726" applyFont="1" applyFill="1" applyBorder="1" applyAlignment="1">
      <alignment horizontal="left" wrapText="1"/>
    </xf>
    <xf numFmtId="0" fontId="100" fillId="45" borderId="65" xfId="8726" applyFont="1" applyFill="1" applyBorder="1" applyAlignment="1">
      <alignment horizontal="center"/>
    </xf>
    <xf numFmtId="0" fontId="100" fillId="45" borderId="29" xfId="8726" applyFont="1" applyFill="1" applyBorder="1" applyAlignment="1">
      <alignment horizontal="center"/>
    </xf>
    <xf numFmtId="0" fontId="100" fillId="45" borderId="31" xfId="8726" applyFont="1" applyFill="1" applyBorder="1" applyAlignment="1">
      <alignment horizontal="center"/>
    </xf>
    <xf numFmtId="0" fontId="158" fillId="45" borderId="11" xfId="8726" applyFont="1" applyFill="1" applyBorder="1" applyAlignment="1">
      <alignment horizontal="left"/>
    </xf>
    <xf numFmtId="0" fontId="158" fillId="45" borderId="91" xfId="8726" applyFont="1" applyFill="1" applyBorder="1" applyAlignment="1">
      <alignment horizontal="left"/>
    </xf>
    <xf numFmtId="0" fontId="2" fillId="47" borderId="73" xfId="8726" applyFill="1" applyBorder="1" applyAlignment="1" applyProtection="1">
      <alignment horizontal="center"/>
      <protection locked="0"/>
    </xf>
    <xf numFmtId="0" fontId="2" fillId="47" borderId="93" xfId="8726" applyFill="1" applyBorder="1" applyAlignment="1" applyProtection="1">
      <alignment horizontal="center"/>
      <protection locked="0"/>
    </xf>
    <xf numFmtId="0" fontId="144" fillId="45" borderId="94" xfId="8726" applyFont="1" applyFill="1" applyBorder="1" applyAlignment="1">
      <alignment horizontal="right"/>
    </xf>
    <xf numFmtId="0" fontId="144" fillId="45" borderId="43" xfId="8726" applyFont="1" applyFill="1" applyBorder="1" applyAlignment="1">
      <alignment horizontal="right"/>
    </xf>
    <xf numFmtId="0" fontId="161" fillId="49" borderId="71" xfId="8726" applyFont="1" applyFill="1" applyBorder="1" applyAlignment="1" applyProtection="1">
      <alignment horizontal="left"/>
      <protection locked="0"/>
    </xf>
    <xf numFmtId="0" fontId="161" fillId="49" borderId="74" xfId="8726" applyFont="1" applyFill="1" applyBorder="1" applyAlignment="1" applyProtection="1">
      <alignment horizontal="left"/>
      <protection locked="0"/>
    </xf>
    <xf numFmtId="0" fontId="144" fillId="45" borderId="72" xfId="8726" applyFont="1" applyFill="1" applyBorder="1" applyAlignment="1">
      <alignment horizontal="center"/>
    </xf>
    <xf numFmtId="0" fontId="144" fillId="45" borderId="73" xfId="8726" applyFont="1" applyFill="1" applyBorder="1" applyAlignment="1">
      <alignment horizontal="center"/>
    </xf>
    <xf numFmtId="0" fontId="161" fillId="49" borderId="73" xfId="8726" applyFont="1" applyFill="1" applyBorder="1" applyAlignment="1" applyProtection="1">
      <alignment horizontal="left"/>
      <protection locked="0"/>
    </xf>
    <xf numFmtId="0" fontId="161" fillId="49" borderId="93" xfId="8726" applyFont="1" applyFill="1" applyBorder="1" applyAlignment="1" applyProtection="1">
      <alignment horizontal="left"/>
      <protection locked="0"/>
    </xf>
    <xf numFmtId="0" fontId="161" fillId="44" borderId="80" xfId="8726" applyFont="1" applyFill="1" applyBorder="1" applyAlignment="1" applyProtection="1">
      <alignment horizontal="right"/>
      <protection locked="0"/>
    </xf>
    <xf numFmtId="0" fontId="161" fillId="44" borderId="11" xfId="8726" applyFont="1" applyFill="1" applyBorder="1" applyAlignment="1" applyProtection="1">
      <alignment horizontal="right"/>
      <protection locked="0"/>
    </xf>
    <xf numFmtId="0" fontId="161" fillId="44" borderId="91" xfId="8726" applyFont="1" applyFill="1" applyBorder="1" applyAlignment="1" applyProtection="1">
      <alignment horizontal="right"/>
      <protection locked="0"/>
    </xf>
    <xf numFmtId="0" fontId="161" fillId="49" borderId="5" xfId="8726" applyFont="1" applyFill="1" applyBorder="1" applyAlignment="1" applyProtection="1">
      <alignment horizontal="left"/>
      <protection locked="0"/>
    </xf>
    <xf numFmtId="0" fontId="161" fillId="44" borderId="72" xfId="8726" applyFont="1" applyFill="1" applyBorder="1" applyAlignment="1" applyProtection="1">
      <alignment horizontal="right"/>
      <protection locked="0"/>
    </xf>
    <xf numFmtId="0" fontId="161" fillId="44" borderId="73" xfId="8726" applyFont="1" applyFill="1" applyBorder="1" applyAlignment="1" applyProtection="1">
      <alignment horizontal="right"/>
      <protection locked="0"/>
    </xf>
    <xf numFmtId="0" fontId="161" fillId="44" borderId="93" xfId="8726" applyFont="1" applyFill="1" applyBorder="1" applyAlignment="1" applyProtection="1">
      <alignment horizontal="right"/>
      <protection locked="0"/>
    </xf>
    <xf numFmtId="168" fontId="161" fillId="49" borderId="11" xfId="8727" applyNumberFormat="1"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61" fillId="49" borderId="11" xfId="700" applyNumberFormat="1" applyFont="1" applyFill="1" applyBorder="1" applyAlignment="1" applyProtection="1">
      <alignment horizontal="left"/>
      <protection locked="0"/>
    </xf>
    <xf numFmtId="0" fontId="161" fillId="49" borderId="91" xfId="700" applyNumberFormat="1" applyFont="1" applyFill="1" applyBorder="1" applyAlignment="1" applyProtection="1">
      <alignment horizontal="left"/>
      <protection locked="0"/>
    </xf>
    <xf numFmtId="168" fontId="147" fillId="45" borderId="73" xfId="8727" applyNumberFormat="1" applyFont="1" applyFill="1" applyBorder="1" applyAlignment="1">
      <alignment horizontal="center"/>
    </xf>
    <xf numFmtId="1" fontId="147" fillId="45" borderId="73" xfId="8727" applyNumberFormat="1" applyFont="1" applyFill="1" applyBorder="1" applyAlignment="1">
      <alignment horizontal="center"/>
    </xf>
    <xf numFmtId="0" fontId="147" fillId="45" borderId="73" xfId="8727" applyNumberFormat="1" applyFont="1" applyFill="1" applyBorder="1" applyAlignment="1">
      <alignment horizontal="center"/>
    </xf>
    <xf numFmtId="0" fontId="147" fillId="45" borderId="93" xfId="8727" applyNumberFormat="1" applyFont="1" applyFill="1" applyBorder="1" applyAlignment="1">
      <alignment horizontal="center"/>
    </xf>
    <xf numFmtId="0" fontId="144" fillId="45" borderId="65" xfId="8726" applyFont="1" applyFill="1" applyBorder="1" applyAlignment="1">
      <alignment horizontal="center"/>
    </xf>
    <xf numFmtId="0" fontId="144" fillId="45" borderId="29" xfId="8726" applyFont="1" applyFill="1" applyBorder="1" applyAlignment="1">
      <alignment horizontal="center"/>
    </xf>
    <xf numFmtId="0" fontId="144" fillId="45" borderId="31" xfId="8726" applyFont="1" applyFill="1" applyBorder="1" applyAlignment="1">
      <alignment horizontal="center"/>
    </xf>
    <xf numFmtId="0" fontId="161" fillId="49" borderId="83" xfId="8726" applyFont="1" applyFill="1" applyBorder="1" applyAlignment="1" applyProtection="1">
      <alignment horizontal="left"/>
      <protection locked="0"/>
    </xf>
    <xf numFmtId="0" fontId="148" fillId="45" borderId="11" xfId="8726" applyFont="1" applyFill="1" applyBorder="1" applyAlignment="1">
      <alignment horizontal="center" vertical="center" wrapText="1"/>
    </xf>
    <xf numFmtId="0" fontId="148" fillId="45" borderId="91" xfId="8726" applyFont="1" applyFill="1" applyBorder="1" applyAlignment="1">
      <alignment horizontal="center" vertical="center" wrapText="1"/>
    </xf>
    <xf numFmtId="1" fontId="162" fillId="49" borderId="73" xfId="8726" applyNumberFormat="1" applyFont="1" applyFill="1" applyBorder="1" applyAlignment="1" applyProtection="1">
      <alignment horizontal="center"/>
      <protection locked="0"/>
    </xf>
    <xf numFmtId="1" fontId="162" fillId="49" borderId="84" xfId="8726" applyNumberFormat="1" applyFont="1" applyFill="1" applyBorder="1" applyAlignment="1" applyProtection="1">
      <alignment horizontal="center"/>
      <protection locked="0"/>
    </xf>
    <xf numFmtId="1" fontId="162" fillId="49" borderId="82" xfId="8726" applyNumberFormat="1" applyFont="1" applyFill="1" applyBorder="1" applyAlignment="1" applyProtection="1">
      <alignment horizontal="center"/>
      <protection locked="0"/>
    </xf>
    <xf numFmtId="1" fontId="162" fillId="49" borderId="83" xfId="8726" applyNumberFormat="1" applyFont="1" applyFill="1" applyBorder="1" applyAlignment="1" applyProtection="1">
      <alignment horizontal="center"/>
      <protection locked="0"/>
    </xf>
    <xf numFmtId="0" fontId="161" fillId="49" borderId="72" xfId="8726" applyFont="1" applyFill="1" applyBorder="1" applyAlignment="1" applyProtection="1">
      <alignment horizontal="right"/>
      <protection locked="0"/>
    </xf>
    <xf numFmtId="0" fontId="161" fillId="49" borderId="73" xfId="8726" applyFont="1" applyFill="1" applyBorder="1" applyAlignment="1" applyProtection="1">
      <alignment horizontal="right"/>
      <protection locked="0"/>
    </xf>
    <xf numFmtId="0" fontId="162" fillId="49" borderId="73"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9" fontId="148" fillId="44" borderId="84" xfId="8728" applyFont="1" applyFill="1" applyBorder="1" applyAlignment="1">
      <alignment horizontal="center"/>
    </xf>
    <xf numFmtId="9" fontId="148" fillId="44" borderId="82" xfId="8728" applyFont="1" applyFill="1" applyBorder="1" applyAlignment="1">
      <alignment horizontal="center"/>
    </xf>
    <xf numFmtId="9" fontId="148" fillId="44" borderId="85" xfId="8728" applyFont="1" applyFill="1" applyBorder="1" applyAlignment="1">
      <alignment horizontal="center"/>
    </xf>
    <xf numFmtId="9" fontId="148" fillId="44" borderId="3" xfId="8728" applyFont="1" applyFill="1" applyBorder="1" applyAlignment="1">
      <alignment horizontal="center"/>
    </xf>
    <xf numFmtId="9" fontId="148" fillId="44" borderId="4" xfId="8728" applyFont="1" applyFill="1" applyBorder="1" applyAlignment="1">
      <alignment horizontal="center"/>
    </xf>
    <xf numFmtId="9" fontId="148" fillId="44" borderId="79" xfId="8728" applyFont="1" applyFill="1" applyBorder="1" applyAlignment="1">
      <alignment horizontal="center"/>
    </xf>
    <xf numFmtId="0" fontId="147" fillId="44" borderId="88" xfId="8726" applyFont="1" applyFill="1" applyBorder="1" applyAlignment="1">
      <alignment horizontal="center"/>
    </xf>
    <xf numFmtId="0" fontId="147" fillId="44" borderId="42" xfId="8726" applyFont="1" applyFill="1" applyBorder="1" applyAlignment="1">
      <alignment horizontal="center"/>
    </xf>
    <xf numFmtId="0" fontId="147" fillId="44" borderId="87" xfId="8726" applyFont="1" applyFill="1" applyBorder="1" applyAlignment="1">
      <alignment horizontal="center"/>
    </xf>
    <xf numFmtId="9" fontId="147" fillId="49" borderId="13" xfId="8726" applyNumberFormat="1" applyFont="1" applyFill="1" applyBorder="1" applyAlignment="1" applyProtection="1">
      <alignment horizontal="center"/>
      <protection locked="0"/>
    </xf>
    <xf numFmtId="0" fontId="144" fillId="45" borderId="67" xfId="8726" applyFont="1" applyFill="1" applyBorder="1" applyAlignment="1">
      <alignment horizontal="center"/>
    </xf>
    <xf numFmtId="0" fontId="144" fillId="45" borderId="68" xfId="8726" applyFont="1" applyFill="1" applyBorder="1" applyAlignment="1">
      <alignment horizontal="center"/>
    </xf>
    <xf numFmtId="0" fontId="144" fillId="45" borderId="69" xfId="8726" applyFont="1" applyFill="1" applyBorder="1" applyAlignment="1">
      <alignment horizontal="center"/>
    </xf>
    <xf numFmtId="0" fontId="148" fillId="45" borderId="65" xfId="8726" applyFont="1" applyFill="1" applyBorder="1" applyAlignment="1">
      <alignment horizontal="center" vertical="center" wrapText="1"/>
    </xf>
    <xf numFmtId="0" fontId="148" fillId="45" borderId="29" xfId="8726" applyFont="1" applyFill="1" applyBorder="1" applyAlignment="1">
      <alignment horizontal="center" vertical="center" wrapText="1"/>
    </xf>
    <xf numFmtId="0" fontId="148" fillId="45" borderId="31" xfId="8726" applyFont="1" applyFill="1" applyBorder="1" applyAlignment="1">
      <alignment horizontal="center" vertical="center" wrapText="1"/>
    </xf>
    <xf numFmtId="0" fontId="148" fillId="45" borderId="86" xfId="8726" applyFont="1" applyFill="1" applyBorder="1" applyAlignment="1">
      <alignment horizontal="center" vertical="center" wrapText="1"/>
    </xf>
    <xf numFmtId="0" fontId="148" fillId="45" borderId="42" xfId="8726" applyFont="1" applyFill="1" applyBorder="1" applyAlignment="1">
      <alignment horizontal="center" vertical="center" wrapText="1"/>
    </xf>
    <xf numFmtId="0" fontId="148" fillId="45" borderId="44" xfId="8726" applyFont="1" applyFill="1" applyBorder="1" applyAlignment="1">
      <alignment horizontal="center" vertical="center" wrapText="1"/>
    </xf>
    <xf numFmtId="0" fontId="148" fillId="45" borderId="67" xfId="8726" applyFont="1" applyFill="1" applyBorder="1" applyAlignment="1">
      <alignment horizontal="center"/>
    </xf>
    <xf numFmtId="0" fontId="148" fillId="45" borderId="68" xfId="8726" applyFont="1" applyFill="1" applyBorder="1" applyAlignment="1">
      <alignment horizontal="center"/>
    </xf>
    <xf numFmtId="0" fontId="148" fillId="45" borderId="69" xfId="8726" applyFont="1" applyFill="1" applyBorder="1" applyAlignment="1">
      <alignment horizontal="center"/>
    </xf>
    <xf numFmtId="9" fontId="147" fillId="44" borderId="88" xfId="1022" applyFont="1" applyFill="1" applyBorder="1" applyAlignment="1">
      <alignment horizontal="center"/>
    </xf>
    <xf numFmtId="9" fontId="147" fillId="44" borderId="42" xfId="1022" applyFont="1" applyFill="1" applyBorder="1" applyAlignment="1">
      <alignment horizontal="center"/>
    </xf>
    <xf numFmtId="9" fontId="147" fillId="44" borderId="44" xfId="1022" applyFont="1" applyFill="1" applyBorder="1" applyAlignment="1">
      <alignment horizontal="center"/>
    </xf>
    <xf numFmtId="0" fontId="148" fillId="45" borderId="95" xfId="8726" applyFont="1" applyFill="1" applyBorder="1" applyAlignment="1">
      <alignment horizontal="center" vertical="center" wrapText="1"/>
    </xf>
    <xf numFmtId="0" fontId="148" fillId="45" borderId="13" xfId="8726" applyFont="1" applyFill="1" applyBorder="1" applyAlignment="1">
      <alignment horizontal="center" vertical="center"/>
    </xf>
    <xf numFmtId="0" fontId="148" fillId="45" borderId="80" xfId="8726" applyFont="1" applyFill="1" applyBorder="1" applyAlignment="1">
      <alignment horizontal="center" vertical="center"/>
    </xf>
    <xf numFmtId="0" fontId="148" fillId="45" borderId="11" xfId="8726" applyFont="1" applyFill="1" applyBorder="1" applyAlignment="1">
      <alignment horizontal="center" vertical="center"/>
    </xf>
    <xf numFmtId="0" fontId="147" fillId="44" borderId="86" xfId="8726" applyFont="1" applyFill="1" applyBorder="1" applyAlignment="1">
      <alignment horizontal="center"/>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9" fontId="148" fillId="49" borderId="9" xfId="8726" applyNumberFormat="1" applyFont="1" applyFill="1" applyBorder="1" applyAlignment="1" applyProtection="1">
      <alignment horizontal="center"/>
      <protection locked="0"/>
    </xf>
    <xf numFmtId="9" fontId="148" fillId="49" borderId="6" xfId="8726" applyNumberFormat="1" applyFont="1" applyFill="1" applyBorder="1" applyAlignment="1" applyProtection="1">
      <alignment horizontal="center"/>
      <protection locked="0"/>
    </xf>
    <xf numFmtId="9" fontId="148" fillId="49" borderId="10" xfId="8726" applyNumberFormat="1" applyFont="1" applyFill="1" applyBorder="1" applyAlignment="1" applyProtection="1">
      <alignment horizontal="center"/>
      <protection locked="0"/>
    </xf>
    <xf numFmtId="0" fontId="148" fillId="44" borderId="9" xfId="8726" applyFont="1" applyFill="1" applyBorder="1" applyAlignment="1">
      <alignment horizontal="center"/>
    </xf>
    <xf numFmtId="0" fontId="148" fillId="44" borderId="6" xfId="8726" applyFont="1" applyFill="1" applyBorder="1" applyAlignment="1">
      <alignment horizontal="center"/>
    </xf>
    <xf numFmtId="0" fontId="148" fillId="44" borderId="10" xfId="8726" applyFont="1" applyFill="1" applyBorder="1" applyAlignment="1">
      <alignment horizontal="center"/>
    </xf>
    <xf numFmtId="0" fontId="148" fillId="44" borderId="103" xfId="8726" applyFont="1" applyFill="1" applyBorder="1" applyAlignment="1">
      <alignment horizontal="center"/>
    </xf>
    <xf numFmtId="9" fontId="161" fillId="49" borderId="92" xfId="8726" applyNumberFormat="1" applyFont="1" applyFill="1" applyBorder="1" applyAlignment="1">
      <alignment horizontal="center"/>
    </xf>
    <xf numFmtId="9" fontId="161" fillId="49" borderId="4" xfId="8726" applyNumberFormat="1" applyFont="1" applyFill="1" applyBorder="1" applyAlignment="1">
      <alignment horizontal="center"/>
    </xf>
    <xf numFmtId="9" fontId="161" fillId="49" borderId="5" xfId="8726" applyNumberFormat="1" applyFont="1" applyFill="1" applyBorder="1" applyAlignment="1">
      <alignment horizontal="center"/>
    </xf>
    <xf numFmtId="0" fontId="161" fillId="44" borderId="3" xfId="8726" applyFont="1" applyFill="1" applyBorder="1" applyAlignment="1">
      <alignment horizontal="center"/>
    </xf>
    <xf numFmtId="0" fontId="161" fillId="44" borderId="4" xfId="8726" applyFont="1" applyFill="1" applyBorder="1" applyAlignment="1">
      <alignment horizontal="center"/>
    </xf>
    <xf numFmtId="0" fontId="161" fillId="44" borderId="5" xfId="8726" applyFont="1" applyFill="1" applyBorder="1" applyAlignment="1">
      <alignment horizontal="center"/>
    </xf>
    <xf numFmtId="9" fontId="147" fillId="44" borderId="3" xfId="8726" applyNumberFormat="1" applyFont="1" applyFill="1" applyBorder="1" applyAlignment="1">
      <alignment horizontal="center"/>
    </xf>
    <xf numFmtId="9" fontId="147" fillId="44" borderId="4" xfId="8726" applyNumberFormat="1" applyFont="1" applyFill="1" applyBorder="1" applyAlignment="1">
      <alignment horizontal="center"/>
    </xf>
    <xf numFmtId="9" fontId="147" fillId="44" borderId="79" xfId="8726" applyNumberFormat="1" applyFont="1" applyFill="1" applyBorder="1" applyAlignment="1">
      <alignment horizontal="center"/>
    </xf>
    <xf numFmtId="0" fontId="147" fillId="44" borderId="81" xfId="8726" applyFont="1" applyFill="1" applyBorder="1" applyAlignment="1">
      <alignment horizontal="center"/>
    </xf>
    <xf numFmtId="0" fontId="147" fillId="44" borderId="82" xfId="8726" applyFont="1" applyFill="1" applyBorder="1" applyAlignment="1">
      <alignment horizontal="center"/>
    </xf>
    <xf numFmtId="0" fontId="147" fillId="44" borderId="83" xfId="8726" applyFont="1" applyFill="1" applyBorder="1" applyAlignment="1">
      <alignment horizontal="center"/>
    </xf>
    <xf numFmtId="0" fontId="161" fillId="44" borderId="84" xfId="8726" applyFont="1" applyFill="1" applyBorder="1" applyAlignment="1">
      <alignment horizontal="center"/>
    </xf>
    <xf numFmtId="0" fontId="161" fillId="44" borderId="82" xfId="8726" applyFont="1" applyFill="1" applyBorder="1" applyAlignment="1">
      <alignment horizontal="center"/>
    </xf>
    <xf numFmtId="0" fontId="161" fillId="44" borderId="83" xfId="8726" applyFont="1" applyFill="1" applyBorder="1" applyAlignment="1">
      <alignment horizontal="center"/>
    </xf>
    <xf numFmtId="9" fontId="147" fillId="44" borderId="84" xfId="8726" applyNumberFormat="1" applyFont="1" applyFill="1" applyBorder="1" applyAlignment="1">
      <alignment horizontal="center"/>
    </xf>
    <xf numFmtId="9" fontId="147" fillId="44" borderId="82" xfId="8726" applyNumberFormat="1" applyFont="1" applyFill="1" applyBorder="1" applyAlignment="1">
      <alignment horizontal="center"/>
    </xf>
    <xf numFmtId="9" fontId="147" fillId="44" borderId="85" xfId="8726" applyNumberFormat="1" applyFont="1" applyFill="1" applyBorder="1" applyAlignment="1">
      <alignment horizontal="center"/>
    </xf>
    <xf numFmtId="0" fontId="147" fillId="45" borderId="13"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11" xfId="8726" applyFont="1" applyFill="1" applyBorder="1" applyAlignment="1">
      <alignment horizontal="center" vertical="center"/>
    </xf>
    <xf numFmtId="0" fontId="147" fillId="45" borderId="9" xfId="8726" applyFont="1" applyFill="1" applyBorder="1" applyAlignment="1">
      <alignment horizontal="center" vertical="center"/>
    </xf>
    <xf numFmtId="0" fontId="147" fillId="45" borderId="3" xfId="8726" applyFont="1" applyFill="1" applyBorder="1" applyAlignment="1">
      <alignment horizontal="center" vertical="center"/>
    </xf>
    <xf numFmtId="0" fontId="147" fillId="45" borderId="78" xfId="8726" applyFont="1" applyFill="1" applyBorder="1" applyAlignment="1">
      <alignment horizontal="center"/>
    </xf>
    <xf numFmtId="0" fontId="147" fillId="45" borderId="2" xfId="8726" applyFont="1" applyFill="1" applyBorder="1" applyAlignment="1">
      <alignment horizontal="center"/>
    </xf>
    <xf numFmtId="0" fontId="147" fillId="45" borderId="7" xfId="8726" applyFont="1" applyFill="1" applyBorder="1" applyAlignment="1">
      <alignment horizontal="center"/>
    </xf>
    <xf numFmtId="0" fontId="147" fillId="45" borderId="3" xfId="8726" applyFont="1" applyFill="1" applyBorder="1" applyAlignment="1">
      <alignment horizontal="center"/>
    </xf>
    <xf numFmtId="0" fontId="147" fillId="45" borderId="4" xfId="8726" applyFont="1" applyFill="1" applyBorder="1" applyAlignment="1">
      <alignment horizontal="center"/>
    </xf>
    <xf numFmtId="0" fontId="147" fillId="45" borderId="5" xfId="8726" applyFont="1" applyFill="1" applyBorder="1" applyAlignment="1">
      <alignment horizontal="center"/>
    </xf>
    <xf numFmtId="0" fontId="147" fillId="45" borderId="79" xfId="8726" applyFont="1" applyFill="1" applyBorder="1" applyAlignment="1">
      <alignment horizontal="center"/>
    </xf>
    <xf numFmtId="168" fontId="163" fillId="44" borderId="11" xfId="8727" applyNumberFormat="1" applyFont="1" applyFill="1" applyBorder="1" applyAlignment="1" applyProtection="1">
      <alignment horizontal="left"/>
    </xf>
    <xf numFmtId="0" fontId="147" fillId="45" borderId="11" xfId="8726" applyFont="1" applyFill="1" applyBorder="1" applyAlignment="1">
      <alignment horizontal="right"/>
    </xf>
    <xf numFmtId="1" fontId="2" fillId="44" borderId="11" xfId="8726" applyNumberFormat="1" applyFill="1" applyBorder="1" applyAlignment="1">
      <alignment horizontal="center"/>
    </xf>
    <xf numFmtId="0" fontId="2" fillId="44" borderId="11" xfId="8726" applyFill="1" applyBorder="1" applyAlignment="1">
      <alignment horizontal="center"/>
    </xf>
    <xf numFmtId="0" fontId="145" fillId="45" borderId="11" xfId="8726" applyFont="1" applyFill="1" applyBorder="1" applyAlignment="1">
      <alignment horizontal="right" wrapText="1"/>
    </xf>
    <xf numFmtId="14" fontId="146" fillId="49" borderId="11" xfId="8726" applyNumberFormat="1" applyFont="1" applyFill="1" applyBorder="1" applyAlignment="1" applyProtection="1">
      <alignment horizontal="center" vertical="center"/>
      <protection locked="0"/>
    </xf>
    <xf numFmtId="0" fontId="146" fillId="49" borderId="11" xfId="8726" applyFont="1" applyFill="1" applyBorder="1" applyAlignment="1" applyProtection="1">
      <alignment horizontal="center" vertical="center"/>
      <protection locked="0"/>
    </xf>
    <xf numFmtId="0" fontId="100" fillId="45" borderId="67" xfId="8726" applyFont="1" applyFill="1" applyBorder="1" applyAlignment="1">
      <alignment horizontal="center"/>
    </xf>
    <xf numFmtId="0" fontId="100" fillId="45" borderId="68" xfId="8726" applyFont="1" applyFill="1" applyBorder="1" applyAlignment="1">
      <alignment horizontal="center"/>
    </xf>
    <xf numFmtId="0" fontId="100" fillId="45" borderId="69" xfId="8726" applyFont="1" applyFill="1" applyBorder="1" applyAlignment="1">
      <alignment horizontal="center"/>
    </xf>
    <xf numFmtId="0" fontId="146" fillId="49" borderId="67" xfId="8726" applyFont="1" applyFill="1" applyBorder="1" applyAlignment="1" applyProtection="1">
      <alignment horizontal="center"/>
      <protection locked="0"/>
    </xf>
    <xf numFmtId="0" fontId="146" fillId="49" borderId="68" xfId="8726" applyFont="1" applyFill="1" applyBorder="1" applyAlignment="1" applyProtection="1">
      <alignment horizontal="center"/>
      <protection locked="0"/>
    </xf>
    <xf numFmtId="0" fontId="146" fillId="49" borderId="69" xfId="8726" applyFont="1" applyFill="1" applyBorder="1" applyAlignment="1" applyProtection="1">
      <alignment horizontal="center"/>
      <protection locked="0"/>
    </xf>
    <xf numFmtId="0" fontId="100" fillId="45" borderId="67" xfId="8726" applyFont="1" applyFill="1" applyBorder="1" applyAlignment="1">
      <alignment horizontal="right"/>
    </xf>
    <xf numFmtId="0" fontId="100" fillId="45" borderId="68" xfId="8726" applyFont="1" applyFill="1" applyBorder="1" applyAlignment="1">
      <alignment horizontal="right"/>
    </xf>
    <xf numFmtId="0" fontId="100" fillId="45" borderId="99" xfId="8726" applyFont="1" applyFill="1" applyBorder="1" applyAlignment="1">
      <alignment horizontal="right"/>
    </xf>
    <xf numFmtId="0" fontId="2" fillId="44" borderId="97" xfId="8726" applyFill="1" applyBorder="1" applyAlignment="1">
      <alignment horizontal="center"/>
    </xf>
    <xf numFmtId="0" fontId="2" fillId="44" borderId="98" xfId="8726" applyFill="1" applyBorder="1" applyAlignment="1">
      <alignment horizontal="center"/>
    </xf>
    <xf numFmtId="1" fontId="146" fillId="49" borderId="11" xfId="8726" applyNumberFormat="1" applyFont="1" applyFill="1" applyBorder="1" applyAlignment="1" applyProtection="1">
      <alignment horizontal="center"/>
      <protection locked="0"/>
    </xf>
    <xf numFmtId="0" fontId="143" fillId="47" borderId="65" xfId="8726" applyFont="1" applyFill="1" applyBorder="1" applyAlignment="1">
      <alignment horizontal="center"/>
    </xf>
    <xf numFmtId="0" fontId="143" fillId="47" borderId="29" xfId="8726" applyFont="1" applyFill="1" applyBorder="1" applyAlignment="1">
      <alignment horizontal="center"/>
    </xf>
    <xf numFmtId="0" fontId="143" fillId="47" borderId="31" xfId="8726" applyFont="1" applyFill="1" applyBorder="1" applyAlignment="1">
      <alignment horizontal="center"/>
    </xf>
    <xf numFmtId="0" fontId="144" fillId="49" borderId="66" xfId="8726" applyFont="1" applyFill="1" applyBorder="1" applyAlignment="1">
      <alignment horizontal="center"/>
    </xf>
    <xf numFmtId="0" fontId="144" fillId="49" borderId="0" xfId="8726" applyFont="1" applyFill="1" applyAlignment="1">
      <alignment horizontal="center"/>
    </xf>
    <xf numFmtId="0" fontId="144" fillId="49" borderId="41" xfId="8726" applyFont="1" applyFill="1" applyBorder="1" applyAlignment="1">
      <alignment horizontal="center"/>
    </xf>
    <xf numFmtId="0" fontId="146" fillId="44" borderId="67" xfId="8726" applyFont="1" applyFill="1" applyBorder="1" applyAlignment="1">
      <alignment horizontal="left"/>
    </xf>
    <xf numFmtId="0" fontId="146" fillId="44" borderId="68" xfId="8726" applyFont="1" applyFill="1" applyBorder="1" applyAlignment="1">
      <alignment horizontal="left"/>
    </xf>
    <xf numFmtId="0" fontId="146" fillId="44" borderId="69" xfId="8726" applyFont="1" applyFill="1" applyBorder="1" applyAlignment="1">
      <alignment horizontal="left"/>
    </xf>
    <xf numFmtId="0" fontId="145" fillId="45" borderId="11" xfId="8726" applyFont="1" applyFill="1" applyBorder="1" applyAlignment="1">
      <alignment horizontal="right"/>
    </xf>
    <xf numFmtId="0" fontId="2" fillId="44" borderId="67" xfId="8726" applyFill="1" applyBorder="1" applyAlignment="1">
      <alignment horizontal="center"/>
    </xf>
    <xf numFmtId="0" fontId="2" fillId="44" borderId="68" xfId="8726" applyFill="1" applyBorder="1" applyAlignment="1">
      <alignment horizontal="center"/>
    </xf>
    <xf numFmtId="0" fontId="2" fillId="44" borderId="69" xfId="8726" applyFill="1" applyBorder="1" applyAlignment="1">
      <alignment horizontal="center"/>
    </xf>
    <xf numFmtId="0" fontId="100" fillId="45" borderId="70" xfId="8726" applyFont="1" applyFill="1" applyBorder="1" applyAlignment="1">
      <alignment horizontal="center" wrapText="1"/>
    </xf>
    <xf numFmtId="0" fontId="100" fillId="45" borderId="71" xfId="8726" applyFont="1" applyFill="1" applyBorder="1" applyAlignment="1">
      <alignment horizontal="center" wrapText="1"/>
    </xf>
    <xf numFmtId="0" fontId="100" fillId="45" borderId="74" xfId="8726" applyFont="1" applyFill="1" applyBorder="1" applyAlignment="1">
      <alignment horizontal="center" wrapText="1"/>
    </xf>
    <xf numFmtId="0" fontId="100" fillId="45" borderId="104" xfId="8726" applyFont="1" applyFill="1" applyBorder="1" applyAlignment="1">
      <alignment horizontal="center"/>
    </xf>
    <xf numFmtId="0" fontId="100" fillId="45" borderId="97" xfId="8726" applyFont="1" applyFill="1" applyBorder="1" applyAlignment="1">
      <alignment horizontal="center"/>
    </xf>
    <xf numFmtId="0" fontId="100" fillId="45" borderId="98" xfId="8726" applyFont="1" applyFill="1" applyBorder="1" applyAlignment="1">
      <alignment horizontal="center"/>
    </xf>
    <xf numFmtId="43" fontId="144" fillId="56" borderId="13" xfId="698" applyFont="1" applyFill="1" applyBorder="1" applyAlignment="1" applyProtection="1">
      <alignment horizontal="center"/>
      <protection hidden="1"/>
    </xf>
    <xf numFmtId="43" fontId="146" fillId="53" borderId="11" xfId="698" applyFont="1" applyFill="1" applyBorder="1" applyAlignment="1" applyProtection="1">
      <alignment horizontal="left" wrapText="1"/>
      <protection hidden="1"/>
    </xf>
    <xf numFmtId="0" fontId="161" fillId="45" borderId="11" xfId="8726" applyFont="1" applyFill="1" applyBorder="1" applyAlignment="1">
      <alignment horizontal="left"/>
    </xf>
    <xf numFmtId="0" fontId="171" fillId="45" borderId="11" xfId="8726" applyFont="1" applyFill="1" applyBorder="1" applyAlignment="1">
      <alignment horizontal="left" wrapText="1"/>
    </xf>
    <xf numFmtId="0" fontId="148" fillId="45" borderId="13" xfId="0" applyFont="1" applyFill="1" applyBorder="1" applyAlignment="1" applyProtection="1">
      <alignment horizontal="left" wrapText="1"/>
      <protection hidden="1"/>
    </xf>
    <xf numFmtId="0" fontId="148" fillId="45" borderId="13" xfId="0" applyFont="1" applyFill="1" applyBorder="1" applyAlignment="1" applyProtection="1">
      <alignment horizontal="center" wrapText="1"/>
      <protection hidden="1"/>
    </xf>
    <xf numFmtId="182" fontId="2" fillId="0" borderId="13" xfId="8726" applyNumberFormat="1" applyBorder="1" applyAlignment="1">
      <alignment horizontal="center"/>
    </xf>
    <xf numFmtId="0" fontId="2" fillId="0" borderId="13" xfId="8726" applyBorder="1" applyAlignment="1">
      <alignment horizontal="center"/>
    </xf>
    <xf numFmtId="44" fontId="2" fillId="0" borderId="11" xfId="700" applyFont="1" applyBorder="1" applyAlignment="1" applyProtection="1">
      <alignment horizontal="center"/>
      <protection hidden="1"/>
    </xf>
    <xf numFmtId="44" fontId="2" fillId="49" borderId="11" xfId="700" applyFont="1" applyFill="1" applyBorder="1" applyAlignment="1" applyProtection="1">
      <alignment horizontal="center"/>
      <protection hidden="1"/>
    </xf>
    <xf numFmtId="168" fontId="146" fillId="49" borderId="11" xfId="8727" applyNumberFormat="1" applyFont="1" applyFill="1" applyBorder="1" applyAlignment="1">
      <alignment horizontal="center"/>
    </xf>
    <xf numFmtId="0" fontId="144" fillId="44" borderId="11" xfId="8726" applyFont="1" applyFill="1" applyBorder="1" applyAlignment="1">
      <alignment horizontal="left"/>
    </xf>
    <xf numFmtId="0" fontId="161" fillId="48" borderId="3" xfId="8726" applyFont="1" applyFill="1" applyBorder="1" applyAlignment="1">
      <alignment horizontal="center"/>
    </xf>
    <xf numFmtId="0" fontId="161" fillId="48" borderId="4" xfId="8726" applyFont="1" applyFill="1" applyBorder="1" applyAlignment="1">
      <alignment horizontal="center"/>
    </xf>
    <xf numFmtId="0" fontId="161" fillId="48" borderId="5" xfId="8726" applyFont="1" applyFill="1" applyBorder="1" applyAlignment="1">
      <alignment horizontal="center"/>
    </xf>
    <xf numFmtId="0" fontId="146" fillId="49" borderId="3" xfId="0" applyFont="1" applyFill="1" applyBorder="1" applyAlignment="1" applyProtection="1">
      <alignment horizontal="center"/>
      <protection locked="0"/>
    </xf>
    <xf numFmtId="0" fontId="146" fillId="49" borderId="4" xfId="0" applyFont="1" applyFill="1" applyBorder="1" applyAlignment="1" applyProtection="1">
      <alignment horizontal="center"/>
      <protection locked="0"/>
    </xf>
    <xf numFmtId="0" fontId="146" fillId="49" borderId="5" xfId="0" applyFont="1" applyFill="1" applyBorder="1" applyAlignment="1" applyProtection="1">
      <alignment horizontal="center"/>
      <protection locked="0"/>
    </xf>
    <xf numFmtId="43" fontId="144" fillId="53" borderId="80" xfId="698" applyFont="1" applyFill="1" applyBorder="1" applyAlignment="1" applyProtection="1">
      <alignment horizontal="right"/>
      <protection hidden="1"/>
    </xf>
    <xf numFmtId="43" fontId="144" fillId="53" borderId="11" xfId="698" applyFont="1" applyFill="1" applyBorder="1" applyAlignment="1" applyProtection="1">
      <alignment horizontal="right"/>
      <protection hidden="1"/>
    </xf>
    <xf numFmtId="44" fontId="144" fillId="0" borderId="11" xfId="700" applyFont="1" applyBorder="1" applyAlignment="1" applyProtection="1">
      <alignment horizontal="center"/>
      <protection hidden="1"/>
    </xf>
    <xf numFmtId="164" fontId="144" fillId="0" borderId="11" xfId="700" applyNumberFormat="1" applyFont="1" applyBorder="1" applyAlignment="1" applyProtection="1">
      <alignment horizontal="center"/>
      <protection hidden="1"/>
    </xf>
    <xf numFmtId="9" fontId="144" fillId="0" borderId="11" xfId="1022" applyFont="1" applyBorder="1" applyAlignment="1" applyProtection="1">
      <alignment horizontal="center"/>
      <protection hidden="1"/>
    </xf>
    <xf numFmtId="168" fontId="14" fillId="2" borderId="3" xfId="569" applyNumberFormat="1" applyFill="1" applyBorder="1" applyAlignment="1">
      <alignment horizontal="center"/>
    </xf>
    <xf numFmtId="168" fontId="14" fillId="2" borderId="4" xfId="569" applyNumberFormat="1" applyFill="1" applyBorder="1" applyAlignment="1">
      <alignment horizontal="center"/>
    </xf>
    <xf numFmtId="168" fontId="14" fillId="2" borderId="5" xfId="569" applyNumberFormat="1" applyFill="1" applyBorder="1" applyAlignment="1">
      <alignment horizontal="center"/>
    </xf>
    <xf numFmtId="168" fontId="14" fillId="5" borderId="5" xfId="569" applyNumberFormat="1" applyFill="1" applyBorder="1" applyAlignment="1" applyProtection="1">
      <alignment horizontal="center"/>
      <protection locked="0"/>
    </xf>
    <xf numFmtId="168" fontId="14" fillId="5" borderId="11" xfId="569" applyNumberFormat="1" applyFill="1" applyBorder="1" applyAlignment="1" applyProtection="1">
      <alignment horizontal="center"/>
      <protection locked="0"/>
    </xf>
    <xf numFmtId="168" fontId="14" fillId="0" borderId="5" xfId="569" applyNumberFormat="1" applyBorder="1" applyAlignment="1">
      <alignment horizontal="center"/>
    </xf>
    <xf numFmtId="168" fontId="14" fillId="0" borderId="11" xfId="569" applyNumberFormat="1" applyBorder="1" applyAlignment="1">
      <alignment horizontal="center"/>
    </xf>
    <xf numFmtId="168" fontId="14" fillId="0" borderId="3" xfId="569" applyNumberFormat="1" applyBorder="1" applyAlignment="1">
      <alignment horizontal="center"/>
    </xf>
    <xf numFmtId="168" fontId="14" fillId="0" borderId="4" xfId="569" applyNumberFormat="1" applyBorder="1" applyAlignment="1">
      <alignment horizontal="center"/>
    </xf>
    <xf numFmtId="179" fontId="21" fillId="0" borderId="0" xfId="569" applyNumberFormat="1" applyFont="1" applyAlignment="1">
      <alignment horizontal="center" wrapText="1"/>
    </xf>
    <xf numFmtId="0" fontId="21" fillId="0" borderId="16" xfId="271" applyFont="1" applyBorder="1" applyAlignment="1">
      <alignment horizontal="center"/>
    </xf>
    <xf numFmtId="164" fontId="21" fillId="0" borderId="0" xfId="569" applyNumberFormat="1" applyFont="1" applyAlignment="1">
      <alignment horizontal="center" wrapText="1"/>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51" fillId="0" borderId="0" xfId="569" applyFont="1" applyAlignment="1">
      <alignment horizontal="left"/>
    </xf>
    <xf numFmtId="0" fontId="14" fillId="0" borderId="3" xfId="569" applyBorder="1" applyAlignment="1">
      <alignment horizontal="right"/>
    </xf>
    <xf numFmtId="0" fontId="14" fillId="0" borderId="4" xfId="569" applyBorder="1" applyAlignment="1">
      <alignment horizontal="right"/>
    </xf>
    <xf numFmtId="0" fontId="14" fillId="0" borderId="5" xfId="569" applyBorder="1" applyAlignment="1">
      <alignment horizontal="right"/>
    </xf>
    <xf numFmtId="0" fontId="22" fillId="0" borderId="3" xfId="569" applyFont="1" applyBorder="1" applyAlignment="1">
      <alignment horizontal="right"/>
    </xf>
    <xf numFmtId="0" fontId="22" fillId="0" borderId="4" xfId="569" applyFont="1" applyBorder="1" applyAlignment="1">
      <alignment horizontal="right"/>
    </xf>
    <xf numFmtId="0" fontId="22" fillId="0" borderId="5" xfId="569" applyFont="1" applyBorder="1" applyAlignment="1">
      <alignment horizontal="right"/>
    </xf>
    <xf numFmtId="168" fontId="14" fillId="0" borderId="3" xfId="569" applyNumberFormat="1" applyBorder="1" applyAlignment="1">
      <alignment horizontal="right"/>
    </xf>
    <xf numFmtId="168" fontId="14" fillId="0" borderId="4" xfId="569" applyNumberFormat="1" applyBorder="1" applyAlignment="1">
      <alignment horizontal="right"/>
    </xf>
    <xf numFmtId="168" fontId="14" fillId="0" borderId="5" xfId="569" applyNumberFormat="1" applyBorder="1" applyAlignment="1">
      <alignment horizontal="right"/>
    </xf>
    <xf numFmtId="9" fontId="14" fillId="0" borderId="5" xfId="569" applyNumberFormat="1" applyBorder="1" applyAlignment="1">
      <alignment horizontal="center"/>
    </xf>
    <xf numFmtId="9" fontId="14" fillId="0" borderId="11" xfId="569" applyNumberFormat="1" applyBorder="1" applyAlignment="1">
      <alignment horizontal="center"/>
    </xf>
    <xf numFmtId="0" fontId="21" fillId="0" borderId="3" xfId="569" applyFont="1" applyBorder="1" applyAlignment="1">
      <alignment horizontal="left"/>
    </xf>
    <xf numFmtId="0" fontId="21" fillId="0" borderId="5" xfId="569" applyFont="1" applyBorder="1" applyAlignment="1">
      <alignment horizontal="left"/>
    </xf>
    <xf numFmtId="0" fontId="22" fillId="0" borderId="4" xfId="569" applyFont="1" applyBorder="1" applyAlignment="1">
      <alignment horizontal="left"/>
    </xf>
    <xf numFmtId="0" fontId="22" fillId="0" borderId="5" xfId="569" applyFont="1" applyBorder="1" applyAlignment="1">
      <alignment horizontal="left"/>
    </xf>
    <xf numFmtId="0" fontId="20" fillId="3" borderId="2" xfId="569" applyFont="1" applyFill="1" applyBorder="1" applyAlignment="1">
      <alignment horizontal="center" vertical="center"/>
    </xf>
    <xf numFmtId="0" fontId="20" fillId="3" borderId="16" xfId="569" applyFont="1" applyFill="1" applyBorder="1" applyAlignment="1">
      <alignment horizontal="center" vertical="center"/>
    </xf>
    <xf numFmtId="0" fontId="21" fillId="0" borderId="11" xfId="569" applyFont="1" applyBorder="1" applyAlignment="1">
      <alignment horizontal="center" wrapText="1"/>
    </xf>
    <xf numFmtId="168" fontId="14" fillId="0" borderId="7" xfId="569" applyNumberFormat="1" applyBorder="1" applyAlignment="1">
      <alignment horizontal="center"/>
    </xf>
    <xf numFmtId="168" fontId="14" fillId="0" borderId="15" xfId="569" applyNumberFormat="1" applyBorder="1" applyAlignment="1">
      <alignment horizontal="center"/>
    </xf>
    <xf numFmtId="168" fontId="14" fillId="5" borderId="10" xfId="569" applyNumberFormat="1" applyFill="1" applyBorder="1" applyAlignment="1" applyProtection="1">
      <alignment horizontal="center"/>
      <protection locked="0"/>
    </xf>
    <xf numFmtId="168" fontId="14" fillId="5" borderId="13" xfId="569" applyNumberFormat="1" applyFill="1" applyBorder="1" applyAlignment="1" applyProtection="1">
      <alignment horizontal="center"/>
      <protection locked="0"/>
    </xf>
    <xf numFmtId="5" fontId="14" fillId="0" borderId="5" xfId="569" applyNumberFormat="1" applyBorder="1" applyAlignment="1">
      <alignment horizontal="center"/>
    </xf>
    <xf numFmtId="5" fontId="14" fillId="0" borderId="11" xfId="569" applyNumberFormat="1" applyBorder="1" applyAlignment="1">
      <alignment horizontal="center"/>
    </xf>
    <xf numFmtId="5" fontId="14" fillId="0" borderId="3" xfId="569" applyNumberFormat="1" applyBorder="1" applyAlignment="1">
      <alignment horizontal="center"/>
    </xf>
    <xf numFmtId="5" fontId="14" fillId="0" borderId="4" xfId="569" applyNumberFormat="1" applyBorder="1" applyAlignment="1">
      <alignment horizontal="center"/>
    </xf>
    <xf numFmtId="9" fontId="14" fillId="0" borderId="9" xfId="569" applyNumberFormat="1" applyBorder="1" applyAlignment="1">
      <alignment horizontal="center" vertical="center"/>
    </xf>
    <xf numFmtId="9" fontId="14" fillId="0" borderId="6" xfId="569" applyNumberFormat="1" applyBorder="1" applyAlignment="1">
      <alignment horizontal="center" vertical="center"/>
    </xf>
    <xf numFmtId="9" fontId="14" fillId="0" borderId="10" xfId="569" applyNumberFormat="1" applyBorder="1" applyAlignment="1">
      <alignment horizontal="center" vertical="center"/>
    </xf>
    <xf numFmtId="168" fontId="14" fillId="0" borderId="11" xfId="569" applyNumberFormat="1" applyBorder="1" applyAlignment="1">
      <alignment horizontal="right"/>
    </xf>
    <xf numFmtId="0" fontId="21" fillId="0" borderId="6" xfId="569" applyFont="1" applyBorder="1" applyAlignment="1">
      <alignment horizontal="center"/>
    </xf>
    <xf numFmtId="0" fontId="14" fillId="0" borderId="4" xfId="569" applyBorder="1" applyAlignment="1">
      <alignment horizontal="center"/>
    </xf>
    <xf numFmtId="0" fontId="14" fillId="0" borderId="5" xfId="569" applyBorder="1" applyAlignment="1">
      <alignment horizontal="center"/>
    </xf>
    <xf numFmtId="176" fontId="14" fillId="5" borderId="3" xfId="569" applyNumberFormat="1" applyFill="1" applyBorder="1" applyAlignment="1" applyProtection="1">
      <alignment horizontal="right"/>
      <protection locked="0"/>
    </xf>
    <xf numFmtId="176" fontId="14" fillId="5" borderId="4" xfId="569" applyNumberFormat="1" applyFill="1" applyBorder="1" applyAlignment="1" applyProtection="1">
      <alignment horizontal="right"/>
      <protection locked="0"/>
    </xf>
    <xf numFmtId="176" fontId="14" fillId="5" borderId="5" xfId="569" applyNumberFormat="1" applyFill="1" applyBorder="1" applyAlignment="1" applyProtection="1">
      <alignment horizontal="right"/>
      <protection locked="0"/>
    </xf>
    <xf numFmtId="0" fontId="105" fillId="0" borderId="0" xfId="569" applyFont="1" applyAlignment="1">
      <alignment horizontal="left" wrapText="1"/>
    </xf>
    <xf numFmtId="168" fontId="14" fillId="0" borderId="3" xfId="569" applyNumberFormat="1" applyBorder="1" applyAlignment="1" applyProtection="1">
      <alignment horizontal="right"/>
      <protection locked="0"/>
    </xf>
    <xf numFmtId="168" fontId="14" fillId="0" borderId="4" xfId="569" applyNumberFormat="1" applyBorder="1" applyAlignment="1" applyProtection="1">
      <alignment horizontal="right"/>
      <protection locked="0"/>
    </xf>
    <xf numFmtId="168" fontId="14" fillId="0" borderId="5" xfId="569" applyNumberFormat="1" applyBorder="1" applyAlignment="1" applyProtection="1">
      <alignment horizontal="right"/>
      <protection locked="0"/>
    </xf>
    <xf numFmtId="0" fontId="21" fillId="0" borderId="11" xfId="569" applyFont="1" applyBorder="1" applyAlignment="1">
      <alignment horizontal="center"/>
    </xf>
    <xf numFmtId="165" fontId="14" fillId="0" borderId="11" xfId="569" applyNumberFormat="1" applyBorder="1" applyAlignment="1" applyProtection="1">
      <alignment horizontal="center"/>
      <protection locked="0"/>
    </xf>
    <xf numFmtId="168" fontId="14" fillId="0" borderId="11" xfId="569" applyNumberFormat="1" applyBorder="1"/>
    <xf numFmtId="168" fontId="14" fillId="0" borderId="3" xfId="569" applyNumberFormat="1" applyBorder="1"/>
    <xf numFmtId="168" fontId="14" fillId="0" borderId="4" xfId="569" applyNumberFormat="1" applyBorder="1"/>
    <xf numFmtId="168" fontId="14" fillId="0" borderId="5" xfId="569" applyNumberFormat="1" applyBorder="1"/>
    <xf numFmtId="168" fontId="14" fillId="0" borderId="11" xfId="569" applyNumberFormat="1" applyBorder="1" applyAlignment="1">
      <alignment wrapText="1"/>
    </xf>
    <xf numFmtId="9" fontId="14" fillId="0" borderId="15" xfId="569" applyNumberFormat="1" applyBorder="1" applyAlignment="1">
      <alignment horizontal="center"/>
    </xf>
    <xf numFmtId="0" fontId="14" fillId="0" borderId="11" xfId="569" applyBorder="1" applyAlignment="1">
      <alignment horizontal="center"/>
    </xf>
    <xf numFmtId="0" fontId="105" fillId="0" borderId="0" xfId="0" applyFont="1" applyAlignment="1">
      <alignment horizontal="left" vertical="top" wrapText="1"/>
    </xf>
    <xf numFmtId="0" fontId="19" fillId="0" borderId="6" xfId="271" applyFont="1" applyBorder="1" applyAlignment="1">
      <alignment horizontal="center"/>
    </xf>
    <xf numFmtId="3" fontId="14" fillId="0" borderId="0" xfId="0" applyNumberFormat="1" applyFont="1" applyAlignment="1">
      <alignment horizontal="left" vertical="top" wrapText="1"/>
    </xf>
    <xf numFmtId="3" fontId="23" fillId="0" borderId="0" xfId="0" applyNumberFormat="1" applyFont="1" applyAlignment="1">
      <alignment horizontal="left" vertical="top" wrapText="1"/>
    </xf>
    <xf numFmtId="0" fontId="14" fillId="43" borderId="0" xfId="0" applyFont="1" applyFill="1" applyAlignment="1">
      <alignment horizontal="left"/>
    </xf>
  </cellXfs>
  <cellStyles count="17167">
    <cellStyle name="20% - Accent1" xfId="1" builtinId="30" customBuiltin="1"/>
    <cellStyle name="20% - Accent1 10" xfId="4505" xr:uid="{00000000-0005-0000-0000-000001000000}"/>
    <cellStyle name="20% - Accent1 10 2" xfId="12947" xr:uid="{D5FD6D3E-8530-45B6-9092-BDF474D11D70}"/>
    <cellStyle name="20% - Accent1 11" xfId="8729" xr:uid="{6619F167-2648-4A4A-B355-4DD59B4D5EE0}"/>
    <cellStyle name="20% - Accent1 2" xfId="2" xr:uid="{00000000-0005-0000-0000-000002000000}"/>
    <cellStyle name="20% - Accent1 2 10" xfId="8730" xr:uid="{26D64796-A4C9-4F1E-90E0-73A138A5FF8E}"/>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2 2 2" xfId="15509" xr:uid="{E90EE3D8-87DD-4FEC-94F7-6ED15E935AFC}"/>
    <cellStyle name="20% - Accent1 2 2 2 2 2 3" xfId="11291" xr:uid="{E4BCBBC3-326F-4C8E-8BE5-7DA1B9189CEC}"/>
    <cellStyle name="20% - Accent1 2 2 2 2 3" xfId="4922" xr:uid="{00000000-0005-0000-0000-000008000000}"/>
    <cellStyle name="20% - Accent1 2 2 2 2 3 2" xfId="13364" xr:uid="{1742CA8D-4E1B-48C4-8CFB-98869E859FA5}"/>
    <cellStyle name="20% - Accent1 2 2 2 2 4" xfId="9146" xr:uid="{A050EFAB-BFBB-4BCA-AACF-26264A885FBC}"/>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2 2 2" xfId="15922" xr:uid="{36E84733-E7B1-4B8F-9718-C7F1C19EFAFA}"/>
    <cellStyle name="20% - Accent1 2 2 2 3 2 3" xfId="11704" xr:uid="{38ACAA05-9978-4F8B-97C2-AE9B88974902}"/>
    <cellStyle name="20% - Accent1 2 2 2 3 3" xfId="5335" xr:uid="{00000000-0005-0000-0000-00000C000000}"/>
    <cellStyle name="20% - Accent1 2 2 2 3 3 2" xfId="13777" xr:uid="{D479A9BA-1051-422D-8A5D-BA1D4037B981}"/>
    <cellStyle name="20% - Accent1 2 2 2 3 4" xfId="9559" xr:uid="{454645EF-0C4D-4FA1-B1F0-76E9D7CE6A96}"/>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2 2 2" xfId="16335" xr:uid="{ACD70376-D8E0-4CF1-93AB-B79CB94750A4}"/>
    <cellStyle name="20% - Accent1 2 2 2 4 2 3" xfId="12117" xr:uid="{521FDA30-B8A0-4AD6-A78B-9F839579EDD3}"/>
    <cellStyle name="20% - Accent1 2 2 2 4 3" xfId="5748" xr:uid="{00000000-0005-0000-0000-000010000000}"/>
    <cellStyle name="20% - Accent1 2 2 2 4 3 2" xfId="14190" xr:uid="{E0920B0F-A786-4D77-AB89-65D49609373B}"/>
    <cellStyle name="20% - Accent1 2 2 2 4 4" xfId="9972" xr:uid="{BB2E3D18-6305-407D-A195-272C9701D467}"/>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2 2 2" xfId="16748" xr:uid="{DD1B0D21-96CE-4483-9881-DA41B8698FB2}"/>
    <cellStyle name="20% - Accent1 2 2 2 5 2 3" xfId="12530" xr:uid="{6A6C3765-A733-4E89-89B5-14F88B721A80}"/>
    <cellStyle name="20% - Accent1 2 2 2 5 3" xfId="6161" xr:uid="{00000000-0005-0000-0000-000014000000}"/>
    <cellStyle name="20% - Accent1 2 2 2 5 3 2" xfId="14603" xr:uid="{872E7D41-DDF4-41F2-BC8B-1833D61DD16F}"/>
    <cellStyle name="20% - Accent1 2 2 2 5 4" xfId="10385" xr:uid="{A7CB4087-4324-40A5-8AD7-E5FF5978406E}"/>
    <cellStyle name="20% - Accent1 2 2 2 6" xfId="2267" xr:uid="{00000000-0005-0000-0000-000015000000}"/>
    <cellStyle name="20% - Accent1 2 2 2 6 2" xfId="6574" xr:uid="{00000000-0005-0000-0000-000016000000}"/>
    <cellStyle name="20% - Accent1 2 2 2 6 2 2" xfId="15016" xr:uid="{C446D315-77E9-45C0-953B-9932FB3247E2}"/>
    <cellStyle name="20% - Accent1 2 2 2 6 3" xfId="10798" xr:uid="{DB292FF9-29D4-429A-9A62-24D5A8192F12}"/>
    <cellStyle name="20% - Accent1 2 2 2 7" xfId="4508" xr:uid="{00000000-0005-0000-0000-000017000000}"/>
    <cellStyle name="20% - Accent1 2 2 2 7 2" xfId="12950" xr:uid="{CF96E137-D9F9-4290-A270-F6E467409DA4}"/>
    <cellStyle name="20% - Accent1 2 2 2 8" xfId="8732" xr:uid="{F96C0EE4-A305-44D5-A4D3-A4554067D1B1}"/>
    <cellStyle name="20% - Accent1 2 2 3" xfId="572" xr:uid="{00000000-0005-0000-0000-000018000000}"/>
    <cellStyle name="20% - Accent1 2 2 3 2" xfId="2843" xr:uid="{00000000-0005-0000-0000-000019000000}"/>
    <cellStyle name="20% - Accent1 2 2 3 2 2" xfId="7066" xr:uid="{00000000-0005-0000-0000-00001A000000}"/>
    <cellStyle name="20% - Accent1 2 2 3 2 2 2" xfId="15508" xr:uid="{BA9FAA54-6621-4FD9-8C03-0405CEEF08B8}"/>
    <cellStyle name="20% - Accent1 2 2 3 2 3" xfId="11290" xr:uid="{CFFC1D98-9A2C-4AA1-9A39-17C3106C9D46}"/>
    <cellStyle name="20% - Accent1 2 2 3 3" xfId="4921" xr:uid="{00000000-0005-0000-0000-00001B000000}"/>
    <cellStyle name="20% - Accent1 2 2 3 3 2" xfId="13363" xr:uid="{6A57788D-FBCB-43E0-9219-D07B8526E865}"/>
    <cellStyle name="20% - Accent1 2 2 3 4" xfId="9145" xr:uid="{B3690033-9A3D-4DE7-A699-A0F353E08D07}"/>
    <cellStyle name="20% - Accent1 2 2 4" xfId="1025" xr:uid="{00000000-0005-0000-0000-00001C000000}"/>
    <cellStyle name="20% - Accent1 2 2 4 2" xfId="3256" xr:uid="{00000000-0005-0000-0000-00001D000000}"/>
    <cellStyle name="20% - Accent1 2 2 4 2 2" xfId="7479" xr:uid="{00000000-0005-0000-0000-00001E000000}"/>
    <cellStyle name="20% - Accent1 2 2 4 2 2 2" xfId="15921" xr:uid="{FB0E9CF8-9019-4EFC-8A17-A8E80222A43F}"/>
    <cellStyle name="20% - Accent1 2 2 4 2 3" xfId="11703" xr:uid="{1451FB79-1F58-4958-983D-9EBD111CACA5}"/>
    <cellStyle name="20% - Accent1 2 2 4 3" xfId="5334" xr:uid="{00000000-0005-0000-0000-00001F000000}"/>
    <cellStyle name="20% - Accent1 2 2 4 3 2" xfId="13776" xr:uid="{7C8F286F-9575-4CC0-8D67-903E1488BCFB}"/>
    <cellStyle name="20% - Accent1 2 2 4 4" xfId="9558" xr:uid="{44A0D834-F161-4838-8993-BAE1A62F642C}"/>
    <cellStyle name="20% - Accent1 2 2 5" xfId="1439" xr:uid="{00000000-0005-0000-0000-000020000000}"/>
    <cellStyle name="20% - Accent1 2 2 5 2" xfId="3669" xr:uid="{00000000-0005-0000-0000-000021000000}"/>
    <cellStyle name="20% - Accent1 2 2 5 2 2" xfId="7892" xr:uid="{00000000-0005-0000-0000-000022000000}"/>
    <cellStyle name="20% - Accent1 2 2 5 2 2 2" xfId="16334" xr:uid="{37505A38-511D-4235-B545-42837EA5FF2C}"/>
    <cellStyle name="20% - Accent1 2 2 5 2 3" xfId="12116" xr:uid="{614AA9C3-2D98-419B-A932-91B8D8B57D0F}"/>
    <cellStyle name="20% - Accent1 2 2 5 3" xfId="5747" xr:uid="{00000000-0005-0000-0000-000023000000}"/>
    <cellStyle name="20% - Accent1 2 2 5 3 2" xfId="14189" xr:uid="{3D28A58F-AE19-46BE-B2E0-AE4AB57135B3}"/>
    <cellStyle name="20% - Accent1 2 2 5 4" xfId="9971" xr:uid="{7A78B876-2E19-4A61-9A55-5464A690C877}"/>
    <cellStyle name="20% - Accent1 2 2 6" xfId="1853" xr:uid="{00000000-0005-0000-0000-000024000000}"/>
    <cellStyle name="20% - Accent1 2 2 6 2" xfId="4082" xr:uid="{00000000-0005-0000-0000-000025000000}"/>
    <cellStyle name="20% - Accent1 2 2 6 2 2" xfId="8305" xr:uid="{00000000-0005-0000-0000-000026000000}"/>
    <cellStyle name="20% - Accent1 2 2 6 2 2 2" xfId="16747" xr:uid="{3A6C068B-9D19-4B40-90D2-A58A9F4EE7BF}"/>
    <cellStyle name="20% - Accent1 2 2 6 2 3" xfId="12529" xr:uid="{B9A2D6ED-7FB0-458B-A5AC-352A7628C7CD}"/>
    <cellStyle name="20% - Accent1 2 2 6 3" xfId="6160" xr:uid="{00000000-0005-0000-0000-000027000000}"/>
    <cellStyle name="20% - Accent1 2 2 6 3 2" xfId="14602" xr:uid="{4DA63FA8-C53A-4058-9F0A-FB0F3299892D}"/>
    <cellStyle name="20% - Accent1 2 2 6 4" xfId="10384" xr:uid="{02F72EF0-A276-4450-BD17-6C04241DF08A}"/>
    <cellStyle name="20% - Accent1 2 2 7" xfId="2266" xr:uid="{00000000-0005-0000-0000-000028000000}"/>
    <cellStyle name="20% - Accent1 2 2 7 2" xfId="6573" xr:uid="{00000000-0005-0000-0000-000029000000}"/>
    <cellStyle name="20% - Accent1 2 2 7 2 2" xfId="15015" xr:uid="{0F899DB3-D465-46DD-972D-40E7115EC034}"/>
    <cellStyle name="20% - Accent1 2 2 7 3" xfId="10797" xr:uid="{C49AAC34-5677-4703-A98D-83CE9FED72D8}"/>
    <cellStyle name="20% - Accent1 2 2 8" xfId="4507" xr:uid="{00000000-0005-0000-0000-00002A000000}"/>
    <cellStyle name="20% - Accent1 2 2 8 2" xfId="12949" xr:uid="{44C46E15-95EB-4C2A-85C0-C8FEBB861CE7}"/>
    <cellStyle name="20% - Accent1 2 2 9" xfId="8731" xr:uid="{51982332-6627-48A7-989B-0F786C06A127}"/>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2 2 2" xfId="15510" xr:uid="{D9D74FD7-0CCD-4A88-83C0-969FBE1B78B2}"/>
    <cellStyle name="20% - Accent1 2 3 2 2 3" xfId="11292" xr:uid="{8EF46C4F-FECE-404F-9C46-0AF471D5E959}"/>
    <cellStyle name="20% - Accent1 2 3 2 3" xfId="4923" xr:uid="{00000000-0005-0000-0000-00002F000000}"/>
    <cellStyle name="20% - Accent1 2 3 2 3 2" xfId="13365" xr:uid="{A9E284BE-8D8C-4207-BB11-0D4747677FFD}"/>
    <cellStyle name="20% - Accent1 2 3 2 4" xfId="9147" xr:uid="{47271E68-5780-45AF-835E-F4EE7A4C5E2C}"/>
    <cellStyle name="20% - Accent1 2 3 3" xfId="1027" xr:uid="{00000000-0005-0000-0000-000030000000}"/>
    <cellStyle name="20% - Accent1 2 3 3 2" xfId="3258" xr:uid="{00000000-0005-0000-0000-000031000000}"/>
    <cellStyle name="20% - Accent1 2 3 3 2 2" xfId="7481" xr:uid="{00000000-0005-0000-0000-000032000000}"/>
    <cellStyle name="20% - Accent1 2 3 3 2 2 2" xfId="15923" xr:uid="{B0AA02D2-3727-45F9-9195-51D08A0D4A3A}"/>
    <cellStyle name="20% - Accent1 2 3 3 2 3" xfId="11705" xr:uid="{FCFC1FCB-4D29-43EF-8D7B-F59335743B73}"/>
    <cellStyle name="20% - Accent1 2 3 3 3" xfId="5336" xr:uid="{00000000-0005-0000-0000-000033000000}"/>
    <cellStyle name="20% - Accent1 2 3 3 3 2" xfId="13778" xr:uid="{C226AA0E-A968-42A5-8F78-DCF8B85C649D}"/>
    <cellStyle name="20% - Accent1 2 3 3 4" xfId="9560" xr:uid="{9A3B5A01-2BDB-4867-AF0F-5FA78A4079AB}"/>
    <cellStyle name="20% - Accent1 2 3 4" xfId="1441" xr:uid="{00000000-0005-0000-0000-000034000000}"/>
    <cellStyle name="20% - Accent1 2 3 4 2" xfId="3671" xr:uid="{00000000-0005-0000-0000-000035000000}"/>
    <cellStyle name="20% - Accent1 2 3 4 2 2" xfId="7894" xr:uid="{00000000-0005-0000-0000-000036000000}"/>
    <cellStyle name="20% - Accent1 2 3 4 2 2 2" xfId="16336" xr:uid="{5BAA2286-4779-4B39-9F72-F5DF70667324}"/>
    <cellStyle name="20% - Accent1 2 3 4 2 3" xfId="12118" xr:uid="{B85947DB-67A3-4C2A-9293-C222F402F82E}"/>
    <cellStyle name="20% - Accent1 2 3 4 3" xfId="5749" xr:uid="{00000000-0005-0000-0000-000037000000}"/>
    <cellStyle name="20% - Accent1 2 3 4 3 2" xfId="14191" xr:uid="{5413A765-2618-472E-8C3F-2F42CE976334}"/>
    <cellStyle name="20% - Accent1 2 3 4 4" xfId="9973" xr:uid="{98179E01-6A72-46B4-8327-4AAED1AFCE8A}"/>
    <cellStyle name="20% - Accent1 2 3 5" xfId="1855" xr:uid="{00000000-0005-0000-0000-000038000000}"/>
    <cellStyle name="20% - Accent1 2 3 5 2" xfId="4084" xr:uid="{00000000-0005-0000-0000-000039000000}"/>
    <cellStyle name="20% - Accent1 2 3 5 2 2" xfId="8307" xr:uid="{00000000-0005-0000-0000-00003A000000}"/>
    <cellStyle name="20% - Accent1 2 3 5 2 2 2" xfId="16749" xr:uid="{F2D4ACC4-3EF8-41EF-9E1A-BA2BCC6056D4}"/>
    <cellStyle name="20% - Accent1 2 3 5 2 3" xfId="12531" xr:uid="{6E68183D-67EF-4310-AD2B-3A4BA289345A}"/>
    <cellStyle name="20% - Accent1 2 3 5 3" xfId="6162" xr:uid="{00000000-0005-0000-0000-00003B000000}"/>
    <cellStyle name="20% - Accent1 2 3 5 3 2" xfId="14604" xr:uid="{BF51A0AC-3BEA-48A5-89EF-B802F2297F57}"/>
    <cellStyle name="20% - Accent1 2 3 5 4" xfId="10386" xr:uid="{4E159200-033A-4CCF-8FB6-8E0941C9C6A7}"/>
    <cellStyle name="20% - Accent1 2 3 6" xfId="2268" xr:uid="{00000000-0005-0000-0000-00003C000000}"/>
    <cellStyle name="20% - Accent1 2 3 6 2" xfId="6575" xr:uid="{00000000-0005-0000-0000-00003D000000}"/>
    <cellStyle name="20% - Accent1 2 3 6 2 2" xfId="15017" xr:uid="{8C9FF121-5FA1-4306-90AC-8148B69B34B0}"/>
    <cellStyle name="20% - Accent1 2 3 6 3" xfId="10799" xr:uid="{2DBDD1BA-5E69-4D8A-B4C8-A5B834B3F8B9}"/>
    <cellStyle name="20% - Accent1 2 3 7" xfId="4509" xr:uid="{00000000-0005-0000-0000-00003E000000}"/>
    <cellStyle name="20% - Accent1 2 3 7 2" xfId="12951" xr:uid="{B9660BCD-1BED-4C73-B2BE-59DFED4EC43A}"/>
    <cellStyle name="20% - Accent1 2 3 8" xfId="8733" xr:uid="{B095AA85-E3B7-49DD-85B6-363099DC73AB}"/>
    <cellStyle name="20% - Accent1 2 4" xfId="571" xr:uid="{00000000-0005-0000-0000-00003F000000}"/>
    <cellStyle name="20% - Accent1 2 4 2" xfId="2842" xr:uid="{00000000-0005-0000-0000-000040000000}"/>
    <cellStyle name="20% - Accent1 2 4 2 2" xfId="7065" xr:uid="{00000000-0005-0000-0000-000041000000}"/>
    <cellStyle name="20% - Accent1 2 4 2 2 2" xfId="15507" xr:uid="{AA4839AE-56AB-453C-A39A-5B74933E7C5A}"/>
    <cellStyle name="20% - Accent1 2 4 2 3" xfId="11289" xr:uid="{53E4B746-8BDF-4255-A3FB-CF8DB5188933}"/>
    <cellStyle name="20% - Accent1 2 4 3" xfId="4920" xr:uid="{00000000-0005-0000-0000-000042000000}"/>
    <cellStyle name="20% - Accent1 2 4 3 2" xfId="13362" xr:uid="{AE34AED2-D5D5-4EE6-8557-A26822FA26CD}"/>
    <cellStyle name="20% - Accent1 2 4 4" xfId="9144" xr:uid="{8014D1DE-4BBE-4EB7-A990-70D376145278}"/>
    <cellStyle name="20% - Accent1 2 5" xfId="1024" xr:uid="{00000000-0005-0000-0000-000043000000}"/>
    <cellStyle name="20% - Accent1 2 5 2" xfId="3255" xr:uid="{00000000-0005-0000-0000-000044000000}"/>
    <cellStyle name="20% - Accent1 2 5 2 2" xfId="7478" xr:uid="{00000000-0005-0000-0000-000045000000}"/>
    <cellStyle name="20% - Accent1 2 5 2 2 2" xfId="15920" xr:uid="{1514CDF9-9957-4E4C-94F8-075654CF7CB0}"/>
    <cellStyle name="20% - Accent1 2 5 2 3" xfId="11702" xr:uid="{880A2437-76BF-4C82-9946-F49B3216972C}"/>
    <cellStyle name="20% - Accent1 2 5 3" xfId="5333" xr:uid="{00000000-0005-0000-0000-000046000000}"/>
    <cellStyle name="20% - Accent1 2 5 3 2" xfId="13775" xr:uid="{02C0B8D0-9198-4FF5-8F78-7CD896D5A03D}"/>
    <cellStyle name="20% - Accent1 2 5 4" xfId="9557" xr:uid="{F5FA6A45-9E71-4400-A07F-352E71E3AD8E}"/>
    <cellStyle name="20% - Accent1 2 6" xfId="1438" xr:uid="{00000000-0005-0000-0000-000047000000}"/>
    <cellStyle name="20% - Accent1 2 6 2" xfId="3668" xr:uid="{00000000-0005-0000-0000-000048000000}"/>
    <cellStyle name="20% - Accent1 2 6 2 2" xfId="7891" xr:uid="{00000000-0005-0000-0000-000049000000}"/>
    <cellStyle name="20% - Accent1 2 6 2 2 2" xfId="16333" xr:uid="{CBE68348-76AA-4F5E-8D45-46FA972F8F55}"/>
    <cellStyle name="20% - Accent1 2 6 2 3" xfId="12115" xr:uid="{5FC12E74-7595-48EB-94CB-C04F15CB8026}"/>
    <cellStyle name="20% - Accent1 2 6 3" xfId="5746" xr:uid="{00000000-0005-0000-0000-00004A000000}"/>
    <cellStyle name="20% - Accent1 2 6 3 2" xfId="14188" xr:uid="{070F4D97-7D44-4B4F-B4F5-3FBBAA4E7F1B}"/>
    <cellStyle name="20% - Accent1 2 6 4" xfId="9970" xr:uid="{654267C0-79B3-4951-B087-BE013A070688}"/>
    <cellStyle name="20% - Accent1 2 7" xfId="1852" xr:uid="{00000000-0005-0000-0000-00004B000000}"/>
    <cellStyle name="20% - Accent1 2 7 2" xfId="4081" xr:uid="{00000000-0005-0000-0000-00004C000000}"/>
    <cellStyle name="20% - Accent1 2 7 2 2" xfId="8304" xr:uid="{00000000-0005-0000-0000-00004D000000}"/>
    <cellStyle name="20% - Accent1 2 7 2 2 2" xfId="16746" xr:uid="{2121F8DD-EF11-433B-8FF4-C48004036007}"/>
    <cellStyle name="20% - Accent1 2 7 2 3" xfId="12528" xr:uid="{0C9DD530-E6F4-48F6-B77A-A1B4562D627E}"/>
    <cellStyle name="20% - Accent1 2 7 3" xfId="6159" xr:uid="{00000000-0005-0000-0000-00004E000000}"/>
    <cellStyle name="20% - Accent1 2 7 3 2" xfId="14601" xr:uid="{8BF505CA-0FC0-45E3-8DC9-47B2CE12DAD4}"/>
    <cellStyle name="20% - Accent1 2 7 4" xfId="10383" xr:uid="{A7EE34D1-5CB1-4BC8-BF8F-AF7A73BE05F9}"/>
    <cellStyle name="20% - Accent1 2 8" xfId="2265" xr:uid="{00000000-0005-0000-0000-00004F000000}"/>
    <cellStyle name="20% - Accent1 2 8 2" xfId="6572" xr:uid="{00000000-0005-0000-0000-000050000000}"/>
    <cellStyle name="20% - Accent1 2 8 2 2" xfId="15014" xr:uid="{F55FA072-B61D-42C3-96A8-FFF2B630C936}"/>
    <cellStyle name="20% - Accent1 2 8 3" xfId="10796" xr:uid="{890F7371-5768-4E5F-B1F6-8E6B0D81B11D}"/>
    <cellStyle name="20% - Accent1 2 9" xfId="4506" xr:uid="{00000000-0005-0000-0000-000051000000}"/>
    <cellStyle name="20% - Accent1 2 9 2" xfId="12948" xr:uid="{28609CEC-879D-4488-8DE0-05C6F8AF9711}"/>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2 2 2" xfId="15512" xr:uid="{E5F2EF9F-B8BC-49D0-8CE2-E1B2ED00BDB5}"/>
    <cellStyle name="20% - Accent1 3 2 2 2 3" xfId="11294" xr:uid="{88606C05-F29E-4305-A17D-D92B492A3550}"/>
    <cellStyle name="20% - Accent1 3 2 2 3" xfId="4925" xr:uid="{00000000-0005-0000-0000-000057000000}"/>
    <cellStyle name="20% - Accent1 3 2 2 3 2" xfId="13367" xr:uid="{29E44583-3AA7-4A02-B559-801DE2A83B82}"/>
    <cellStyle name="20% - Accent1 3 2 2 4" xfId="9149" xr:uid="{700CC273-2657-4D21-8D59-96207CFD63BE}"/>
    <cellStyle name="20% - Accent1 3 2 3" xfId="1029" xr:uid="{00000000-0005-0000-0000-000058000000}"/>
    <cellStyle name="20% - Accent1 3 2 3 2" xfId="3260" xr:uid="{00000000-0005-0000-0000-000059000000}"/>
    <cellStyle name="20% - Accent1 3 2 3 2 2" xfId="7483" xr:uid="{00000000-0005-0000-0000-00005A000000}"/>
    <cellStyle name="20% - Accent1 3 2 3 2 2 2" xfId="15925" xr:uid="{4F3A97A0-1D21-4E26-8882-96EF6CAED2E4}"/>
    <cellStyle name="20% - Accent1 3 2 3 2 3" xfId="11707" xr:uid="{7E3E4BE6-B48A-42BA-9EFC-9D8DFB2C19AE}"/>
    <cellStyle name="20% - Accent1 3 2 3 3" xfId="5338" xr:uid="{00000000-0005-0000-0000-00005B000000}"/>
    <cellStyle name="20% - Accent1 3 2 3 3 2" xfId="13780" xr:uid="{5B0D7816-06B6-4C8C-ADA1-19FE3369CE42}"/>
    <cellStyle name="20% - Accent1 3 2 3 4" xfId="9562" xr:uid="{EBDA4891-D68F-4029-892E-5A624D3E7C1B}"/>
    <cellStyle name="20% - Accent1 3 2 4" xfId="1443" xr:uid="{00000000-0005-0000-0000-00005C000000}"/>
    <cellStyle name="20% - Accent1 3 2 4 2" xfId="3673" xr:uid="{00000000-0005-0000-0000-00005D000000}"/>
    <cellStyle name="20% - Accent1 3 2 4 2 2" xfId="7896" xr:uid="{00000000-0005-0000-0000-00005E000000}"/>
    <cellStyle name="20% - Accent1 3 2 4 2 2 2" xfId="16338" xr:uid="{3DE1DAB7-77B0-473C-B6EA-E75EE99942DF}"/>
    <cellStyle name="20% - Accent1 3 2 4 2 3" xfId="12120" xr:uid="{8B9101C5-47EC-407F-BCE2-EE024489DC22}"/>
    <cellStyle name="20% - Accent1 3 2 4 3" xfId="5751" xr:uid="{00000000-0005-0000-0000-00005F000000}"/>
    <cellStyle name="20% - Accent1 3 2 4 3 2" xfId="14193" xr:uid="{0FAF532F-8D07-4E04-92C8-04B18140A068}"/>
    <cellStyle name="20% - Accent1 3 2 4 4" xfId="9975" xr:uid="{68E1C133-2473-426A-AE70-B12B8BCA5D19}"/>
    <cellStyle name="20% - Accent1 3 2 5" xfId="1857" xr:uid="{00000000-0005-0000-0000-000060000000}"/>
    <cellStyle name="20% - Accent1 3 2 5 2" xfId="4086" xr:uid="{00000000-0005-0000-0000-000061000000}"/>
    <cellStyle name="20% - Accent1 3 2 5 2 2" xfId="8309" xr:uid="{00000000-0005-0000-0000-000062000000}"/>
    <cellStyle name="20% - Accent1 3 2 5 2 2 2" xfId="16751" xr:uid="{8E9CCD46-B3F2-4E94-8E12-1B2B33823218}"/>
    <cellStyle name="20% - Accent1 3 2 5 2 3" xfId="12533" xr:uid="{80C1C99F-D0E9-4CD0-ABA1-1EA73A08090A}"/>
    <cellStyle name="20% - Accent1 3 2 5 3" xfId="6164" xr:uid="{00000000-0005-0000-0000-000063000000}"/>
    <cellStyle name="20% - Accent1 3 2 5 3 2" xfId="14606" xr:uid="{3832C74B-63A8-4A49-AA78-836D79AA99A0}"/>
    <cellStyle name="20% - Accent1 3 2 5 4" xfId="10388" xr:uid="{B225934B-9234-4827-B8CA-2F0CA04D2C18}"/>
    <cellStyle name="20% - Accent1 3 2 6" xfId="2270" xr:uid="{00000000-0005-0000-0000-000064000000}"/>
    <cellStyle name="20% - Accent1 3 2 6 2" xfId="6577" xr:uid="{00000000-0005-0000-0000-000065000000}"/>
    <cellStyle name="20% - Accent1 3 2 6 2 2" xfId="15019" xr:uid="{EBC19E53-A9C2-4245-8C2B-FCC08EDFD465}"/>
    <cellStyle name="20% - Accent1 3 2 6 3" xfId="10801" xr:uid="{48AA221D-4932-482D-B5DD-1830F3CE4797}"/>
    <cellStyle name="20% - Accent1 3 2 7" xfId="4511" xr:uid="{00000000-0005-0000-0000-000066000000}"/>
    <cellStyle name="20% - Accent1 3 2 7 2" xfId="12953" xr:uid="{8643D5D5-AE6A-404F-BBC7-48303F290160}"/>
    <cellStyle name="20% - Accent1 3 2 8" xfId="8735" xr:uid="{D9C83D6E-83B8-4BE1-A16E-664C0F90DA65}"/>
    <cellStyle name="20% - Accent1 3 3" xfId="575" xr:uid="{00000000-0005-0000-0000-000067000000}"/>
    <cellStyle name="20% - Accent1 3 3 2" xfId="2846" xr:uid="{00000000-0005-0000-0000-000068000000}"/>
    <cellStyle name="20% - Accent1 3 3 2 2" xfId="7069" xr:uid="{00000000-0005-0000-0000-000069000000}"/>
    <cellStyle name="20% - Accent1 3 3 2 2 2" xfId="15511" xr:uid="{FF081069-121A-49CB-A7B0-AE1313566521}"/>
    <cellStyle name="20% - Accent1 3 3 2 3" xfId="11293" xr:uid="{413B5F08-5F19-49A6-A9BA-6DE3B7CAFFFA}"/>
    <cellStyle name="20% - Accent1 3 3 3" xfId="4924" xr:uid="{00000000-0005-0000-0000-00006A000000}"/>
    <cellStyle name="20% - Accent1 3 3 3 2" xfId="13366" xr:uid="{D93BE90E-BD4A-4B22-B106-A568FF1D18C4}"/>
    <cellStyle name="20% - Accent1 3 3 4" xfId="9148" xr:uid="{DFCE1610-9AD2-43E2-A982-B8097DC5640A}"/>
    <cellStyle name="20% - Accent1 3 4" xfId="1028" xr:uid="{00000000-0005-0000-0000-00006B000000}"/>
    <cellStyle name="20% - Accent1 3 4 2" xfId="3259" xr:uid="{00000000-0005-0000-0000-00006C000000}"/>
    <cellStyle name="20% - Accent1 3 4 2 2" xfId="7482" xr:uid="{00000000-0005-0000-0000-00006D000000}"/>
    <cellStyle name="20% - Accent1 3 4 2 2 2" xfId="15924" xr:uid="{12D7BA7B-44CA-4E7A-9A6F-85AB43A814DE}"/>
    <cellStyle name="20% - Accent1 3 4 2 3" xfId="11706" xr:uid="{A9DE6E77-0FFD-4792-9742-AEEDA8D5BE8D}"/>
    <cellStyle name="20% - Accent1 3 4 3" xfId="5337" xr:uid="{00000000-0005-0000-0000-00006E000000}"/>
    <cellStyle name="20% - Accent1 3 4 3 2" xfId="13779" xr:uid="{56A4B82C-694F-4B25-A3D4-6EE668E34DAC}"/>
    <cellStyle name="20% - Accent1 3 4 4" xfId="9561" xr:uid="{899B57E5-954D-4167-A3E1-93DA821954A5}"/>
    <cellStyle name="20% - Accent1 3 5" xfId="1442" xr:uid="{00000000-0005-0000-0000-00006F000000}"/>
    <cellStyle name="20% - Accent1 3 5 2" xfId="3672" xr:uid="{00000000-0005-0000-0000-000070000000}"/>
    <cellStyle name="20% - Accent1 3 5 2 2" xfId="7895" xr:uid="{00000000-0005-0000-0000-000071000000}"/>
    <cellStyle name="20% - Accent1 3 5 2 2 2" xfId="16337" xr:uid="{C9C3A0C0-CE14-4BBC-BF77-BAF94C23BC68}"/>
    <cellStyle name="20% - Accent1 3 5 2 3" xfId="12119" xr:uid="{96ACB0D7-390F-4E0E-8E76-F96BFE118589}"/>
    <cellStyle name="20% - Accent1 3 5 3" xfId="5750" xr:uid="{00000000-0005-0000-0000-000072000000}"/>
    <cellStyle name="20% - Accent1 3 5 3 2" xfId="14192" xr:uid="{17371428-1DC7-4BE4-9D0B-E0EC193C335A}"/>
    <cellStyle name="20% - Accent1 3 5 4" xfId="9974" xr:uid="{0D2099C9-FBD2-4CAC-B0B4-ADE2441CE8B9}"/>
    <cellStyle name="20% - Accent1 3 6" xfId="1856" xr:uid="{00000000-0005-0000-0000-000073000000}"/>
    <cellStyle name="20% - Accent1 3 6 2" xfId="4085" xr:uid="{00000000-0005-0000-0000-000074000000}"/>
    <cellStyle name="20% - Accent1 3 6 2 2" xfId="8308" xr:uid="{00000000-0005-0000-0000-000075000000}"/>
    <cellStyle name="20% - Accent1 3 6 2 2 2" xfId="16750" xr:uid="{B951E895-F6D0-47E3-9063-C8AA46A77C2A}"/>
    <cellStyle name="20% - Accent1 3 6 2 3" xfId="12532" xr:uid="{8FA69173-95C5-48F9-BD37-0A3CF170BEB3}"/>
    <cellStyle name="20% - Accent1 3 6 3" xfId="6163" xr:uid="{00000000-0005-0000-0000-000076000000}"/>
    <cellStyle name="20% - Accent1 3 6 3 2" xfId="14605" xr:uid="{D64EE839-9D8C-43B9-96A7-27526B66DE40}"/>
    <cellStyle name="20% - Accent1 3 6 4" xfId="10387" xr:uid="{10B8FFB3-BED5-428D-A75B-31BB4C71CC59}"/>
    <cellStyle name="20% - Accent1 3 7" xfId="2269" xr:uid="{00000000-0005-0000-0000-000077000000}"/>
    <cellStyle name="20% - Accent1 3 7 2" xfId="6576" xr:uid="{00000000-0005-0000-0000-000078000000}"/>
    <cellStyle name="20% - Accent1 3 7 2 2" xfId="15018" xr:uid="{68C4E25E-21A7-4646-ACBB-2AC311E331DD}"/>
    <cellStyle name="20% - Accent1 3 7 3" xfId="10800" xr:uid="{F7FF21CE-B089-4BE0-90AF-79158386BC15}"/>
    <cellStyle name="20% - Accent1 3 8" xfId="4510" xr:uid="{00000000-0005-0000-0000-000079000000}"/>
    <cellStyle name="20% - Accent1 3 8 2" xfId="12952" xr:uid="{4C8D447A-E5E6-4F35-8DC3-5E0565D26BF8}"/>
    <cellStyle name="20% - Accent1 3 9" xfId="8734" xr:uid="{4580BB1A-AC19-4D15-85B7-223EF7FB4BDE}"/>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2 2 2" xfId="15513" xr:uid="{47DF2E86-9134-4490-B5B6-447D3C6A77C8}"/>
    <cellStyle name="20% - Accent1 4 2 2 3" xfId="11295" xr:uid="{A343E495-8D3F-4D08-A9D4-51C4D31D1AFD}"/>
    <cellStyle name="20% - Accent1 4 2 3" xfId="4926" xr:uid="{00000000-0005-0000-0000-00007E000000}"/>
    <cellStyle name="20% - Accent1 4 2 3 2" xfId="13368" xr:uid="{34CB4D72-EF3A-4A18-B764-2628D4884BFB}"/>
    <cellStyle name="20% - Accent1 4 2 4" xfId="9150" xr:uid="{8FAD0215-C25B-453A-BB61-A78B379B0DE1}"/>
    <cellStyle name="20% - Accent1 4 3" xfId="1030" xr:uid="{00000000-0005-0000-0000-00007F000000}"/>
    <cellStyle name="20% - Accent1 4 3 2" xfId="3261" xr:uid="{00000000-0005-0000-0000-000080000000}"/>
    <cellStyle name="20% - Accent1 4 3 2 2" xfId="7484" xr:uid="{00000000-0005-0000-0000-000081000000}"/>
    <cellStyle name="20% - Accent1 4 3 2 2 2" xfId="15926" xr:uid="{79F42F8F-B61B-4C01-B2B5-7EF22A29153F}"/>
    <cellStyle name="20% - Accent1 4 3 2 3" xfId="11708" xr:uid="{A647FADB-9235-4154-ADC3-46408807DC93}"/>
    <cellStyle name="20% - Accent1 4 3 3" xfId="5339" xr:uid="{00000000-0005-0000-0000-000082000000}"/>
    <cellStyle name="20% - Accent1 4 3 3 2" xfId="13781" xr:uid="{DDBE6C36-F1DC-44FA-AB3F-7306615FEA35}"/>
    <cellStyle name="20% - Accent1 4 3 4" xfId="9563" xr:uid="{45F473CD-F2DF-4AAE-918F-9FFD31E38780}"/>
    <cellStyle name="20% - Accent1 4 4" xfId="1444" xr:uid="{00000000-0005-0000-0000-000083000000}"/>
    <cellStyle name="20% - Accent1 4 4 2" xfId="3674" xr:uid="{00000000-0005-0000-0000-000084000000}"/>
    <cellStyle name="20% - Accent1 4 4 2 2" xfId="7897" xr:uid="{00000000-0005-0000-0000-000085000000}"/>
    <cellStyle name="20% - Accent1 4 4 2 2 2" xfId="16339" xr:uid="{F3F5B8DA-8641-440D-A6AC-6B225080D8B1}"/>
    <cellStyle name="20% - Accent1 4 4 2 3" xfId="12121" xr:uid="{0B7B15FC-915E-4278-9D29-FD46B7BCF5FC}"/>
    <cellStyle name="20% - Accent1 4 4 3" xfId="5752" xr:uid="{00000000-0005-0000-0000-000086000000}"/>
    <cellStyle name="20% - Accent1 4 4 3 2" xfId="14194" xr:uid="{20C7C846-4192-48EF-A8B9-025555294BB4}"/>
    <cellStyle name="20% - Accent1 4 4 4" xfId="9976" xr:uid="{7215F29F-56BE-4D8F-80F3-717015681629}"/>
    <cellStyle name="20% - Accent1 4 5" xfId="1858" xr:uid="{00000000-0005-0000-0000-000087000000}"/>
    <cellStyle name="20% - Accent1 4 5 2" xfId="4087" xr:uid="{00000000-0005-0000-0000-000088000000}"/>
    <cellStyle name="20% - Accent1 4 5 2 2" xfId="8310" xr:uid="{00000000-0005-0000-0000-000089000000}"/>
    <cellStyle name="20% - Accent1 4 5 2 2 2" xfId="16752" xr:uid="{88A11DE7-68D2-483C-9286-AE8EE6988CA8}"/>
    <cellStyle name="20% - Accent1 4 5 2 3" xfId="12534" xr:uid="{9AF82C78-7F3A-4D8F-8869-DE2E3F538EF5}"/>
    <cellStyle name="20% - Accent1 4 5 3" xfId="6165" xr:uid="{00000000-0005-0000-0000-00008A000000}"/>
    <cellStyle name="20% - Accent1 4 5 3 2" xfId="14607" xr:uid="{CAF45FEB-527A-4865-A37C-541666B2BCBA}"/>
    <cellStyle name="20% - Accent1 4 5 4" xfId="10389" xr:uid="{5802CB59-2A62-46AF-A7D0-80B5444D7160}"/>
    <cellStyle name="20% - Accent1 4 6" xfId="2271" xr:uid="{00000000-0005-0000-0000-00008B000000}"/>
    <cellStyle name="20% - Accent1 4 6 2" xfId="6578" xr:uid="{00000000-0005-0000-0000-00008C000000}"/>
    <cellStyle name="20% - Accent1 4 6 2 2" xfId="15020" xr:uid="{B865341E-B4F6-4CA9-AC89-F593A1F823D8}"/>
    <cellStyle name="20% - Accent1 4 6 3" xfId="10802" xr:uid="{E2A68187-1BF1-41CB-8311-53A99A149DE3}"/>
    <cellStyle name="20% - Accent1 4 7" xfId="4512" xr:uid="{00000000-0005-0000-0000-00008D000000}"/>
    <cellStyle name="20% - Accent1 4 7 2" xfId="12954" xr:uid="{E466E4E2-9186-4C1B-93A5-E2D8E8DE7866}"/>
    <cellStyle name="20% - Accent1 4 8" xfId="8736" xr:uid="{162FA5F0-B9A8-463A-B285-36DF37973518}"/>
    <cellStyle name="20% - Accent1 5" xfId="570" xr:uid="{00000000-0005-0000-0000-00008E000000}"/>
    <cellStyle name="20% - Accent1 5 2" xfId="2841" xr:uid="{00000000-0005-0000-0000-00008F000000}"/>
    <cellStyle name="20% - Accent1 5 2 2" xfId="7064" xr:uid="{00000000-0005-0000-0000-000090000000}"/>
    <cellStyle name="20% - Accent1 5 2 2 2" xfId="15506" xr:uid="{A49FE0B8-C5B2-424B-994B-137743490B6A}"/>
    <cellStyle name="20% - Accent1 5 2 3" xfId="11288" xr:uid="{1CD428BB-32D3-4582-8D2F-BB11E2C8B9F1}"/>
    <cellStyle name="20% - Accent1 5 3" xfId="4919" xr:uid="{00000000-0005-0000-0000-000091000000}"/>
    <cellStyle name="20% - Accent1 5 3 2" xfId="13361" xr:uid="{1473DB5F-F8A2-4649-AA55-4B03A85380BE}"/>
    <cellStyle name="20% - Accent1 5 4" xfId="9143" xr:uid="{44795183-7FF3-4DD7-BBB4-D21FA959A7AA}"/>
    <cellStyle name="20% - Accent1 6" xfId="1023" xr:uid="{00000000-0005-0000-0000-000092000000}"/>
    <cellStyle name="20% - Accent1 6 2" xfId="3254" xr:uid="{00000000-0005-0000-0000-000093000000}"/>
    <cellStyle name="20% - Accent1 6 2 2" xfId="7477" xr:uid="{00000000-0005-0000-0000-000094000000}"/>
    <cellStyle name="20% - Accent1 6 2 2 2" xfId="15919" xr:uid="{BF1BE50C-8D17-4255-86BA-4F5B545AB52E}"/>
    <cellStyle name="20% - Accent1 6 2 3" xfId="11701" xr:uid="{73AC75FE-0141-4CF4-BB1B-9CF8FC172C81}"/>
    <cellStyle name="20% - Accent1 6 3" xfId="5332" xr:uid="{00000000-0005-0000-0000-000095000000}"/>
    <cellStyle name="20% - Accent1 6 3 2" xfId="13774" xr:uid="{A7EB2C08-CE1D-49BC-B8C4-F5B4A9FADFA2}"/>
    <cellStyle name="20% - Accent1 6 4" xfId="9556" xr:uid="{FDF45C0E-E4D6-45AF-8F65-8F05D027F82D}"/>
    <cellStyle name="20% - Accent1 7" xfId="1437" xr:uid="{00000000-0005-0000-0000-000096000000}"/>
    <cellStyle name="20% - Accent1 7 2" xfId="3667" xr:uid="{00000000-0005-0000-0000-000097000000}"/>
    <cellStyle name="20% - Accent1 7 2 2" xfId="7890" xr:uid="{00000000-0005-0000-0000-000098000000}"/>
    <cellStyle name="20% - Accent1 7 2 2 2" xfId="16332" xr:uid="{4075D63D-1660-4C25-9F09-39B22462004A}"/>
    <cellStyle name="20% - Accent1 7 2 3" xfId="12114" xr:uid="{34AE6C6E-DBBB-4EB3-9425-A794658AD03B}"/>
    <cellStyle name="20% - Accent1 7 3" xfId="5745" xr:uid="{00000000-0005-0000-0000-000099000000}"/>
    <cellStyle name="20% - Accent1 7 3 2" xfId="14187" xr:uid="{0FD44A3E-FC17-4CA4-AB99-33AC15149C41}"/>
    <cellStyle name="20% - Accent1 7 4" xfId="9969" xr:uid="{1680B482-C87D-41E0-8919-EEB79C71CB5C}"/>
    <cellStyle name="20% - Accent1 8" xfId="1851" xr:uid="{00000000-0005-0000-0000-00009A000000}"/>
    <cellStyle name="20% - Accent1 8 2" xfId="4080" xr:uid="{00000000-0005-0000-0000-00009B000000}"/>
    <cellStyle name="20% - Accent1 8 2 2" xfId="8303" xr:uid="{00000000-0005-0000-0000-00009C000000}"/>
    <cellStyle name="20% - Accent1 8 2 2 2" xfId="16745" xr:uid="{B6B799DD-3867-4040-B42E-E70BADA49806}"/>
    <cellStyle name="20% - Accent1 8 2 3" xfId="12527" xr:uid="{CD296339-CBD8-4799-87B8-C696F0D89201}"/>
    <cellStyle name="20% - Accent1 8 3" xfId="6158" xr:uid="{00000000-0005-0000-0000-00009D000000}"/>
    <cellStyle name="20% - Accent1 8 3 2" xfId="14600" xr:uid="{4A806900-EF32-4338-A0AD-EFBF73E3FB29}"/>
    <cellStyle name="20% - Accent1 8 4" xfId="10382" xr:uid="{F7835FB8-F0AA-450E-A988-CEDEF0420412}"/>
    <cellStyle name="20% - Accent1 9" xfId="2264" xr:uid="{00000000-0005-0000-0000-00009E000000}"/>
    <cellStyle name="20% - Accent1 9 2" xfId="6571" xr:uid="{00000000-0005-0000-0000-00009F000000}"/>
    <cellStyle name="20% - Accent1 9 2 2" xfId="15013" xr:uid="{D77D3E23-1E60-4EB3-9D7B-5478F93BE209}"/>
    <cellStyle name="20% - Accent1 9 3" xfId="10795" xr:uid="{918E12C2-7471-47E8-BCF5-A972107444DA}"/>
    <cellStyle name="20% - Accent2" xfId="9" builtinId="34" customBuiltin="1"/>
    <cellStyle name="20% - Accent2 10" xfId="4513" xr:uid="{00000000-0005-0000-0000-0000A1000000}"/>
    <cellStyle name="20% - Accent2 10 2" xfId="12955" xr:uid="{214A2F30-95BF-4742-98F2-701CB9F887B7}"/>
    <cellStyle name="20% - Accent2 11" xfId="8737" xr:uid="{BBA12E53-4B48-4F8F-B10C-869AE9EDFB73}"/>
    <cellStyle name="20% - Accent2 2" xfId="10" xr:uid="{00000000-0005-0000-0000-0000A2000000}"/>
    <cellStyle name="20% - Accent2 2 10" xfId="8738" xr:uid="{00F628C2-1E32-463A-9974-0DF61222129C}"/>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2 2 2" xfId="15517" xr:uid="{FC3F13A7-D275-4DCE-9C38-336EA623D4A0}"/>
    <cellStyle name="20% - Accent2 2 2 2 2 2 3" xfId="11299" xr:uid="{C57C20E6-BBC7-448E-A482-BC528AB3F030}"/>
    <cellStyle name="20% - Accent2 2 2 2 2 3" xfId="4930" xr:uid="{00000000-0005-0000-0000-0000A8000000}"/>
    <cellStyle name="20% - Accent2 2 2 2 2 3 2" xfId="13372" xr:uid="{CE4B3FF1-FE95-4862-9B2F-D9D8EADE7D44}"/>
    <cellStyle name="20% - Accent2 2 2 2 2 4" xfId="9154" xr:uid="{F3AF553C-09FA-4878-B013-6B60B33184D1}"/>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2 2 2" xfId="15930" xr:uid="{1334497D-CE9C-485A-B42A-781BAA0C3834}"/>
    <cellStyle name="20% - Accent2 2 2 2 3 2 3" xfId="11712" xr:uid="{43404CA4-C89C-4E7B-B6D7-05F56AB118AE}"/>
    <cellStyle name="20% - Accent2 2 2 2 3 3" xfId="5343" xr:uid="{00000000-0005-0000-0000-0000AC000000}"/>
    <cellStyle name="20% - Accent2 2 2 2 3 3 2" xfId="13785" xr:uid="{FF98A977-D246-4CC2-ACBE-1C02E823032D}"/>
    <cellStyle name="20% - Accent2 2 2 2 3 4" xfId="9567" xr:uid="{EE0CB394-DE95-40AA-BB08-9ABF0DBD6F0C}"/>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2 2 2" xfId="16343" xr:uid="{71450A23-7C1E-4A19-BE3F-370455935C3E}"/>
    <cellStyle name="20% - Accent2 2 2 2 4 2 3" xfId="12125" xr:uid="{F4D5E2FE-8CCD-4CA4-846E-C0F57C4AD140}"/>
    <cellStyle name="20% - Accent2 2 2 2 4 3" xfId="5756" xr:uid="{00000000-0005-0000-0000-0000B0000000}"/>
    <cellStyle name="20% - Accent2 2 2 2 4 3 2" xfId="14198" xr:uid="{5F9FA6E1-18A4-4474-BD0D-8D63E6F4BE27}"/>
    <cellStyle name="20% - Accent2 2 2 2 4 4" xfId="9980" xr:uid="{FA764304-C603-40EE-8CCE-0949B7FCDBE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2 2 2" xfId="16756" xr:uid="{E7D8C26C-B3FF-4629-AF88-83BC4C09F5B1}"/>
    <cellStyle name="20% - Accent2 2 2 2 5 2 3" xfId="12538" xr:uid="{A834D6D4-904D-488F-9AEE-DAEAFFDCAA6A}"/>
    <cellStyle name="20% - Accent2 2 2 2 5 3" xfId="6169" xr:uid="{00000000-0005-0000-0000-0000B4000000}"/>
    <cellStyle name="20% - Accent2 2 2 2 5 3 2" xfId="14611" xr:uid="{1DD06E96-D097-46EC-A57E-7880CB68A75A}"/>
    <cellStyle name="20% - Accent2 2 2 2 5 4" xfId="10393" xr:uid="{6104FB53-AE4B-4CA0-98B2-82C14B27E747}"/>
    <cellStyle name="20% - Accent2 2 2 2 6" xfId="2275" xr:uid="{00000000-0005-0000-0000-0000B5000000}"/>
    <cellStyle name="20% - Accent2 2 2 2 6 2" xfId="6582" xr:uid="{00000000-0005-0000-0000-0000B6000000}"/>
    <cellStyle name="20% - Accent2 2 2 2 6 2 2" xfId="15024" xr:uid="{BD810495-B0C1-46C5-9108-BB9EFC014DC4}"/>
    <cellStyle name="20% - Accent2 2 2 2 6 3" xfId="10806" xr:uid="{0FC250DE-FAEB-4D6C-890B-DB0E3D1BEF65}"/>
    <cellStyle name="20% - Accent2 2 2 2 7" xfId="4516" xr:uid="{00000000-0005-0000-0000-0000B7000000}"/>
    <cellStyle name="20% - Accent2 2 2 2 7 2" xfId="12958" xr:uid="{9C830DC9-3A35-4692-9A68-BBAF87D06FF4}"/>
    <cellStyle name="20% - Accent2 2 2 2 8" xfId="8740" xr:uid="{440F204C-DFD5-428F-98A4-1F80AB918B2F}"/>
    <cellStyle name="20% - Accent2 2 2 3" xfId="580" xr:uid="{00000000-0005-0000-0000-0000B8000000}"/>
    <cellStyle name="20% - Accent2 2 2 3 2" xfId="2851" xr:uid="{00000000-0005-0000-0000-0000B9000000}"/>
    <cellStyle name="20% - Accent2 2 2 3 2 2" xfId="7074" xr:uid="{00000000-0005-0000-0000-0000BA000000}"/>
    <cellStyle name="20% - Accent2 2 2 3 2 2 2" xfId="15516" xr:uid="{A5F980F7-4939-4A5B-AD64-32D3537FAF48}"/>
    <cellStyle name="20% - Accent2 2 2 3 2 3" xfId="11298" xr:uid="{23689008-2FC1-44FC-A525-7B37593C3616}"/>
    <cellStyle name="20% - Accent2 2 2 3 3" xfId="4929" xr:uid="{00000000-0005-0000-0000-0000BB000000}"/>
    <cellStyle name="20% - Accent2 2 2 3 3 2" xfId="13371" xr:uid="{D6EFC23A-E987-4849-8D18-B6CF9D04DA18}"/>
    <cellStyle name="20% - Accent2 2 2 3 4" xfId="9153" xr:uid="{57166B7D-BAC6-4D75-B43B-68006C74FF89}"/>
    <cellStyle name="20% - Accent2 2 2 4" xfId="1033" xr:uid="{00000000-0005-0000-0000-0000BC000000}"/>
    <cellStyle name="20% - Accent2 2 2 4 2" xfId="3264" xr:uid="{00000000-0005-0000-0000-0000BD000000}"/>
    <cellStyle name="20% - Accent2 2 2 4 2 2" xfId="7487" xr:uid="{00000000-0005-0000-0000-0000BE000000}"/>
    <cellStyle name="20% - Accent2 2 2 4 2 2 2" xfId="15929" xr:uid="{F7EEB179-C9DD-498C-8353-2BC48F01A7B7}"/>
    <cellStyle name="20% - Accent2 2 2 4 2 3" xfId="11711" xr:uid="{E29A3AC9-F94C-4465-82FA-6A65712DC5FB}"/>
    <cellStyle name="20% - Accent2 2 2 4 3" xfId="5342" xr:uid="{00000000-0005-0000-0000-0000BF000000}"/>
    <cellStyle name="20% - Accent2 2 2 4 3 2" xfId="13784" xr:uid="{E6F20D30-55DE-473E-AAD6-4A2635B9941F}"/>
    <cellStyle name="20% - Accent2 2 2 4 4" xfId="9566" xr:uid="{6207D70E-A4CF-4862-B092-7A25CA0CE511}"/>
    <cellStyle name="20% - Accent2 2 2 5" xfId="1447" xr:uid="{00000000-0005-0000-0000-0000C0000000}"/>
    <cellStyle name="20% - Accent2 2 2 5 2" xfId="3677" xr:uid="{00000000-0005-0000-0000-0000C1000000}"/>
    <cellStyle name="20% - Accent2 2 2 5 2 2" xfId="7900" xr:uid="{00000000-0005-0000-0000-0000C2000000}"/>
    <cellStyle name="20% - Accent2 2 2 5 2 2 2" xfId="16342" xr:uid="{B9ACFC38-7EE2-4A88-BD34-A7EBD9502D4B}"/>
    <cellStyle name="20% - Accent2 2 2 5 2 3" xfId="12124" xr:uid="{4F2A2C73-FBB9-4FC0-A7C5-73CF3039A235}"/>
    <cellStyle name="20% - Accent2 2 2 5 3" xfId="5755" xr:uid="{00000000-0005-0000-0000-0000C3000000}"/>
    <cellStyle name="20% - Accent2 2 2 5 3 2" xfId="14197" xr:uid="{CD11B308-CBD1-44AC-A63F-1A8CB860500F}"/>
    <cellStyle name="20% - Accent2 2 2 5 4" xfId="9979" xr:uid="{AA91126D-B762-4508-BF93-DC6FB4E33E1C}"/>
    <cellStyle name="20% - Accent2 2 2 6" xfId="1861" xr:uid="{00000000-0005-0000-0000-0000C4000000}"/>
    <cellStyle name="20% - Accent2 2 2 6 2" xfId="4090" xr:uid="{00000000-0005-0000-0000-0000C5000000}"/>
    <cellStyle name="20% - Accent2 2 2 6 2 2" xfId="8313" xr:uid="{00000000-0005-0000-0000-0000C6000000}"/>
    <cellStyle name="20% - Accent2 2 2 6 2 2 2" xfId="16755" xr:uid="{EC683489-4E75-47B7-9604-24C2E10A53C7}"/>
    <cellStyle name="20% - Accent2 2 2 6 2 3" xfId="12537" xr:uid="{5DA2F7A3-8133-42A3-B536-2F41E8E7AF64}"/>
    <cellStyle name="20% - Accent2 2 2 6 3" xfId="6168" xr:uid="{00000000-0005-0000-0000-0000C7000000}"/>
    <cellStyle name="20% - Accent2 2 2 6 3 2" xfId="14610" xr:uid="{301B1835-F54B-4E6D-ADD6-E99C2E0CFAAD}"/>
    <cellStyle name="20% - Accent2 2 2 6 4" xfId="10392" xr:uid="{41C0FB66-48D4-482A-8959-C57F8E69620D}"/>
    <cellStyle name="20% - Accent2 2 2 7" xfId="2274" xr:uid="{00000000-0005-0000-0000-0000C8000000}"/>
    <cellStyle name="20% - Accent2 2 2 7 2" xfId="6581" xr:uid="{00000000-0005-0000-0000-0000C9000000}"/>
    <cellStyle name="20% - Accent2 2 2 7 2 2" xfId="15023" xr:uid="{B6C96AE7-9EAB-4953-BB97-F45400EC1ECD}"/>
    <cellStyle name="20% - Accent2 2 2 7 3" xfId="10805" xr:uid="{4EB5F57A-9F8A-4CF7-B5D9-DB6EE9C52122}"/>
    <cellStyle name="20% - Accent2 2 2 8" xfId="4515" xr:uid="{00000000-0005-0000-0000-0000CA000000}"/>
    <cellStyle name="20% - Accent2 2 2 8 2" xfId="12957" xr:uid="{211DEC20-4E24-41A6-8C7B-79C9F17A8A45}"/>
    <cellStyle name="20% - Accent2 2 2 9" xfId="8739" xr:uid="{29FF2C36-7B42-4B47-B023-8F4FDD795C8E}"/>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2 2 2" xfId="15518" xr:uid="{F92E3EBB-D78F-4F32-89BA-7CDC64989AB9}"/>
    <cellStyle name="20% - Accent2 2 3 2 2 3" xfId="11300" xr:uid="{8DEC9A04-D397-4F78-AEA6-91F1971AC197}"/>
    <cellStyle name="20% - Accent2 2 3 2 3" xfId="4931" xr:uid="{00000000-0005-0000-0000-0000CF000000}"/>
    <cellStyle name="20% - Accent2 2 3 2 3 2" xfId="13373" xr:uid="{03FAA982-9FAB-49BA-9DCB-8EF11C437723}"/>
    <cellStyle name="20% - Accent2 2 3 2 4" xfId="9155" xr:uid="{D1795831-490F-4DAE-83C7-5A4C5DF8ADCA}"/>
    <cellStyle name="20% - Accent2 2 3 3" xfId="1035" xr:uid="{00000000-0005-0000-0000-0000D0000000}"/>
    <cellStyle name="20% - Accent2 2 3 3 2" xfId="3266" xr:uid="{00000000-0005-0000-0000-0000D1000000}"/>
    <cellStyle name="20% - Accent2 2 3 3 2 2" xfId="7489" xr:uid="{00000000-0005-0000-0000-0000D2000000}"/>
    <cellStyle name="20% - Accent2 2 3 3 2 2 2" xfId="15931" xr:uid="{F3431CE4-2C64-4F28-AD5B-6BE3C6DBEF64}"/>
    <cellStyle name="20% - Accent2 2 3 3 2 3" xfId="11713" xr:uid="{E6A3FEE4-0FB7-47C1-A400-1BC4E9AA9541}"/>
    <cellStyle name="20% - Accent2 2 3 3 3" xfId="5344" xr:uid="{00000000-0005-0000-0000-0000D3000000}"/>
    <cellStyle name="20% - Accent2 2 3 3 3 2" xfId="13786" xr:uid="{045DF5A1-75F3-42BD-BC03-E4D3A2339487}"/>
    <cellStyle name="20% - Accent2 2 3 3 4" xfId="9568" xr:uid="{35F1F8F9-181B-4F5D-B43D-BD884E60CE10}"/>
    <cellStyle name="20% - Accent2 2 3 4" xfId="1449" xr:uid="{00000000-0005-0000-0000-0000D4000000}"/>
    <cellStyle name="20% - Accent2 2 3 4 2" xfId="3679" xr:uid="{00000000-0005-0000-0000-0000D5000000}"/>
    <cellStyle name="20% - Accent2 2 3 4 2 2" xfId="7902" xr:uid="{00000000-0005-0000-0000-0000D6000000}"/>
    <cellStyle name="20% - Accent2 2 3 4 2 2 2" xfId="16344" xr:uid="{9E41C0AD-3F76-4E5E-BAF5-EC9D5BFEDA9B}"/>
    <cellStyle name="20% - Accent2 2 3 4 2 3" xfId="12126" xr:uid="{95DD1414-5196-4913-AA75-0E5EC4E4E8EB}"/>
    <cellStyle name="20% - Accent2 2 3 4 3" xfId="5757" xr:uid="{00000000-0005-0000-0000-0000D7000000}"/>
    <cellStyle name="20% - Accent2 2 3 4 3 2" xfId="14199" xr:uid="{EC492232-989E-4F6A-B3F6-81F7B6E97CF0}"/>
    <cellStyle name="20% - Accent2 2 3 4 4" xfId="9981" xr:uid="{CCF8898D-6B3B-42F9-A97A-E59C3BE97D42}"/>
    <cellStyle name="20% - Accent2 2 3 5" xfId="1863" xr:uid="{00000000-0005-0000-0000-0000D8000000}"/>
    <cellStyle name="20% - Accent2 2 3 5 2" xfId="4092" xr:uid="{00000000-0005-0000-0000-0000D9000000}"/>
    <cellStyle name="20% - Accent2 2 3 5 2 2" xfId="8315" xr:uid="{00000000-0005-0000-0000-0000DA000000}"/>
    <cellStyle name="20% - Accent2 2 3 5 2 2 2" xfId="16757" xr:uid="{A89EB44D-08C8-41E9-A18C-15E4CE347BBF}"/>
    <cellStyle name="20% - Accent2 2 3 5 2 3" xfId="12539" xr:uid="{5507308F-B8A0-4D42-B811-FC37DFB2F342}"/>
    <cellStyle name="20% - Accent2 2 3 5 3" xfId="6170" xr:uid="{00000000-0005-0000-0000-0000DB000000}"/>
    <cellStyle name="20% - Accent2 2 3 5 3 2" xfId="14612" xr:uid="{694E0206-2DB0-4192-B5D7-E1BA4A02BA21}"/>
    <cellStyle name="20% - Accent2 2 3 5 4" xfId="10394" xr:uid="{91903BDE-A4DE-482C-AE92-70DDE152921D}"/>
    <cellStyle name="20% - Accent2 2 3 6" xfId="2276" xr:uid="{00000000-0005-0000-0000-0000DC000000}"/>
    <cellStyle name="20% - Accent2 2 3 6 2" xfId="6583" xr:uid="{00000000-0005-0000-0000-0000DD000000}"/>
    <cellStyle name="20% - Accent2 2 3 6 2 2" xfId="15025" xr:uid="{9A0F500F-E6A8-415C-99D3-3EFFC598DFEA}"/>
    <cellStyle name="20% - Accent2 2 3 6 3" xfId="10807" xr:uid="{BC146C5E-15CE-40CB-8D53-1BBA9D1454C0}"/>
    <cellStyle name="20% - Accent2 2 3 7" xfId="4517" xr:uid="{00000000-0005-0000-0000-0000DE000000}"/>
    <cellStyle name="20% - Accent2 2 3 7 2" xfId="12959" xr:uid="{6A88CD61-1AD8-4C3D-B50D-5223A16372BC}"/>
    <cellStyle name="20% - Accent2 2 3 8" xfId="8741" xr:uid="{252553F2-27B3-421A-9C8C-64B1DDEBF65D}"/>
    <cellStyle name="20% - Accent2 2 4" xfId="579" xr:uid="{00000000-0005-0000-0000-0000DF000000}"/>
    <cellStyle name="20% - Accent2 2 4 2" xfId="2850" xr:uid="{00000000-0005-0000-0000-0000E0000000}"/>
    <cellStyle name="20% - Accent2 2 4 2 2" xfId="7073" xr:uid="{00000000-0005-0000-0000-0000E1000000}"/>
    <cellStyle name="20% - Accent2 2 4 2 2 2" xfId="15515" xr:uid="{8F9D6E3F-89B1-4306-A0F5-FFF7844548CB}"/>
    <cellStyle name="20% - Accent2 2 4 2 3" xfId="11297" xr:uid="{10460DC4-DA89-418E-A476-48FE58D2AAAF}"/>
    <cellStyle name="20% - Accent2 2 4 3" xfId="4928" xr:uid="{00000000-0005-0000-0000-0000E2000000}"/>
    <cellStyle name="20% - Accent2 2 4 3 2" xfId="13370" xr:uid="{DF03DA74-4F07-4C9B-98C5-2CA2902588F3}"/>
    <cellStyle name="20% - Accent2 2 4 4" xfId="9152" xr:uid="{2F0288ED-7EA6-4A85-AD0E-F56B4113F505}"/>
    <cellStyle name="20% - Accent2 2 5" xfId="1032" xr:uid="{00000000-0005-0000-0000-0000E3000000}"/>
    <cellStyle name="20% - Accent2 2 5 2" xfId="3263" xr:uid="{00000000-0005-0000-0000-0000E4000000}"/>
    <cellStyle name="20% - Accent2 2 5 2 2" xfId="7486" xr:uid="{00000000-0005-0000-0000-0000E5000000}"/>
    <cellStyle name="20% - Accent2 2 5 2 2 2" xfId="15928" xr:uid="{AABC1008-596D-4648-9993-2D079E1D1AD4}"/>
    <cellStyle name="20% - Accent2 2 5 2 3" xfId="11710" xr:uid="{C3F6BF59-8383-4411-8A5E-F6CE81E70566}"/>
    <cellStyle name="20% - Accent2 2 5 3" xfId="5341" xr:uid="{00000000-0005-0000-0000-0000E6000000}"/>
    <cellStyle name="20% - Accent2 2 5 3 2" xfId="13783" xr:uid="{5C69CBD9-7475-43BB-9AF7-0B2D27878D16}"/>
    <cellStyle name="20% - Accent2 2 5 4" xfId="9565" xr:uid="{F48C4F29-6CDA-4EB0-AEDE-EBD2DD93A075}"/>
    <cellStyle name="20% - Accent2 2 6" xfId="1446" xr:uid="{00000000-0005-0000-0000-0000E7000000}"/>
    <cellStyle name="20% - Accent2 2 6 2" xfId="3676" xr:uid="{00000000-0005-0000-0000-0000E8000000}"/>
    <cellStyle name="20% - Accent2 2 6 2 2" xfId="7899" xr:uid="{00000000-0005-0000-0000-0000E9000000}"/>
    <cellStyle name="20% - Accent2 2 6 2 2 2" xfId="16341" xr:uid="{BC4415EC-3035-430C-B925-07776C41561B}"/>
    <cellStyle name="20% - Accent2 2 6 2 3" xfId="12123" xr:uid="{BE6FFCB0-A870-4531-811F-3ABB138DA9EC}"/>
    <cellStyle name="20% - Accent2 2 6 3" xfId="5754" xr:uid="{00000000-0005-0000-0000-0000EA000000}"/>
    <cellStyle name="20% - Accent2 2 6 3 2" xfId="14196" xr:uid="{8B62C1C3-81FB-44D9-8E06-532C652B10FD}"/>
    <cellStyle name="20% - Accent2 2 6 4" xfId="9978" xr:uid="{8019586B-5559-4170-B68D-3122D3A496B3}"/>
    <cellStyle name="20% - Accent2 2 7" xfId="1860" xr:uid="{00000000-0005-0000-0000-0000EB000000}"/>
    <cellStyle name="20% - Accent2 2 7 2" xfId="4089" xr:uid="{00000000-0005-0000-0000-0000EC000000}"/>
    <cellStyle name="20% - Accent2 2 7 2 2" xfId="8312" xr:uid="{00000000-0005-0000-0000-0000ED000000}"/>
    <cellStyle name="20% - Accent2 2 7 2 2 2" xfId="16754" xr:uid="{BC0C2FDB-6228-49C4-92B5-7F8B98A86E05}"/>
    <cellStyle name="20% - Accent2 2 7 2 3" xfId="12536" xr:uid="{774AEC94-2A99-4A49-8807-C09567D7304B}"/>
    <cellStyle name="20% - Accent2 2 7 3" xfId="6167" xr:uid="{00000000-0005-0000-0000-0000EE000000}"/>
    <cellStyle name="20% - Accent2 2 7 3 2" xfId="14609" xr:uid="{EF280CAC-3DD6-40CF-A08B-B9CCED4B5F9B}"/>
    <cellStyle name="20% - Accent2 2 7 4" xfId="10391" xr:uid="{9BB1A641-F5D2-4D14-9D59-57A626D44406}"/>
    <cellStyle name="20% - Accent2 2 8" xfId="2273" xr:uid="{00000000-0005-0000-0000-0000EF000000}"/>
    <cellStyle name="20% - Accent2 2 8 2" xfId="6580" xr:uid="{00000000-0005-0000-0000-0000F0000000}"/>
    <cellStyle name="20% - Accent2 2 8 2 2" xfId="15022" xr:uid="{223747E9-7BF7-45E4-81DD-C6EBC03FBCA9}"/>
    <cellStyle name="20% - Accent2 2 8 3" xfId="10804" xr:uid="{BD9E0116-F22D-402F-978C-B7DBE218046B}"/>
    <cellStyle name="20% - Accent2 2 9" xfId="4514" xr:uid="{00000000-0005-0000-0000-0000F1000000}"/>
    <cellStyle name="20% - Accent2 2 9 2" xfId="12956" xr:uid="{C9325142-FF98-46AE-8906-F8C1F52070C5}"/>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2 2 2" xfId="15520" xr:uid="{76A36180-8554-4F53-B4D4-672EB06E40ED}"/>
    <cellStyle name="20% - Accent2 3 2 2 2 3" xfId="11302" xr:uid="{C23A2D8D-16E1-4616-BC82-C86B9480133C}"/>
    <cellStyle name="20% - Accent2 3 2 2 3" xfId="4933" xr:uid="{00000000-0005-0000-0000-0000F7000000}"/>
    <cellStyle name="20% - Accent2 3 2 2 3 2" xfId="13375" xr:uid="{06C13F45-47CF-4053-891E-8FCCCF4D8874}"/>
    <cellStyle name="20% - Accent2 3 2 2 4" xfId="9157" xr:uid="{1CD3FD76-C162-4EFA-A663-4DF9999E0778}"/>
    <cellStyle name="20% - Accent2 3 2 3" xfId="1037" xr:uid="{00000000-0005-0000-0000-0000F8000000}"/>
    <cellStyle name="20% - Accent2 3 2 3 2" xfId="3268" xr:uid="{00000000-0005-0000-0000-0000F9000000}"/>
    <cellStyle name="20% - Accent2 3 2 3 2 2" xfId="7491" xr:uid="{00000000-0005-0000-0000-0000FA000000}"/>
    <cellStyle name="20% - Accent2 3 2 3 2 2 2" xfId="15933" xr:uid="{85164C43-3183-44A5-AEE8-C5CDA268474D}"/>
    <cellStyle name="20% - Accent2 3 2 3 2 3" xfId="11715" xr:uid="{3ABAB56F-ACEE-4FE2-860E-78B0C25BCECB}"/>
    <cellStyle name="20% - Accent2 3 2 3 3" xfId="5346" xr:uid="{00000000-0005-0000-0000-0000FB000000}"/>
    <cellStyle name="20% - Accent2 3 2 3 3 2" xfId="13788" xr:uid="{A4AAA24B-867C-4AA3-AAD9-7ADF09BBC13F}"/>
    <cellStyle name="20% - Accent2 3 2 3 4" xfId="9570" xr:uid="{20A5A414-554D-4CBB-95BA-82581AF5999D}"/>
    <cellStyle name="20% - Accent2 3 2 4" xfId="1451" xr:uid="{00000000-0005-0000-0000-0000FC000000}"/>
    <cellStyle name="20% - Accent2 3 2 4 2" xfId="3681" xr:uid="{00000000-0005-0000-0000-0000FD000000}"/>
    <cellStyle name="20% - Accent2 3 2 4 2 2" xfId="7904" xr:uid="{00000000-0005-0000-0000-0000FE000000}"/>
    <cellStyle name="20% - Accent2 3 2 4 2 2 2" xfId="16346" xr:uid="{F1BADFDC-08F9-4588-B790-C0B5149E47C6}"/>
    <cellStyle name="20% - Accent2 3 2 4 2 3" xfId="12128" xr:uid="{F6C4086B-7CF7-49C0-A4E5-DEA6A41AFDAE}"/>
    <cellStyle name="20% - Accent2 3 2 4 3" xfId="5759" xr:uid="{00000000-0005-0000-0000-0000FF000000}"/>
    <cellStyle name="20% - Accent2 3 2 4 3 2" xfId="14201" xr:uid="{B62190D3-6D20-4FDA-A85F-34D22F5F7D7C}"/>
    <cellStyle name="20% - Accent2 3 2 4 4" xfId="9983" xr:uid="{8102049F-8991-4491-B1B3-95D358964BE8}"/>
    <cellStyle name="20% - Accent2 3 2 5" xfId="1865" xr:uid="{00000000-0005-0000-0000-000000010000}"/>
    <cellStyle name="20% - Accent2 3 2 5 2" xfId="4094" xr:uid="{00000000-0005-0000-0000-000001010000}"/>
    <cellStyle name="20% - Accent2 3 2 5 2 2" xfId="8317" xr:uid="{00000000-0005-0000-0000-000002010000}"/>
    <cellStyle name="20% - Accent2 3 2 5 2 2 2" xfId="16759" xr:uid="{BB355399-2EA7-494A-9DAB-032AC7320953}"/>
    <cellStyle name="20% - Accent2 3 2 5 2 3" xfId="12541" xr:uid="{7D336507-2943-48FD-8DA0-91FFE1CFBC60}"/>
    <cellStyle name="20% - Accent2 3 2 5 3" xfId="6172" xr:uid="{00000000-0005-0000-0000-000003010000}"/>
    <cellStyle name="20% - Accent2 3 2 5 3 2" xfId="14614" xr:uid="{E279D5A9-A9F1-427B-A9F0-2E574220337A}"/>
    <cellStyle name="20% - Accent2 3 2 5 4" xfId="10396" xr:uid="{9819BEFF-D6C5-4381-99B6-1EA48C86E8A7}"/>
    <cellStyle name="20% - Accent2 3 2 6" xfId="2278" xr:uid="{00000000-0005-0000-0000-000004010000}"/>
    <cellStyle name="20% - Accent2 3 2 6 2" xfId="6585" xr:uid="{00000000-0005-0000-0000-000005010000}"/>
    <cellStyle name="20% - Accent2 3 2 6 2 2" xfId="15027" xr:uid="{3A140DD3-D8CC-432A-AD07-6C5760296BE7}"/>
    <cellStyle name="20% - Accent2 3 2 6 3" xfId="10809" xr:uid="{9B2D4DDD-75D1-4334-9817-0F6A641C85C8}"/>
    <cellStyle name="20% - Accent2 3 2 7" xfId="4519" xr:uid="{00000000-0005-0000-0000-000006010000}"/>
    <cellStyle name="20% - Accent2 3 2 7 2" xfId="12961" xr:uid="{C11EF0CA-EB37-4E8E-A90F-320ACA6BC9BF}"/>
    <cellStyle name="20% - Accent2 3 2 8" xfId="8743" xr:uid="{289618E8-2AE6-4D0E-A4FE-66C9023A508C}"/>
    <cellStyle name="20% - Accent2 3 3" xfId="583" xr:uid="{00000000-0005-0000-0000-000007010000}"/>
    <cellStyle name="20% - Accent2 3 3 2" xfId="2854" xr:uid="{00000000-0005-0000-0000-000008010000}"/>
    <cellStyle name="20% - Accent2 3 3 2 2" xfId="7077" xr:uid="{00000000-0005-0000-0000-000009010000}"/>
    <cellStyle name="20% - Accent2 3 3 2 2 2" xfId="15519" xr:uid="{BCE7CFC1-244D-4D90-9C94-CF5FDF2E6FB8}"/>
    <cellStyle name="20% - Accent2 3 3 2 3" xfId="11301" xr:uid="{88992941-477E-4865-B07E-9D6706EC3ACC}"/>
    <cellStyle name="20% - Accent2 3 3 3" xfId="4932" xr:uid="{00000000-0005-0000-0000-00000A010000}"/>
    <cellStyle name="20% - Accent2 3 3 3 2" xfId="13374" xr:uid="{7F8616C3-E9DA-4AFE-916E-8DD105A58911}"/>
    <cellStyle name="20% - Accent2 3 3 4" xfId="9156" xr:uid="{CA3139E4-6AC6-40EA-A439-C64ED8FFD917}"/>
    <cellStyle name="20% - Accent2 3 4" xfId="1036" xr:uid="{00000000-0005-0000-0000-00000B010000}"/>
    <cellStyle name="20% - Accent2 3 4 2" xfId="3267" xr:uid="{00000000-0005-0000-0000-00000C010000}"/>
    <cellStyle name="20% - Accent2 3 4 2 2" xfId="7490" xr:uid="{00000000-0005-0000-0000-00000D010000}"/>
    <cellStyle name="20% - Accent2 3 4 2 2 2" xfId="15932" xr:uid="{58B740FC-35D3-4591-ACF9-199B6EBCC907}"/>
    <cellStyle name="20% - Accent2 3 4 2 3" xfId="11714" xr:uid="{9CFD2B87-01C0-47C8-8AF6-9D7E953A379E}"/>
    <cellStyle name="20% - Accent2 3 4 3" xfId="5345" xr:uid="{00000000-0005-0000-0000-00000E010000}"/>
    <cellStyle name="20% - Accent2 3 4 3 2" xfId="13787" xr:uid="{0F3B9784-DC68-4990-B93A-21F9D5898FF9}"/>
    <cellStyle name="20% - Accent2 3 4 4" xfId="9569" xr:uid="{74CC6ED8-DC59-43AF-8ED2-B4163B46CACB}"/>
    <cellStyle name="20% - Accent2 3 5" xfId="1450" xr:uid="{00000000-0005-0000-0000-00000F010000}"/>
    <cellStyle name="20% - Accent2 3 5 2" xfId="3680" xr:uid="{00000000-0005-0000-0000-000010010000}"/>
    <cellStyle name="20% - Accent2 3 5 2 2" xfId="7903" xr:uid="{00000000-0005-0000-0000-000011010000}"/>
    <cellStyle name="20% - Accent2 3 5 2 2 2" xfId="16345" xr:uid="{FA12458E-C94C-4900-A441-63E110101C7D}"/>
    <cellStyle name="20% - Accent2 3 5 2 3" xfId="12127" xr:uid="{26EB978F-1E6F-49BC-977F-7CFEEEB213F2}"/>
    <cellStyle name="20% - Accent2 3 5 3" xfId="5758" xr:uid="{00000000-0005-0000-0000-000012010000}"/>
    <cellStyle name="20% - Accent2 3 5 3 2" xfId="14200" xr:uid="{BFD04DC5-71EC-4298-B1CC-FCBD1003487A}"/>
    <cellStyle name="20% - Accent2 3 5 4" xfId="9982" xr:uid="{6B5E58D2-9038-40E1-92CE-AFF97D248DC1}"/>
    <cellStyle name="20% - Accent2 3 6" xfId="1864" xr:uid="{00000000-0005-0000-0000-000013010000}"/>
    <cellStyle name="20% - Accent2 3 6 2" xfId="4093" xr:uid="{00000000-0005-0000-0000-000014010000}"/>
    <cellStyle name="20% - Accent2 3 6 2 2" xfId="8316" xr:uid="{00000000-0005-0000-0000-000015010000}"/>
    <cellStyle name="20% - Accent2 3 6 2 2 2" xfId="16758" xr:uid="{A8957362-2601-404D-837D-F85A474EBB2D}"/>
    <cellStyle name="20% - Accent2 3 6 2 3" xfId="12540" xr:uid="{EB5FC6F6-1AC7-4E28-AD71-F75A55E81AC6}"/>
    <cellStyle name="20% - Accent2 3 6 3" xfId="6171" xr:uid="{00000000-0005-0000-0000-000016010000}"/>
    <cellStyle name="20% - Accent2 3 6 3 2" xfId="14613" xr:uid="{BBAAE5A8-0053-4F03-847E-F0B8EB3FA066}"/>
    <cellStyle name="20% - Accent2 3 6 4" xfId="10395" xr:uid="{75C4B489-5CA8-42AB-8A46-A35C55823CDB}"/>
    <cellStyle name="20% - Accent2 3 7" xfId="2277" xr:uid="{00000000-0005-0000-0000-000017010000}"/>
    <cellStyle name="20% - Accent2 3 7 2" xfId="6584" xr:uid="{00000000-0005-0000-0000-000018010000}"/>
    <cellStyle name="20% - Accent2 3 7 2 2" xfId="15026" xr:uid="{19AFF64A-4F9A-4215-B50E-F015EA7B8D35}"/>
    <cellStyle name="20% - Accent2 3 7 3" xfId="10808" xr:uid="{6662AE1E-C3B2-497D-8EC5-6E7E6B8F59D8}"/>
    <cellStyle name="20% - Accent2 3 8" xfId="4518" xr:uid="{00000000-0005-0000-0000-000019010000}"/>
    <cellStyle name="20% - Accent2 3 8 2" xfId="12960" xr:uid="{FC519412-A026-45B4-BF1D-7CA1E2ECB9E1}"/>
    <cellStyle name="20% - Accent2 3 9" xfId="8742" xr:uid="{6CBA671B-746F-42AC-A3A3-D95B257296FE}"/>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2 2 2" xfId="15521" xr:uid="{7BBA26E9-0625-4F0C-ABAF-9727193408E2}"/>
    <cellStyle name="20% - Accent2 4 2 2 3" xfId="11303" xr:uid="{E7D436C0-0861-443E-9999-CF4E3715E412}"/>
    <cellStyle name="20% - Accent2 4 2 3" xfId="4934" xr:uid="{00000000-0005-0000-0000-00001E010000}"/>
    <cellStyle name="20% - Accent2 4 2 3 2" xfId="13376" xr:uid="{218B3579-DDDF-4C38-8DBF-6066DBB9DFA4}"/>
    <cellStyle name="20% - Accent2 4 2 4" xfId="9158" xr:uid="{9A97CF35-8547-4AF9-AECF-E45BDEA675CF}"/>
    <cellStyle name="20% - Accent2 4 3" xfId="1038" xr:uid="{00000000-0005-0000-0000-00001F010000}"/>
    <cellStyle name="20% - Accent2 4 3 2" xfId="3269" xr:uid="{00000000-0005-0000-0000-000020010000}"/>
    <cellStyle name="20% - Accent2 4 3 2 2" xfId="7492" xr:uid="{00000000-0005-0000-0000-000021010000}"/>
    <cellStyle name="20% - Accent2 4 3 2 2 2" xfId="15934" xr:uid="{3F2C91E0-B219-42C4-9B39-15A43410F761}"/>
    <cellStyle name="20% - Accent2 4 3 2 3" xfId="11716" xr:uid="{8D1E063A-0002-4854-B20B-E05958806470}"/>
    <cellStyle name="20% - Accent2 4 3 3" xfId="5347" xr:uid="{00000000-0005-0000-0000-000022010000}"/>
    <cellStyle name="20% - Accent2 4 3 3 2" xfId="13789" xr:uid="{12ED0074-BA41-49D4-9A9F-C699A0028638}"/>
    <cellStyle name="20% - Accent2 4 3 4" xfId="9571" xr:uid="{0CD4BE52-CDF7-45AB-AE26-2BF0DA7E8FF0}"/>
    <cellStyle name="20% - Accent2 4 4" xfId="1452" xr:uid="{00000000-0005-0000-0000-000023010000}"/>
    <cellStyle name="20% - Accent2 4 4 2" xfId="3682" xr:uid="{00000000-0005-0000-0000-000024010000}"/>
    <cellStyle name="20% - Accent2 4 4 2 2" xfId="7905" xr:uid="{00000000-0005-0000-0000-000025010000}"/>
    <cellStyle name="20% - Accent2 4 4 2 2 2" xfId="16347" xr:uid="{04BC48A1-289B-4FD1-8FD9-30CE99D52F2B}"/>
    <cellStyle name="20% - Accent2 4 4 2 3" xfId="12129" xr:uid="{9F3BBCC7-D960-4C46-9A35-C309D3E1FAF2}"/>
    <cellStyle name="20% - Accent2 4 4 3" xfId="5760" xr:uid="{00000000-0005-0000-0000-000026010000}"/>
    <cellStyle name="20% - Accent2 4 4 3 2" xfId="14202" xr:uid="{3BB7D3C2-F37C-49C5-8AD0-C42B83691FB0}"/>
    <cellStyle name="20% - Accent2 4 4 4" xfId="9984" xr:uid="{902FC52A-92FE-4D95-9034-9DCEB4F1D6F5}"/>
    <cellStyle name="20% - Accent2 4 5" xfId="1866" xr:uid="{00000000-0005-0000-0000-000027010000}"/>
    <cellStyle name="20% - Accent2 4 5 2" xfId="4095" xr:uid="{00000000-0005-0000-0000-000028010000}"/>
    <cellStyle name="20% - Accent2 4 5 2 2" xfId="8318" xr:uid="{00000000-0005-0000-0000-000029010000}"/>
    <cellStyle name="20% - Accent2 4 5 2 2 2" xfId="16760" xr:uid="{FBE2D775-DFF3-4178-BE74-F97D693A41D3}"/>
    <cellStyle name="20% - Accent2 4 5 2 3" xfId="12542" xr:uid="{BA3176EE-23C8-4791-9E49-DD43F5D6DC9A}"/>
    <cellStyle name="20% - Accent2 4 5 3" xfId="6173" xr:uid="{00000000-0005-0000-0000-00002A010000}"/>
    <cellStyle name="20% - Accent2 4 5 3 2" xfId="14615" xr:uid="{BD3CB8E7-ABC3-49C0-AE7E-26FB153CB934}"/>
    <cellStyle name="20% - Accent2 4 5 4" xfId="10397" xr:uid="{B414C9F8-1844-43EB-B877-7E552D6C8F18}"/>
    <cellStyle name="20% - Accent2 4 6" xfId="2279" xr:uid="{00000000-0005-0000-0000-00002B010000}"/>
    <cellStyle name="20% - Accent2 4 6 2" xfId="6586" xr:uid="{00000000-0005-0000-0000-00002C010000}"/>
    <cellStyle name="20% - Accent2 4 6 2 2" xfId="15028" xr:uid="{C3AD5BED-047A-4667-AF79-09F29BC0D69B}"/>
    <cellStyle name="20% - Accent2 4 6 3" xfId="10810" xr:uid="{E194D9C8-FC0C-43B2-BD42-806D5D1573A3}"/>
    <cellStyle name="20% - Accent2 4 7" xfId="4520" xr:uid="{00000000-0005-0000-0000-00002D010000}"/>
    <cellStyle name="20% - Accent2 4 7 2" xfId="12962" xr:uid="{AD9DC950-0C79-484D-B477-836D37451014}"/>
    <cellStyle name="20% - Accent2 4 8" xfId="8744" xr:uid="{2480D0D5-7EB5-447A-BF88-50A55305424D}"/>
    <cellStyle name="20% - Accent2 5" xfId="578" xr:uid="{00000000-0005-0000-0000-00002E010000}"/>
    <cellStyle name="20% - Accent2 5 2" xfId="2849" xr:uid="{00000000-0005-0000-0000-00002F010000}"/>
    <cellStyle name="20% - Accent2 5 2 2" xfId="7072" xr:uid="{00000000-0005-0000-0000-000030010000}"/>
    <cellStyle name="20% - Accent2 5 2 2 2" xfId="15514" xr:uid="{C550135A-A478-45AA-B296-7548B0B18EEC}"/>
    <cellStyle name="20% - Accent2 5 2 3" xfId="11296" xr:uid="{6AFA90CD-1D4F-40B4-AB08-8738104B631C}"/>
    <cellStyle name="20% - Accent2 5 3" xfId="4927" xr:uid="{00000000-0005-0000-0000-000031010000}"/>
    <cellStyle name="20% - Accent2 5 3 2" xfId="13369" xr:uid="{03C5D772-D787-43B5-871A-4946C8E4D6F9}"/>
    <cellStyle name="20% - Accent2 5 4" xfId="9151" xr:uid="{674D3F61-0EAD-4AA2-A99F-5F582BE0E143}"/>
    <cellStyle name="20% - Accent2 6" xfId="1031" xr:uid="{00000000-0005-0000-0000-000032010000}"/>
    <cellStyle name="20% - Accent2 6 2" xfId="3262" xr:uid="{00000000-0005-0000-0000-000033010000}"/>
    <cellStyle name="20% - Accent2 6 2 2" xfId="7485" xr:uid="{00000000-0005-0000-0000-000034010000}"/>
    <cellStyle name="20% - Accent2 6 2 2 2" xfId="15927" xr:uid="{4A3DE9EC-4504-4506-9927-666B1109E82B}"/>
    <cellStyle name="20% - Accent2 6 2 3" xfId="11709" xr:uid="{7A5B1E21-3320-4764-B44A-412E292791BE}"/>
    <cellStyle name="20% - Accent2 6 3" xfId="5340" xr:uid="{00000000-0005-0000-0000-000035010000}"/>
    <cellStyle name="20% - Accent2 6 3 2" xfId="13782" xr:uid="{D094810E-BD6C-4461-AD3A-8591BE2800AB}"/>
    <cellStyle name="20% - Accent2 6 4" xfId="9564" xr:uid="{3FE002AD-73EA-4210-AA44-5B1E2E9C1227}"/>
    <cellStyle name="20% - Accent2 7" xfId="1445" xr:uid="{00000000-0005-0000-0000-000036010000}"/>
    <cellStyle name="20% - Accent2 7 2" xfId="3675" xr:uid="{00000000-0005-0000-0000-000037010000}"/>
    <cellStyle name="20% - Accent2 7 2 2" xfId="7898" xr:uid="{00000000-0005-0000-0000-000038010000}"/>
    <cellStyle name="20% - Accent2 7 2 2 2" xfId="16340" xr:uid="{A243473E-52F2-421C-8BF2-429C9D0CBD72}"/>
    <cellStyle name="20% - Accent2 7 2 3" xfId="12122" xr:uid="{561C5FFB-F8DD-4BFD-A508-DEA572997FFE}"/>
    <cellStyle name="20% - Accent2 7 3" xfId="5753" xr:uid="{00000000-0005-0000-0000-000039010000}"/>
    <cellStyle name="20% - Accent2 7 3 2" xfId="14195" xr:uid="{0BB45F24-E5F9-4DED-890C-658BB4A2584C}"/>
    <cellStyle name="20% - Accent2 7 4" xfId="9977" xr:uid="{F4AA5C28-3BCA-4DED-AAD3-D024D9DD1E11}"/>
    <cellStyle name="20% - Accent2 8" xfId="1859" xr:uid="{00000000-0005-0000-0000-00003A010000}"/>
    <cellStyle name="20% - Accent2 8 2" xfId="4088" xr:uid="{00000000-0005-0000-0000-00003B010000}"/>
    <cellStyle name="20% - Accent2 8 2 2" xfId="8311" xr:uid="{00000000-0005-0000-0000-00003C010000}"/>
    <cellStyle name="20% - Accent2 8 2 2 2" xfId="16753" xr:uid="{4A5BED3E-31D7-4FBA-A2B3-48495C252510}"/>
    <cellStyle name="20% - Accent2 8 2 3" xfId="12535" xr:uid="{63D184CD-D550-48D6-85EC-260DBB71B76B}"/>
    <cellStyle name="20% - Accent2 8 3" xfId="6166" xr:uid="{00000000-0005-0000-0000-00003D010000}"/>
    <cellStyle name="20% - Accent2 8 3 2" xfId="14608" xr:uid="{C67D9AAD-4797-48EB-BFF2-471313590DB3}"/>
    <cellStyle name="20% - Accent2 8 4" xfId="10390" xr:uid="{6E183D45-101B-458D-B0EE-57A7E1D525A2}"/>
    <cellStyle name="20% - Accent2 9" xfId="2272" xr:uid="{00000000-0005-0000-0000-00003E010000}"/>
    <cellStyle name="20% - Accent2 9 2" xfId="6579" xr:uid="{00000000-0005-0000-0000-00003F010000}"/>
    <cellStyle name="20% - Accent2 9 2 2" xfId="15021" xr:uid="{CA684C71-8F9A-4FE5-8C85-E4248710800B}"/>
    <cellStyle name="20% - Accent2 9 3" xfId="10803" xr:uid="{72879599-BE63-4A82-BFA9-0913A435C5F5}"/>
    <cellStyle name="20% - Accent3" xfId="17" builtinId="38" customBuiltin="1"/>
    <cellStyle name="20% - Accent3 10" xfId="4521" xr:uid="{00000000-0005-0000-0000-000041010000}"/>
    <cellStyle name="20% - Accent3 10 2" xfId="12963" xr:uid="{628DF0A8-E462-43B6-B7E9-53944CAE087B}"/>
    <cellStyle name="20% - Accent3 11" xfId="8745" xr:uid="{9D0A9B76-8B6C-4226-8842-9DCD49F819F5}"/>
    <cellStyle name="20% - Accent3 2" xfId="18" xr:uid="{00000000-0005-0000-0000-000042010000}"/>
    <cellStyle name="20% - Accent3 2 10" xfId="8746" xr:uid="{FE46A767-FDC8-4D76-BEC1-4D59FD884F38}"/>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2 2 2" xfId="15525" xr:uid="{BE37BDED-8313-4A15-9C3D-CA51C270B06B}"/>
    <cellStyle name="20% - Accent3 2 2 2 2 2 3" xfId="11307" xr:uid="{CC053FC1-3C2F-48EC-9477-9B568C1DC693}"/>
    <cellStyle name="20% - Accent3 2 2 2 2 3" xfId="4938" xr:uid="{00000000-0005-0000-0000-000048010000}"/>
    <cellStyle name="20% - Accent3 2 2 2 2 3 2" xfId="13380" xr:uid="{2F3337FA-3358-4D7E-8DB2-58FC845A2B5F}"/>
    <cellStyle name="20% - Accent3 2 2 2 2 4" xfId="9162" xr:uid="{10BFB4C7-8726-410F-A782-BD07C84A408F}"/>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2 2 2" xfId="15938" xr:uid="{3DC2255C-56AC-45B3-9CE7-D57B63E0A8E9}"/>
    <cellStyle name="20% - Accent3 2 2 2 3 2 3" xfId="11720" xr:uid="{1D7FC3BE-7BF7-47F5-8ACF-64BB538AE58F}"/>
    <cellStyle name="20% - Accent3 2 2 2 3 3" xfId="5351" xr:uid="{00000000-0005-0000-0000-00004C010000}"/>
    <cellStyle name="20% - Accent3 2 2 2 3 3 2" xfId="13793" xr:uid="{0B10F79A-41B8-4FB7-BB92-2F60A3FD5CD0}"/>
    <cellStyle name="20% - Accent3 2 2 2 3 4" xfId="9575" xr:uid="{0C09991C-9E6A-4981-8A28-29F9CD070EEA}"/>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2 2 2" xfId="16351" xr:uid="{A0F881F2-4491-42E4-96E8-F74F598D805E}"/>
    <cellStyle name="20% - Accent3 2 2 2 4 2 3" xfId="12133" xr:uid="{839909AD-70F7-4F4C-B481-9B27A6B057AD}"/>
    <cellStyle name="20% - Accent3 2 2 2 4 3" xfId="5764" xr:uid="{00000000-0005-0000-0000-000050010000}"/>
    <cellStyle name="20% - Accent3 2 2 2 4 3 2" xfId="14206" xr:uid="{27561515-1509-4791-8255-61208BCA9CE1}"/>
    <cellStyle name="20% - Accent3 2 2 2 4 4" xfId="9988" xr:uid="{F26D03A0-AFAC-4C65-8840-CA4B1D00EA9D}"/>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2 2 2" xfId="16764" xr:uid="{9A2C0451-E5E7-4BCC-8996-6C40C074C253}"/>
    <cellStyle name="20% - Accent3 2 2 2 5 2 3" xfId="12546" xr:uid="{5F4B7BBD-200D-4772-890C-7D3E11478DDA}"/>
    <cellStyle name="20% - Accent3 2 2 2 5 3" xfId="6177" xr:uid="{00000000-0005-0000-0000-000054010000}"/>
    <cellStyle name="20% - Accent3 2 2 2 5 3 2" xfId="14619" xr:uid="{5C82C249-AEFF-4ACB-9EDE-5AEE2E05DCAD}"/>
    <cellStyle name="20% - Accent3 2 2 2 5 4" xfId="10401" xr:uid="{DADFF55F-D197-4F1A-B0D2-C859C0DC889F}"/>
    <cellStyle name="20% - Accent3 2 2 2 6" xfId="2283" xr:uid="{00000000-0005-0000-0000-000055010000}"/>
    <cellStyle name="20% - Accent3 2 2 2 6 2" xfId="6590" xr:uid="{00000000-0005-0000-0000-000056010000}"/>
    <cellStyle name="20% - Accent3 2 2 2 6 2 2" xfId="15032" xr:uid="{FF9F55A3-055F-4CCD-9524-3A14CF45EE24}"/>
    <cellStyle name="20% - Accent3 2 2 2 6 3" xfId="10814" xr:uid="{572FCE1C-16F3-4B92-B7A1-54CF58CC9F11}"/>
    <cellStyle name="20% - Accent3 2 2 2 7" xfId="4524" xr:uid="{00000000-0005-0000-0000-000057010000}"/>
    <cellStyle name="20% - Accent3 2 2 2 7 2" xfId="12966" xr:uid="{AE53AD66-C248-4226-AEE0-969D6989B01F}"/>
    <cellStyle name="20% - Accent3 2 2 2 8" xfId="8748" xr:uid="{18150C8F-DB2C-4092-9D5C-972D992E538A}"/>
    <cellStyle name="20% - Accent3 2 2 3" xfId="588" xr:uid="{00000000-0005-0000-0000-000058010000}"/>
    <cellStyle name="20% - Accent3 2 2 3 2" xfId="2859" xr:uid="{00000000-0005-0000-0000-000059010000}"/>
    <cellStyle name="20% - Accent3 2 2 3 2 2" xfId="7082" xr:uid="{00000000-0005-0000-0000-00005A010000}"/>
    <cellStyle name="20% - Accent3 2 2 3 2 2 2" xfId="15524" xr:uid="{959D01AA-D111-4E22-B285-1B1CE6C1E59D}"/>
    <cellStyle name="20% - Accent3 2 2 3 2 3" xfId="11306" xr:uid="{8F2A67A5-6A12-4D1C-8C3E-F3EA9160BEA4}"/>
    <cellStyle name="20% - Accent3 2 2 3 3" xfId="4937" xr:uid="{00000000-0005-0000-0000-00005B010000}"/>
    <cellStyle name="20% - Accent3 2 2 3 3 2" xfId="13379" xr:uid="{9D346E80-A0F6-4E1D-B780-1915D988D852}"/>
    <cellStyle name="20% - Accent3 2 2 3 4" xfId="9161" xr:uid="{5CCA3117-EAA5-4DC6-91EC-39096C452EEC}"/>
    <cellStyle name="20% - Accent3 2 2 4" xfId="1041" xr:uid="{00000000-0005-0000-0000-00005C010000}"/>
    <cellStyle name="20% - Accent3 2 2 4 2" xfId="3272" xr:uid="{00000000-0005-0000-0000-00005D010000}"/>
    <cellStyle name="20% - Accent3 2 2 4 2 2" xfId="7495" xr:uid="{00000000-0005-0000-0000-00005E010000}"/>
    <cellStyle name="20% - Accent3 2 2 4 2 2 2" xfId="15937" xr:uid="{F98CE122-AB58-42F9-9BDA-4BE0747937C7}"/>
    <cellStyle name="20% - Accent3 2 2 4 2 3" xfId="11719" xr:uid="{AB2F2659-6509-4F44-B4BA-CC9EFBBC787E}"/>
    <cellStyle name="20% - Accent3 2 2 4 3" xfId="5350" xr:uid="{00000000-0005-0000-0000-00005F010000}"/>
    <cellStyle name="20% - Accent3 2 2 4 3 2" xfId="13792" xr:uid="{063D7D5A-3821-4423-BC92-68E8D1989BD3}"/>
    <cellStyle name="20% - Accent3 2 2 4 4" xfId="9574" xr:uid="{29BD377F-00BA-4961-A1A0-A23B377E9161}"/>
    <cellStyle name="20% - Accent3 2 2 5" xfId="1455" xr:uid="{00000000-0005-0000-0000-000060010000}"/>
    <cellStyle name="20% - Accent3 2 2 5 2" xfId="3685" xr:uid="{00000000-0005-0000-0000-000061010000}"/>
    <cellStyle name="20% - Accent3 2 2 5 2 2" xfId="7908" xr:uid="{00000000-0005-0000-0000-000062010000}"/>
    <cellStyle name="20% - Accent3 2 2 5 2 2 2" xfId="16350" xr:uid="{AC902097-4BC3-41AF-90AD-92534DDC8681}"/>
    <cellStyle name="20% - Accent3 2 2 5 2 3" xfId="12132" xr:uid="{350CA84B-9BF6-43EB-B0E5-9E411CEA458E}"/>
    <cellStyle name="20% - Accent3 2 2 5 3" xfId="5763" xr:uid="{00000000-0005-0000-0000-000063010000}"/>
    <cellStyle name="20% - Accent3 2 2 5 3 2" xfId="14205" xr:uid="{AA2E40BE-54E0-4E8A-9C74-8EECBD24E50F}"/>
    <cellStyle name="20% - Accent3 2 2 5 4" xfId="9987" xr:uid="{142CD8E8-28DF-4761-AF7B-09A2767C4C34}"/>
    <cellStyle name="20% - Accent3 2 2 6" xfId="1869" xr:uid="{00000000-0005-0000-0000-000064010000}"/>
    <cellStyle name="20% - Accent3 2 2 6 2" xfId="4098" xr:uid="{00000000-0005-0000-0000-000065010000}"/>
    <cellStyle name="20% - Accent3 2 2 6 2 2" xfId="8321" xr:uid="{00000000-0005-0000-0000-000066010000}"/>
    <cellStyle name="20% - Accent3 2 2 6 2 2 2" xfId="16763" xr:uid="{144043A1-5E07-497A-A735-6DCABC20872E}"/>
    <cellStyle name="20% - Accent3 2 2 6 2 3" xfId="12545" xr:uid="{B73808E3-B35E-4BC7-9DFB-37A9276E6E27}"/>
    <cellStyle name="20% - Accent3 2 2 6 3" xfId="6176" xr:uid="{00000000-0005-0000-0000-000067010000}"/>
    <cellStyle name="20% - Accent3 2 2 6 3 2" xfId="14618" xr:uid="{244BD1AE-3B3E-4D65-9842-C09C4B2063D4}"/>
    <cellStyle name="20% - Accent3 2 2 6 4" xfId="10400" xr:uid="{167B43B6-AA50-46B8-A01A-476AA7D14D14}"/>
    <cellStyle name="20% - Accent3 2 2 7" xfId="2282" xr:uid="{00000000-0005-0000-0000-000068010000}"/>
    <cellStyle name="20% - Accent3 2 2 7 2" xfId="6589" xr:uid="{00000000-0005-0000-0000-000069010000}"/>
    <cellStyle name="20% - Accent3 2 2 7 2 2" xfId="15031" xr:uid="{B59ECF5C-4B77-4511-8702-F9C56EED7F82}"/>
    <cellStyle name="20% - Accent3 2 2 7 3" xfId="10813" xr:uid="{BA63C949-D1CC-4067-A5B3-8D043C863A3F}"/>
    <cellStyle name="20% - Accent3 2 2 8" xfId="4523" xr:uid="{00000000-0005-0000-0000-00006A010000}"/>
    <cellStyle name="20% - Accent3 2 2 8 2" xfId="12965" xr:uid="{55897A48-2E86-465D-9FCD-A62D67E3ED59}"/>
    <cellStyle name="20% - Accent3 2 2 9" xfId="8747" xr:uid="{285DB854-291A-4973-A7B8-5F85313DE08A}"/>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2 2 2" xfId="15526" xr:uid="{53C0990F-D14D-4432-B646-4094E1DCEC6F}"/>
    <cellStyle name="20% - Accent3 2 3 2 2 3" xfId="11308" xr:uid="{B24F8C31-44D1-41A9-B6FE-B8EEFB6F3B21}"/>
    <cellStyle name="20% - Accent3 2 3 2 3" xfId="4939" xr:uid="{00000000-0005-0000-0000-00006F010000}"/>
    <cellStyle name="20% - Accent3 2 3 2 3 2" xfId="13381" xr:uid="{3AD8F570-A5F9-42F1-BB0E-217A7D1FCAD2}"/>
    <cellStyle name="20% - Accent3 2 3 2 4" xfId="9163" xr:uid="{8C79FA3A-6325-4369-BF06-134F2D3C36D4}"/>
    <cellStyle name="20% - Accent3 2 3 3" xfId="1043" xr:uid="{00000000-0005-0000-0000-000070010000}"/>
    <cellStyle name="20% - Accent3 2 3 3 2" xfId="3274" xr:uid="{00000000-0005-0000-0000-000071010000}"/>
    <cellStyle name="20% - Accent3 2 3 3 2 2" xfId="7497" xr:uid="{00000000-0005-0000-0000-000072010000}"/>
    <cellStyle name="20% - Accent3 2 3 3 2 2 2" xfId="15939" xr:uid="{219AFF46-5ADE-4F08-8088-F7CBF4DB59CA}"/>
    <cellStyle name="20% - Accent3 2 3 3 2 3" xfId="11721" xr:uid="{8D61B0BE-44B4-49B7-AE49-44EE0360AFDB}"/>
    <cellStyle name="20% - Accent3 2 3 3 3" xfId="5352" xr:uid="{00000000-0005-0000-0000-000073010000}"/>
    <cellStyle name="20% - Accent3 2 3 3 3 2" xfId="13794" xr:uid="{C6C9A389-0106-4DDE-B1C9-B357F0CBD7C5}"/>
    <cellStyle name="20% - Accent3 2 3 3 4" xfId="9576" xr:uid="{6A0100C8-E110-40D9-B7EE-6A7E1F771DDC}"/>
    <cellStyle name="20% - Accent3 2 3 4" xfId="1457" xr:uid="{00000000-0005-0000-0000-000074010000}"/>
    <cellStyle name="20% - Accent3 2 3 4 2" xfId="3687" xr:uid="{00000000-0005-0000-0000-000075010000}"/>
    <cellStyle name="20% - Accent3 2 3 4 2 2" xfId="7910" xr:uid="{00000000-0005-0000-0000-000076010000}"/>
    <cellStyle name="20% - Accent3 2 3 4 2 2 2" xfId="16352" xr:uid="{247D25AB-A91C-41CD-8F7D-FDA4D79924C8}"/>
    <cellStyle name="20% - Accent3 2 3 4 2 3" xfId="12134" xr:uid="{FAA7CC3F-7F99-40E1-8294-554D1CB65739}"/>
    <cellStyle name="20% - Accent3 2 3 4 3" xfId="5765" xr:uid="{00000000-0005-0000-0000-000077010000}"/>
    <cellStyle name="20% - Accent3 2 3 4 3 2" xfId="14207" xr:uid="{8C034A96-CACC-4763-8101-F0242B4C8E05}"/>
    <cellStyle name="20% - Accent3 2 3 4 4" xfId="9989" xr:uid="{479BAF76-CB9A-4E6B-B6D7-89B7E6F41225}"/>
    <cellStyle name="20% - Accent3 2 3 5" xfId="1871" xr:uid="{00000000-0005-0000-0000-000078010000}"/>
    <cellStyle name="20% - Accent3 2 3 5 2" xfId="4100" xr:uid="{00000000-0005-0000-0000-000079010000}"/>
    <cellStyle name="20% - Accent3 2 3 5 2 2" xfId="8323" xr:uid="{00000000-0005-0000-0000-00007A010000}"/>
    <cellStyle name="20% - Accent3 2 3 5 2 2 2" xfId="16765" xr:uid="{61AF931E-5778-40CF-A3A4-8C53067A8065}"/>
    <cellStyle name="20% - Accent3 2 3 5 2 3" xfId="12547" xr:uid="{523680DC-03CD-447C-9B23-5816453B5242}"/>
    <cellStyle name="20% - Accent3 2 3 5 3" xfId="6178" xr:uid="{00000000-0005-0000-0000-00007B010000}"/>
    <cellStyle name="20% - Accent3 2 3 5 3 2" xfId="14620" xr:uid="{5E71086C-D8E0-4B0E-AFF1-9F2BC83D0FDC}"/>
    <cellStyle name="20% - Accent3 2 3 5 4" xfId="10402" xr:uid="{28AE0B56-189C-4CB4-BA12-736CA157F14C}"/>
    <cellStyle name="20% - Accent3 2 3 6" xfId="2284" xr:uid="{00000000-0005-0000-0000-00007C010000}"/>
    <cellStyle name="20% - Accent3 2 3 6 2" xfId="6591" xr:uid="{00000000-0005-0000-0000-00007D010000}"/>
    <cellStyle name="20% - Accent3 2 3 6 2 2" xfId="15033" xr:uid="{7813EB47-15BD-4819-8206-0F3F6F2617E2}"/>
    <cellStyle name="20% - Accent3 2 3 6 3" xfId="10815" xr:uid="{712F8985-D474-40B0-9370-37F16477E550}"/>
    <cellStyle name="20% - Accent3 2 3 7" xfId="4525" xr:uid="{00000000-0005-0000-0000-00007E010000}"/>
    <cellStyle name="20% - Accent3 2 3 7 2" xfId="12967" xr:uid="{BFE6EE21-1707-495A-A874-A43E1832F194}"/>
    <cellStyle name="20% - Accent3 2 3 8" xfId="8749" xr:uid="{1310D9F6-FEA4-474D-ADE9-12BD2043C306}"/>
    <cellStyle name="20% - Accent3 2 4" xfId="587" xr:uid="{00000000-0005-0000-0000-00007F010000}"/>
    <cellStyle name="20% - Accent3 2 4 2" xfId="2858" xr:uid="{00000000-0005-0000-0000-000080010000}"/>
    <cellStyle name="20% - Accent3 2 4 2 2" xfId="7081" xr:uid="{00000000-0005-0000-0000-000081010000}"/>
    <cellStyle name="20% - Accent3 2 4 2 2 2" xfId="15523" xr:uid="{06284EBB-C602-4562-AA55-526E5EDBC439}"/>
    <cellStyle name="20% - Accent3 2 4 2 3" xfId="11305" xr:uid="{095BCC7C-D536-4453-AF0B-6D7D6E936931}"/>
    <cellStyle name="20% - Accent3 2 4 3" xfId="4936" xr:uid="{00000000-0005-0000-0000-000082010000}"/>
    <cellStyle name="20% - Accent3 2 4 3 2" xfId="13378" xr:uid="{518CA0AF-B7E8-40B8-A7FA-7FAC8B42B8B6}"/>
    <cellStyle name="20% - Accent3 2 4 4" xfId="9160" xr:uid="{C3F50A0F-6724-426F-8665-048298C7F61D}"/>
    <cellStyle name="20% - Accent3 2 5" xfId="1040" xr:uid="{00000000-0005-0000-0000-000083010000}"/>
    <cellStyle name="20% - Accent3 2 5 2" xfId="3271" xr:uid="{00000000-0005-0000-0000-000084010000}"/>
    <cellStyle name="20% - Accent3 2 5 2 2" xfId="7494" xr:uid="{00000000-0005-0000-0000-000085010000}"/>
    <cellStyle name="20% - Accent3 2 5 2 2 2" xfId="15936" xr:uid="{1CD85291-73AE-4900-A3AC-DA5A55552930}"/>
    <cellStyle name="20% - Accent3 2 5 2 3" xfId="11718" xr:uid="{04C58054-3050-49D3-A5C5-0CEB29F57F78}"/>
    <cellStyle name="20% - Accent3 2 5 3" xfId="5349" xr:uid="{00000000-0005-0000-0000-000086010000}"/>
    <cellStyle name="20% - Accent3 2 5 3 2" xfId="13791" xr:uid="{CED1D812-D00D-4D41-993C-E774EDDE92E7}"/>
    <cellStyle name="20% - Accent3 2 5 4" xfId="9573" xr:uid="{7FC3CA71-31F7-4489-9F7B-E7B1A3B700EF}"/>
    <cellStyle name="20% - Accent3 2 6" xfId="1454" xr:uid="{00000000-0005-0000-0000-000087010000}"/>
    <cellStyle name="20% - Accent3 2 6 2" xfId="3684" xr:uid="{00000000-0005-0000-0000-000088010000}"/>
    <cellStyle name="20% - Accent3 2 6 2 2" xfId="7907" xr:uid="{00000000-0005-0000-0000-000089010000}"/>
    <cellStyle name="20% - Accent3 2 6 2 2 2" xfId="16349" xr:uid="{FA6D3C05-8F9C-441E-9C7F-3AC1E2B33680}"/>
    <cellStyle name="20% - Accent3 2 6 2 3" xfId="12131" xr:uid="{3996FD59-BCC2-4EAE-A7ED-296673454A86}"/>
    <cellStyle name="20% - Accent3 2 6 3" xfId="5762" xr:uid="{00000000-0005-0000-0000-00008A010000}"/>
    <cellStyle name="20% - Accent3 2 6 3 2" xfId="14204" xr:uid="{F27C7B21-E22B-464C-9049-74D897F87D43}"/>
    <cellStyle name="20% - Accent3 2 6 4" xfId="9986" xr:uid="{1A1C3652-A22E-4F40-AA74-B2313E4F0242}"/>
    <cellStyle name="20% - Accent3 2 7" xfId="1868" xr:uid="{00000000-0005-0000-0000-00008B010000}"/>
    <cellStyle name="20% - Accent3 2 7 2" xfId="4097" xr:uid="{00000000-0005-0000-0000-00008C010000}"/>
    <cellStyle name="20% - Accent3 2 7 2 2" xfId="8320" xr:uid="{00000000-0005-0000-0000-00008D010000}"/>
    <cellStyle name="20% - Accent3 2 7 2 2 2" xfId="16762" xr:uid="{FB71BFFA-B13F-48E5-89AF-18C67FF4C7F8}"/>
    <cellStyle name="20% - Accent3 2 7 2 3" xfId="12544" xr:uid="{0BE4F9AB-5A07-45DD-81F8-54697322875F}"/>
    <cellStyle name="20% - Accent3 2 7 3" xfId="6175" xr:uid="{00000000-0005-0000-0000-00008E010000}"/>
    <cellStyle name="20% - Accent3 2 7 3 2" xfId="14617" xr:uid="{404251D0-92B5-453E-A8CC-2DAC59D63B02}"/>
    <cellStyle name="20% - Accent3 2 7 4" xfId="10399" xr:uid="{09B48E07-F33B-4FCF-B2B9-4161C0B54765}"/>
    <cellStyle name="20% - Accent3 2 8" xfId="2281" xr:uid="{00000000-0005-0000-0000-00008F010000}"/>
    <cellStyle name="20% - Accent3 2 8 2" xfId="6588" xr:uid="{00000000-0005-0000-0000-000090010000}"/>
    <cellStyle name="20% - Accent3 2 8 2 2" xfId="15030" xr:uid="{DEF1DC03-AA65-42EF-971D-BFCD81E97F69}"/>
    <cellStyle name="20% - Accent3 2 8 3" xfId="10812" xr:uid="{9C4F03FC-5FCA-4AFB-8E1D-4858E11BF72C}"/>
    <cellStyle name="20% - Accent3 2 9" xfId="4522" xr:uid="{00000000-0005-0000-0000-000091010000}"/>
    <cellStyle name="20% - Accent3 2 9 2" xfId="12964" xr:uid="{101324D8-4117-4EF8-A75F-83EC629E25DA}"/>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2 2 2" xfId="15528" xr:uid="{4B8ED5A6-C711-4DEC-80DF-21ABA000B131}"/>
    <cellStyle name="20% - Accent3 3 2 2 2 3" xfId="11310" xr:uid="{ED8157D3-9D0D-4A2C-89FE-46C776FCE846}"/>
    <cellStyle name="20% - Accent3 3 2 2 3" xfId="4941" xr:uid="{00000000-0005-0000-0000-000097010000}"/>
    <cellStyle name="20% - Accent3 3 2 2 3 2" xfId="13383" xr:uid="{02FA23A4-31D7-4252-9B1B-6FA390D672D4}"/>
    <cellStyle name="20% - Accent3 3 2 2 4" xfId="9165" xr:uid="{F9FF0B8D-1BA1-4928-8D34-2EEBD8538BD7}"/>
    <cellStyle name="20% - Accent3 3 2 3" xfId="1045" xr:uid="{00000000-0005-0000-0000-000098010000}"/>
    <cellStyle name="20% - Accent3 3 2 3 2" xfId="3276" xr:uid="{00000000-0005-0000-0000-000099010000}"/>
    <cellStyle name="20% - Accent3 3 2 3 2 2" xfId="7499" xr:uid="{00000000-0005-0000-0000-00009A010000}"/>
    <cellStyle name="20% - Accent3 3 2 3 2 2 2" xfId="15941" xr:uid="{B79B8D1F-8350-46DF-A1B2-0FDDF36D374E}"/>
    <cellStyle name="20% - Accent3 3 2 3 2 3" xfId="11723" xr:uid="{B434CE1B-FE9A-457A-9E91-EBB63FB22004}"/>
    <cellStyle name="20% - Accent3 3 2 3 3" xfId="5354" xr:uid="{00000000-0005-0000-0000-00009B010000}"/>
    <cellStyle name="20% - Accent3 3 2 3 3 2" xfId="13796" xr:uid="{4A3034E2-687E-48B6-89F2-10EC737EFAD4}"/>
    <cellStyle name="20% - Accent3 3 2 3 4" xfId="9578" xr:uid="{121E29E1-CB7A-4ED5-822E-2B0F71AF872C}"/>
    <cellStyle name="20% - Accent3 3 2 4" xfId="1459" xr:uid="{00000000-0005-0000-0000-00009C010000}"/>
    <cellStyle name="20% - Accent3 3 2 4 2" xfId="3689" xr:uid="{00000000-0005-0000-0000-00009D010000}"/>
    <cellStyle name="20% - Accent3 3 2 4 2 2" xfId="7912" xr:uid="{00000000-0005-0000-0000-00009E010000}"/>
    <cellStyle name="20% - Accent3 3 2 4 2 2 2" xfId="16354" xr:uid="{47D5A8ED-0D17-44B7-9EFB-7D298702364E}"/>
    <cellStyle name="20% - Accent3 3 2 4 2 3" xfId="12136" xr:uid="{2962479A-EB72-4D4B-AFCB-3F2D4EA23C63}"/>
    <cellStyle name="20% - Accent3 3 2 4 3" xfId="5767" xr:uid="{00000000-0005-0000-0000-00009F010000}"/>
    <cellStyle name="20% - Accent3 3 2 4 3 2" xfId="14209" xr:uid="{A6250591-3747-40CC-B404-8F94AA357E83}"/>
    <cellStyle name="20% - Accent3 3 2 4 4" xfId="9991" xr:uid="{FE637D2A-6799-464A-88B7-146A167B8325}"/>
    <cellStyle name="20% - Accent3 3 2 5" xfId="1873" xr:uid="{00000000-0005-0000-0000-0000A0010000}"/>
    <cellStyle name="20% - Accent3 3 2 5 2" xfId="4102" xr:uid="{00000000-0005-0000-0000-0000A1010000}"/>
    <cellStyle name="20% - Accent3 3 2 5 2 2" xfId="8325" xr:uid="{00000000-0005-0000-0000-0000A2010000}"/>
    <cellStyle name="20% - Accent3 3 2 5 2 2 2" xfId="16767" xr:uid="{AC24B27F-EBFC-48D3-832B-C6CB5EC4CD5A}"/>
    <cellStyle name="20% - Accent3 3 2 5 2 3" xfId="12549" xr:uid="{68C80C86-C255-421B-BF30-CD83EB3B0DE8}"/>
    <cellStyle name="20% - Accent3 3 2 5 3" xfId="6180" xr:uid="{00000000-0005-0000-0000-0000A3010000}"/>
    <cellStyle name="20% - Accent3 3 2 5 3 2" xfId="14622" xr:uid="{5D7D0B9B-7911-43CF-91A8-74F1D0A73A1F}"/>
    <cellStyle name="20% - Accent3 3 2 5 4" xfId="10404" xr:uid="{086A7CC8-D7EC-4A15-8C86-8ADADAB47533}"/>
    <cellStyle name="20% - Accent3 3 2 6" xfId="2286" xr:uid="{00000000-0005-0000-0000-0000A4010000}"/>
    <cellStyle name="20% - Accent3 3 2 6 2" xfId="6593" xr:uid="{00000000-0005-0000-0000-0000A5010000}"/>
    <cellStyle name="20% - Accent3 3 2 6 2 2" xfId="15035" xr:uid="{1FE13C7D-82B1-49BD-AA1A-3F9C8E1E9F9D}"/>
    <cellStyle name="20% - Accent3 3 2 6 3" xfId="10817" xr:uid="{A76E9BC3-C4FE-4E2C-B241-114B149791D8}"/>
    <cellStyle name="20% - Accent3 3 2 7" xfId="4527" xr:uid="{00000000-0005-0000-0000-0000A6010000}"/>
    <cellStyle name="20% - Accent3 3 2 7 2" xfId="12969" xr:uid="{033B0180-DC33-4EB2-BE69-C2F06D848E3A}"/>
    <cellStyle name="20% - Accent3 3 2 8" xfId="8751" xr:uid="{5B73E1D2-6265-4A91-AABC-4BBB1DE91272}"/>
    <cellStyle name="20% - Accent3 3 3" xfId="591" xr:uid="{00000000-0005-0000-0000-0000A7010000}"/>
    <cellStyle name="20% - Accent3 3 3 2" xfId="2862" xr:uid="{00000000-0005-0000-0000-0000A8010000}"/>
    <cellStyle name="20% - Accent3 3 3 2 2" xfId="7085" xr:uid="{00000000-0005-0000-0000-0000A9010000}"/>
    <cellStyle name="20% - Accent3 3 3 2 2 2" xfId="15527" xr:uid="{F52D3325-4F84-47A6-BF61-C2E5339294EA}"/>
    <cellStyle name="20% - Accent3 3 3 2 3" xfId="11309" xr:uid="{7D972376-4B0C-41F0-99C9-4EC8E9762B9B}"/>
    <cellStyle name="20% - Accent3 3 3 3" xfId="4940" xr:uid="{00000000-0005-0000-0000-0000AA010000}"/>
    <cellStyle name="20% - Accent3 3 3 3 2" xfId="13382" xr:uid="{9CFD2EC0-F346-4E6E-B6BC-5AA0D7DDDBBE}"/>
    <cellStyle name="20% - Accent3 3 3 4" xfId="9164" xr:uid="{02C4BC70-0890-4198-83DB-132DA7DAE450}"/>
    <cellStyle name="20% - Accent3 3 4" xfId="1044" xr:uid="{00000000-0005-0000-0000-0000AB010000}"/>
    <cellStyle name="20% - Accent3 3 4 2" xfId="3275" xr:uid="{00000000-0005-0000-0000-0000AC010000}"/>
    <cellStyle name="20% - Accent3 3 4 2 2" xfId="7498" xr:uid="{00000000-0005-0000-0000-0000AD010000}"/>
    <cellStyle name="20% - Accent3 3 4 2 2 2" xfId="15940" xr:uid="{C86DAFF9-43C6-4CED-B664-3C99A7B0C929}"/>
    <cellStyle name="20% - Accent3 3 4 2 3" xfId="11722" xr:uid="{8EC568C0-DC25-46C6-9A33-01B4BB7468B1}"/>
    <cellStyle name="20% - Accent3 3 4 3" xfId="5353" xr:uid="{00000000-0005-0000-0000-0000AE010000}"/>
    <cellStyle name="20% - Accent3 3 4 3 2" xfId="13795" xr:uid="{0D43AE2E-9ED8-47A7-A6AF-062F656FC8B5}"/>
    <cellStyle name="20% - Accent3 3 4 4" xfId="9577" xr:uid="{4DE2A2BB-0BD2-4F24-BFB2-46E5943EAABA}"/>
    <cellStyle name="20% - Accent3 3 5" xfId="1458" xr:uid="{00000000-0005-0000-0000-0000AF010000}"/>
    <cellStyle name="20% - Accent3 3 5 2" xfId="3688" xr:uid="{00000000-0005-0000-0000-0000B0010000}"/>
    <cellStyle name="20% - Accent3 3 5 2 2" xfId="7911" xr:uid="{00000000-0005-0000-0000-0000B1010000}"/>
    <cellStyle name="20% - Accent3 3 5 2 2 2" xfId="16353" xr:uid="{8BF28C5E-1003-4BAA-9B72-CE2766291BD1}"/>
    <cellStyle name="20% - Accent3 3 5 2 3" xfId="12135" xr:uid="{C41299EC-1B69-44F7-839C-D80FBFBD6758}"/>
    <cellStyle name="20% - Accent3 3 5 3" xfId="5766" xr:uid="{00000000-0005-0000-0000-0000B2010000}"/>
    <cellStyle name="20% - Accent3 3 5 3 2" xfId="14208" xr:uid="{8B6BB7FC-9FD9-474E-8631-C1BCDEDE1F81}"/>
    <cellStyle name="20% - Accent3 3 5 4" xfId="9990" xr:uid="{6A2C7972-EA49-44F7-92A0-88EC981E7799}"/>
    <cellStyle name="20% - Accent3 3 6" xfId="1872" xr:uid="{00000000-0005-0000-0000-0000B3010000}"/>
    <cellStyle name="20% - Accent3 3 6 2" xfId="4101" xr:uid="{00000000-0005-0000-0000-0000B4010000}"/>
    <cellStyle name="20% - Accent3 3 6 2 2" xfId="8324" xr:uid="{00000000-0005-0000-0000-0000B5010000}"/>
    <cellStyle name="20% - Accent3 3 6 2 2 2" xfId="16766" xr:uid="{539D21B9-637A-483B-AA77-3964D09BA9B0}"/>
    <cellStyle name="20% - Accent3 3 6 2 3" xfId="12548" xr:uid="{113A89F8-E0CA-4FC3-B2B2-8357B6755CC3}"/>
    <cellStyle name="20% - Accent3 3 6 3" xfId="6179" xr:uid="{00000000-0005-0000-0000-0000B6010000}"/>
    <cellStyle name="20% - Accent3 3 6 3 2" xfId="14621" xr:uid="{3B1784A9-A765-45C6-B1A3-3BA9E7D6696E}"/>
    <cellStyle name="20% - Accent3 3 6 4" xfId="10403" xr:uid="{CB090030-2560-4E31-B30F-3C95758C930A}"/>
    <cellStyle name="20% - Accent3 3 7" xfId="2285" xr:uid="{00000000-0005-0000-0000-0000B7010000}"/>
    <cellStyle name="20% - Accent3 3 7 2" xfId="6592" xr:uid="{00000000-0005-0000-0000-0000B8010000}"/>
    <cellStyle name="20% - Accent3 3 7 2 2" xfId="15034" xr:uid="{E8A128AF-EB3C-4FB6-A099-387956CDDFA0}"/>
    <cellStyle name="20% - Accent3 3 7 3" xfId="10816" xr:uid="{01EA24D6-403A-47E4-B457-A12E7EAA07D5}"/>
    <cellStyle name="20% - Accent3 3 8" xfId="4526" xr:uid="{00000000-0005-0000-0000-0000B9010000}"/>
    <cellStyle name="20% - Accent3 3 8 2" xfId="12968" xr:uid="{C1DBD45E-F55D-4C2F-B1E1-B7E53E8F0ADD}"/>
    <cellStyle name="20% - Accent3 3 9" xfId="8750" xr:uid="{1060F520-027B-4B75-8D2A-8575D1F1A0ED}"/>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2 2 2" xfId="15529" xr:uid="{C4714684-CF06-4440-9EDC-52C352983968}"/>
    <cellStyle name="20% - Accent3 4 2 2 3" xfId="11311" xr:uid="{69A5FB2E-CC59-4825-B175-B9EB413D8D26}"/>
    <cellStyle name="20% - Accent3 4 2 3" xfId="4942" xr:uid="{00000000-0005-0000-0000-0000BE010000}"/>
    <cellStyle name="20% - Accent3 4 2 3 2" xfId="13384" xr:uid="{CCAC25E8-885C-49B7-964B-0CFDBF9B6780}"/>
    <cellStyle name="20% - Accent3 4 2 4" xfId="9166" xr:uid="{9D213B78-61F7-4D92-9284-FE1A9066E284}"/>
    <cellStyle name="20% - Accent3 4 3" xfId="1046" xr:uid="{00000000-0005-0000-0000-0000BF010000}"/>
    <cellStyle name="20% - Accent3 4 3 2" xfId="3277" xr:uid="{00000000-0005-0000-0000-0000C0010000}"/>
    <cellStyle name="20% - Accent3 4 3 2 2" xfId="7500" xr:uid="{00000000-0005-0000-0000-0000C1010000}"/>
    <cellStyle name="20% - Accent3 4 3 2 2 2" xfId="15942" xr:uid="{1B0B7EB6-D98D-4FF8-BB1F-BD9F8B622BF9}"/>
    <cellStyle name="20% - Accent3 4 3 2 3" xfId="11724" xr:uid="{FB9F3A5D-2998-470C-B6DF-3FD00C57F271}"/>
    <cellStyle name="20% - Accent3 4 3 3" xfId="5355" xr:uid="{00000000-0005-0000-0000-0000C2010000}"/>
    <cellStyle name="20% - Accent3 4 3 3 2" xfId="13797" xr:uid="{1E3D067B-C54B-4C52-8D59-3FD692FCC542}"/>
    <cellStyle name="20% - Accent3 4 3 4" xfId="9579" xr:uid="{8E77682F-07CB-4F4F-B6B4-E96462C788D9}"/>
    <cellStyle name="20% - Accent3 4 4" xfId="1460" xr:uid="{00000000-0005-0000-0000-0000C3010000}"/>
    <cellStyle name="20% - Accent3 4 4 2" xfId="3690" xr:uid="{00000000-0005-0000-0000-0000C4010000}"/>
    <cellStyle name="20% - Accent3 4 4 2 2" xfId="7913" xr:uid="{00000000-0005-0000-0000-0000C5010000}"/>
    <cellStyle name="20% - Accent3 4 4 2 2 2" xfId="16355" xr:uid="{B96B882D-A796-434E-8D9B-821C7CF11CE8}"/>
    <cellStyle name="20% - Accent3 4 4 2 3" xfId="12137" xr:uid="{B6B34C42-BC1A-414E-BFF5-95BF9826CAE6}"/>
    <cellStyle name="20% - Accent3 4 4 3" xfId="5768" xr:uid="{00000000-0005-0000-0000-0000C6010000}"/>
    <cellStyle name="20% - Accent3 4 4 3 2" xfId="14210" xr:uid="{A8DBBEBC-7924-469E-A568-E34CA8D95FFD}"/>
    <cellStyle name="20% - Accent3 4 4 4" xfId="9992" xr:uid="{0821694B-610F-45ED-877C-1F8618B9FEEC}"/>
    <cellStyle name="20% - Accent3 4 5" xfId="1874" xr:uid="{00000000-0005-0000-0000-0000C7010000}"/>
    <cellStyle name="20% - Accent3 4 5 2" xfId="4103" xr:uid="{00000000-0005-0000-0000-0000C8010000}"/>
    <cellStyle name="20% - Accent3 4 5 2 2" xfId="8326" xr:uid="{00000000-0005-0000-0000-0000C9010000}"/>
    <cellStyle name="20% - Accent3 4 5 2 2 2" xfId="16768" xr:uid="{5E821E05-755A-4A16-898E-15E3E21B8A66}"/>
    <cellStyle name="20% - Accent3 4 5 2 3" xfId="12550" xr:uid="{3E2D8ECD-1549-4121-AA97-5D5E8B7CC0F6}"/>
    <cellStyle name="20% - Accent3 4 5 3" xfId="6181" xr:uid="{00000000-0005-0000-0000-0000CA010000}"/>
    <cellStyle name="20% - Accent3 4 5 3 2" xfId="14623" xr:uid="{2D88A4E3-57E4-4513-BDFF-224ACC4D2CCA}"/>
    <cellStyle name="20% - Accent3 4 5 4" xfId="10405" xr:uid="{8A8EA6EA-7114-493D-98B7-F45A3F94026D}"/>
    <cellStyle name="20% - Accent3 4 6" xfId="2287" xr:uid="{00000000-0005-0000-0000-0000CB010000}"/>
    <cellStyle name="20% - Accent3 4 6 2" xfId="6594" xr:uid="{00000000-0005-0000-0000-0000CC010000}"/>
    <cellStyle name="20% - Accent3 4 6 2 2" xfId="15036" xr:uid="{4E059931-1748-4FCC-8234-E42ED039111F}"/>
    <cellStyle name="20% - Accent3 4 6 3" xfId="10818" xr:uid="{3C468B1B-F5D0-4991-A1BC-0A0A8884E39E}"/>
    <cellStyle name="20% - Accent3 4 7" xfId="4528" xr:uid="{00000000-0005-0000-0000-0000CD010000}"/>
    <cellStyle name="20% - Accent3 4 7 2" xfId="12970" xr:uid="{C6E9F1FD-0F50-4C9E-86C3-652979E1D295}"/>
    <cellStyle name="20% - Accent3 4 8" xfId="8752" xr:uid="{2EE9CC20-D9C3-4C3C-8E13-79BDB982EE80}"/>
    <cellStyle name="20% - Accent3 5" xfId="586" xr:uid="{00000000-0005-0000-0000-0000CE010000}"/>
    <cellStyle name="20% - Accent3 5 2" xfId="2857" xr:uid="{00000000-0005-0000-0000-0000CF010000}"/>
    <cellStyle name="20% - Accent3 5 2 2" xfId="7080" xr:uid="{00000000-0005-0000-0000-0000D0010000}"/>
    <cellStyle name="20% - Accent3 5 2 2 2" xfId="15522" xr:uid="{9F3EC876-FE81-4887-96F1-0494BEEFF2B8}"/>
    <cellStyle name="20% - Accent3 5 2 3" xfId="11304" xr:uid="{CEECA9BF-E88E-4C15-B806-5E60DF49E6D7}"/>
    <cellStyle name="20% - Accent3 5 3" xfId="4935" xr:uid="{00000000-0005-0000-0000-0000D1010000}"/>
    <cellStyle name="20% - Accent3 5 3 2" xfId="13377" xr:uid="{88768F8D-3BE4-4442-8905-98892D0C1E73}"/>
    <cellStyle name="20% - Accent3 5 4" xfId="9159" xr:uid="{49F40CC9-092B-4316-8BDF-AD42020541AD}"/>
    <cellStyle name="20% - Accent3 6" xfId="1039" xr:uid="{00000000-0005-0000-0000-0000D2010000}"/>
    <cellStyle name="20% - Accent3 6 2" xfId="3270" xr:uid="{00000000-0005-0000-0000-0000D3010000}"/>
    <cellStyle name="20% - Accent3 6 2 2" xfId="7493" xr:uid="{00000000-0005-0000-0000-0000D4010000}"/>
    <cellStyle name="20% - Accent3 6 2 2 2" xfId="15935" xr:uid="{B6657E73-E9E3-47C2-952C-8797BAE4B582}"/>
    <cellStyle name="20% - Accent3 6 2 3" xfId="11717" xr:uid="{680BD22E-DB74-4534-813E-209C7E6C1411}"/>
    <cellStyle name="20% - Accent3 6 3" xfId="5348" xr:uid="{00000000-0005-0000-0000-0000D5010000}"/>
    <cellStyle name="20% - Accent3 6 3 2" xfId="13790" xr:uid="{489A6220-EF68-48BD-BF8C-925A9E64F9CE}"/>
    <cellStyle name="20% - Accent3 6 4" xfId="9572" xr:uid="{32AE1AE6-CB35-4601-9660-D4097BBCF992}"/>
    <cellStyle name="20% - Accent3 7" xfId="1453" xr:uid="{00000000-0005-0000-0000-0000D6010000}"/>
    <cellStyle name="20% - Accent3 7 2" xfId="3683" xr:uid="{00000000-0005-0000-0000-0000D7010000}"/>
    <cellStyle name="20% - Accent3 7 2 2" xfId="7906" xr:uid="{00000000-0005-0000-0000-0000D8010000}"/>
    <cellStyle name="20% - Accent3 7 2 2 2" xfId="16348" xr:uid="{CC27A220-02F8-4D84-87D9-5B9886CB2A64}"/>
    <cellStyle name="20% - Accent3 7 2 3" xfId="12130" xr:uid="{243E651E-CEC7-4AFC-A27C-F8446588D11E}"/>
    <cellStyle name="20% - Accent3 7 3" xfId="5761" xr:uid="{00000000-0005-0000-0000-0000D9010000}"/>
    <cellStyle name="20% - Accent3 7 3 2" xfId="14203" xr:uid="{B53D65C2-BDA0-404B-A0B1-68A8A7791986}"/>
    <cellStyle name="20% - Accent3 7 4" xfId="9985" xr:uid="{9B326CDB-81E1-4491-A4CB-DF3CE78D4682}"/>
    <cellStyle name="20% - Accent3 8" xfId="1867" xr:uid="{00000000-0005-0000-0000-0000DA010000}"/>
    <cellStyle name="20% - Accent3 8 2" xfId="4096" xr:uid="{00000000-0005-0000-0000-0000DB010000}"/>
    <cellStyle name="20% - Accent3 8 2 2" xfId="8319" xr:uid="{00000000-0005-0000-0000-0000DC010000}"/>
    <cellStyle name="20% - Accent3 8 2 2 2" xfId="16761" xr:uid="{F7458E01-8B60-4C6E-AB2A-EAA1628FDFC4}"/>
    <cellStyle name="20% - Accent3 8 2 3" xfId="12543" xr:uid="{1741DC01-F1E2-49D1-9BE8-F3CE43917599}"/>
    <cellStyle name="20% - Accent3 8 3" xfId="6174" xr:uid="{00000000-0005-0000-0000-0000DD010000}"/>
    <cellStyle name="20% - Accent3 8 3 2" xfId="14616" xr:uid="{DF3B6795-2CA1-4F2C-BDF8-5745DA02268B}"/>
    <cellStyle name="20% - Accent3 8 4" xfId="10398" xr:uid="{576C03B2-6FF3-4F8E-9AE1-75C525E1D30D}"/>
    <cellStyle name="20% - Accent3 9" xfId="2280" xr:uid="{00000000-0005-0000-0000-0000DE010000}"/>
    <cellStyle name="20% - Accent3 9 2" xfId="6587" xr:uid="{00000000-0005-0000-0000-0000DF010000}"/>
    <cellStyle name="20% - Accent3 9 2 2" xfId="15029" xr:uid="{8B829FD4-58D7-4A34-B4F1-53EA0694A8DB}"/>
    <cellStyle name="20% - Accent3 9 3" xfId="10811" xr:uid="{7D4168C0-2823-47A1-BB38-3745A5B43D19}"/>
    <cellStyle name="20% - Accent4" xfId="25" builtinId="42" customBuiltin="1"/>
    <cellStyle name="20% - Accent4 10" xfId="4529" xr:uid="{00000000-0005-0000-0000-0000E1010000}"/>
    <cellStyle name="20% - Accent4 10 2" xfId="12971" xr:uid="{B9B02E69-2D8C-4AF6-8BF9-C4B01080E452}"/>
    <cellStyle name="20% - Accent4 11" xfId="8753" xr:uid="{52BEBA62-ED7B-478B-AAE7-6F65B690E629}"/>
    <cellStyle name="20% - Accent4 2" xfId="26" xr:uid="{00000000-0005-0000-0000-0000E2010000}"/>
    <cellStyle name="20% - Accent4 2 10" xfId="8754" xr:uid="{C0725EB6-C3C9-42C3-9F1D-1CD5327B319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2 2 2" xfId="15533" xr:uid="{BC4B3006-C7E8-4C32-BDFD-3660EE4D8B3A}"/>
    <cellStyle name="20% - Accent4 2 2 2 2 2 3" xfId="11315" xr:uid="{909E3487-E36C-4C02-A01E-F3D286665A37}"/>
    <cellStyle name="20% - Accent4 2 2 2 2 3" xfId="4946" xr:uid="{00000000-0005-0000-0000-0000E8010000}"/>
    <cellStyle name="20% - Accent4 2 2 2 2 3 2" xfId="13388" xr:uid="{90E1A812-15B9-4444-AB3A-959B5A2DE4A6}"/>
    <cellStyle name="20% - Accent4 2 2 2 2 4" xfId="9170" xr:uid="{FB0B98E3-0C50-43E7-944D-E3A130CF0B51}"/>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2 2 2" xfId="15946" xr:uid="{BD422055-563E-4423-87AA-772D5ECBBED1}"/>
    <cellStyle name="20% - Accent4 2 2 2 3 2 3" xfId="11728" xr:uid="{B6C2E461-72B1-40CF-B229-D48CC857EE02}"/>
    <cellStyle name="20% - Accent4 2 2 2 3 3" xfId="5359" xr:uid="{00000000-0005-0000-0000-0000EC010000}"/>
    <cellStyle name="20% - Accent4 2 2 2 3 3 2" xfId="13801" xr:uid="{787B8DBE-BBCA-44C3-9343-5A819E752BE5}"/>
    <cellStyle name="20% - Accent4 2 2 2 3 4" xfId="9583" xr:uid="{CE606B17-1CDB-424F-BF01-56DCE87B28ED}"/>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2 2 2" xfId="16359" xr:uid="{AA74C8BF-0B14-410D-B3ED-303A4275D318}"/>
    <cellStyle name="20% - Accent4 2 2 2 4 2 3" xfId="12141" xr:uid="{6DA8ED78-2A23-4499-AC51-E4CEF0FE0838}"/>
    <cellStyle name="20% - Accent4 2 2 2 4 3" xfId="5772" xr:uid="{00000000-0005-0000-0000-0000F0010000}"/>
    <cellStyle name="20% - Accent4 2 2 2 4 3 2" xfId="14214" xr:uid="{F980699A-2C29-4A36-BC01-5245CAD26CAD}"/>
    <cellStyle name="20% - Accent4 2 2 2 4 4" xfId="9996" xr:uid="{612E5F0A-286D-4197-854D-CC260C8B6FE9}"/>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2 2 2" xfId="16772" xr:uid="{58DDEC08-B20A-46F1-985F-03897B491200}"/>
    <cellStyle name="20% - Accent4 2 2 2 5 2 3" xfId="12554" xr:uid="{988B98DE-19E5-4F09-895F-670EB26C36DA}"/>
    <cellStyle name="20% - Accent4 2 2 2 5 3" xfId="6185" xr:uid="{00000000-0005-0000-0000-0000F4010000}"/>
    <cellStyle name="20% - Accent4 2 2 2 5 3 2" xfId="14627" xr:uid="{21DD9293-891F-4B41-A18B-A92ADED3F3F6}"/>
    <cellStyle name="20% - Accent4 2 2 2 5 4" xfId="10409" xr:uid="{CABAF3C9-F83E-44E1-9024-6739900F6538}"/>
    <cellStyle name="20% - Accent4 2 2 2 6" xfId="2291" xr:uid="{00000000-0005-0000-0000-0000F5010000}"/>
    <cellStyle name="20% - Accent4 2 2 2 6 2" xfId="6598" xr:uid="{00000000-0005-0000-0000-0000F6010000}"/>
    <cellStyle name="20% - Accent4 2 2 2 6 2 2" xfId="15040" xr:uid="{04078372-058C-4847-8D94-1A64BE64B592}"/>
    <cellStyle name="20% - Accent4 2 2 2 6 3" xfId="10822" xr:uid="{796D3953-DE3D-41E1-9863-9C42EDFE84FA}"/>
    <cellStyle name="20% - Accent4 2 2 2 7" xfId="4532" xr:uid="{00000000-0005-0000-0000-0000F7010000}"/>
    <cellStyle name="20% - Accent4 2 2 2 7 2" xfId="12974" xr:uid="{C88A524D-6452-4508-A2C4-6C640129B079}"/>
    <cellStyle name="20% - Accent4 2 2 2 8" xfId="8756" xr:uid="{A75BD2A0-5FB7-4935-890F-894F909C39E2}"/>
    <cellStyle name="20% - Accent4 2 2 3" xfId="596" xr:uid="{00000000-0005-0000-0000-0000F8010000}"/>
    <cellStyle name="20% - Accent4 2 2 3 2" xfId="2867" xr:uid="{00000000-0005-0000-0000-0000F9010000}"/>
    <cellStyle name="20% - Accent4 2 2 3 2 2" xfId="7090" xr:uid="{00000000-0005-0000-0000-0000FA010000}"/>
    <cellStyle name="20% - Accent4 2 2 3 2 2 2" xfId="15532" xr:uid="{AA2F1431-35FC-47D2-9002-FE6BC6486553}"/>
    <cellStyle name="20% - Accent4 2 2 3 2 3" xfId="11314" xr:uid="{D1F74154-8B51-4DE8-A852-4BA7EFDDFEF4}"/>
    <cellStyle name="20% - Accent4 2 2 3 3" xfId="4945" xr:uid="{00000000-0005-0000-0000-0000FB010000}"/>
    <cellStyle name="20% - Accent4 2 2 3 3 2" xfId="13387" xr:uid="{AB62DEE8-93DA-4E52-AAE9-CC0F6BB7BBBD}"/>
    <cellStyle name="20% - Accent4 2 2 3 4" xfId="9169" xr:uid="{6D3FFCFF-AF61-4B80-8CC9-3AAD9672D732}"/>
    <cellStyle name="20% - Accent4 2 2 4" xfId="1049" xr:uid="{00000000-0005-0000-0000-0000FC010000}"/>
    <cellStyle name="20% - Accent4 2 2 4 2" xfId="3280" xr:uid="{00000000-0005-0000-0000-0000FD010000}"/>
    <cellStyle name="20% - Accent4 2 2 4 2 2" xfId="7503" xr:uid="{00000000-0005-0000-0000-0000FE010000}"/>
    <cellStyle name="20% - Accent4 2 2 4 2 2 2" xfId="15945" xr:uid="{380E6E25-A55F-4EC4-B3BD-3B16661721F5}"/>
    <cellStyle name="20% - Accent4 2 2 4 2 3" xfId="11727" xr:uid="{6BAD973A-5150-487D-A7D2-D8436892B49D}"/>
    <cellStyle name="20% - Accent4 2 2 4 3" xfId="5358" xr:uid="{00000000-0005-0000-0000-0000FF010000}"/>
    <cellStyle name="20% - Accent4 2 2 4 3 2" xfId="13800" xr:uid="{CDD44576-FE9C-4865-9652-B17C10A6469D}"/>
    <cellStyle name="20% - Accent4 2 2 4 4" xfId="9582" xr:uid="{667F4F99-5F1C-4B3C-86D0-0B0978748216}"/>
    <cellStyle name="20% - Accent4 2 2 5" xfId="1463" xr:uid="{00000000-0005-0000-0000-000000020000}"/>
    <cellStyle name="20% - Accent4 2 2 5 2" xfId="3693" xr:uid="{00000000-0005-0000-0000-000001020000}"/>
    <cellStyle name="20% - Accent4 2 2 5 2 2" xfId="7916" xr:uid="{00000000-0005-0000-0000-000002020000}"/>
    <cellStyle name="20% - Accent4 2 2 5 2 2 2" xfId="16358" xr:uid="{65A499BA-6F8E-401C-BC5C-2890CDAF1D89}"/>
    <cellStyle name="20% - Accent4 2 2 5 2 3" xfId="12140" xr:uid="{AA459035-A36B-47B8-A499-EDF58572F483}"/>
    <cellStyle name="20% - Accent4 2 2 5 3" xfId="5771" xr:uid="{00000000-0005-0000-0000-000003020000}"/>
    <cellStyle name="20% - Accent4 2 2 5 3 2" xfId="14213" xr:uid="{50C029C1-657C-455C-B809-10F1B80AAE0B}"/>
    <cellStyle name="20% - Accent4 2 2 5 4" xfId="9995" xr:uid="{297C0BC1-A751-4525-B72B-5AB5874CA71D}"/>
    <cellStyle name="20% - Accent4 2 2 6" xfId="1877" xr:uid="{00000000-0005-0000-0000-000004020000}"/>
    <cellStyle name="20% - Accent4 2 2 6 2" xfId="4106" xr:uid="{00000000-0005-0000-0000-000005020000}"/>
    <cellStyle name="20% - Accent4 2 2 6 2 2" xfId="8329" xr:uid="{00000000-0005-0000-0000-000006020000}"/>
    <cellStyle name="20% - Accent4 2 2 6 2 2 2" xfId="16771" xr:uid="{86597160-54F0-43E5-BCBE-70B88FDAF45C}"/>
    <cellStyle name="20% - Accent4 2 2 6 2 3" xfId="12553" xr:uid="{DA9A8143-1B00-4FF1-AA89-DF2ACCDA582C}"/>
    <cellStyle name="20% - Accent4 2 2 6 3" xfId="6184" xr:uid="{00000000-0005-0000-0000-000007020000}"/>
    <cellStyle name="20% - Accent4 2 2 6 3 2" xfId="14626" xr:uid="{4FD8FBEA-F4F0-435A-83D4-AB75AFA1A7BA}"/>
    <cellStyle name="20% - Accent4 2 2 6 4" xfId="10408" xr:uid="{937E909F-8E0A-4200-8E0A-409AA95511DF}"/>
    <cellStyle name="20% - Accent4 2 2 7" xfId="2290" xr:uid="{00000000-0005-0000-0000-000008020000}"/>
    <cellStyle name="20% - Accent4 2 2 7 2" xfId="6597" xr:uid="{00000000-0005-0000-0000-000009020000}"/>
    <cellStyle name="20% - Accent4 2 2 7 2 2" xfId="15039" xr:uid="{89F3BBF9-E41A-491F-B12E-9EBF471748EC}"/>
    <cellStyle name="20% - Accent4 2 2 7 3" xfId="10821" xr:uid="{0646E992-F916-4585-8599-AEDF3B854DC7}"/>
    <cellStyle name="20% - Accent4 2 2 8" xfId="4531" xr:uid="{00000000-0005-0000-0000-00000A020000}"/>
    <cellStyle name="20% - Accent4 2 2 8 2" xfId="12973" xr:uid="{3BA083F2-1BEA-4C3B-8018-7886BE250A45}"/>
    <cellStyle name="20% - Accent4 2 2 9" xfId="8755" xr:uid="{0032D608-18DC-4AD4-AD0F-C72C21DFCC99}"/>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2 2 2" xfId="15534" xr:uid="{E0C39CFC-B060-4768-B151-6939C94D33FA}"/>
    <cellStyle name="20% - Accent4 2 3 2 2 3" xfId="11316" xr:uid="{E5A40CC2-0F24-4774-94D9-E6BB498C15F4}"/>
    <cellStyle name="20% - Accent4 2 3 2 3" xfId="4947" xr:uid="{00000000-0005-0000-0000-00000F020000}"/>
    <cellStyle name="20% - Accent4 2 3 2 3 2" xfId="13389" xr:uid="{AE11A847-FE5F-46DF-8E0F-62486C534A17}"/>
    <cellStyle name="20% - Accent4 2 3 2 4" xfId="9171" xr:uid="{95842873-B274-4EC3-BC78-54C8E4D4FD4F}"/>
    <cellStyle name="20% - Accent4 2 3 3" xfId="1051" xr:uid="{00000000-0005-0000-0000-000010020000}"/>
    <cellStyle name="20% - Accent4 2 3 3 2" xfId="3282" xr:uid="{00000000-0005-0000-0000-000011020000}"/>
    <cellStyle name="20% - Accent4 2 3 3 2 2" xfId="7505" xr:uid="{00000000-0005-0000-0000-000012020000}"/>
    <cellStyle name="20% - Accent4 2 3 3 2 2 2" xfId="15947" xr:uid="{C7A2B3CE-61A2-42E9-ABBD-7B273BF42419}"/>
    <cellStyle name="20% - Accent4 2 3 3 2 3" xfId="11729" xr:uid="{12B6403E-43F9-477E-8277-3713521B904E}"/>
    <cellStyle name="20% - Accent4 2 3 3 3" xfId="5360" xr:uid="{00000000-0005-0000-0000-000013020000}"/>
    <cellStyle name="20% - Accent4 2 3 3 3 2" xfId="13802" xr:uid="{AEECA0F1-93EE-4A9D-897E-45C7C717078E}"/>
    <cellStyle name="20% - Accent4 2 3 3 4" xfId="9584" xr:uid="{48A47E43-0420-4EE3-9C07-E77D8B47BC66}"/>
    <cellStyle name="20% - Accent4 2 3 4" xfId="1465" xr:uid="{00000000-0005-0000-0000-000014020000}"/>
    <cellStyle name="20% - Accent4 2 3 4 2" xfId="3695" xr:uid="{00000000-0005-0000-0000-000015020000}"/>
    <cellStyle name="20% - Accent4 2 3 4 2 2" xfId="7918" xr:uid="{00000000-0005-0000-0000-000016020000}"/>
    <cellStyle name="20% - Accent4 2 3 4 2 2 2" xfId="16360" xr:uid="{DE8D2AE6-7399-494E-BF95-8A2035D34423}"/>
    <cellStyle name="20% - Accent4 2 3 4 2 3" xfId="12142" xr:uid="{7AC4633A-D525-4596-9048-C6C3C6A3D0DF}"/>
    <cellStyle name="20% - Accent4 2 3 4 3" xfId="5773" xr:uid="{00000000-0005-0000-0000-000017020000}"/>
    <cellStyle name="20% - Accent4 2 3 4 3 2" xfId="14215" xr:uid="{0ED9724E-16B5-4656-8B18-6898CB0F52E1}"/>
    <cellStyle name="20% - Accent4 2 3 4 4" xfId="9997" xr:uid="{E413807C-C53A-443E-A678-4E78B9258980}"/>
    <cellStyle name="20% - Accent4 2 3 5" xfId="1879" xr:uid="{00000000-0005-0000-0000-000018020000}"/>
    <cellStyle name="20% - Accent4 2 3 5 2" xfId="4108" xr:uid="{00000000-0005-0000-0000-000019020000}"/>
    <cellStyle name="20% - Accent4 2 3 5 2 2" xfId="8331" xr:uid="{00000000-0005-0000-0000-00001A020000}"/>
    <cellStyle name="20% - Accent4 2 3 5 2 2 2" xfId="16773" xr:uid="{165BF85B-9A03-4EB9-96BA-0631D7788691}"/>
    <cellStyle name="20% - Accent4 2 3 5 2 3" xfId="12555" xr:uid="{8E5B0D12-4B14-48C3-A98B-81C471B452B1}"/>
    <cellStyle name="20% - Accent4 2 3 5 3" xfId="6186" xr:uid="{00000000-0005-0000-0000-00001B020000}"/>
    <cellStyle name="20% - Accent4 2 3 5 3 2" xfId="14628" xr:uid="{42429C5B-DA9A-44D4-A237-48012F7CFAA0}"/>
    <cellStyle name="20% - Accent4 2 3 5 4" xfId="10410" xr:uid="{66BBB927-D75F-4CF8-A43D-3CC66D8A720A}"/>
    <cellStyle name="20% - Accent4 2 3 6" xfId="2292" xr:uid="{00000000-0005-0000-0000-00001C020000}"/>
    <cellStyle name="20% - Accent4 2 3 6 2" xfId="6599" xr:uid="{00000000-0005-0000-0000-00001D020000}"/>
    <cellStyle name="20% - Accent4 2 3 6 2 2" xfId="15041" xr:uid="{E63B16C5-6E48-4CCC-B418-50307E96BE84}"/>
    <cellStyle name="20% - Accent4 2 3 6 3" xfId="10823" xr:uid="{49535101-E54B-44FD-A64C-69B1EDF72A2C}"/>
    <cellStyle name="20% - Accent4 2 3 7" xfId="4533" xr:uid="{00000000-0005-0000-0000-00001E020000}"/>
    <cellStyle name="20% - Accent4 2 3 7 2" xfId="12975" xr:uid="{4650568E-5210-4BBE-B7BD-A75565EE920E}"/>
    <cellStyle name="20% - Accent4 2 3 8" xfId="8757" xr:uid="{1E1C8981-ACA7-455D-9AD5-BF651A169313}"/>
    <cellStyle name="20% - Accent4 2 4" xfId="595" xr:uid="{00000000-0005-0000-0000-00001F020000}"/>
    <cellStyle name="20% - Accent4 2 4 2" xfId="2866" xr:uid="{00000000-0005-0000-0000-000020020000}"/>
    <cellStyle name="20% - Accent4 2 4 2 2" xfId="7089" xr:uid="{00000000-0005-0000-0000-000021020000}"/>
    <cellStyle name="20% - Accent4 2 4 2 2 2" xfId="15531" xr:uid="{5341A71A-67F7-4F30-964B-A2CD921E665E}"/>
    <cellStyle name="20% - Accent4 2 4 2 3" xfId="11313" xr:uid="{3329BFB7-63FD-4434-A9C5-3C12B57C7E56}"/>
    <cellStyle name="20% - Accent4 2 4 3" xfId="4944" xr:uid="{00000000-0005-0000-0000-000022020000}"/>
    <cellStyle name="20% - Accent4 2 4 3 2" xfId="13386" xr:uid="{DAD4ED65-F740-4E61-B6E1-F1CDF27502F5}"/>
    <cellStyle name="20% - Accent4 2 4 4" xfId="9168" xr:uid="{4C97A6A7-34F0-4985-9AA5-4215EE9909DD}"/>
    <cellStyle name="20% - Accent4 2 5" xfId="1048" xr:uid="{00000000-0005-0000-0000-000023020000}"/>
    <cellStyle name="20% - Accent4 2 5 2" xfId="3279" xr:uid="{00000000-0005-0000-0000-000024020000}"/>
    <cellStyle name="20% - Accent4 2 5 2 2" xfId="7502" xr:uid="{00000000-0005-0000-0000-000025020000}"/>
    <cellStyle name="20% - Accent4 2 5 2 2 2" xfId="15944" xr:uid="{4759B80C-14D8-4F0D-9DB2-DC05434B3C40}"/>
    <cellStyle name="20% - Accent4 2 5 2 3" xfId="11726" xr:uid="{398D5AEF-43E0-408D-8871-BE909E076965}"/>
    <cellStyle name="20% - Accent4 2 5 3" xfId="5357" xr:uid="{00000000-0005-0000-0000-000026020000}"/>
    <cellStyle name="20% - Accent4 2 5 3 2" xfId="13799" xr:uid="{3C1DD605-F133-49D1-B08D-C71B3732B8C5}"/>
    <cellStyle name="20% - Accent4 2 5 4" xfId="9581" xr:uid="{3CEA5812-D29D-459F-9121-4159025D99A3}"/>
    <cellStyle name="20% - Accent4 2 6" xfId="1462" xr:uid="{00000000-0005-0000-0000-000027020000}"/>
    <cellStyle name="20% - Accent4 2 6 2" xfId="3692" xr:uid="{00000000-0005-0000-0000-000028020000}"/>
    <cellStyle name="20% - Accent4 2 6 2 2" xfId="7915" xr:uid="{00000000-0005-0000-0000-000029020000}"/>
    <cellStyle name="20% - Accent4 2 6 2 2 2" xfId="16357" xr:uid="{D58975C5-9649-4675-8CC5-CBCE0C9E2B02}"/>
    <cellStyle name="20% - Accent4 2 6 2 3" xfId="12139" xr:uid="{B21CF81A-B342-4E32-8998-13EE59B35FEF}"/>
    <cellStyle name="20% - Accent4 2 6 3" xfId="5770" xr:uid="{00000000-0005-0000-0000-00002A020000}"/>
    <cellStyle name="20% - Accent4 2 6 3 2" xfId="14212" xr:uid="{93874C14-14BC-4B13-8409-A4EB13C5EC32}"/>
    <cellStyle name="20% - Accent4 2 6 4" xfId="9994" xr:uid="{720B0281-31AB-4709-8871-507FAC9CD3B0}"/>
    <cellStyle name="20% - Accent4 2 7" xfId="1876" xr:uid="{00000000-0005-0000-0000-00002B020000}"/>
    <cellStyle name="20% - Accent4 2 7 2" xfId="4105" xr:uid="{00000000-0005-0000-0000-00002C020000}"/>
    <cellStyle name="20% - Accent4 2 7 2 2" xfId="8328" xr:uid="{00000000-0005-0000-0000-00002D020000}"/>
    <cellStyle name="20% - Accent4 2 7 2 2 2" xfId="16770" xr:uid="{5339069F-B636-4B4A-980E-B85362899D60}"/>
    <cellStyle name="20% - Accent4 2 7 2 3" xfId="12552" xr:uid="{F0104C52-6A3A-4A43-B89F-5B02C0F4A465}"/>
    <cellStyle name="20% - Accent4 2 7 3" xfId="6183" xr:uid="{00000000-0005-0000-0000-00002E020000}"/>
    <cellStyle name="20% - Accent4 2 7 3 2" xfId="14625" xr:uid="{289D3249-A9D4-43A1-BC78-055EB9591B58}"/>
    <cellStyle name="20% - Accent4 2 7 4" xfId="10407" xr:uid="{8D36189C-3572-4CB8-9D0A-233446B667B4}"/>
    <cellStyle name="20% - Accent4 2 8" xfId="2289" xr:uid="{00000000-0005-0000-0000-00002F020000}"/>
    <cellStyle name="20% - Accent4 2 8 2" xfId="6596" xr:uid="{00000000-0005-0000-0000-000030020000}"/>
    <cellStyle name="20% - Accent4 2 8 2 2" xfId="15038" xr:uid="{549D3197-6CC0-4518-AEB7-10C2DCC9BD4A}"/>
    <cellStyle name="20% - Accent4 2 8 3" xfId="10820" xr:uid="{132480C1-58BC-43A5-AF75-3E4F75C9EBD7}"/>
    <cellStyle name="20% - Accent4 2 9" xfId="4530" xr:uid="{00000000-0005-0000-0000-000031020000}"/>
    <cellStyle name="20% - Accent4 2 9 2" xfId="12972" xr:uid="{C1B3A39E-FF92-4858-9113-EE9A418DD543}"/>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2 2 2" xfId="15536" xr:uid="{93D4CB2E-6A5C-4448-A6AD-268190FF7DE4}"/>
    <cellStyle name="20% - Accent4 3 2 2 2 3" xfId="11318" xr:uid="{E0D8E89C-6B0C-40CB-A231-29973484E2BB}"/>
    <cellStyle name="20% - Accent4 3 2 2 3" xfId="4949" xr:uid="{00000000-0005-0000-0000-000037020000}"/>
    <cellStyle name="20% - Accent4 3 2 2 3 2" xfId="13391" xr:uid="{558197AA-E5C6-417C-AEBD-174F012041C5}"/>
    <cellStyle name="20% - Accent4 3 2 2 4" xfId="9173" xr:uid="{31299D38-CEF6-4605-AB66-1E933251B97E}"/>
    <cellStyle name="20% - Accent4 3 2 3" xfId="1053" xr:uid="{00000000-0005-0000-0000-000038020000}"/>
    <cellStyle name="20% - Accent4 3 2 3 2" xfId="3284" xr:uid="{00000000-0005-0000-0000-000039020000}"/>
    <cellStyle name="20% - Accent4 3 2 3 2 2" xfId="7507" xr:uid="{00000000-0005-0000-0000-00003A020000}"/>
    <cellStyle name="20% - Accent4 3 2 3 2 2 2" xfId="15949" xr:uid="{34769DD0-C92A-4B3C-BDA2-65C1F48CADAA}"/>
    <cellStyle name="20% - Accent4 3 2 3 2 3" xfId="11731" xr:uid="{253E8C53-520C-41A7-AC0C-2559160E633C}"/>
    <cellStyle name="20% - Accent4 3 2 3 3" xfId="5362" xr:uid="{00000000-0005-0000-0000-00003B020000}"/>
    <cellStyle name="20% - Accent4 3 2 3 3 2" xfId="13804" xr:uid="{103D9743-A5BB-4CED-9A43-309BD35467E7}"/>
    <cellStyle name="20% - Accent4 3 2 3 4" xfId="9586" xr:uid="{F7DBE78E-0B17-4C4F-B937-0D40640548E8}"/>
    <cellStyle name="20% - Accent4 3 2 4" xfId="1467" xr:uid="{00000000-0005-0000-0000-00003C020000}"/>
    <cellStyle name="20% - Accent4 3 2 4 2" xfId="3697" xr:uid="{00000000-0005-0000-0000-00003D020000}"/>
    <cellStyle name="20% - Accent4 3 2 4 2 2" xfId="7920" xr:uid="{00000000-0005-0000-0000-00003E020000}"/>
    <cellStyle name="20% - Accent4 3 2 4 2 2 2" xfId="16362" xr:uid="{E5FC2AFE-739F-4F54-9B68-570FA4F7491D}"/>
    <cellStyle name="20% - Accent4 3 2 4 2 3" xfId="12144" xr:uid="{BA22653C-D9E5-42C0-8F5E-F7BB924F892A}"/>
    <cellStyle name="20% - Accent4 3 2 4 3" xfId="5775" xr:uid="{00000000-0005-0000-0000-00003F020000}"/>
    <cellStyle name="20% - Accent4 3 2 4 3 2" xfId="14217" xr:uid="{9A78F088-6E62-4392-8C05-11E651B613AD}"/>
    <cellStyle name="20% - Accent4 3 2 4 4" xfId="9999" xr:uid="{B1E28951-9619-4B27-8333-9450A3C1CFC6}"/>
    <cellStyle name="20% - Accent4 3 2 5" xfId="1881" xr:uid="{00000000-0005-0000-0000-000040020000}"/>
    <cellStyle name="20% - Accent4 3 2 5 2" xfId="4110" xr:uid="{00000000-0005-0000-0000-000041020000}"/>
    <cellStyle name="20% - Accent4 3 2 5 2 2" xfId="8333" xr:uid="{00000000-0005-0000-0000-000042020000}"/>
    <cellStyle name="20% - Accent4 3 2 5 2 2 2" xfId="16775" xr:uid="{55F5CB66-DDF6-45FD-AC4D-E220108EF005}"/>
    <cellStyle name="20% - Accent4 3 2 5 2 3" xfId="12557" xr:uid="{A78F61DE-0259-4A7C-8A99-77A992835B6D}"/>
    <cellStyle name="20% - Accent4 3 2 5 3" xfId="6188" xr:uid="{00000000-0005-0000-0000-000043020000}"/>
    <cellStyle name="20% - Accent4 3 2 5 3 2" xfId="14630" xr:uid="{FB611766-1AEF-4B35-B649-32C1C8E9965A}"/>
    <cellStyle name="20% - Accent4 3 2 5 4" xfId="10412" xr:uid="{EC740313-0A25-4F79-B1A8-1EC711EB6FE9}"/>
    <cellStyle name="20% - Accent4 3 2 6" xfId="2294" xr:uid="{00000000-0005-0000-0000-000044020000}"/>
    <cellStyle name="20% - Accent4 3 2 6 2" xfId="6601" xr:uid="{00000000-0005-0000-0000-000045020000}"/>
    <cellStyle name="20% - Accent4 3 2 6 2 2" xfId="15043" xr:uid="{40F00B63-47BD-4E39-A658-6E0D54470963}"/>
    <cellStyle name="20% - Accent4 3 2 6 3" xfId="10825" xr:uid="{1976D44C-3D6F-4102-B735-2058A003D8F4}"/>
    <cellStyle name="20% - Accent4 3 2 7" xfId="4535" xr:uid="{00000000-0005-0000-0000-000046020000}"/>
    <cellStyle name="20% - Accent4 3 2 7 2" xfId="12977" xr:uid="{4FD05D47-09B7-42EA-80DF-62343A4A2EB0}"/>
    <cellStyle name="20% - Accent4 3 2 8" xfId="8759" xr:uid="{CE31E839-61C6-4A70-BAB4-DF2BC4FB17D4}"/>
    <cellStyle name="20% - Accent4 3 3" xfId="599" xr:uid="{00000000-0005-0000-0000-000047020000}"/>
    <cellStyle name="20% - Accent4 3 3 2" xfId="2870" xr:uid="{00000000-0005-0000-0000-000048020000}"/>
    <cellStyle name="20% - Accent4 3 3 2 2" xfId="7093" xr:uid="{00000000-0005-0000-0000-000049020000}"/>
    <cellStyle name="20% - Accent4 3 3 2 2 2" xfId="15535" xr:uid="{35369301-BDF5-4819-BCA0-7878B228E2AB}"/>
    <cellStyle name="20% - Accent4 3 3 2 3" xfId="11317" xr:uid="{B1CD3582-85D3-4C0B-9C93-36280C9B9D26}"/>
    <cellStyle name="20% - Accent4 3 3 3" xfId="4948" xr:uid="{00000000-0005-0000-0000-00004A020000}"/>
    <cellStyle name="20% - Accent4 3 3 3 2" xfId="13390" xr:uid="{D98FE265-5A46-4F24-A237-0E92E325C969}"/>
    <cellStyle name="20% - Accent4 3 3 4" xfId="9172" xr:uid="{6AEE9994-124A-43D5-AA78-874EBC2180F0}"/>
    <cellStyle name="20% - Accent4 3 4" xfId="1052" xr:uid="{00000000-0005-0000-0000-00004B020000}"/>
    <cellStyle name="20% - Accent4 3 4 2" xfId="3283" xr:uid="{00000000-0005-0000-0000-00004C020000}"/>
    <cellStyle name="20% - Accent4 3 4 2 2" xfId="7506" xr:uid="{00000000-0005-0000-0000-00004D020000}"/>
    <cellStyle name="20% - Accent4 3 4 2 2 2" xfId="15948" xr:uid="{E2E6A80A-6D35-4F59-A854-22BADB362841}"/>
    <cellStyle name="20% - Accent4 3 4 2 3" xfId="11730" xr:uid="{C1EFD324-9EB4-4BA2-A41E-6ECC6F80F7BB}"/>
    <cellStyle name="20% - Accent4 3 4 3" xfId="5361" xr:uid="{00000000-0005-0000-0000-00004E020000}"/>
    <cellStyle name="20% - Accent4 3 4 3 2" xfId="13803" xr:uid="{9B0DA9E5-48EA-4A59-BDA0-F193E5972274}"/>
    <cellStyle name="20% - Accent4 3 4 4" xfId="9585" xr:uid="{731AA237-BFFE-4D22-AE47-A048A4343DD0}"/>
    <cellStyle name="20% - Accent4 3 5" xfId="1466" xr:uid="{00000000-0005-0000-0000-00004F020000}"/>
    <cellStyle name="20% - Accent4 3 5 2" xfId="3696" xr:uid="{00000000-0005-0000-0000-000050020000}"/>
    <cellStyle name="20% - Accent4 3 5 2 2" xfId="7919" xr:uid="{00000000-0005-0000-0000-000051020000}"/>
    <cellStyle name="20% - Accent4 3 5 2 2 2" xfId="16361" xr:uid="{41FF9C80-7CB8-4929-92F3-4E075D70575F}"/>
    <cellStyle name="20% - Accent4 3 5 2 3" xfId="12143" xr:uid="{82EC576D-87BD-46A9-B1D9-693DB1E786D3}"/>
    <cellStyle name="20% - Accent4 3 5 3" xfId="5774" xr:uid="{00000000-0005-0000-0000-000052020000}"/>
    <cellStyle name="20% - Accent4 3 5 3 2" xfId="14216" xr:uid="{EA9861F1-7279-4385-9D83-DAAC8DB4F6D4}"/>
    <cellStyle name="20% - Accent4 3 5 4" xfId="9998" xr:uid="{36FD1590-6584-4ABF-8BA0-8BF64B44BF77}"/>
    <cellStyle name="20% - Accent4 3 6" xfId="1880" xr:uid="{00000000-0005-0000-0000-000053020000}"/>
    <cellStyle name="20% - Accent4 3 6 2" xfId="4109" xr:uid="{00000000-0005-0000-0000-000054020000}"/>
    <cellStyle name="20% - Accent4 3 6 2 2" xfId="8332" xr:uid="{00000000-0005-0000-0000-000055020000}"/>
    <cellStyle name="20% - Accent4 3 6 2 2 2" xfId="16774" xr:uid="{C20C6CE4-5509-4334-9629-2B7150DA63F5}"/>
    <cellStyle name="20% - Accent4 3 6 2 3" xfId="12556" xr:uid="{7B471ED2-70EB-4573-8779-DA11C0455316}"/>
    <cellStyle name="20% - Accent4 3 6 3" xfId="6187" xr:uid="{00000000-0005-0000-0000-000056020000}"/>
    <cellStyle name="20% - Accent4 3 6 3 2" xfId="14629" xr:uid="{8272479E-B0AA-4F6D-9837-E6D93313B8FB}"/>
    <cellStyle name="20% - Accent4 3 6 4" xfId="10411" xr:uid="{9DE38EA2-B27B-412A-A09A-9817B6E168FE}"/>
    <cellStyle name="20% - Accent4 3 7" xfId="2293" xr:uid="{00000000-0005-0000-0000-000057020000}"/>
    <cellStyle name="20% - Accent4 3 7 2" xfId="6600" xr:uid="{00000000-0005-0000-0000-000058020000}"/>
    <cellStyle name="20% - Accent4 3 7 2 2" xfId="15042" xr:uid="{C1AD2350-212F-4E9B-838D-6B14B3E7CC8D}"/>
    <cellStyle name="20% - Accent4 3 7 3" xfId="10824" xr:uid="{169D84F8-2BF0-4714-9A20-86E638B3F033}"/>
    <cellStyle name="20% - Accent4 3 8" xfId="4534" xr:uid="{00000000-0005-0000-0000-000059020000}"/>
    <cellStyle name="20% - Accent4 3 8 2" xfId="12976" xr:uid="{7EBCE6A4-4A43-44A9-98F4-A935EE522D12}"/>
    <cellStyle name="20% - Accent4 3 9" xfId="8758" xr:uid="{72E3B411-2CA3-4818-85A4-76D0D357AAAA}"/>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2 2 2" xfId="15537" xr:uid="{77879E0A-4163-4C89-A54B-DA93C52F2D6F}"/>
    <cellStyle name="20% - Accent4 4 2 2 3" xfId="11319" xr:uid="{254D17B7-263A-472B-AC65-970BB00F0B78}"/>
    <cellStyle name="20% - Accent4 4 2 3" xfId="4950" xr:uid="{00000000-0005-0000-0000-00005E020000}"/>
    <cellStyle name="20% - Accent4 4 2 3 2" xfId="13392" xr:uid="{A3067110-8804-4E4A-8EAE-3714A8417EA8}"/>
    <cellStyle name="20% - Accent4 4 2 4" xfId="9174" xr:uid="{00EB67AB-FC70-4727-BF85-E00FFC09B91D}"/>
    <cellStyle name="20% - Accent4 4 3" xfId="1054" xr:uid="{00000000-0005-0000-0000-00005F020000}"/>
    <cellStyle name="20% - Accent4 4 3 2" xfId="3285" xr:uid="{00000000-0005-0000-0000-000060020000}"/>
    <cellStyle name="20% - Accent4 4 3 2 2" xfId="7508" xr:uid="{00000000-0005-0000-0000-000061020000}"/>
    <cellStyle name="20% - Accent4 4 3 2 2 2" xfId="15950" xr:uid="{830EF1C9-BED5-422D-95A2-79EAFFE5A65B}"/>
    <cellStyle name="20% - Accent4 4 3 2 3" xfId="11732" xr:uid="{B0ED6463-5894-432F-9056-7FAC7A8AA6A8}"/>
    <cellStyle name="20% - Accent4 4 3 3" xfId="5363" xr:uid="{00000000-0005-0000-0000-000062020000}"/>
    <cellStyle name="20% - Accent4 4 3 3 2" xfId="13805" xr:uid="{05CAE00A-2091-4DD2-BA4A-115C38538856}"/>
    <cellStyle name="20% - Accent4 4 3 4" xfId="9587" xr:uid="{D2893469-2F44-48A4-A98F-F1A518E83A83}"/>
    <cellStyle name="20% - Accent4 4 4" xfId="1468" xr:uid="{00000000-0005-0000-0000-000063020000}"/>
    <cellStyle name="20% - Accent4 4 4 2" xfId="3698" xr:uid="{00000000-0005-0000-0000-000064020000}"/>
    <cellStyle name="20% - Accent4 4 4 2 2" xfId="7921" xr:uid="{00000000-0005-0000-0000-000065020000}"/>
    <cellStyle name="20% - Accent4 4 4 2 2 2" xfId="16363" xr:uid="{EA234212-EBF8-44B7-AA1D-FEA360426A45}"/>
    <cellStyle name="20% - Accent4 4 4 2 3" xfId="12145" xr:uid="{28955FB3-F4AD-423D-B0F2-457F5BBAE70A}"/>
    <cellStyle name="20% - Accent4 4 4 3" xfId="5776" xr:uid="{00000000-0005-0000-0000-000066020000}"/>
    <cellStyle name="20% - Accent4 4 4 3 2" xfId="14218" xr:uid="{EB55EAD1-D969-4EAD-9A90-0ADA900DBD89}"/>
    <cellStyle name="20% - Accent4 4 4 4" xfId="10000" xr:uid="{0FA6A6A0-6DA5-49EC-8A45-D31A9B55D94F}"/>
    <cellStyle name="20% - Accent4 4 5" xfId="1882" xr:uid="{00000000-0005-0000-0000-000067020000}"/>
    <cellStyle name="20% - Accent4 4 5 2" xfId="4111" xr:uid="{00000000-0005-0000-0000-000068020000}"/>
    <cellStyle name="20% - Accent4 4 5 2 2" xfId="8334" xr:uid="{00000000-0005-0000-0000-000069020000}"/>
    <cellStyle name="20% - Accent4 4 5 2 2 2" xfId="16776" xr:uid="{6EAB6A3B-BC5D-422B-91F1-1E5CA23B8CC9}"/>
    <cellStyle name="20% - Accent4 4 5 2 3" xfId="12558" xr:uid="{C3075D8A-D040-4E84-836B-BF94A7A56C96}"/>
    <cellStyle name="20% - Accent4 4 5 3" xfId="6189" xr:uid="{00000000-0005-0000-0000-00006A020000}"/>
    <cellStyle name="20% - Accent4 4 5 3 2" xfId="14631" xr:uid="{250A98BF-F749-4033-A674-CFFB84F8855D}"/>
    <cellStyle name="20% - Accent4 4 5 4" xfId="10413" xr:uid="{8D83A10A-27FA-4D97-8FA7-9CED2E32A770}"/>
    <cellStyle name="20% - Accent4 4 6" xfId="2295" xr:uid="{00000000-0005-0000-0000-00006B020000}"/>
    <cellStyle name="20% - Accent4 4 6 2" xfId="6602" xr:uid="{00000000-0005-0000-0000-00006C020000}"/>
    <cellStyle name="20% - Accent4 4 6 2 2" xfId="15044" xr:uid="{F47BD3FA-2AEE-41FC-9470-7BE7006CD64F}"/>
    <cellStyle name="20% - Accent4 4 6 3" xfId="10826" xr:uid="{947F6565-63DA-417B-993A-2AA12127C762}"/>
    <cellStyle name="20% - Accent4 4 7" xfId="4536" xr:uid="{00000000-0005-0000-0000-00006D020000}"/>
    <cellStyle name="20% - Accent4 4 7 2" xfId="12978" xr:uid="{42D765FA-84E4-4C1C-B814-D804D6FECA36}"/>
    <cellStyle name="20% - Accent4 4 8" xfId="8760" xr:uid="{1D2A2D2A-C735-47E3-995B-6C8F29722639}"/>
    <cellStyle name="20% - Accent4 5" xfId="594" xr:uid="{00000000-0005-0000-0000-00006E020000}"/>
    <cellStyle name="20% - Accent4 5 2" xfId="2865" xr:uid="{00000000-0005-0000-0000-00006F020000}"/>
    <cellStyle name="20% - Accent4 5 2 2" xfId="7088" xr:uid="{00000000-0005-0000-0000-000070020000}"/>
    <cellStyle name="20% - Accent4 5 2 2 2" xfId="15530" xr:uid="{4D39C455-F730-43FE-A6C4-5A42B17DAA9E}"/>
    <cellStyle name="20% - Accent4 5 2 3" xfId="11312" xr:uid="{F2285CBE-2CEF-4CCE-851B-88E6450F977A}"/>
    <cellStyle name="20% - Accent4 5 3" xfId="4943" xr:uid="{00000000-0005-0000-0000-000071020000}"/>
    <cellStyle name="20% - Accent4 5 3 2" xfId="13385" xr:uid="{CA20B83F-ADAE-45CE-AE83-F62182E75155}"/>
    <cellStyle name="20% - Accent4 5 4" xfId="9167" xr:uid="{9E877072-883E-46F0-8D57-D0BDFB106181}"/>
    <cellStyle name="20% - Accent4 6" xfId="1047" xr:uid="{00000000-0005-0000-0000-000072020000}"/>
    <cellStyle name="20% - Accent4 6 2" xfId="3278" xr:uid="{00000000-0005-0000-0000-000073020000}"/>
    <cellStyle name="20% - Accent4 6 2 2" xfId="7501" xr:uid="{00000000-0005-0000-0000-000074020000}"/>
    <cellStyle name="20% - Accent4 6 2 2 2" xfId="15943" xr:uid="{DFEBCE58-1059-40F7-BAFF-E3F5172AD04F}"/>
    <cellStyle name="20% - Accent4 6 2 3" xfId="11725" xr:uid="{77A15FFA-17DA-46B5-8FE0-DA13C9FCDD73}"/>
    <cellStyle name="20% - Accent4 6 3" xfId="5356" xr:uid="{00000000-0005-0000-0000-000075020000}"/>
    <cellStyle name="20% - Accent4 6 3 2" xfId="13798" xr:uid="{5360F213-1FA5-499A-A063-35F54285649C}"/>
    <cellStyle name="20% - Accent4 6 4" xfId="9580" xr:uid="{455229FB-D3AF-4FF7-9E18-253E6B3B645B}"/>
    <cellStyle name="20% - Accent4 7" xfId="1461" xr:uid="{00000000-0005-0000-0000-000076020000}"/>
    <cellStyle name="20% - Accent4 7 2" xfId="3691" xr:uid="{00000000-0005-0000-0000-000077020000}"/>
    <cellStyle name="20% - Accent4 7 2 2" xfId="7914" xr:uid="{00000000-0005-0000-0000-000078020000}"/>
    <cellStyle name="20% - Accent4 7 2 2 2" xfId="16356" xr:uid="{1FE9217D-7449-4DEB-9E5E-1557E838EB68}"/>
    <cellStyle name="20% - Accent4 7 2 3" xfId="12138" xr:uid="{BFC98699-B4C7-4EFB-B0EC-2FF042CF4E6D}"/>
    <cellStyle name="20% - Accent4 7 3" xfId="5769" xr:uid="{00000000-0005-0000-0000-000079020000}"/>
    <cellStyle name="20% - Accent4 7 3 2" xfId="14211" xr:uid="{2DF82516-8350-4760-9A19-43CEA1B72C79}"/>
    <cellStyle name="20% - Accent4 7 4" xfId="9993" xr:uid="{B021358F-4782-4075-8587-DB9C070258B7}"/>
    <cellStyle name="20% - Accent4 8" xfId="1875" xr:uid="{00000000-0005-0000-0000-00007A020000}"/>
    <cellStyle name="20% - Accent4 8 2" xfId="4104" xr:uid="{00000000-0005-0000-0000-00007B020000}"/>
    <cellStyle name="20% - Accent4 8 2 2" xfId="8327" xr:uid="{00000000-0005-0000-0000-00007C020000}"/>
    <cellStyle name="20% - Accent4 8 2 2 2" xfId="16769" xr:uid="{E53C80AF-15E4-42EB-A14E-878863F448AD}"/>
    <cellStyle name="20% - Accent4 8 2 3" xfId="12551" xr:uid="{7452CEA0-992F-44CC-81A5-8F6B6F6FF0FA}"/>
    <cellStyle name="20% - Accent4 8 3" xfId="6182" xr:uid="{00000000-0005-0000-0000-00007D020000}"/>
    <cellStyle name="20% - Accent4 8 3 2" xfId="14624" xr:uid="{1E7F3E1A-16BD-4BB1-B3FC-86A247122DBF}"/>
    <cellStyle name="20% - Accent4 8 4" xfId="10406" xr:uid="{1D1B97AA-7029-4DF7-8FE6-CE7EBA8CF506}"/>
    <cellStyle name="20% - Accent4 9" xfId="2288" xr:uid="{00000000-0005-0000-0000-00007E020000}"/>
    <cellStyle name="20% - Accent4 9 2" xfId="6595" xr:uid="{00000000-0005-0000-0000-00007F020000}"/>
    <cellStyle name="20% - Accent4 9 2 2" xfId="15037" xr:uid="{6AECD058-4F22-4C66-952B-A5B1C06896FD}"/>
    <cellStyle name="20% - Accent4 9 3" xfId="10819" xr:uid="{B5A25D23-C3AA-4F0C-82D6-9805930622E5}"/>
    <cellStyle name="20% - Accent5" xfId="33" builtinId="46" customBuiltin="1"/>
    <cellStyle name="20% - Accent5 10" xfId="4537" xr:uid="{00000000-0005-0000-0000-000081020000}"/>
    <cellStyle name="20% - Accent5 10 2" xfId="12979" xr:uid="{F453843F-6EFA-40F9-B876-DE18ADBA9A2B}"/>
    <cellStyle name="20% - Accent5 11" xfId="8761" xr:uid="{D6D57304-29C9-46DC-AC70-578EC432F235}"/>
    <cellStyle name="20% - Accent5 2" xfId="34" xr:uid="{00000000-0005-0000-0000-000082020000}"/>
    <cellStyle name="20% - Accent5 2 10" xfId="8762" xr:uid="{E4E8FBF9-0382-43EB-8674-A4E38DFAD978}"/>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2 2 2" xfId="15541" xr:uid="{DE79BC4C-ADA7-457A-A4BE-4EA18A74FBFB}"/>
    <cellStyle name="20% - Accent5 2 2 2 2 2 3" xfId="11323" xr:uid="{BB9B2356-59BD-4AC9-B823-2D46C35A57E8}"/>
    <cellStyle name="20% - Accent5 2 2 2 2 3" xfId="4954" xr:uid="{00000000-0005-0000-0000-000088020000}"/>
    <cellStyle name="20% - Accent5 2 2 2 2 3 2" xfId="13396" xr:uid="{E6EADADC-DF20-43A1-B004-C46AFC3EF3B6}"/>
    <cellStyle name="20% - Accent5 2 2 2 2 4" xfId="9178" xr:uid="{31CAB045-5257-42E4-AB6F-3332AB7C0888}"/>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2 2 2" xfId="15954" xr:uid="{51A8E458-3F62-4AE7-B17C-940B1CCDF2DF}"/>
    <cellStyle name="20% - Accent5 2 2 2 3 2 3" xfId="11736" xr:uid="{16F3BCB2-6B07-499E-957E-CD30FA71C677}"/>
    <cellStyle name="20% - Accent5 2 2 2 3 3" xfId="5367" xr:uid="{00000000-0005-0000-0000-00008C020000}"/>
    <cellStyle name="20% - Accent5 2 2 2 3 3 2" xfId="13809" xr:uid="{D8FE5FE9-A9DD-45EC-B104-5E0EE5534535}"/>
    <cellStyle name="20% - Accent5 2 2 2 3 4" xfId="9591" xr:uid="{45BA5A24-7737-4E49-AD21-11A8859BEC9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2 2 2" xfId="16367" xr:uid="{2E5B848D-0632-4185-87CF-B69D07264087}"/>
    <cellStyle name="20% - Accent5 2 2 2 4 2 3" xfId="12149" xr:uid="{DF46FA76-8B95-4D23-8901-D403C2EE45D6}"/>
    <cellStyle name="20% - Accent5 2 2 2 4 3" xfId="5780" xr:uid="{00000000-0005-0000-0000-000090020000}"/>
    <cellStyle name="20% - Accent5 2 2 2 4 3 2" xfId="14222" xr:uid="{64AA65D9-8FCD-46C2-9E47-0F536CFB2A6A}"/>
    <cellStyle name="20% - Accent5 2 2 2 4 4" xfId="10004" xr:uid="{6DE72BC8-7842-4222-A0DB-32E2930F63DF}"/>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2 2 2" xfId="16780" xr:uid="{272E213F-6F65-4636-AA8B-3FE41EA39D66}"/>
    <cellStyle name="20% - Accent5 2 2 2 5 2 3" xfId="12562" xr:uid="{156AD731-9601-4EA9-AD48-67012E81D9FB}"/>
    <cellStyle name="20% - Accent5 2 2 2 5 3" xfId="6193" xr:uid="{00000000-0005-0000-0000-000094020000}"/>
    <cellStyle name="20% - Accent5 2 2 2 5 3 2" xfId="14635" xr:uid="{6C10B4DB-33F2-463A-BABB-029C94F77A90}"/>
    <cellStyle name="20% - Accent5 2 2 2 5 4" xfId="10417" xr:uid="{B0E78A20-9042-49E3-A5A3-422D4108CE3D}"/>
    <cellStyle name="20% - Accent5 2 2 2 6" xfId="2299" xr:uid="{00000000-0005-0000-0000-000095020000}"/>
    <cellStyle name="20% - Accent5 2 2 2 6 2" xfId="6606" xr:uid="{00000000-0005-0000-0000-000096020000}"/>
    <cellStyle name="20% - Accent5 2 2 2 6 2 2" xfId="15048" xr:uid="{B49DEB19-7BE9-448E-BDA8-AD7DA2C46A35}"/>
    <cellStyle name="20% - Accent5 2 2 2 6 3" xfId="10830" xr:uid="{420CE781-9A0E-44C1-B343-AEF05ECAF03F}"/>
    <cellStyle name="20% - Accent5 2 2 2 7" xfId="4540" xr:uid="{00000000-0005-0000-0000-000097020000}"/>
    <cellStyle name="20% - Accent5 2 2 2 7 2" xfId="12982" xr:uid="{E38DA409-66EB-4DF3-9CE5-D63F2DA92D1B}"/>
    <cellStyle name="20% - Accent5 2 2 2 8" xfId="8764" xr:uid="{F5A9F8A0-6507-4AE9-89C5-038883709F76}"/>
    <cellStyle name="20% - Accent5 2 2 3" xfId="604" xr:uid="{00000000-0005-0000-0000-000098020000}"/>
    <cellStyle name="20% - Accent5 2 2 3 2" xfId="2875" xr:uid="{00000000-0005-0000-0000-000099020000}"/>
    <cellStyle name="20% - Accent5 2 2 3 2 2" xfId="7098" xr:uid="{00000000-0005-0000-0000-00009A020000}"/>
    <cellStyle name="20% - Accent5 2 2 3 2 2 2" xfId="15540" xr:uid="{97DA86B5-96BF-4268-A0E9-43053C052485}"/>
    <cellStyle name="20% - Accent5 2 2 3 2 3" xfId="11322" xr:uid="{D5F220DD-0AD8-4940-9F64-A19C41845D51}"/>
    <cellStyle name="20% - Accent5 2 2 3 3" xfId="4953" xr:uid="{00000000-0005-0000-0000-00009B020000}"/>
    <cellStyle name="20% - Accent5 2 2 3 3 2" xfId="13395" xr:uid="{8949FEC6-FBA0-4459-B067-01C974EA4A27}"/>
    <cellStyle name="20% - Accent5 2 2 3 4" xfId="9177" xr:uid="{9B78E75B-9BD6-4DEF-BD5A-85339DDCD9E7}"/>
    <cellStyle name="20% - Accent5 2 2 4" xfId="1057" xr:uid="{00000000-0005-0000-0000-00009C020000}"/>
    <cellStyle name="20% - Accent5 2 2 4 2" xfId="3288" xr:uid="{00000000-0005-0000-0000-00009D020000}"/>
    <cellStyle name="20% - Accent5 2 2 4 2 2" xfId="7511" xr:uid="{00000000-0005-0000-0000-00009E020000}"/>
    <cellStyle name="20% - Accent5 2 2 4 2 2 2" xfId="15953" xr:uid="{93846E4B-67C3-4DD3-9462-17BEEF8A6FDA}"/>
    <cellStyle name="20% - Accent5 2 2 4 2 3" xfId="11735" xr:uid="{6174682C-6C73-4ACF-A141-4BA5F1011E63}"/>
    <cellStyle name="20% - Accent5 2 2 4 3" xfId="5366" xr:uid="{00000000-0005-0000-0000-00009F020000}"/>
    <cellStyle name="20% - Accent5 2 2 4 3 2" xfId="13808" xr:uid="{3897E4F4-FFB2-46E3-B356-9293AD322885}"/>
    <cellStyle name="20% - Accent5 2 2 4 4" xfId="9590" xr:uid="{05F4079D-53D9-479C-9D1B-9C69F8ACA779}"/>
    <cellStyle name="20% - Accent5 2 2 5" xfId="1471" xr:uid="{00000000-0005-0000-0000-0000A0020000}"/>
    <cellStyle name="20% - Accent5 2 2 5 2" xfId="3701" xr:uid="{00000000-0005-0000-0000-0000A1020000}"/>
    <cellStyle name="20% - Accent5 2 2 5 2 2" xfId="7924" xr:uid="{00000000-0005-0000-0000-0000A2020000}"/>
    <cellStyle name="20% - Accent5 2 2 5 2 2 2" xfId="16366" xr:uid="{BCC181A3-4099-419A-9CF1-1B35ED3602B1}"/>
    <cellStyle name="20% - Accent5 2 2 5 2 3" xfId="12148" xr:uid="{423B6439-D17A-4D1F-A2FA-A39A5BE083A7}"/>
    <cellStyle name="20% - Accent5 2 2 5 3" xfId="5779" xr:uid="{00000000-0005-0000-0000-0000A3020000}"/>
    <cellStyle name="20% - Accent5 2 2 5 3 2" xfId="14221" xr:uid="{4C6BD8DB-DFA4-4D4D-A649-F843D1E0A763}"/>
    <cellStyle name="20% - Accent5 2 2 5 4" xfId="10003" xr:uid="{D6F0FB0E-2663-43BD-B059-EAB40D05B7BF}"/>
    <cellStyle name="20% - Accent5 2 2 6" xfId="1885" xr:uid="{00000000-0005-0000-0000-0000A4020000}"/>
    <cellStyle name="20% - Accent5 2 2 6 2" xfId="4114" xr:uid="{00000000-0005-0000-0000-0000A5020000}"/>
    <cellStyle name="20% - Accent5 2 2 6 2 2" xfId="8337" xr:uid="{00000000-0005-0000-0000-0000A6020000}"/>
    <cellStyle name="20% - Accent5 2 2 6 2 2 2" xfId="16779" xr:uid="{8629EFB5-671E-4595-83E0-D5AF3B056410}"/>
    <cellStyle name="20% - Accent5 2 2 6 2 3" xfId="12561" xr:uid="{4D1D9A49-526B-47B5-B770-A6B53E9BC47C}"/>
    <cellStyle name="20% - Accent5 2 2 6 3" xfId="6192" xr:uid="{00000000-0005-0000-0000-0000A7020000}"/>
    <cellStyle name="20% - Accent5 2 2 6 3 2" xfId="14634" xr:uid="{20D86BF2-FFF0-40A0-9C6D-56402D58F7D7}"/>
    <cellStyle name="20% - Accent5 2 2 6 4" xfId="10416" xr:uid="{4D8D5BC3-E4C8-453D-B6B6-AAB885AE92FD}"/>
    <cellStyle name="20% - Accent5 2 2 7" xfId="2298" xr:uid="{00000000-0005-0000-0000-0000A8020000}"/>
    <cellStyle name="20% - Accent5 2 2 7 2" xfId="6605" xr:uid="{00000000-0005-0000-0000-0000A9020000}"/>
    <cellStyle name="20% - Accent5 2 2 7 2 2" xfId="15047" xr:uid="{A198ECF6-2EA4-4006-864E-C71FEDB5C95C}"/>
    <cellStyle name="20% - Accent5 2 2 7 3" xfId="10829" xr:uid="{F90B3143-1D7A-416E-B97C-135D7D269365}"/>
    <cellStyle name="20% - Accent5 2 2 8" xfId="4539" xr:uid="{00000000-0005-0000-0000-0000AA020000}"/>
    <cellStyle name="20% - Accent5 2 2 8 2" xfId="12981" xr:uid="{C3C17C4C-03B5-4F97-81AE-ECC48C63993B}"/>
    <cellStyle name="20% - Accent5 2 2 9" xfId="8763" xr:uid="{912C30F7-9C17-4787-97F8-0BC59CA0D65E}"/>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2 2 2" xfId="15542" xr:uid="{65A000D6-FCE6-4C48-99DA-758C807FB57C}"/>
    <cellStyle name="20% - Accent5 2 3 2 2 3" xfId="11324" xr:uid="{4E755273-C3D9-4FE0-830B-2E5DC70E5535}"/>
    <cellStyle name="20% - Accent5 2 3 2 3" xfId="4955" xr:uid="{00000000-0005-0000-0000-0000AF020000}"/>
    <cellStyle name="20% - Accent5 2 3 2 3 2" xfId="13397" xr:uid="{04FE8006-7C8C-4025-A2B0-724B8B2DB267}"/>
    <cellStyle name="20% - Accent5 2 3 2 4" xfId="9179" xr:uid="{164EB1E9-4A4C-4F7B-8B0E-29CC845C731E}"/>
    <cellStyle name="20% - Accent5 2 3 3" xfId="1059" xr:uid="{00000000-0005-0000-0000-0000B0020000}"/>
    <cellStyle name="20% - Accent5 2 3 3 2" xfId="3290" xr:uid="{00000000-0005-0000-0000-0000B1020000}"/>
    <cellStyle name="20% - Accent5 2 3 3 2 2" xfId="7513" xr:uid="{00000000-0005-0000-0000-0000B2020000}"/>
    <cellStyle name="20% - Accent5 2 3 3 2 2 2" xfId="15955" xr:uid="{0F15D3E4-5862-48D2-8776-C0BF25B47C0A}"/>
    <cellStyle name="20% - Accent5 2 3 3 2 3" xfId="11737" xr:uid="{696B2F94-2312-404A-918A-86FB04C7614F}"/>
    <cellStyle name="20% - Accent5 2 3 3 3" xfId="5368" xr:uid="{00000000-0005-0000-0000-0000B3020000}"/>
    <cellStyle name="20% - Accent5 2 3 3 3 2" xfId="13810" xr:uid="{16C3E69D-58F3-40AC-B20B-DD0B2BE60B51}"/>
    <cellStyle name="20% - Accent5 2 3 3 4" xfId="9592" xr:uid="{EBF4067A-0BA5-46C9-8E94-B0C91AB938C9}"/>
    <cellStyle name="20% - Accent5 2 3 4" xfId="1473" xr:uid="{00000000-0005-0000-0000-0000B4020000}"/>
    <cellStyle name="20% - Accent5 2 3 4 2" xfId="3703" xr:uid="{00000000-0005-0000-0000-0000B5020000}"/>
    <cellStyle name="20% - Accent5 2 3 4 2 2" xfId="7926" xr:uid="{00000000-0005-0000-0000-0000B6020000}"/>
    <cellStyle name="20% - Accent5 2 3 4 2 2 2" xfId="16368" xr:uid="{31DDEABD-C3C1-43DF-BA01-137AD6C1D766}"/>
    <cellStyle name="20% - Accent5 2 3 4 2 3" xfId="12150" xr:uid="{FE8A90D9-FF62-4A74-A265-1BC5EA8E8FB6}"/>
    <cellStyle name="20% - Accent5 2 3 4 3" xfId="5781" xr:uid="{00000000-0005-0000-0000-0000B7020000}"/>
    <cellStyle name="20% - Accent5 2 3 4 3 2" xfId="14223" xr:uid="{F2519405-4DDF-4636-8717-474061495F28}"/>
    <cellStyle name="20% - Accent5 2 3 4 4" xfId="10005" xr:uid="{067954D4-D4A1-4723-8180-36B276D5F2C9}"/>
    <cellStyle name="20% - Accent5 2 3 5" xfId="1887" xr:uid="{00000000-0005-0000-0000-0000B8020000}"/>
    <cellStyle name="20% - Accent5 2 3 5 2" xfId="4116" xr:uid="{00000000-0005-0000-0000-0000B9020000}"/>
    <cellStyle name="20% - Accent5 2 3 5 2 2" xfId="8339" xr:uid="{00000000-0005-0000-0000-0000BA020000}"/>
    <cellStyle name="20% - Accent5 2 3 5 2 2 2" xfId="16781" xr:uid="{85953A92-0F83-407F-87D7-55102C8F0D40}"/>
    <cellStyle name="20% - Accent5 2 3 5 2 3" xfId="12563" xr:uid="{13810B5C-C382-4185-9327-3EADD77EB8D3}"/>
    <cellStyle name="20% - Accent5 2 3 5 3" xfId="6194" xr:uid="{00000000-0005-0000-0000-0000BB020000}"/>
    <cellStyle name="20% - Accent5 2 3 5 3 2" xfId="14636" xr:uid="{AC37666C-F511-4370-A174-D55ECE6019C3}"/>
    <cellStyle name="20% - Accent5 2 3 5 4" xfId="10418" xr:uid="{4A69BAAA-F7BC-4DAF-A5E8-8977786651B0}"/>
    <cellStyle name="20% - Accent5 2 3 6" xfId="2300" xr:uid="{00000000-0005-0000-0000-0000BC020000}"/>
    <cellStyle name="20% - Accent5 2 3 6 2" xfId="6607" xr:uid="{00000000-0005-0000-0000-0000BD020000}"/>
    <cellStyle name="20% - Accent5 2 3 6 2 2" xfId="15049" xr:uid="{8C30709E-8C55-469F-8AE5-684AE39A1FE2}"/>
    <cellStyle name="20% - Accent5 2 3 6 3" xfId="10831" xr:uid="{7F331C46-C7E0-40ED-9B1F-84ECCF1A76E4}"/>
    <cellStyle name="20% - Accent5 2 3 7" xfId="4541" xr:uid="{00000000-0005-0000-0000-0000BE020000}"/>
    <cellStyle name="20% - Accent5 2 3 7 2" xfId="12983" xr:uid="{D71FB8C7-1B51-439F-A6F0-B3891B3E4580}"/>
    <cellStyle name="20% - Accent5 2 3 8" xfId="8765" xr:uid="{50FA05EB-9EE6-4F3F-8576-FC2F6614833B}"/>
    <cellStyle name="20% - Accent5 2 4" xfId="603" xr:uid="{00000000-0005-0000-0000-0000BF020000}"/>
    <cellStyle name="20% - Accent5 2 4 2" xfId="2874" xr:uid="{00000000-0005-0000-0000-0000C0020000}"/>
    <cellStyle name="20% - Accent5 2 4 2 2" xfId="7097" xr:uid="{00000000-0005-0000-0000-0000C1020000}"/>
    <cellStyle name="20% - Accent5 2 4 2 2 2" xfId="15539" xr:uid="{95D4D5F0-9336-4429-B3A6-CD3A510707C2}"/>
    <cellStyle name="20% - Accent5 2 4 2 3" xfId="11321" xr:uid="{1F6CD3CD-F54C-48DA-BFAB-760AA446C8F2}"/>
    <cellStyle name="20% - Accent5 2 4 3" xfId="4952" xr:uid="{00000000-0005-0000-0000-0000C2020000}"/>
    <cellStyle name="20% - Accent5 2 4 3 2" xfId="13394" xr:uid="{6F7854FE-172B-4807-9451-78D56B23677C}"/>
    <cellStyle name="20% - Accent5 2 4 4" xfId="9176" xr:uid="{87DED09D-878A-4F1E-A258-011CD6919913}"/>
    <cellStyle name="20% - Accent5 2 5" xfId="1056" xr:uid="{00000000-0005-0000-0000-0000C3020000}"/>
    <cellStyle name="20% - Accent5 2 5 2" xfId="3287" xr:uid="{00000000-0005-0000-0000-0000C4020000}"/>
    <cellStyle name="20% - Accent5 2 5 2 2" xfId="7510" xr:uid="{00000000-0005-0000-0000-0000C5020000}"/>
    <cellStyle name="20% - Accent5 2 5 2 2 2" xfId="15952" xr:uid="{A2CFA203-94E2-45AF-AF70-AE9A6B2085C0}"/>
    <cellStyle name="20% - Accent5 2 5 2 3" xfId="11734" xr:uid="{782B456A-A5C4-4AAD-9747-BA7C5D460FC9}"/>
    <cellStyle name="20% - Accent5 2 5 3" xfId="5365" xr:uid="{00000000-0005-0000-0000-0000C6020000}"/>
    <cellStyle name="20% - Accent5 2 5 3 2" xfId="13807" xr:uid="{FBD1455A-1F48-49C2-8EBD-5894DEFC783E}"/>
    <cellStyle name="20% - Accent5 2 5 4" xfId="9589" xr:uid="{681CA978-BBB8-4295-8DB3-42F87E477A3D}"/>
    <cellStyle name="20% - Accent5 2 6" xfId="1470" xr:uid="{00000000-0005-0000-0000-0000C7020000}"/>
    <cellStyle name="20% - Accent5 2 6 2" xfId="3700" xr:uid="{00000000-0005-0000-0000-0000C8020000}"/>
    <cellStyle name="20% - Accent5 2 6 2 2" xfId="7923" xr:uid="{00000000-0005-0000-0000-0000C9020000}"/>
    <cellStyle name="20% - Accent5 2 6 2 2 2" xfId="16365" xr:uid="{FA11C5E2-4C04-4CFA-BA75-317071E966E7}"/>
    <cellStyle name="20% - Accent5 2 6 2 3" xfId="12147" xr:uid="{FE8B193B-DEA2-412E-8914-18022D261DB1}"/>
    <cellStyle name="20% - Accent5 2 6 3" xfId="5778" xr:uid="{00000000-0005-0000-0000-0000CA020000}"/>
    <cellStyle name="20% - Accent5 2 6 3 2" xfId="14220" xr:uid="{A259DE81-49A9-4A0E-BF66-D533B4B7BCC4}"/>
    <cellStyle name="20% - Accent5 2 6 4" xfId="10002" xr:uid="{91D745B4-404A-4521-B156-D304439F4D4F}"/>
    <cellStyle name="20% - Accent5 2 7" xfId="1884" xr:uid="{00000000-0005-0000-0000-0000CB020000}"/>
    <cellStyle name="20% - Accent5 2 7 2" xfId="4113" xr:uid="{00000000-0005-0000-0000-0000CC020000}"/>
    <cellStyle name="20% - Accent5 2 7 2 2" xfId="8336" xr:uid="{00000000-0005-0000-0000-0000CD020000}"/>
    <cellStyle name="20% - Accent5 2 7 2 2 2" xfId="16778" xr:uid="{ABC79BC1-1BE2-4B40-9E76-51F0B3859BD5}"/>
    <cellStyle name="20% - Accent5 2 7 2 3" xfId="12560" xr:uid="{5E3CA41E-7505-4342-9D62-4FE0DEB69D5F}"/>
    <cellStyle name="20% - Accent5 2 7 3" xfId="6191" xr:uid="{00000000-0005-0000-0000-0000CE020000}"/>
    <cellStyle name="20% - Accent5 2 7 3 2" xfId="14633" xr:uid="{9A07DCB9-3D51-4979-9B89-22655A7BE9ED}"/>
    <cellStyle name="20% - Accent5 2 7 4" xfId="10415" xr:uid="{9359F49A-DC0A-42AA-ADB6-4523F63FA3EE}"/>
    <cellStyle name="20% - Accent5 2 8" xfId="2297" xr:uid="{00000000-0005-0000-0000-0000CF020000}"/>
    <cellStyle name="20% - Accent5 2 8 2" xfId="6604" xr:uid="{00000000-0005-0000-0000-0000D0020000}"/>
    <cellStyle name="20% - Accent5 2 8 2 2" xfId="15046" xr:uid="{1C52E4CD-89E7-449E-875D-7C3000E30CAE}"/>
    <cellStyle name="20% - Accent5 2 8 3" xfId="10828" xr:uid="{4DB49B3E-A5B2-4EEA-8759-5EC01FACE56F}"/>
    <cellStyle name="20% - Accent5 2 9" xfId="4538" xr:uid="{00000000-0005-0000-0000-0000D1020000}"/>
    <cellStyle name="20% - Accent5 2 9 2" xfId="12980" xr:uid="{6353C72E-EFEC-4FD7-96AD-BBEB1E0401F8}"/>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2 2 2" xfId="15544" xr:uid="{747A0632-0727-4935-8E7E-C5DDCBE15B3A}"/>
    <cellStyle name="20% - Accent5 3 2 2 2 3" xfId="11326" xr:uid="{36D7795B-7879-4F02-B9B9-8B4FEF01F7A9}"/>
    <cellStyle name="20% - Accent5 3 2 2 3" xfId="4957" xr:uid="{00000000-0005-0000-0000-0000D7020000}"/>
    <cellStyle name="20% - Accent5 3 2 2 3 2" xfId="13399" xr:uid="{2077B905-3972-4078-A42E-27E6FD8B5564}"/>
    <cellStyle name="20% - Accent5 3 2 2 4" xfId="9181" xr:uid="{7FE4869F-C9A3-415F-8F2A-CE5DB2788C03}"/>
    <cellStyle name="20% - Accent5 3 2 3" xfId="1061" xr:uid="{00000000-0005-0000-0000-0000D8020000}"/>
    <cellStyle name="20% - Accent5 3 2 3 2" xfId="3292" xr:uid="{00000000-0005-0000-0000-0000D9020000}"/>
    <cellStyle name="20% - Accent5 3 2 3 2 2" xfId="7515" xr:uid="{00000000-0005-0000-0000-0000DA020000}"/>
    <cellStyle name="20% - Accent5 3 2 3 2 2 2" xfId="15957" xr:uid="{B39649BD-105B-4B0F-8BCF-B5D229478588}"/>
    <cellStyle name="20% - Accent5 3 2 3 2 3" xfId="11739" xr:uid="{92AD1544-A429-418B-828B-D11D15D6AAAD}"/>
    <cellStyle name="20% - Accent5 3 2 3 3" xfId="5370" xr:uid="{00000000-0005-0000-0000-0000DB020000}"/>
    <cellStyle name="20% - Accent5 3 2 3 3 2" xfId="13812" xr:uid="{F260D7E9-7818-4622-81E9-2E9DBEA45F01}"/>
    <cellStyle name="20% - Accent5 3 2 3 4" xfId="9594" xr:uid="{693B5C35-EC21-4908-8A6D-2F15094485EB}"/>
    <cellStyle name="20% - Accent5 3 2 4" xfId="1475" xr:uid="{00000000-0005-0000-0000-0000DC020000}"/>
    <cellStyle name="20% - Accent5 3 2 4 2" xfId="3705" xr:uid="{00000000-0005-0000-0000-0000DD020000}"/>
    <cellStyle name="20% - Accent5 3 2 4 2 2" xfId="7928" xr:uid="{00000000-0005-0000-0000-0000DE020000}"/>
    <cellStyle name="20% - Accent5 3 2 4 2 2 2" xfId="16370" xr:uid="{BEA3B608-44D8-4E99-AF7F-7D781ED15D9B}"/>
    <cellStyle name="20% - Accent5 3 2 4 2 3" xfId="12152" xr:uid="{A5771D74-C3A3-4F53-8D1E-0D034581E274}"/>
    <cellStyle name="20% - Accent5 3 2 4 3" xfId="5783" xr:uid="{00000000-0005-0000-0000-0000DF020000}"/>
    <cellStyle name="20% - Accent5 3 2 4 3 2" xfId="14225" xr:uid="{75DD4C86-8400-4D7A-9FA7-20E61CB848BB}"/>
    <cellStyle name="20% - Accent5 3 2 4 4" xfId="10007" xr:uid="{DB393579-9FD3-45AE-9A6E-6CD8DF1D2A85}"/>
    <cellStyle name="20% - Accent5 3 2 5" xfId="1889" xr:uid="{00000000-0005-0000-0000-0000E0020000}"/>
    <cellStyle name="20% - Accent5 3 2 5 2" xfId="4118" xr:uid="{00000000-0005-0000-0000-0000E1020000}"/>
    <cellStyle name="20% - Accent5 3 2 5 2 2" xfId="8341" xr:uid="{00000000-0005-0000-0000-0000E2020000}"/>
    <cellStyle name="20% - Accent5 3 2 5 2 2 2" xfId="16783" xr:uid="{1B6E50AE-58EE-4516-846A-A6CEF3B58646}"/>
    <cellStyle name="20% - Accent5 3 2 5 2 3" xfId="12565" xr:uid="{32B8A73C-33F4-4A2C-BDF6-82759471B2D8}"/>
    <cellStyle name="20% - Accent5 3 2 5 3" xfId="6196" xr:uid="{00000000-0005-0000-0000-0000E3020000}"/>
    <cellStyle name="20% - Accent5 3 2 5 3 2" xfId="14638" xr:uid="{B4688FBF-ED29-46AF-8CEF-2BB8F1456065}"/>
    <cellStyle name="20% - Accent5 3 2 5 4" xfId="10420" xr:uid="{15695E71-5FA0-45FB-9A86-0258CFB30014}"/>
    <cellStyle name="20% - Accent5 3 2 6" xfId="2302" xr:uid="{00000000-0005-0000-0000-0000E4020000}"/>
    <cellStyle name="20% - Accent5 3 2 6 2" xfId="6609" xr:uid="{00000000-0005-0000-0000-0000E5020000}"/>
    <cellStyle name="20% - Accent5 3 2 6 2 2" xfId="15051" xr:uid="{C89CFF17-C814-411C-84BB-CCAA6F824A87}"/>
    <cellStyle name="20% - Accent5 3 2 6 3" xfId="10833" xr:uid="{32DF8F90-3EE2-4F1C-8C6F-5E5D092A3B92}"/>
    <cellStyle name="20% - Accent5 3 2 7" xfId="4543" xr:uid="{00000000-0005-0000-0000-0000E6020000}"/>
    <cellStyle name="20% - Accent5 3 2 7 2" xfId="12985" xr:uid="{A29C05B2-F2A2-4702-96E8-75D354234081}"/>
    <cellStyle name="20% - Accent5 3 2 8" xfId="8767" xr:uid="{19A6E555-BBF9-4AFA-82C4-45603CED1920}"/>
    <cellStyle name="20% - Accent5 3 3" xfId="607" xr:uid="{00000000-0005-0000-0000-0000E7020000}"/>
    <cellStyle name="20% - Accent5 3 3 2" xfId="2878" xr:uid="{00000000-0005-0000-0000-0000E8020000}"/>
    <cellStyle name="20% - Accent5 3 3 2 2" xfId="7101" xr:uid="{00000000-0005-0000-0000-0000E9020000}"/>
    <cellStyle name="20% - Accent5 3 3 2 2 2" xfId="15543" xr:uid="{4C4B3C47-F78B-441D-95CF-4EC0BEC07D87}"/>
    <cellStyle name="20% - Accent5 3 3 2 3" xfId="11325" xr:uid="{F449FADB-3B4E-412C-8BE7-3980C37E3B18}"/>
    <cellStyle name="20% - Accent5 3 3 3" xfId="4956" xr:uid="{00000000-0005-0000-0000-0000EA020000}"/>
    <cellStyle name="20% - Accent5 3 3 3 2" xfId="13398" xr:uid="{D7004002-E0E9-42E0-8259-775361845ABD}"/>
    <cellStyle name="20% - Accent5 3 3 4" xfId="9180" xr:uid="{D8A61F16-11CF-4846-AC83-D463BB031FA7}"/>
    <cellStyle name="20% - Accent5 3 4" xfId="1060" xr:uid="{00000000-0005-0000-0000-0000EB020000}"/>
    <cellStyle name="20% - Accent5 3 4 2" xfId="3291" xr:uid="{00000000-0005-0000-0000-0000EC020000}"/>
    <cellStyle name="20% - Accent5 3 4 2 2" xfId="7514" xr:uid="{00000000-0005-0000-0000-0000ED020000}"/>
    <cellStyle name="20% - Accent5 3 4 2 2 2" xfId="15956" xr:uid="{1CE75A6F-FC30-4EA3-9FF8-22E38EFD8163}"/>
    <cellStyle name="20% - Accent5 3 4 2 3" xfId="11738" xr:uid="{89B493AA-D18B-4EDF-BFD9-7838C1BB6AB6}"/>
    <cellStyle name="20% - Accent5 3 4 3" xfId="5369" xr:uid="{00000000-0005-0000-0000-0000EE020000}"/>
    <cellStyle name="20% - Accent5 3 4 3 2" xfId="13811" xr:uid="{8004F976-8C70-4A3F-9E7B-225EDE004959}"/>
    <cellStyle name="20% - Accent5 3 4 4" xfId="9593" xr:uid="{E32527B5-C3D0-444E-B81E-282A96D14C9C}"/>
    <cellStyle name="20% - Accent5 3 5" xfId="1474" xr:uid="{00000000-0005-0000-0000-0000EF020000}"/>
    <cellStyle name="20% - Accent5 3 5 2" xfId="3704" xr:uid="{00000000-0005-0000-0000-0000F0020000}"/>
    <cellStyle name="20% - Accent5 3 5 2 2" xfId="7927" xr:uid="{00000000-0005-0000-0000-0000F1020000}"/>
    <cellStyle name="20% - Accent5 3 5 2 2 2" xfId="16369" xr:uid="{F852C81E-9FCC-4D68-86E5-CB6AF7F42F2A}"/>
    <cellStyle name="20% - Accent5 3 5 2 3" xfId="12151" xr:uid="{ABC56A3C-2413-4B65-B213-D5F1B101CD01}"/>
    <cellStyle name="20% - Accent5 3 5 3" xfId="5782" xr:uid="{00000000-0005-0000-0000-0000F2020000}"/>
    <cellStyle name="20% - Accent5 3 5 3 2" xfId="14224" xr:uid="{D34F7CDE-E7F8-48E8-A004-D0A3915D20D9}"/>
    <cellStyle name="20% - Accent5 3 5 4" xfId="10006" xr:uid="{3F017DE7-FB2B-4320-B6C2-2709645F6C96}"/>
    <cellStyle name="20% - Accent5 3 6" xfId="1888" xr:uid="{00000000-0005-0000-0000-0000F3020000}"/>
    <cellStyle name="20% - Accent5 3 6 2" xfId="4117" xr:uid="{00000000-0005-0000-0000-0000F4020000}"/>
    <cellStyle name="20% - Accent5 3 6 2 2" xfId="8340" xr:uid="{00000000-0005-0000-0000-0000F5020000}"/>
    <cellStyle name="20% - Accent5 3 6 2 2 2" xfId="16782" xr:uid="{EB59E9CB-44F0-4208-8878-397E3FD41588}"/>
    <cellStyle name="20% - Accent5 3 6 2 3" xfId="12564" xr:uid="{8CE80478-1D1D-42DE-B26F-25D51D5CB76F}"/>
    <cellStyle name="20% - Accent5 3 6 3" xfId="6195" xr:uid="{00000000-0005-0000-0000-0000F6020000}"/>
    <cellStyle name="20% - Accent5 3 6 3 2" xfId="14637" xr:uid="{833F11EC-4756-4D74-94B9-707CE965EFD7}"/>
    <cellStyle name="20% - Accent5 3 6 4" xfId="10419" xr:uid="{B25820DF-C37E-4193-9DE0-E8342FFA9532}"/>
    <cellStyle name="20% - Accent5 3 7" xfId="2301" xr:uid="{00000000-0005-0000-0000-0000F7020000}"/>
    <cellStyle name="20% - Accent5 3 7 2" xfId="6608" xr:uid="{00000000-0005-0000-0000-0000F8020000}"/>
    <cellStyle name="20% - Accent5 3 7 2 2" xfId="15050" xr:uid="{879DD6C0-90F9-4DD1-98C3-9A9441A8DDF0}"/>
    <cellStyle name="20% - Accent5 3 7 3" xfId="10832" xr:uid="{C6450982-9967-439A-AA5B-55E38EBA6132}"/>
    <cellStyle name="20% - Accent5 3 8" xfId="4542" xr:uid="{00000000-0005-0000-0000-0000F9020000}"/>
    <cellStyle name="20% - Accent5 3 8 2" xfId="12984" xr:uid="{6D2BF9AF-30F5-4B2F-8298-3855F8ED1A5B}"/>
    <cellStyle name="20% - Accent5 3 9" xfId="8766" xr:uid="{66BD2094-202F-449F-BCD0-2B95217F47D3}"/>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2 2 2" xfId="15545" xr:uid="{B8CD7BFE-3059-497B-81D8-DEF432D7312A}"/>
    <cellStyle name="20% - Accent5 4 2 2 3" xfId="11327" xr:uid="{63F96320-3BE8-4888-A289-25E65186572B}"/>
    <cellStyle name="20% - Accent5 4 2 3" xfId="4958" xr:uid="{00000000-0005-0000-0000-0000FE020000}"/>
    <cellStyle name="20% - Accent5 4 2 3 2" xfId="13400" xr:uid="{C1D724D8-3528-4135-BE2A-181889ACD3CA}"/>
    <cellStyle name="20% - Accent5 4 2 4" xfId="9182" xr:uid="{E55ACFFB-F5C4-47B9-BD88-DDDF80C44857}"/>
    <cellStyle name="20% - Accent5 4 3" xfId="1062" xr:uid="{00000000-0005-0000-0000-0000FF020000}"/>
    <cellStyle name="20% - Accent5 4 3 2" xfId="3293" xr:uid="{00000000-0005-0000-0000-000000030000}"/>
    <cellStyle name="20% - Accent5 4 3 2 2" xfId="7516" xr:uid="{00000000-0005-0000-0000-000001030000}"/>
    <cellStyle name="20% - Accent5 4 3 2 2 2" xfId="15958" xr:uid="{A515B8D1-0E8F-4D0B-862B-45E14FFF5151}"/>
    <cellStyle name="20% - Accent5 4 3 2 3" xfId="11740" xr:uid="{54BD260B-2B98-4CA1-A05F-2F01651900AE}"/>
    <cellStyle name="20% - Accent5 4 3 3" xfId="5371" xr:uid="{00000000-0005-0000-0000-000002030000}"/>
    <cellStyle name="20% - Accent5 4 3 3 2" xfId="13813" xr:uid="{AA35C06A-42E4-4C52-8211-D3963530E808}"/>
    <cellStyle name="20% - Accent5 4 3 4" xfId="9595" xr:uid="{1112E649-F59F-4F16-A982-9C4C9FB1481C}"/>
    <cellStyle name="20% - Accent5 4 4" xfId="1476" xr:uid="{00000000-0005-0000-0000-000003030000}"/>
    <cellStyle name="20% - Accent5 4 4 2" xfId="3706" xr:uid="{00000000-0005-0000-0000-000004030000}"/>
    <cellStyle name="20% - Accent5 4 4 2 2" xfId="7929" xr:uid="{00000000-0005-0000-0000-000005030000}"/>
    <cellStyle name="20% - Accent5 4 4 2 2 2" xfId="16371" xr:uid="{C90A2EC4-05CE-433C-B1C8-AFF92224A9E1}"/>
    <cellStyle name="20% - Accent5 4 4 2 3" xfId="12153" xr:uid="{100114DE-B427-4079-A4A5-C604193BE31E}"/>
    <cellStyle name="20% - Accent5 4 4 3" xfId="5784" xr:uid="{00000000-0005-0000-0000-000006030000}"/>
    <cellStyle name="20% - Accent5 4 4 3 2" xfId="14226" xr:uid="{01877CAA-B91A-4EA3-86F1-A5F8369C8E42}"/>
    <cellStyle name="20% - Accent5 4 4 4" xfId="10008" xr:uid="{68CC855F-C692-4C93-86A6-D85F8433AB36}"/>
    <cellStyle name="20% - Accent5 4 5" xfId="1890" xr:uid="{00000000-0005-0000-0000-000007030000}"/>
    <cellStyle name="20% - Accent5 4 5 2" xfId="4119" xr:uid="{00000000-0005-0000-0000-000008030000}"/>
    <cellStyle name="20% - Accent5 4 5 2 2" xfId="8342" xr:uid="{00000000-0005-0000-0000-000009030000}"/>
    <cellStyle name="20% - Accent5 4 5 2 2 2" xfId="16784" xr:uid="{AA13C65D-8543-4BF1-8A21-E3D60E7550FC}"/>
    <cellStyle name="20% - Accent5 4 5 2 3" xfId="12566" xr:uid="{F5B74C59-8952-498B-93A3-240D376DB239}"/>
    <cellStyle name="20% - Accent5 4 5 3" xfId="6197" xr:uid="{00000000-0005-0000-0000-00000A030000}"/>
    <cellStyle name="20% - Accent5 4 5 3 2" xfId="14639" xr:uid="{26E0B8F8-6913-420B-91AC-473E70BAA9C9}"/>
    <cellStyle name="20% - Accent5 4 5 4" xfId="10421" xr:uid="{6F8E98DD-FA82-4FBA-91ED-6250795D7039}"/>
    <cellStyle name="20% - Accent5 4 6" xfId="2303" xr:uid="{00000000-0005-0000-0000-00000B030000}"/>
    <cellStyle name="20% - Accent5 4 6 2" xfId="6610" xr:uid="{00000000-0005-0000-0000-00000C030000}"/>
    <cellStyle name="20% - Accent5 4 6 2 2" xfId="15052" xr:uid="{771AA03B-18D9-4E70-B3F0-A31637C66432}"/>
    <cellStyle name="20% - Accent5 4 6 3" xfId="10834" xr:uid="{13D79DD5-E2BF-4284-AD57-113EBCB7EBD9}"/>
    <cellStyle name="20% - Accent5 4 7" xfId="4544" xr:uid="{00000000-0005-0000-0000-00000D030000}"/>
    <cellStyle name="20% - Accent5 4 7 2" xfId="12986" xr:uid="{347FAEA7-2B9D-4FCB-962F-E180643219C2}"/>
    <cellStyle name="20% - Accent5 4 8" xfId="8768" xr:uid="{2A386C29-4199-4077-8CD6-B08814D1D466}"/>
    <cellStyle name="20% - Accent5 5" xfId="602" xr:uid="{00000000-0005-0000-0000-00000E030000}"/>
    <cellStyle name="20% - Accent5 5 2" xfId="2873" xr:uid="{00000000-0005-0000-0000-00000F030000}"/>
    <cellStyle name="20% - Accent5 5 2 2" xfId="7096" xr:uid="{00000000-0005-0000-0000-000010030000}"/>
    <cellStyle name="20% - Accent5 5 2 2 2" xfId="15538" xr:uid="{68E27D9A-C895-43CC-BC40-1230AECB31AD}"/>
    <cellStyle name="20% - Accent5 5 2 3" xfId="11320" xr:uid="{3ECA898C-AEBD-4DC9-8CF9-5CAC35FE3615}"/>
    <cellStyle name="20% - Accent5 5 3" xfId="4951" xr:uid="{00000000-0005-0000-0000-000011030000}"/>
    <cellStyle name="20% - Accent5 5 3 2" xfId="13393" xr:uid="{85022E8D-BDE1-475B-AF0C-920D693ECA1A}"/>
    <cellStyle name="20% - Accent5 5 4" xfId="9175" xr:uid="{AAD9FAE9-2403-4A36-8EC9-7FA5E57C69AC}"/>
    <cellStyle name="20% - Accent5 6" xfId="1055" xr:uid="{00000000-0005-0000-0000-000012030000}"/>
    <cellStyle name="20% - Accent5 6 2" xfId="3286" xr:uid="{00000000-0005-0000-0000-000013030000}"/>
    <cellStyle name="20% - Accent5 6 2 2" xfId="7509" xr:uid="{00000000-0005-0000-0000-000014030000}"/>
    <cellStyle name="20% - Accent5 6 2 2 2" xfId="15951" xr:uid="{58523B59-71CF-47BD-B2F5-DAAF2361DEB8}"/>
    <cellStyle name="20% - Accent5 6 2 3" xfId="11733" xr:uid="{A6700ED5-658F-45DF-B7CC-F418110A29FC}"/>
    <cellStyle name="20% - Accent5 6 3" xfId="5364" xr:uid="{00000000-0005-0000-0000-000015030000}"/>
    <cellStyle name="20% - Accent5 6 3 2" xfId="13806" xr:uid="{FFE88BBB-9E58-4F2B-A953-E4E794E48539}"/>
    <cellStyle name="20% - Accent5 6 4" xfId="9588" xr:uid="{9DBEED94-EF19-4C71-AB9A-07AAE9044896}"/>
    <cellStyle name="20% - Accent5 7" xfId="1469" xr:uid="{00000000-0005-0000-0000-000016030000}"/>
    <cellStyle name="20% - Accent5 7 2" xfId="3699" xr:uid="{00000000-0005-0000-0000-000017030000}"/>
    <cellStyle name="20% - Accent5 7 2 2" xfId="7922" xr:uid="{00000000-0005-0000-0000-000018030000}"/>
    <cellStyle name="20% - Accent5 7 2 2 2" xfId="16364" xr:uid="{FFF225F3-90E6-4A05-8A36-B63F9D14FAF6}"/>
    <cellStyle name="20% - Accent5 7 2 3" xfId="12146" xr:uid="{67A22ECE-CAAE-438D-9602-02945ED8BAF9}"/>
    <cellStyle name="20% - Accent5 7 3" xfId="5777" xr:uid="{00000000-0005-0000-0000-000019030000}"/>
    <cellStyle name="20% - Accent5 7 3 2" xfId="14219" xr:uid="{17E0CF05-62D3-4994-B360-32B97861E9E4}"/>
    <cellStyle name="20% - Accent5 7 4" xfId="10001" xr:uid="{6D43AB97-608D-4657-87A9-77A5575DB5DB}"/>
    <cellStyle name="20% - Accent5 8" xfId="1883" xr:uid="{00000000-0005-0000-0000-00001A030000}"/>
    <cellStyle name="20% - Accent5 8 2" xfId="4112" xr:uid="{00000000-0005-0000-0000-00001B030000}"/>
    <cellStyle name="20% - Accent5 8 2 2" xfId="8335" xr:uid="{00000000-0005-0000-0000-00001C030000}"/>
    <cellStyle name="20% - Accent5 8 2 2 2" xfId="16777" xr:uid="{DEFA3457-40F6-47B1-9493-9479D60D5A73}"/>
    <cellStyle name="20% - Accent5 8 2 3" xfId="12559" xr:uid="{0B5A009E-65B6-4385-8BF1-57E5B4BB912E}"/>
    <cellStyle name="20% - Accent5 8 3" xfId="6190" xr:uid="{00000000-0005-0000-0000-00001D030000}"/>
    <cellStyle name="20% - Accent5 8 3 2" xfId="14632" xr:uid="{E456A706-F8DA-4803-8455-49D5B8E8E364}"/>
    <cellStyle name="20% - Accent5 8 4" xfId="10414" xr:uid="{C22A051E-65E0-4547-81BD-05E22003CC27}"/>
    <cellStyle name="20% - Accent5 9" xfId="2296" xr:uid="{00000000-0005-0000-0000-00001E030000}"/>
    <cellStyle name="20% - Accent5 9 2" xfId="6603" xr:uid="{00000000-0005-0000-0000-00001F030000}"/>
    <cellStyle name="20% - Accent5 9 2 2" xfId="15045" xr:uid="{8A7C74DF-19B2-445D-8DE0-A49A96CB797E}"/>
    <cellStyle name="20% - Accent5 9 3" xfId="10827" xr:uid="{3314C24F-E0EB-4CFB-8F3A-34690677D69E}"/>
    <cellStyle name="20% - Accent6" xfId="41" builtinId="50" customBuiltin="1"/>
    <cellStyle name="20% - Accent6 10" xfId="4545" xr:uid="{00000000-0005-0000-0000-000021030000}"/>
    <cellStyle name="20% - Accent6 10 2" xfId="12987" xr:uid="{718EAD7F-62A1-4418-87B4-52C3CEE47A75}"/>
    <cellStyle name="20% - Accent6 11" xfId="8769" xr:uid="{86322BCE-3189-4FC0-8A15-135813C2760E}"/>
    <cellStyle name="20% - Accent6 2" xfId="42" xr:uid="{00000000-0005-0000-0000-000022030000}"/>
    <cellStyle name="20% - Accent6 2 10" xfId="8770" xr:uid="{4CBD595B-DB70-4FB9-932C-8C873008A7CA}"/>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2 2 2" xfId="15549" xr:uid="{E6A1E378-5A6F-41AF-9F7A-9C608CA471D2}"/>
    <cellStyle name="20% - Accent6 2 2 2 2 2 3" xfId="11331" xr:uid="{A50E6CBD-A7E3-4B1D-BB61-40A304D36C41}"/>
    <cellStyle name="20% - Accent6 2 2 2 2 3" xfId="4962" xr:uid="{00000000-0005-0000-0000-000028030000}"/>
    <cellStyle name="20% - Accent6 2 2 2 2 3 2" xfId="13404" xr:uid="{FBFEC901-0F36-41E5-AB1A-C9190C88A432}"/>
    <cellStyle name="20% - Accent6 2 2 2 2 4" xfId="9186" xr:uid="{868B3E14-6407-4F43-B052-FC8D64C70FD4}"/>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2 2 2" xfId="15962" xr:uid="{6CF2E0B5-24C2-44E0-A8F4-93425B773571}"/>
    <cellStyle name="20% - Accent6 2 2 2 3 2 3" xfId="11744" xr:uid="{80B8397F-E55C-4FDE-A465-92A911B341C4}"/>
    <cellStyle name="20% - Accent6 2 2 2 3 3" xfId="5375" xr:uid="{00000000-0005-0000-0000-00002C030000}"/>
    <cellStyle name="20% - Accent6 2 2 2 3 3 2" xfId="13817" xr:uid="{FEF8A7D2-DE57-44B0-B78A-8187C997DCB3}"/>
    <cellStyle name="20% - Accent6 2 2 2 3 4" xfId="9599" xr:uid="{F8D5D991-A2E3-496C-8015-0144DC3A4744}"/>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2 2 2" xfId="16375" xr:uid="{AE85B270-ADDD-4D6C-AA49-F972FEC005B3}"/>
    <cellStyle name="20% - Accent6 2 2 2 4 2 3" xfId="12157" xr:uid="{B7B2EAE6-559F-470F-9487-C4AD81C0D4FD}"/>
    <cellStyle name="20% - Accent6 2 2 2 4 3" xfId="5788" xr:uid="{00000000-0005-0000-0000-000030030000}"/>
    <cellStyle name="20% - Accent6 2 2 2 4 3 2" xfId="14230" xr:uid="{46B3571C-E1A6-4F0D-AB9A-1ED7228CA764}"/>
    <cellStyle name="20% - Accent6 2 2 2 4 4" xfId="10012" xr:uid="{73A7AE88-1D7A-4CEC-9E1A-60172BEFBC09}"/>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2 2 2" xfId="16788" xr:uid="{46FCAA8A-D63D-48FC-A65F-33DB3D86096B}"/>
    <cellStyle name="20% - Accent6 2 2 2 5 2 3" xfId="12570" xr:uid="{3B835B00-C698-4386-BD7C-9312D8BA8A1C}"/>
    <cellStyle name="20% - Accent6 2 2 2 5 3" xfId="6201" xr:uid="{00000000-0005-0000-0000-000034030000}"/>
    <cellStyle name="20% - Accent6 2 2 2 5 3 2" xfId="14643" xr:uid="{2019A878-F727-4206-8A77-CC1CDB1F1956}"/>
    <cellStyle name="20% - Accent6 2 2 2 5 4" xfId="10425" xr:uid="{AC3507E8-3EBE-4740-87CC-0CD18E6E2E7A}"/>
    <cellStyle name="20% - Accent6 2 2 2 6" xfId="2307" xr:uid="{00000000-0005-0000-0000-000035030000}"/>
    <cellStyle name="20% - Accent6 2 2 2 6 2" xfId="6614" xr:uid="{00000000-0005-0000-0000-000036030000}"/>
    <cellStyle name="20% - Accent6 2 2 2 6 2 2" xfId="15056" xr:uid="{4C264357-56BC-4C9C-A4BA-D9863E1C6852}"/>
    <cellStyle name="20% - Accent6 2 2 2 6 3" xfId="10838" xr:uid="{9B2014AF-12E9-486A-BBD0-1D62B1D7A3CC}"/>
    <cellStyle name="20% - Accent6 2 2 2 7" xfId="4548" xr:uid="{00000000-0005-0000-0000-000037030000}"/>
    <cellStyle name="20% - Accent6 2 2 2 7 2" xfId="12990" xr:uid="{8F0C1EC5-0AB8-4067-88FE-17CD7AC2C66C}"/>
    <cellStyle name="20% - Accent6 2 2 2 8" xfId="8772" xr:uid="{0AC73D27-8769-48F0-B951-DDE37F501543}"/>
    <cellStyle name="20% - Accent6 2 2 3" xfId="612" xr:uid="{00000000-0005-0000-0000-000038030000}"/>
    <cellStyle name="20% - Accent6 2 2 3 2" xfId="2883" xr:uid="{00000000-0005-0000-0000-000039030000}"/>
    <cellStyle name="20% - Accent6 2 2 3 2 2" xfId="7106" xr:uid="{00000000-0005-0000-0000-00003A030000}"/>
    <cellStyle name="20% - Accent6 2 2 3 2 2 2" xfId="15548" xr:uid="{7C7008F1-587C-409B-997F-8A9D381F7D4E}"/>
    <cellStyle name="20% - Accent6 2 2 3 2 3" xfId="11330" xr:uid="{975138B3-ED68-4076-9432-7D3A10B4DE39}"/>
    <cellStyle name="20% - Accent6 2 2 3 3" xfId="4961" xr:uid="{00000000-0005-0000-0000-00003B030000}"/>
    <cellStyle name="20% - Accent6 2 2 3 3 2" xfId="13403" xr:uid="{352BF4FA-395E-47F9-A094-061681B40BDF}"/>
    <cellStyle name="20% - Accent6 2 2 3 4" xfId="9185" xr:uid="{F882E179-DFC8-44D3-B3AB-17E4E7599325}"/>
    <cellStyle name="20% - Accent6 2 2 4" xfId="1065" xr:uid="{00000000-0005-0000-0000-00003C030000}"/>
    <cellStyle name="20% - Accent6 2 2 4 2" xfId="3296" xr:uid="{00000000-0005-0000-0000-00003D030000}"/>
    <cellStyle name="20% - Accent6 2 2 4 2 2" xfId="7519" xr:uid="{00000000-0005-0000-0000-00003E030000}"/>
    <cellStyle name="20% - Accent6 2 2 4 2 2 2" xfId="15961" xr:uid="{4DBC8712-FF55-4F61-B993-892BCC0B37E8}"/>
    <cellStyle name="20% - Accent6 2 2 4 2 3" xfId="11743" xr:uid="{21B8C3B8-DEA1-4864-90B7-95FAF48BCF89}"/>
    <cellStyle name="20% - Accent6 2 2 4 3" xfId="5374" xr:uid="{00000000-0005-0000-0000-00003F030000}"/>
    <cellStyle name="20% - Accent6 2 2 4 3 2" xfId="13816" xr:uid="{5B0ECE5F-C830-4D2D-A8DE-4DA7373867CB}"/>
    <cellStyle name="20% - Accent6 2 2 4 4" xfId="9598" xr:uid="{E978A29E-644E-4D4B-B2BA-F72A83D33E4D}"/>
    <cellStyle name="20% - Accent6 2 2 5" xfId="1479" xr:uid="{00000000-0005-0000-0000-000040030000}"/>
    <cellStyle name="20% - Accent6 2 2 5 2" xfId="3709" xr:uid="{00000000-0005-0000-0000-000041030000}"/>
    <cellStyle name="20% - Accent6 2 2 5 2 2" xfId="7932" xr:uid="{00000000-0005-0000-0000-000042030000}"/>
    <cellStyle name="20% - Accent6 2 2 5 2 2 2" xfId="16374" xr:uid="{258ED568-84C3-43C0-ABD2-A84D5A260A22}"/>
    <cellStyle name="20% - Accent6 2 2 5 2 3" xfId="12156" xr:uid="{A8A50864-05B7-4C08-AF64-3907737AD8F8}"/>
    <cellStyle name="20% - Accent6 2 2 5 3" xfId="5787" xr:uid="{00000000-0005-0000-0000-000043030000}"/>
    <cellStyle name="20% - Accent6 2 2 5 3 2" xfId="14229" xr:uid="{9EA84D15-89FF-4633-A161-4BD59EE88A5B}"/>
    <cellStyle name="20% - Accent6 2 2 5 4" xfId="10011" xr:uid="{E84A3327-29F6-4272-8ACF-AB914FB26E53}"/>
    <cellStyle name="20% - Accent6 2 2 6" xfId="1893" xr:uid="{00000000-0005-0000-0000-000044030000}"/>
    <cellStyle name="20% - Accent6 2 2 6 2" xfId="4122" xr:uid="{00000000-0005-0000-0000-000045030000}"/>
    <cellStyle name="20% - Accent6 2 2 6 2 2" xfId="8345" xr:uid="{00000000-0005-0000-0000-000046030000}"/>
    <cellStyle name="20% - Accent6 2 2 6 2 2 2" xfId="16787" xr:uid="{D911E8AC-0C97-42F9-A448-CD3E403CB168}"/>
    <cellStyle name="20% - Accent6 2 2 6 2 3" xfId="12569" xr:uid="{D4F91EF2-7F4F-4FD9-BE21-A0EA5EFE200C}"/>
    <cellStyle name="20% - Accent6 2 2 6 3" xfId="6200" xr:uid="{00000000-0005-0000-0000-000047030000}"/>
    <cellStyle name="20% - Accent6 2 2 6 3 2" xfId="14642" xr:uid="{589AD48C-43D1-4E7D-BF68-2BF64EE7E301}"/>
    <cellStyle name="20% - Accent6 2 2 6 4" xfId="10424" xr:uid="{A2F19225-C03A-4102-93B3-5A6030657F23}"/>
    <cellStyle name="20% - Accent6 2 2 7" xfId="2306" xr:uid="{00000000-0005-0000-0000-000048030000}"/>
    <cellStyle name="20% - Accent6 2 2 7 2" xfId="6613" xr:uid="{00000000-0005-0000-0000-000049030000}"/>
    <cellStyle name="20% - Accent6 2 2 7 2 2" xfId="15055" xr:uid="{C33DDF33-797D-4BD3-A3FB-3A21826EC6CF}"/>
    <cellStyle name="20% - Accent6 2 2 7 3" xfId="10837" xr:uid="{1875FED9-AF6C-4BAC-B29E-B33C3B377C3D}"/>
    <cellStyle name="20% - Accent6 2 2 8" xfId="4547" xr:uid="{00000000-0005-0000-0000-00004A030000}"/>
    <cellStyle name="20% - Accent6 2 2 8 2" xfId="12989" xr:uid="{0A181C2E-29D1-4FAA-A4D7-35919FB5F10D}"/>
    <cellStyle name="20% - Accent6 2 2 9" xfId="8771" xr:uid="{7EDB55A7-9240-4660-BE04-8912FC142488}"/>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2 2 2" xfId="15550" xr:uid="{0DB48177-6F17-4EE5-BFB5-E238DF734120}"/>
    <cellStyle name="20% - Accent6 2 3 2 2 3" xfId="11332" xr:uid="{8206CF97-48CD-43CB-9B4A-A1801AD8B4DC}"/>
    <cellStyle name="20% - Accent6 2 3 2 3" xfId="4963" xr:uid="{00000000-0005-0000-0000-00004F030000}"/>
    <cellStyle name="20% - Accent6 2 3 2 3 2" xfId="13405" xr:uid="{2A7BEEC3-0AB3-4963-98C1-9B249852A756}"/>
    <cellStyle name="20% - Accent6 2 3 2 4" xfId="9187" xr:uid="{AE9385DA-3A1A-49A4-92C1-BE85ABC935E8}"/>
    <cellStyle name="20% - Accent6 2 3 3" xfId="1067" xr:uid="{00000000-0005-0000-0000-000050030000}"/>
    <cellStyle name="20% - Accent6 2 3 3 2" xfId="3298" xr:uid="{00000000-0005-0000-0000-000051030000}"/>
    <cellStyle name="20% - Accent6 2 3 3 2 2" xfId="7521" xr:uid="{00000000-0005-0000-0000-000052030000}"/>
    <cellStyle name="20% - Accent6 2 3 3 2 2 2" xfId="15963" xr:uid="{8A87DF93-8AD1-4DE6-B173-540DAB011614}"/>
    <cellStyle name="20% - Accent6 2 3 3 2 3" xfId="11745" xr:uid="{AABB9424-34CD-4341-9BE3-7E915A207DDF}"/>
    <cellStyle name="20% - Accent6 2 3 3 3" xfId="5376" xr:uid="{00000000-0005-0000-0000-000053030000}"/>
    <cellStyle name="20% - Accent6 2 3 3 3 2" xfId="13818" xr:uid="{E5F02726-1C12-45FD-BBCC-5C86E4A745D9}"/>
    <cellStyle name="20% - Accent6 2 3 3 4" xfId="9600" xr:uid="{CE623381-8E23-4248-AED9-340A23AE6BAC}"/>
    <cellStyle name="20% - Accent6 2 3 4" xfId="1481" xr:uid="{00000000-0005-0000-0000-000054030000}"/>
    <cellStyle name="20% - Accent6 2 3 4 2" xfId="3711" xr:uid="{00000000-0005-0000-0000-000055030000}"/>
    <cellStyle name="20% - Accent6 2 3 4 2 2" xfId="7934" xr:uid="{00000000-0005-0000-0000-000056030000}"/>
    <cellStyle name="20% - Accent6 2 3 4 2 2 2" xfId="16376" xr:uid="{355D2E72-CBA5-441E-B139-66F2D1AACF23}"/>
    <cellStyle name="20% - Accent6 2 3 4 2 3" xfId="12158" xr:uid="{FD2B9B78-0273-4EE9-BFE9-F2C8ED24BAF6}"/>
    <cellStyle name="20% - Accent6 2 3 4 3" xfId="5789" xr:uid="{00000000-0005-0000-0000-000057030000}"/>
    <cellStyle name="20% - Accent6 2 3 4 3 2" xfId="14231" xr:uid="{89673056-161E-405C-9D23-7CAD41C097EA}"/>
    <cellStyle name="20% - Accent6 2 3 4 4" xfId="10013" xr:uid="{BB319A91-4AA0-4DDA-8500-10815B5AADC0}"/>
    <cellStyle name="20% - Accent6 2 3 5" xfId="1895" xr:uid="{00000000-0005-0000-0000-000058030000}"/>
    <cellStyle name="20% - Accent6 2 3 5 2" xfId="4124" xr:uid="{00000000-0005-0000-0000-000059030000}"/>
    <cellStyle name="20% - Accent6 2 3 5 2 2" xfId="8347" xr:uid="{00000000-0005-0000-0000-00005A030000}"/>
    <cellStyle name="20% - Accent6 2 3 5 2 2 2" xfId="16789" xr:uid="{EB2DE188-75F4-4CB8-8E12-AED683C8AED3}"/>
    <cellStyle name="20% - Accent6 2 3 5 2 3" xfId="12571" xr:uid="{867C9A32-82D4-4A0D-AC10-854EF2DC3DCB}"/>
    <cellStyle name="20% - Accent6 2 3 5 3" xfId="6202" xr:uid="{00000000-0005-0000-0000-00005B030000}"/>
    <cellStyle name="20% - Accent6 2 3 5 3 2" xfId="14644" xr:uid="{D469D5C2-F4BA-4A87-B969-E4EA46C4F12E}"/>
    <cellStyle name="20% - Accent6 2 3 5 4" xfId="10426" xr:uid="{217CE0CE-EE94-4B09-8EF3-75E2F284DFC2}"/>
    <cellStyle name="20% - Accent6 2 3 6" xfId="2308" xr:uid="{00000000-0005-0000-0000-00005C030000}"/>
    <cellStyle name="20% - Accent6 2 3 6 2" xfId="6615" xr:uid="{00000000-0005-0000-0000-00005D030000}"/>
    <cellStyle name="20% - Accent6 2 3 6 2 2" xfId="15057" xr:uid="{2C1033E7-186A-4339-9F1D-35D0AF1F61B6}"/>
    <cellStyle name="20% - Accent6 2 3 6 3" xfId="10839" xr:uid="{71CCA832-D670-4D20-86B3-BBD542B7A9FB}"/>
    <cellStyle name="20% - Accent6 2 3 7" xfId="4549" xr:uid="{00000000-0005-0000-0000-00005E030000}"/>
    <cellStyle name="20% - Accent6 2 3 7 2" xfId="12991" xr:uid="{162B98F8-C094-4DDB-804D-96F9DE71FB70}"/>
    <cellStyle name="20% - Accent6 2 3 8" xfId="8773" xr:uid="{FC7829C1-6F08-448A-BF95-D1AE9D508B71}"/>
    <cellStyle name="20% - Accent6 2 4" xfId="611" xr:uid="{00000000-0005-0000-0000-00005F030000}"/>
    <cellStyle name="20% - Accent6 2 4 2" xfId="2882" xr:uid="{00000000-0005-0000-0000-000060030000}"/>
    <cellStyle name="20% - Accent6 2 4 2 2" xfId="7105" xr:uid="{00000000-0005-0000-0000-000061030000}"/>
    <cellStyle name="20% - Accent6 2 4 2 2 2" xfId="15547" xr:uid="{C451069A-4E05-4D87-98E0-6E91499EC9AE}"/>
    <cellStyle name="20% - Accent6 2 4 2 3" xfId="11329" xr:uid="{D74D733B-BD64-47F3-B3A9-08B7C999A812}"/>
    <cellStyle name="20% - Accent6 2 4 3" xfId="4960" xr:uid="{00000000-0005-0000-0000-000062030000}"/>
    <cellStyle name="20% - Accent6 2 4 3 2" xfId="13402" xr:uid="{AB6F1CC1-8552-4596-A171-26023F89AC60}"/>
    <cellStyle name="20% - Accent6 2 4 4" xfId="9184" xr:uid="{AC7F6672-3AEF-4AF0-A665-CDB319DF3A89}"/>
    <cellStyle name="20% - Accent6 2 5" xfId="1064" xr:uid="{00000000-0005-0000-0000-000063030000}"/>
    <cellStyle name="20% - Accent6 2 5 2" xfId="3295" xr:uid="{00000000-0005-0000-0000-000064030000}"/>
    <cellStyle name="20% - Accent6 2 5 2 2" xfId="7518" xr:uid="{00000000-0005-0000-0000-000065030000}"/>
    <cellStyle name="20% - Accent6 2 5 2 2 2" xfId="15960" xr:uid="{F83DC04B-ACD7-4FC9-BEDE-E8DA0E5FFBD6}"/>
    <cellStyle name="20% - Accent6 2 5 2 3" xfId="11742" xr:uid="{C6604194-6B8F-4BCE-9B10-EBFB0551B2F7}"/>
    <cellStyle name="20% - Accent6 2 5 3" xfId="5373" xr:uid="{00000000-0005-0000-0000-000066030000}"/>
    <cellStyle name="20% - Accent6 2 5 3 2" xfId="13815" xr:uid="{07977B7A-1BD5-4A54-82F5-589E0A9A0A3E}"/>
    <cellStyle name="20% - Accent6 2 5 4" xfId="9597" xr:uid="{C716A480-DB0F-43F5-BECD-022A8F7E36ED}"/>
    <cellStyle name="20% - Accent6 2 6" xfId="1478" xr:uid="{00000000-0005-0000-0000-000067030000}"/>
    <cellStyle name="20% - Accent6 2 6 2" xfId="3708" xr:uid="{00000000-0005-0000-0000-000068030000}"/>
    <cellStyle name="20% - Accent6 2 6 2 2" xfId="7931" xr:uid="{00000000-0005-0000-0000-000069030000}"/>
    <cellStyle name="20% - Accent6 2 6 2 2 2" xfId="16373" xr:uid="{60993265-C780-439C-80BE-056CBB5C00AF}"/>
    <cellStyle name="20% - Accent6 2 6 2 3" xfId="12155" xr:uid="{4D3CECD3-B999-4FE5-9D0E-0367746CC6B3}"/>
    <cellStyle name="20% - Accent6 2 6 3" xfId="5786" xr:uid="{00000000-0005-0000-0000-00006A030000}"/>
    <cellStyle name="20% - Accent6 2 6 3 2" xfId="14228" xr:uid="{91DB8027-E716-4BF1-A511-015E3FD9C397}"/>
    <cellStyle name="20% - Accent6 2 6 4" xfId="10010" xr:uid="{4EBC7193-CE20-4718-B29B-FB0B3F154735}"/>
    <cellStyle name="20% - Accent6 2 7" xfId="1892" xr:uid="{00000000-0005-0000-0000-00006B030000}"/>
    <cellStyle name="20% - Accent6 2 7 2" xfId="4121" xr:uid="{00000000-0005-0000-0000-00006C030000}"/>
    <cellStyle name="20% - Accent6 2 7 2 2" xfId="8344" xr:uid="{00000000-0005-0000-0000-00006D030000}"/>
    <cellStyle name="20% - Accent6 2 7 2 2 2" xfId="16786" xr:uid="{84D1E4B8-3DAC-42CA-BAB8-0FCE91E62CC7}"/>
    <cellStyle name="20% - Accent6 2 7 2 3" xfId="12568" xr:uid="{ACAEBA1A-5D08-4FCD-A2B1-5A0589F83975}"/>
    <cellStyle name="20% - Accent6 2 7 3" xfId="6199" xr:uid="{00000000-0005-0000-0000-00006E030000}"/>
    <cellStyle name="20% - Accent6 2 7 3 2" xfId="14641" xr:uid="{CEE03D76-3EEE-4D1C-827F-B96896E0BE46}"/>
    <cellStyle name="20% - Accent6 2 7 4" xfId="10423" xr:uid="{FB246FD5-4B60-4833-8DF7-AFAFF518ACD5}"/>
    <cellStyle name="20% - Accent6 2 8" xfId="2305" xr:uid="{00000000-0005-0000-0000-00006F030000}"/>
    <cellStyle name="20% - Accent6 2 8 2" xfId="6612" xr:uid="{00000000-0005-0000-0000-000070030000}"/>
    <cellStyle name="20% - Accent6 2 8 2 2" xfId="15054" xr:uid="{25BB259A-52DC-42B0-B5DC-04EEC953C6B0}"/>
    <cellStyle name="20% - Accent6 2 8 3" xfId="10836" xr:uid="{010DC8A8-4F22-41BC-9C90-49DD777FD9B7}"/>
    <cellStyle name="20% - Accent6 2 9" xfId="4546" xr:uid="{00000000-0005-0000-0000-000071030000}"/>
    <cellStyle name="20% - Accent6 2 9 2" xfId="12988" xr:uid="{38196F20-293C-4F4A-B441-188A333BF00A}"/>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2 2 2" xfId="15552" xr:uid="{6DCA749F-89BF-4FAF-868B-826458848C00}"/>
    <cellStyle name="20% - Accent6 3 2 2 2 3" xfId="11334" xr:uid="{80985E56-3F7D-43A2-83A1-A6064E0E0890}"/>
    <cellStyle name="20% - Accent6 3 2 2 3" xfId="4965" xr:uid="{00000000-0005-0000-0000-000077030000}"/>
    <cellStyle name="20% - Accent6 3 2 2 3 2" xfId="13407" xr:uid="{7B0844D6-F4AB-4EA9-9C17-CF09D5A2AAFC}"/>
    <cellStyle name="20% - Accent6 3 2 2 4" xfId="9189" xr:uid="{8F185649-1265-49ED-A3C5-CDAF43A5C99B}"/>
    <cellStyle name="20% - Accent6 3 2 3" xfId="1069" xr:uid="{00000000-0005-0000-0000-000078030000}"/>
    <cellStyle name="20% - Accent6 3 2 3 2" xfId="3300" xr:uid="{00000000-0005-0000-0000-000079030000}"/>
    <cellStyle name="20% - Accent6 3 2 3 2 2" xfId="7523" xr:uid="{00000000-0005-0000-0000-00007A030000}"/>
    <cellStyle name="20% - Accent6 3 2 3 2 2 2" xfId="15965" xr:uid="{39F39EA4-05C9-4626-AF5F-4920AD8D5C49}"/>
    <cellStyle name="20% - Accent6 3 2 3 2 3" xfId="11747" xr:uid="{84D28E5D-16F5-4C61-873F-0EB8C1F0B236}"/>
    <cellStyle name="20% - Accent6 3 2 3 3" xfId="5378" xr:uid="{00000000-0005-0000-0000-00007B030000}"/>
    <cellStyle name="20% - Accent6 3 2 3 3 2" xfId="13820" xr:uid="{3E7A4D5A-0762-42A7-880C-7C19DC4C26BA}"/>
    <cellStyle name="20% - Accent6 3 2 3 4" xfId="9602" xr:uid="{CA2E03D6-802C-4E71-AE81-F2F22C2DE324}"/>
    <cellStyle name="20% - Accent6 3 2 4" xfId="1483" xr:uid="{00000000-0005-0000-0000-00007C030000}"/>
    <cellStyle name="20% - Accent6 3 2 4 2" xfId="3713" xr:uid="{00000000-0005-0000-0000-00007D030000}"/>
    <cellStyle name="20% - Accent6 3 2 4 2 2" xfId="7936" xr:uid="{00000000-0005-0000-0000-00007E030000}"/>
    <cellStyle name="20% - Accent6 3 2 4 2 2 2" xfId="16378" xr:uid="{6D430E78-5BF2-4C62-8903-0C6BF0494802}"/>
    <cellStyle name="20% - Accent6 3 2 4 2 3" xfId="12160" xr:uid="{225EB6AD-67CB-4C74-8A3A-19D6D9BEA3F6}"/>
    <cellStyle name="20% - Accent6 3 2 4 3" xfId="5791" xr:uid="{00000000-0005-0000-0000-00007F030000}"/>
    <cellStyle name="20% - Accent6 3 2 4 3 2" xfId="14233" xr:uid="{B56869BA-6023-4F67-BA7B-B080DF7DACEE}"/>
    <cellStyle name="20% - Accent6 3 2 4 4" xfId="10015" xr:uid="{07C5D9ED-B396-4F50-92D4-591FB2301DFE}"/>
    <cellStyle name="20% - Accent6 3 2 5" xfId="1897" xr:uid="{00000000-0005-0000-0000-000080030000}"/>
    <cellStyle name="20% - Accent6 3 2 5 2" xfId="4126" xr:uid="{00000000-0005-0000-0000-000081030000}"/>
    <cellStyle name="20% - Accent6 3 2 5 2 2" xfId="8349" xr:uid="{00000000-0005-0000-0000-000082030000}"/>
    <cellStyle name="20% - Accent6 3 2 5 2 2 2" xfId="16791" xr:uid="{8EDBBD2F-BF1B-44AE-9139-0A113E4FBB5F}"/>
    <cellStyle name="20% - Accent6 3 2 5 2 3" xfId="12573" xr:uid="{7A58A8FC-80B2-48CF-9178-D83984FD5789}"/>
    <cellStyle name="20% - Accent6 3 2 5 3" xfId="6204" xr:uid="{00000000-0005-0000-0000-000083030000}"/>
    <cellStyle name="20% - Accent6 3 2 5 3 2" xfId="14646" xr:uid="{6C61AB99-EDCB-4E53-877C-FF0D398A531D}"/>
    <cellStyle name="20% - Accent6 3 2 5 4" xfId="10428" xr:uid="{E9F22EA4-2F81-4D01-B10B-2E14D901416F}"/>
    <cellStyle name="20% - Accent6 3 2 6" xfId="2310" xr:uid="{00000000-0005-0000-0000-000084030000}"/>
    <cellStyle name="20% - Accent6 3 2 6 2" xfId="6617" xr:uid="{00000000-0005-0000-0000-000085030000}"/>
    <cellStyle name="20% - Accent6 3 2 6 2 2" xfId="15059" xr:uid="{74ED2EB4-5E0F-4300-9A49-D3C9B9C9A61A}"/>
    <cellStyle name="20% - Accent6 3 2 6 3" xfId="10841" xr:uid="{0E859569-0125-44F5-A7BB-7A9B70DB9C8B}"/>
    <cellStyle name="20% - Accent6 3 2 7" xfId="4551" xr:uid="{00000000-0005-0000-0000-000086030000}"/>
    <cellStyle name="20% - Accent6 3 2 7 2" xfId="12993" xr:uid="{57201B44-5649-4EC5-AA19-4651325343AC}"/>
    <cellStyle name="20% - Accent6 3 2 8" xfId="8775" xr:uid="{804B6116-A9F1-45BB-831F-62E04DFD68F2}"/>
    <cellStyle name="20% - Accent6 3 3" xfId="615" xr:uid="{00000000-0005-0000-0000-000087030000}"/>
    <cellStyle name="20% - Accent6 3 3 2" xfId="2886" xr:uid="{00000000-0005-0000-0000-000088030000}"/>
    <cellStyle name="20% - Accent6 3 3 2 2" xfId="7109" xr:uid="{00000000-0005-0000-0000-000089030000}"/>
    <cellStyle name="20% - Accent6 3 3 2 2 2" xfId="15551" xr:uid="{5F1303FA-4495-4B0D-8A3E-21638B3DC3B8}"/>
    <cellStyle name="20% - Accent6 3 3 2 3" xfId="11333" xr:uid="{BC7759B4-61F7-4184-962E-518ED867CB83}"/>
    <cellStyle name="20% - Accent6 3 3 3" xfId="4964" xr:uid="{00000000-0005-0000-0000-00008A030000}"/>
    <cellStyle name="20% - Accent6 3 3 3 2" xfId="13406" xr:uid="{B43F56A8-B5D4-444A-B7D8-73D1990E508E}"/>
    <cellStyle name="20% - Accent6 3 3 4" xfId="9188" xr:uid="{DD6209EA-AC92-420C-AFF0-9A32D7CDD652}"/>
    <cellStyle name="20% - Accent6 3 4" xfId="1068" xr:uid="{00000000-0005-0000-0000-00008B030000}"/>
    <cellStyle name="20% - Accent6 3 4 2" xfId="3299" xr:uid="{00000000-0005-0000-0000-00008C030000}"/>
    <cellStyle name="20% - Accent6 3 4 2 2" xfId="7522" xr:uid="{00000000-0005-0000-0000-00008D030000}"/>
    <cellStyle name="20% - Accent6 3 4 2 2 2" xfId="15964" xr:uid="{C2A33115-92E1-4772-B96F-A461012002AC}"/>
    <cellStyle name="20% - Accent6 3 4 2 3" xfId="11746" xr:uid="{767640A7-7B1B-41F4-B1C8-0C23E593E926}"/>
    <cellStyle name="20% - Accent6 3 4 3" xfId="5377" xr:uid="{00000000-0005-0000-0000-00008E030000}"/>
    <cellStyle name="20% - Accent6 3 4 3 2" xfId="13819" xr:uid="{F6177409-E1F9-488F-8A7C-CEA5103FEC73}"/>
    <cellStyle name="20% - Accent6 3 4 4" xfId="9601" xr:uid="{6CA58A3C-0970-4CBC-AF25-461B37CFB78A}"/>
    <cellStyle name="20% - Accent6 3 5" xfId="1482" xr:uid="{00000000-0005-0000-0000-00008F030000}"/>
    <cellStyle name="20% - Accent6 3 5 2" xfId="3712" xr:uid="{00000000-0005-0000-0000-000090030000}"/>
    <cellStyle name="20% - Accent6 3 5 2 2" xfId="7935" xr:uid="{00000000-0005-0000-0000-000091030000}"/>
    <cellStyle name="20% - Accent6 3 5 2 2 2" xfId="16377" xr:uid="{8C40C65F-C618-4A73-B8BC-5D8BF89D6932}"/>
    <cellStyle name="20% - Accent6 3 5 2 3" xfId="12159" xr:uid="{BAC6BB59-41E9-47C0-895E-3AEA99664B99}"/>
    <cellStyle name="20% - Accent6 3 5 3" xfId="5790" xr:uid="{00000000-0005-0000-0000-000092030000}"/>
    <cellStyle name="20% - Accent6 3 5 3 2" xfId="14232" xr:uid="{01683B89-549F-423A-8ACF-FE40D1DB6653}"/>
    <cellStyle name="20% - Accent6 3 5 4" xfId="10014" xr:uid="{CC446CC4-6188-45DE-9D17-5D8581263399}"/>
    <cellStyle name="20% - Accent6 3 6" xfId="1896" xr:uid="{00000000-0005-0000-0000-000093030000}"/>
    <cellStyle name="20% - Accent6 3 6 2" xfId="4125" xr:uid="{00000000-0005-0000-0000-000094030000}"/>
    <cellStyle name="20% - Accent6 3 6 2 2" xfId="8348" xr:uid="{00000000-0005-0000-0000-000095030000}"/>
    <cellStyle name="20% - Accent6 3 6 2 2 2" xfId="16790" xr:uid="{3D7E7D5F-93EB-4D03-B856-E36E22FDABF0}"/>
    <cellStyle name="20% - Accent6 3 6 2 3" xfId="12572" xr:uid="{C3874DE5-EA3C-4ED9-8A1F-D8F7F7F2E738}"/>
    <cellStyle name="20% - Accent6 3 6 3" xfId="6203" xr:uid="{00000000-0005-0000-0000-000096030000}"/>
    <cellStyle name="20% - Accent6 3 6 3 2" xfId="14645" xr:uid="{80EA4F8E-CAB0-43EA-928C-EB9C907B1350}"/>
    <cellStyle name="20% - Accent6 3 6 4" xfId="10427" xr:uid="{DFB52716-47DA-4372-A993-DA7ACE1B2C8F}"/>
    <cellStyle name="20% - Accent6 3 7" xfId="2309" xr:uid="{00000000-0005-0000-0000-000097030000}"/>
    <cellStyle name="20% - Accent6 3 7 2" xfId="6616" xr:uid="{00000000-0005-0000-0000-000098030000}"/>
    <cellStyle name="20% - Accent6 3 7 2 2" xfId="15058" xr:uid="{DF39B6BC-5EED-4201-BFEF-7388340C4B40}"/>
    <cellStyle name="20% - Accent6 3 7 3" xfId="10840" xr:uid="{D3522B8E-C86F-4225-9FDA-D64CD5949A01}"/>
    <cellStyle name="20% - Accent6 3 8" xfId="4550" xr:uid="{00000000-0005-0000-0000-000099030000}"/>
    <cellStyle name="20% - Accent6 3 8 2" xfId="12992" xr:uid="{9955913E-8F09-4884-BEA1-0A016DC945FB}"/>
    <cellStyle name="20% - Accent6 3 9" xfId="8774" xr:uid="{918EFA90-4CDE-4A54-AEB5-FB78689FFB8B}"/>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2 2 2" xfId="15553" xr:uid="{5B0FD840-C47A-4A21-99BB-1128C8F6F1C9}"/>
    <cellStyle name="20% - Accent6 4 2 2 3" xfId="11335" xr:uid="{346D19AE-DB16-4436-B8D9-DDBB1EA60D21}"/>
    <cellStyle name="20% - Accent6 4 2 3" xfId="4966" xr:uid="{00000000-0005-0000-0000-00009E030000}"/>
    <cellStyle name="20% - Accent6 4 2 3 2" xfId="13408" xr:uid="{BFC9A59A-DA5D-47ED-847D-F3AC614E2A0D}"/>
    <cellStyle name="20% - Accent6 4 2 4" xfId="9190" xr:uid="{73ED5F03-44D9-41D8-AA41-1CB51A2A2E76}"/>
    <cellStyle name="20% - Accent6 4 3" xfId="1070" xr:uid="{00000000-0005-0000-0000-00009F030000}"/>
    <cellStyle name="20% - Accent6 4 3 2" xfId="3301" xr:uid="{00000000-0005-0000-0000-0000A0030000}"/>
    <cellStyle name="20% - Accent6 4 3 2 2" xfId="7524" xr:uid="{00000000-0005-0000-0000-0000A1030000}"/>
    <cellStyle name="20% - Accent6 4 3 2 2 2" xfId="15966" xr:uid="{CD47D64D-497B-4F3F-8471-A4F4F4BE383D}"/>
    <cellStyle name="20% - Accent6 4 3 2 3" xfId="11748" xr:uid="{E81507B5-D311-4D01-BF36-D2D19ECD1A70}"/>
    <cellStyle name="20% - Accent6 4 3 3" xfId="5379" xr:uid="{00000000-0005-0000-0000-0000A2030000}"/>
    <cellStyle name="20% - Accent6 4 3 3 2" xfId="13821" xr:uid="{DAE1E439-A8D0-415B-AAB4-4E7BA40E6AF5}"/>
    <cellStyle name="20% - Accent6 4 3 4" xfId="9603" xr:uid="{BE827DDB-5EC3-42BF-A925-F179E2AA92C5}"/>
    <cellStyle name="20% - Accent6 4 4" xfId="1484" xr:uid="{00000000-0005-0000-0000-0000A3030000}"/>
    <cellStyle name="20% - Accent6 4 4 2" xfId="3714" xr:uid="{00000000-0005-0000-0000-0000A4030000}"/>
    <cellStyle name="20% - Accent6 4 4 2 2" xfId="7937" xr:uid="{00000000-0005-0000-0000-0000A5030000}"/>
    <cellStyle name="20% - Accent6 4 4 2 2 2" xfId="16379" xr:uid="{307BD399-8C73-4A07-A277-27FADFD71F44}"/>
    <cellStyle name="20% - Accent6 4 4 2 3" xfId="12161" xr:uid="{CB54C7C8-9D90-4659-AF16-B0302402C302}"/>
    <cellStyle name="20% - Accent6 4 4 3" xfId="5792" xr:uid="{00000000-0005-0000-0000-0000A6030000}"/>
    <cellStyle name="20% - Accent6 4 4 3 2" xfId="14234" xr:uid="{7CDC88C5-7372-490B-B61E-CD8BE996C1E6}"/>
    <cellStyle name="20% - Accent6 4 4 4" xfId="10016" xr:uid="{4BD967F9-8A8F-4464-B4E9-54052FA43931}"/>
    <cellStyle name="20% - Accent6 4 5" xfId="1898" xr:uid="{00000000-0005-0000-0000-0000A7030000}"/>
    <cellStyle name="20% - Accent6 4 5 2" xfId="4127" xr:uid="{00000000-0005-0000-0000-0000A8030000}"/>
    <cellStyle name="20% - Accent6 4 5 2 2" xfId="8350" xr:uid="{00000000-0005-0000-0000-0000A9030000}"/>
    <cellStyle name="20% - Accent6 4 5 2 2 2" xfId="16792" xr:uid="{ED7E82DC-407C-4C82-9979-217367A6987A}"/>
    <cellStyle name="20% - Accent6 4 5 2 3" xfId="12574" xr:uid="{C01FB81F-2B47-4F84-A666-F024B7D6E0E7}"/>
    <cellStyle name="20% - Accent6 4 5 3" xfId="6205" xr:uid="{00000000-0005-0000-0000-0000AA030000}"/>
    <cellStyle name="20% - Accent6 4 5 3 2" xfId="14647" xr:uid="{9CC0A37F-A665-4350-AC58-887ECE5849C3}"/>
    <cellStyle name="20% - Accent6 4 5 4" xfId="10429" xr:uid="{109EE416-8E3E-4495-8656-4B64B0C5FC6F}"/>
    <cellStyle name="20% - Accent6 4 6" xfId="2311" xr:uid="{00000000-0005-0000-0000-0000AB030000}"/>
    <cellStyle name="20% - Accent6 4 6 2" xfId="6618" xr:uid="{00000000-0005-0000-0000-0000AC030000}"/>
    <cellStyle name="20% - Accent6 4 6 2 2" xfId="15060" xr:uid="{647FFDB2-77F3-4D06-8FB4-7F39DD58E64A}"/>
    <cellStyle name="20% - Accent6 4 6 3" xfId="10842" xr:uid="{81127D67-6BAC-4BC8-864C-3225BA809F23}"/>
    <cellStyle name="20% - Accent6 4 7" xfId="4552" xr:uid="{00000000-0005-0000-0000-0000AD030000}"/>
    <cellStyle name="20% - Accent6 4 7 2" xfId="12994" xr:uid="{925A9EAA-CC1D-48CF-9B7F-E1FCEA41E16E}"/>
    <cellStyle name="20% - Accent6 4 8" xfId="8776" xr:uid="{C13F0C7D-4656-41EF-85F4-2E1ECA5D28D9}"/>
    <cellStyle name="20% - Accent6 5" xfId="610" xr:uid="{00000000-0005-0000-0000-0000AE030000}"/>
    <cellStyle name="20% - Accent6 5 2" xfId="2881" xr:uid="{00000000-0005-0000-0000-0000AF030000}"/>
    <cellStyle name="20% - Accent6 5 2 2" xfId="7104" xr:uid="{00000000-0005-0000-0000-0000B0030000}"/>
    <cellStyle name="20% - Accent6 5 2 2 2" xfId="15546" xr:uid="{C7FB3BAA-55FB-4A2A-9E88-6DF13C396C1F}"/>
    <cellStyle name="20% - Accent6 5 2 3" xfId="11328" xr:uid="{7EC39798-2A1A-4578-9FBA-6051E0895520}"/>
    <cellStyle name="20% - Accent6 5 3" xfId="4959" xr:uid="{00000000-0005-0000-0000-0000B1030000}"/>
    <cellStyle name="20% - Accent6 5 3 2" xfId="13401" xr:uid="{85A646DD-8F11-45E7-8048-3384A588FC8E}"/>
    <cellStyle name="20% - Accent6 5 4" xfId="9183" xr:uid="{EFC4B8F7-FF58-44E5-89F8-F556F9F13A5C}"/>
    <cellStyle name="20% - Accent6 6" xfId="1063" xr:uid="{00000000-0005-0000-0000-0000B2030000}"/>
    <cellStyle name="20% - Accent6 6 2" xfId="3294" xr:uid="{00000000-0005-0000-0000-0000B3030000}"/>
    <cellStyle name="20% - Accent6 6 2 2" xfId="7517" xr:uid="{00000000-0005-0000-0000-0000B4030000}"/>
    <cellStyle name="20% - Accent6 6 2 2 2" xfId="15959" xr:uid="{AC5A3FBE-F417-4EAE-9C77-17BB36D1CD75}"/>
    <cellStyle name="20% - Accent6 6 2 3" xfId="11741" xr:uid="{EE34F555-EDA3-4CC4-A49F-995917A7435F}"/>
    <cellStyle name="20% - Accent6 6 3" xfId="5372" xr:uid="{00000000-0005-0000-0000-0000B5030000}"/>
    <cellStyle name="20% - Accent6 6 3 2" xfId="13814" xr:uid="{91C2D31E-BBC0-439B-B8EE-F630E3EBF419}"/>
    <cellStyle name="20% - Accent6 6 4" xfId="9596" xr:uid="{3290ACE4-8E39-4EFD-96A4-99BB828C6FA1}"/>
    <cellStyle name="20% - Accent6 7" xfId="1477" xr:uid="{00000000-0005-0000-0000-0000B6030000}"/>
    <cellStyle name="20% - Accent6 7 2" xfId="3707" xr:uid="{00000000-0005-0000-0000-0000B7030000}"/>
    <cellStyle name="20% - Accent6 7 2 2" xfId="7930" xr:uid="{00000000-0005-0000-0000-0000B8030000}"/>
    <cellStyle name="20% - Accent6 7 2 2 2" xfId="16372" xr:uid="{07E6AF3C-855A-4D5E-8E53-CF9D1884C905}"/>
    <cellStyle name="20% - Accent6 7 2 3" xfId="12154" xr:uid="{9C65504A-58A8-4A70-82A5-886C34FD1A54}"/>
    <cellStyle name="20% - Accent6 7 3" xfId="5785" xr:uid="{00000000-0005-0000-0000-0000B9030000}"/>
    <cellStyle name="20% - Accent6 7 3 2" xfId="14227" xr:uid="{28001599-E801-4514-B18A-CFB5C7EBF8DF}"/>
    <cellStyle name="20% - Accent6 7 4" xfId="10009" xr:uid="{7401DDB7-EB3E-4188-92B7-8A474FC8A051}"/>
    <cellStyle name="20% - Accent6 8" xfId="1891" xr:uid="{00000000-0005-0000-0000-0000BA030000}"/>
    <cellStyle name="20% - Accent6 8 2" xfId="4120" xr:uid="{00000000-0005-0000-0000-0000BB030000}"/>
    <cellStyle name="20% - Accent6 8 2 2" xfId="8343" xr:uid="{00000000-0005-0000-0000-0000BC030000}"/>
    <cellStyle name="20% - Accent6 8 2 2 2" xfId="16785" xr:uid="{DD146731-1EA8-4C53-85B1-3C7A25A0B952}"/>
    <cellStyle name="20% - Accent6 8 2 3" xfId="12567" xr:uid="{B1F1DB8A-6C4D-480F-8E79-F5EC564311B3}"/>
    <cellStyle name="20% - Accent6 8 3" xfId="6198" xr:uid="{00000000-0005-0000-0000-0000BD030000}"/>
    <cellStyle name="20% - Accent6 8 3 2" xfId="14640" xr:uid="{78A15C2E-1580-442A-9958-E6A9C092DCB9}"/>
    <cellStyle name="20% - Accent6 8 4" xfId="10422" xr:uid="{0861EA4B-FC92-469E-8274-04D732A9CB5A}"/>
    <cellStyle name="20% - Accent6 9" xfId="2304" xr:uid="{00000000-0005-0000-0000-0000BE030000}"/>
    <cellStyle name="20% - Accent6 9 2" xfId="6611" xr:uid="{00000000-0005-0000-0000-0000BF030000}"/>
    <cellStyle name="20% - Accent6 9 2 2" xfId="15053" xr:uid="{2E389D74-762E-4A1C-A71F-B4582031B008}"/>
    <cellStyle name="20% - Accent6 9 3" xfId="10835" xr:uid="{BC08E63F-60BC-4A82-89D3-FBAEC10A0C20}"/>
    <cellStyle name="40% - Accent1" xfId="49" builtinId="31" customBuiltin="1"/>
    <cellStyle name="40% - Accent1 10" xfId="4553" xr:uid="{00000000-0005-0000-0000-0000C1030000}"/>
    <cellStyle name="40% - Accent1 10 2" xfId="12995" xr:uid="{24C1AB46-98F1-4663-B072-E24753E641D6}"/>
    <cellStyle name="40% - Accent1 11" xfId="8777" xr:uid="{62E82889-B55D-4E01-A688-BF29A1AC7501}"/>
    <cellStyle name="40% - Accent1 2" xfId="50" xr:uid="{00000000-0005-0000-0000-0000C2030000}"/>
    <cellStyle name="40% - Accent1 2 10" xfId="8778" xr:uid="{40AC19C4-54F3-4326-B991-D3A108F5B5B5}"/>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2 2 2" xfId="15557" xr:uid="{7E5DC304-DB52-4540-97DD-0BC03F44258A}"/>
    <cellStyle name="40% - Accent1 2 2 2 2 2 3" xfId="11339" xr:uid="{5E3B940E-E10B-4B1E-A799-DBCEB5CEA125}"/>
    <cellStyle name="40% - Accent1 2 2 2 2 3" xfId="4970" xr:uid="{00000000-0005-0000-0000-0000C8030000}"/>
    <cellStyle name="40% - Accent1 2 2 2 2 3 2" xfId="13412" xr:uid="{BFE3E289-6648-40C6-BFD3-DEFA05B80329}"/>
    <cellStyle name="40% - Accent1 2 2 2 2 4" xfId="9194" xr:uid="{01FC6726-7B1C-4F09-9EBC-CEA0DFC26F27}"/>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2 2 2" xfId="15970" xr:uid="{664A5D94-D1A7-464D-BED6-2F41A24C01DE}"/>
    <cellStyle name="40% - Accent1 2 2 2 3 2 3" xfId="11752" xr:uid="{0991D4C1-1F8D-4397-AC2A-B7B41643C5BE}"/>
    <cellStyle name="40% - Accent1 2 2 2 3 3" xfId="5383" xr:uid="{00000000-0005-0000-0000-0000CC030000}"/>
    <cellStyle name="40% - Accent1 2 2 2 3 3 2" xfId="13825" xr:uid="{B340348A-9056-4D82-9867-18B9F6BC1ECC}"/>
    <cellStyle name="40% - Accent1 2 2 2 3 4" xfId="9607" xr:uid="{34B2AEEF-01F6-4CDA-B649-CA60B561020E}"/>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2 2 2" xfId="16383" xr:uid="{549F6270-DCFC-430D-94ED-E68E5D989B07}"/>
    <cellStyle name="40% - Accent1 2 2 2 4 2 3" xfId="12165" xr:uid="{55E9AFDE-CA77-4A2E-B31D-BCC5371D628C}"/>
    <cellStyle name="40% - Accent1 2 2 2 4 3" xfId="5796" xr:uid="{00000000-0005-0000-0000-0000D0030000}"/>
    <cellStyle name="40% - Accent1 2 2 2 4 3 2" xfId="14238" xr:uid="{01A53EF5-79A8-45A4-9B4E-BE179AC5B54D}"/>
    <cellStyle name="40% - Accent1 2 2 2 4 4" xfId="10020" xr:uid="{01DA4A08-DA01-4EA9-8494-86371F8EC264}"/>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2 2 2" xfId="16796" xr:uid="{E31E6326-F29F-4EC3-941E-812F01D3327A}"/>
    <cellStyle name="40% - Accent1 2 2 2 5 2 3" xfId="12578" xr:uid="{95F6F170-3507-49BD-AB62-06AFAFCC16BD}"/>
    <cellStyle name="40% - Accent1 2 2 2 5 3" xfId="6209" xr:uid="{00000000-0005-0000-0000-0000D4030000}"/>
    <cellStyle name="40% - Accent1 2 2 2 5 3 2" xfId="14651" xr:uid="{040EC0DB-3710-4ADA-AB57-18B4D811622D}"/>
    <cellStyle name="40% - Accent1 2 2 2 5 4" xfId="10433" xr:uid="{B63EB494-9D14-4D00-8166-9DBF013D9F05}"/>
    <cellStyle name="40% - Accent1 2 2 2 6" xfId="2315" xr:uid="{00000000-0005-0000-0000-0000D5030000}"/>
    <cellStyle name="40% - Accent1 2 2 2 6 2" xfId="6622" xr:uid="{00000000-0005-0000-0000-0000D6030000}"/>
    <cellStyle name="40% - Accent1 2 2 2 6 2 2" xfId="15064" xr:uid="{4CFF7366-CE45-4B7F-9EB5-85D633535CF4}"/>
    <cellStyle name="40% - Accent1 2 2 2 6 3" xfId="10846" xr:uid="{C6B372D9-BA57-4D56-AB6A-40CF46FE21C7}"/>
    <cellStyle name="40% - Accent1 2 2 2 7" xfId="4556" xr:uid="{00000000-0005-0000-0000-0000D7030000}"/>
    <cellStyle name="40% - Accent1 2 2 2 7 2" xfId="12998" xr:uid="{86ADE831-0A91-434A-83D5-26F279360EF0}"/>
    <cellStyle name="40% - Accent1 2 2 2 8" xfId="8780" xr:uid="{8551E1F2-BA21-4FFA-85BF-D0D3C3095D50}"/>
    <cellStyle name="40% - Accent1 2 2 3" xfId="620" xr:uid="{00000000-0005-0000-0000-0000D8030000}"/>
    <cellStyle name="40% - Accent1 2 2 3 2" xfId="2891" xr:uid="{00000000-0005-0000-0000-0000D9030000}"/>
    <cellStyle name="40% - Accent1 2 2 3 2 2" xfId="7114" xr:uid="{00000000-0005-0000-0000-0000DA030000}"/>
    <cellStyle name="40% - Accent1 2 2 3 2 2 2" xfId="15556" xr:uid="{93E1CE50-6A4A-4E3E-BF93-3B9FF1966118}"/>
    <cellStyle name="40% - Accent1 2 2 3 2 3" xfId="11338" xr:uid="{518192B4-61D2-4A5E-B729-F7FC233DEDE6}"/>
    <cellStyle name="40% - Accent1 2 2 3 3" xfId="4969" xr:uid="{00000000-0005-0000-0000-0000DB030000}"/>
    <cellStyle name="40% - Accent1 2 2 3 3 2" xfId="13411" xr:uid="{7180258E-FFD4-4BB5-98C6-229B26EC2BF2}"/>
    <cellStyle name="40% - Accent1 2 2 3 4" xfId="9193" xr:uid="{FA464432-AD04-47A3-9286-B44BCCEBC5E8}"/>
    <cellStyle name="40% - Accent1 2 2 4" xfId="1073" xr:uid="{00000000-0005-0000-0000-0000DC030000}"/>
    <cellStyle name="40% - Accent1 2 2 4 2" xfId="3304" xr:uid="{00000000-0005-0000-0000-0000DD030000}"/>
    <cellStyle name="40% - Accent1 2 2 4 2 2" xfId="7527" xr:uid="{00000000-0005-0000-0000-0000DE030000}"/>
    <cellStyle name="40% - Accent1 2 2 4 2 2 2" xfId="15969" xr:uid="{F5A36453-44BF-416A-BB5A-718A124B05FF}"/>
    <cellStyle name="40% - Accent1 2 2 4 2 3" xfId="11751" xr:uid="{B3CE8D59-96F5-4489-9A6B-4235DF168B71}"/>
    <cellStyle name="40% - Accent1 2 2 4 3" xfId="5382" xr:uid="{00000000-0005-0000-0000-0000DF030000}"/>
    <cellStyle name="40% - Accent1 2 2 4 3 2" xfId="13824" xr:uid="{9AFEEB73-B873-41F2-85BF-CF219EFE5A56}"/>
    <cellStyle name="40% - Accent1 2 2 4 4" xfId="9606" xr:uid="{293E424A-6119-47AD-A5FB-A44CB89BF809}"/>
    <cellStyle name="40% - Accent1 2 2 5" xfId="1487" xr:uid="{00000000-0005-0000-0000-0000E0030000}"/>
    <cellStyle name="40% - Accent1 2 2 5 2" xfId="3717" xr:uid="{00000000-0005-0000-0000-0000E1030000}"/>
    <cellStyle name="40% - Accent1 2 2 5 2 2" xfId="7940" xr:uid="{00000000-0005-0000-0000-0000E2030000}"/>
    <cellStyle name="40% - Accent1 2 2 5 2 2 2" xfId="16382" xr:uid="{50700F17-CF1E-458E-B3C3-18F18C074C81}"/>
    <cellStyle name="40% - Accent1 2 2 5 2 3" xfId="12164" xr:uid="{F36DF04E-15D4-4E78-8344-3292A59D5A53}"/>
    <cellStyle name="40% - Accent1 2 2 5 3" xfId="5795" xr:uid="{00000000-0005-0000-0000-0000E3030000}"/>
    <cellStyle name="40% - Accent1 2 2 5 3 2" xfId="14237" xr:uid="{7E861401-4357-4C20-91A8-7CC322EB1380}"/>
    <cellStyle name="40% - Accent1 2 2 5 4" xfId="10019" xr:uid="{A48ECC82-1F4C-4F5C-BDCA-21387CB02D1D}"/>
    <cellStyle name="40% - Accent1 2 2 6" xfId="1901" xr:uid="{00000000-0005-0000-0000-0000E4030000}"/>
    <cellStyle name="40% - Accent1 2 2 6 2" xfId="4130" xr:uid="{00000000-0005-0000-0000-0000E5030000}"/>
    <cellStyle name="40% - Accent1 2 2 6 2 2" xfId="8353" xr:uid="{00000000-0005-0000-0000-0000E6030000}"/>
    <cellStyle name="40% - Accent1 2 2 6 2 2 2" xfId="16795" xr:uid="{25F3A468-B5B5-46A0-B402-11313DEBA28B}"/>
    <cellStyle name="40% - Accent1 2 2 6 2 3" xfId="12577" xr:uid="{5487F14E-038A-4FC6-8D81-DAEE4CCD5103}"/>
    <cellStyle name="40% - Accent1 2 2 6 3" xfId="6208" xr:uid="{00000000-0005-0000-0000-0000E7030000}"/>
    <cellStyle name="40% - Accent1 2 2 6 3 2" xfId="14650" xr:uid="{C7BD41F0-457A-4AF3-BF4A-F6F0B619A0EA}"/>
    <cellStyle name="40% - Accent1 2 2 6 4" xfId="10432" xr:uid="{2B98ACEF-B32C-4708-81F0-3C78C2CEB306}"/>
    <cellStyle name="40% - Accent1 2 2 7" xfId="2314" xr:uid="{00000000-0005-0000-0000-0000E8030000}"/>
    <cellStyle name="40% - Accent1 2 2 7 2" xfId="6621" xr:uid="{00000000-0005-0000-0000-0000E9030000}"/>
    <cellStyle name="40% - Accent1 2 2 7 2 2" xfId="15063" xr:uid="{ECDDF9B6-13F2-4CA5-BE2F-5270BC34233E}"/>
    <cellStyle name="40% - Accent1 2 2 7 3" xfId="10845" xr:uid="{4782BD71-6C26-4844-9EC4-D9C629433099}"/>
    <cellStyle name="40% - Accent1 2 2 8" xfId="4555" xr:uid="{00000000-0005-0000-0000-0000EA030000}"/>
    <cellStyle name="40% - Accent1 2 2 8 2" xfId="12997" xr:uid="{1FD56BF9-AEDC-4E04-92B1-20332E8133F1}"/>
    <cellStyle name="40% - Accent1 2 2 9" xfId="8779" xr:uid="{67DA081C-7254-4C4C-B62C-D9191AF83928}"/>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2 2 2" xfId="15558" xr:uid="{C83AB399-1477-4521-893D-3F9DF2B73BDA}"/>
    <cellStyle name="40% - Accent1 2 3 2 2 3" xfId="11340" xr:uid="{3357B657-5B02-4359-AA24-90CDC7283D06}"/>
    <cellStyle name="40% - Accent1 2 3 2 3" xfId="4971" xr:uid="{00000000-0005-0000-0000-0000EF030000}"/>
    <cellStyle name="40% - Accent1 2 3 2 3 2" xfId="13413" xr:uid="{66E603D1-8EFE-40D1-B8CC-F6C23CB6C457}"/>
    <cellStyle name="40% - Accent1 2 3 2 4" xfId="9195" xr:uid="{A7F07898-BC17-453A-9357-B2EC2FEC61E2}"/>
    <cellStyle name="40% - Accent1 2 3 3" xfId="1075" xr:uid="{00000000-0005-0000-0000-0000F0030000}"/>
    <cellStyle name="40% - Accent1 2 3 3 2" xfId="3306" xr:uid="{00000000-0005-0000-0000-0000F1030000}"/>
    <cellStyle name="40% - Accent1 2 3 3 2 2" xfId="7529" xr:uid="{00000000-0005-0000-0000-0000F2030000}"/>
    <cellStyle name="40% - Accent1 2 3 3 2 2 2" xfId="15971" xr:uid="{BA400CF7-2351-4586-A48E-0C0C9FC557F3}"/>
    <cellStyle name="40% - Accent1 2 3 3 2 3" xfId="11753" xr:uid="{31805739-59BE-4DFF-832A-B7E79E1ECE90}"/>
    <cellStyle name="40% - Accent1 2 3 3 3" xfId="5384" xr:uid="{00000000-0005-0000-0000-0000F3030000}"/>
    <cellStyle name="40% - Accent1 2 3 3 3 2" xfId="13826" xr:uid="{D1D00AE9-D99F-43A9-AFD7-F8BFEC9079BE}"/>
    <cellStyle name="40% - Accent1 2 3 3 4" xfId="9608" xr:uid="{FA3F634A-E67A-40AB-AC8E-154C1975DCBE}"/>
    <cellStyle name="40% - Accent1 2 3 4" xfId="1489" xr:uid="{00000000-0005-0000-0000-0000F4030000}"/>
    <cellStyle name="40% - Accent1 2 3 4 2" xfId="3719" xr:uid="{00000000-0005-0000-0000-0000F5030000}"/>
    <cellStyle name="40% - Accent1 2 3 4 2 2" xfId="7942" xr:uid="{00000000-0005-0000-0000-0000F6030000}"/>
    <cellStyle name="40% - Accent1 2 3 4 2 2 2" xfId="16384" xr:uid="{B2FE14F0-9F66-4418-AB06-1E5A889EC8D9}"/>
    <cellStyle name="40% - Accent1 2 3 4 2 3" xfId="12166" xr:uid="{E37BB924-B02B-4A4C-8435-7F9AEF01AE3A}"/>
    <cellStyle name="40% - Accent1 2 3 4 3" xfId="5797" xr:uid="{00000000-0005-0000-0000-0000F7030000}"/>
    <cellStyle name="40% - Accent1 2 3 4 3 2" xfId="14239" xr:uid="{E18D9673-9F8B-45B0-A82F-B57446AB4251}"/>
    <cellStyle name="40% - Accent1 2 3 4 4" xfId="10021" xr:uid="{698D48DF-66CA-439E-90EB-F24C359DF768}"/>
    <cellStyle name="40% - Accent1 2 3 5" xfId="1903" xr:uid="{00000000-0005-0000-0000-0000F8030000}"/>
    <cellStyle name="40% - Accent1 2 3 5 2" xfId="4132" xr:uid="{00000000-0005-0000-0000-0000F9030000}"/>
    <cellStyle name="40% - Accent1 2 3 5 2 2" xfId="8355" xr:uid="{00000000-0005-0000-0000-0000FA030000}"/>
    <cellStyle name="40% - Accent1 2 3 5 2 2 2" xfId="16797" xr:uid="{23BE5ED3-F0FA-416D-8BED-5EFD83C3B9C5}"/>
    <cellStyle name="40% - Accent1 2 3 5 2 3" xfId="12579" xr:uid="{1E56BFC7-200D-4873-81E8-A9F3D2CF2930}"/>
    <cellStyle name="40% - Accent1 2 3 5 3" xfId="6210" xr:uid="{00000000-0005-0000-0000-0000FB030000}"/>
    <cellStyle name="40% - Accent1 2 3 5 3 2" xfId="14652" xr:uid="{4EF83C8F-9679-491E-BFBC-F66982D340BD}"/>
    <cellStyle name="40% - Accent1 2 3 5 4" xfId="10434" xr:uid="{4E73524C-5F42-4174-A0A4-460C2BCA3C56}"/>
    <cellStyle name="40% - Accent1 2 3 6" xfId="2316" xr:uid="{00000000-0005-0000-0000-0000FC030000}"/>
    <cellStyle name="40% - Accent1 2 3 6 2" xfId="6623" xr:uid="{00000000-0005-0000-0000-0000FD030000}"/>
    <cellStyle name="40% - Accent1 2 3 6 2 2" xfId="15065" xr:uid="{07B63BF1-59C7-49AF-8D85-499265242F82}"/>
    <cellStyle name="40% - Accent1 2 3 6 3" xfId="10847" xr:uid="{8BF7E1DA-11AA-46C7-9C47-CFE70ACB1F6B}"/>
    <cellStyle name="40% - Accent1 2 3 7" xfId="4557" xr:uid="{00000000-0005-0000-0000-0000FE030000}"/>
    <cellStyle name="40% - Accent1 2 3 7 2" xfId="12999" xr:uid="{C390A897-B34F-46A2-B017-D53E3DD1F73C}"/>
    <cellStyle name="40% - Accent1 2 3 8" xfId="8781" xr:uid="{160CF585-A9D6-48BF-B15F-32817B5706FF}"/>
    <cellStyle name="40% - Accent1 2 4" xfId="619" xr:uid="{00000000-0005-0000-0000-0000FF030000}"/>
    <cellStyle name="40% - Accent1 2 4 2" xfId="2890" xr:uid="{00000000-0005-0000-0000-000000040000}"/>
    <cellStyle name="40% - Accent1 2 4 2 2" xfId="7113" xr:uid="{00000000-0005-0000-0000-000001040000}"/>
    <cellStyle name="40% - Accent1 2 4 2 2 2" xfId="15555" xr:uid="{8952B8EC-B689-4912-99D9-BBB0CEBFAA3A}"/>
    <cellStyle name="40% - Accent1 2 4 2 3" xfId="11337" xr:uid="{95CCE234-0765-4888-87F7-B3749009D844}"/>
    <cellStyle name="40% - Accent1 2 4 3" xfId="4968" xr:uid="{00000000-0005-0000-0000-000002040000}"/>
    <cellStyle name="40% - Accent1 2 4 3 2" xfId="13410" xr:uid="{FA4E6A20-A974-42CE-9471-E344085049A9}"/>
    <cellStyle name="40% - Accent1 2 4 4" xfId="9192" xr:uid="{04D60694-271B-4FFD-B481-7BDE685A86A9}"/>
    <cellStyle name="40% - Accent1 2 5" xfId="1072" xr:uid="{00000000-0005-0000-0000-000003040000}"/>
    <cellStyle name="40% - Accent1 2 5 2" xfId="3303" xr:uid="{00000000-0005-0000-0000-000004040000}"/>
    <cellStyle name="40% - Accent1 2 5 2 2" xfId="7526" xr:uid="{00000000-0005-0000-0000-000005040000}"/>
    <cellStyle name="40% - Accent1 2 5 2 2 2" xfId="15968" xr:uid="{C3415258-D9F7-4E0E-8673-4A468C9E2C32}"/>
    <cellStyle name="40% - Accent1 2 5 2 3" xfId="11750" xr:uid="{F8A00A79-DB7A-4E45-9FCA-C260A384A018}"/>
    <cellStyle name="40% - Accent1 2 5 3" xfId="5381" xr:uid="{00000000-0005-0000-0000-000006040000}"/>
    <cellStyle name="40% - Accent1 2 5 3 2" xfId="13823" xr:uid="{C5A41AD7-4B1C-4DAB-B80E-AB13B502EA5F}"/>
    <cellStyle name="40% - Accent1 2 5 4" xfId="9605" xr:uid="{096AB833-AFD8-4A28-8364-67B33E83BFF2}"/>
    <cellStyle name="40% - Accent1 2 6" xfId="1486" xr:uid="{00000000-0005-0000-0000-000007040000}"/>
    <cellStyle name="40% - Accent1 2 6 2" xfId="3716" xr:uid="{00000000-0005-0000-0000-000008040000}"/>
    <cellStyle name="40% - Accent1 2 6 2 2" xfId="7939" xr:uid="{00000000-0005-0000-0000-000009040000}"/>
    <cellStyle name="40% - Accent1 2 6 2 2 2" xfId="16381" xr:uid="{9F260E93-ABF3-4E10-9C9E-A3AEC33C52C3}"/>
    <cellStyle name="40% - Accent1 2 6 2 3" xfId="12163" xr:uid="{DC867669-B172-4784-BEE5-3A0F4E930A10}"/>
    <cellStyle name="40% - Accent1 2 6 3" xfId="5794" xr:uid="{00000000-0005-0000-0000-00000A040000}"/>
    <cellStyle name="40% - Accent1 2 6 3 2" xfId="14236" xr:uid="{1D202E68-4BA9-42D2-9643-2A7456149AD7}"/>
    <cellStyle name="40% - Accent1 2 6 4" xfId="10018" xr:uid="{753A0B6F-F480-4FF7-A70A-A70973ECC308}"/>
    <cellStyle name="40% - Accent1 2 7" xfId="1900" xr:uid="{00000000-0005-0000-0000-00000B040000}"/>
    <cellStyle name="40% - Accent1 2 7 2" xfId="4129" xr:uid="{00000000-0005-0000-0000-00000C040000}"/>
    <cellStyle name="40% - Accent1 2 7 2 2" xfId="8352" xr:uid="{00000000-0005-0000-0000-00000D040000}"/>
    <cellStyle name="40% - Accent1 2 7 2 2 2" xfId="16794" xr:uid="{61387371-62E6-4DDD-A54B-A0F0A4E30C58}"/>
    <cellStyle name="40% - Accent1 2 7 2 3" xfId="12576" xr:uid="{5AA8212D-A756-4362-82F4-A9C2035334F9}"/>
    <cellStyle name="40% - Accent1 2 7 3" xfId="6207" xr:uid="{00000000-0005-0000-0000-00000E040000}"/>
    <cellStyle name="40% - Accent1 2 7 3 2" xfId="14649" xr:uid="{0BD5D054-9C72-4F47-AB27-8258435715EA}"/>
    <cellStyle name="40% - Accent1 2 7 4" xfId="10431" xr:uid="{892B998F-780D-413A-8D52-20909AC447E2}"/>
    <cellStyle name="40% - Accent1 2 8" xfId="2313" xr:uid="{00000000-0005-0000-0000-00000F040000}"/>
    <cellStyle name="40% - Accent1 2 8 2" xfId="6620" xr:uid="{00000000-0005-0000-0000-000010040000}"/>
    <cellStyle name="40% - Accent1 2 8 2 2" xfId="15062" xr:uid="{F0BF63CE-DD4E-4A54-9902-2E061474AF14}"/>
    <cellStyle name="40% - Accent1 2 8 3" xfId="10844" xr:uid="{43631B98-25EB-495F-AC83-D3CEB60A9BA1}"/>
    <cellStyle name="40% - Accent1 2 9" xfId="4554" xr:uid="{00000000-0005-0000-0000-000011040000}"/>
    <cellStyle name="40% - Accent1 2 9 2" xfId="12996" xr:uid="{4A00606D-10F7-4C52-B16E-6DC333ABE7BF}"/>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2 2 2" xfId="15560" xr:uid="{4BE44BAE-99E1-4E04-B197-481372448118}"/>
    <cellStyle name="40% - Accent1 3 2 2 2 3" xfId="11342" xr:uid="{867EDF4A-F2EC-4E68-A8D2-FC33B690548E}"/>
    <cellStyle name="40% - Accent1 3 2 2 3" xfId="4973" xr:uid="{00000000-0005-0000-0000-000017040000}"/>
    <cellStyle name="40% - Accent1 3 2 2 3 2" xfId="13415" xr:uid="{F38EBD3C-4C9D-4DCF-A813-3522B68B7C2C}"/>
    <cellStyle name="40% - Accent1 3 2 2 4" xfId="9197" xr:uid="{E1B12770-04D4-4FC5-9F20-2E276E1F0166}"/>
    <cellStyle name="40% - Accent1 3 2 3" xfId="1077" xr:uid="{00000000-0005-0000-0000-000018040000}"/>
    <cellStyle name="40% - Accent1 3 2 3 2" xfId="3308" xr:uid="{00000000-0005-0000-0000-000019040000}"/>
    <cellStyle name="40% - Accent1 3 2 3 2 2" xfId="7531" xr:uid="{00000000-0005-0000-0000-00001A040000}"/>
    <cellStyle name="40% - Accent1 3 2 3 2 2 2" xfId="15973" xr:uid="{03C9E34B-48A8-4EAA-8A51-4582109287A9}"/>
    <cellStyle name="40% - Accent1 3 2 3 2 3" xfId="11755" xr:uid="{DF9F4DC6-4BE1-4994-97BD-CC38E39ACE69}"/>
    <cellStyle name="40% - Accent1 3 2 3 3" xfId="5386" xr:uid="{00000000-0005-0000-0000-00001B040000}"/>
    <cellStyle name="40% - Accent1 3 2 3 3 2" xfId="13828" xr:uid="{08E89BF3-F103-4220-8316-4CC8792783B6}"/>
    <cellStyle name="40% - Accent1 3 2 3 4" xfId="9610" xr:uid="{C7E42C1D-1605-4441-ACCC-72748D75A621}"/>
    <cellStyle name="40% - Accent1 3 2 4" xfId="1491" xr:uid="{00000000-0005-0000-0000-00001C040000}"/>
    <cellStyle name="40% - Accent1 3 2 4 2" xfId="3721" xr:uid="{00000000-0005-0000-0000-00001D040000}"/>
    <cellStyle name="40% - Accent1 3 2 4 2 2" xfId="7944" xr:uid="{00000000-0005-0000-0000-00001E040000}"/>
    <cellStyle name="40% - Accent1 3 2 4 2 2 2" xfId="16386" xr:uid="{FD7C7796-8C2D-47C1-A127-1F2B8A27208C}"/>
    <cellStyle name="40% - Accent1 3 2 4 2 3" xfId="12168" xr:uid="{B83ECC14-CDE8-4EDB-9401-77323F6B27FA}"/>
    <cellStyle name="40% - Accent1 3 2 4 3" xfId="5799" xr:uid="{00000000-0005-0000-0000-00001F040000}"/>
    <cellStyle name="40% - Accent1 3 2 4 3 2" xfId="14241" xr:uid="{A92CCE16-B25C-4320-BB8E-7BA281159E57}"/>
    <cellStyle name="40% - Accent1 3 2 4 4" xfId="10023" xr:uid="{A6B546DD-70EF-47D2-89D7-F01C2D185CFE}"/>
    <cellStyle name="40% - Accent1 3 2 5" xfId="1905" xr:uid="{00000000-0005-0000-0000-000020040000}"/>
    <cellStyle name="40% - Accent1 3 2 5 2" xfId="4134" xr:uid="{00000000-0005-0000-0000-000021040000}"/>
    <cellStyle name="40% - Accent1 3 2 5 2 2" xfId="8357" xr:uid="{00000000-0005-0000-0000-000022040000}"/>
    <cellStyle name="40% - Accent1 3 2 5 2 2 2" xfId="16799" xr:uid="{A2912675-7A0D-4647-B0DC-52EB642E9A1E}"/>
    <cellStyle name="40% - Accent1 3 2 5 2 3" xfId="12581" xr:uid="{91D36E27-70A7-44E6-9EE4-9A24B1F02AB6}"/>
    <cellStyle name="40% - Accent1 3 2 5 3" xfId="6212" xr:uid="{00000000-0005-0000-0000-000023040000}"/>
    <cellStyle name="40% - Accent1 3 2 5 3 2" xfId="14654" xr:uid="{A7CF8FE4-15F1-4322-BCC0-3E66C5140053}"/>
    <cellStyle name="40% - Accent1 3 2 5 4" xfId="10436" xr:uid="{5711B419-0F75-43D4-9100-275E3F692336}"/>
    <cellStyle name="40% - Accent1 3 2 6" xfId="2318" xr:uid="{00000000-0005-0000-0000-000024040000}"/>
    <cellStyle name="40% - Accent1 3 2 6 2" xfId="6625" xr:uid="{00000000-0005-0000-0000-000025040000}"/>
    <cellStyle name="40% - Accent1 3 2 6 2 2" xfId="15067" xr:uid="{2BFA6ED8-EC12-4970-9CC9-FE2EB06AF943}"/>
    <cellStyle name="40% - Accent1 3 2 6 3" xfId="10849" xr:uid="{25314C7D-6447-4743-86A4-8C61C7FC573A}"/>
    <cellStyle name="40% - Accent1 3 2 7" xfId="4559" xr:uid="{00000000-0005-0000-0000-000026040000}"/>
    <cellStyle name="40% - Accent1 3 2 7 2" xfId="13001" xr:uid="{5D754EC5-C36E-4BC9-B818-A27A23679245}"/>
    <cellStyle name="40% - Accent1 3 2 8" xfId="8783" xr:uid="{74EF0235-DC4E-45F2-9A56-27E9E410D3CC}"/>
    <cellStyle name="40% - Accent1 3 3" xfId="623" xr:uid="{00000000-0005-0000-0000-000027040000}"/>
    <cellStyle name="40% - Accent1 3 3 2" xfId="2894" xr:uid="{00000000-0005-0000-0000-000028040000}"/>
    <cellStyle name="40% - Accent1 3 3 2 2" xfId="7117" xr:uid="{00000000-0005-0000-0000-000029040000}"/>
    <cellStyle name="40% - Accent1 3 3 2 2 2" xfId="15559" xr:uid="{7988354A-2385-4A85-B346-F7B7E01BE397}"/>
    <cellStyle name="40% - Accent1 3 3 2 3" xfId="11341" xr:uid="{A3E18BC8-CDCF-458E-A725-6EFB41E6BEC5}"/>
    <cellStyle name="40% - Accent1 3 3 3" xfId="4972" xr:uid="{00000000-0005-0000-0000-00002A040000}"/>
    <cellStyle name="40% - Accent1 3 3 3 2" xfId="13414" xr:uid="{581A1CFF-B82D-4716-BB90-C91A9B683DFF}"/>
    <cellStyle name="40% - Accent1 3 3 4" xfId="9196" xr:uid="{107769F3-6701-430C-8754-08097B096036}"/>
    <cellStyle name="40% - Accent1 3 4" xfId="1076" xr:uid="{00000000-0005-0000-0000-00002B040000}"/>
    <cellStyle name="40% - Accent1 3 4 2" xfId="3307" xr:uid="{00000000-0005-0000-0000-00002C040000}"/>
    <cellStyle name="40% - Accent1 3 4 2 2" xfId="7530" xr:uid="{00000000-0005-0000-0000-00002D040000}"/>
    <cellStyle name="40% - Accent1 3 4 2 2 2" xfId="15972" xr:uid="{933E849F-1E3C-4348-81B4-3C308DE02B01}"/>
    <cellStyle name="40% - Accent1 3 4 2 3" xfId="11754" xr:uid="{1706CB75-58D6-4F83-B08E-F3B0B6986234}"/>
    <cellStyle name="40% - Accent1 3 4 3" xfId="5385" xr:uid="{00000000-0005-0000-0000-00002E040000}"/>
    <cellStyle name="40% - Accent1 3 4 3 2" xfId="13827" xr:uid="{5792B4DA-9E2C-4C83-B8CF-0171BE394987}"/>
    <cellStyle name="40% - Accent1 3 4 4" xfId="9609" xr:uid="{3CD4B9F4-C5DF-4F77-8F28-4AFEF235B0C4}"/>
    <cellStyle name="40% - Accent1 3 5" xfId="1490" xr:uid="{00000000-0005-0000-0000-00002F040000}"/>
    <cellStyle name="40% - Accent1 3 5 2" xfId="3720" xr:uid="{00000000-0005-0000-0000-000030040000}"/>
    <cellStyle name="40% - Accent1 3 5 2 2" xfId="7943" xr:uid="{00000000-0005-0000-0000-000031040000}"/>
    <cellStyle name="40% - Accent1 3 5 2 2 2" xfId="16385" xr:uid="{FAD87E6E-874A-47FF-876A-B0EB229644FD}"/>
    <cellStyle name="40% - Accent1 3 5 2 3" xfId="12167" xr:uid="{ECC491CE-B3FE-42CC-A998-99AFD81F8AC5}"/>
    <cellStyle name="40% - Accent1 3 5 3" xfId="5798" xr:uid="{00000000-0005-0000-0000-000032040000}"/>
    <cellStyle name="40% - Accent1 3 5 3 2" xfId="14240" xr:uid="{EA09EDBD-29DE-481C-A981-840553E371FA}"/>
    <cellStyle name="40% - Accent1 3 5 4" xfId="10022" xr:uid="{B0862872-D996-4CDD-835B-40EDE804A9B2}"/>
    <cellStyle name="40% - Accent1 3 6" xfId="1904" xr:uid="{00000000-0005-0000-0000-000033040000}"/>
    <cellStyle name="40% - Accent1 3 6 2" xfId="4133" xr:uid="{00000000-0005-0000-0000-000034040000}"/>
    <cellStyle name="40% - Accent1 3 6 2 2" xfId="8356" xr:uid="{00000000-0005-0000-0000-000035040000}"/>
    <cellStyle name="40% - Accent1 3 6 2 2 2" xfId="16798" xr:uid="{D6054202-0391-4607-8A19-F357F5AB5B49}"/>
    <cellStyle name="40% - Accent1 3 6 2 3" xfId="12580" xr:uid="{CD98A075-3D21-47D1-848E-7135F6A1B969}"/>
    <cellStyle name="40% - Accent1 3 6 3" xfId="6211" xr:uid="{00000000-0005-0000-0000-000036040000}"/>
    <cellStyle name="40% - Accent1 3 6 3 2" xfId="14653" xr:uid="{CC1224B3-EDAA-45DE-867E-ED97817D7FEA}"/>
    <cellStyle name="40% - Accent1 3 6 4" xfId="10435" xr:uid="{59EA3286-2CC4-4696-896B-2998622548E0}"/>
    <cellStyle name="40% - Accent1 3 7" xfId="2317" xr:uid="{00000000-0005-0000-0000-000037040000}"/>
    <cellStyle name="40% - Accent1 3 7 2" xfId="6624" xr:uid="{00000000-0005-0000-0000-000038040000}"/>
    <cellStyle name="40% - Accent1 3 7 2 2" xfId="15066" xr:uid="{0E4839D1-5A12-4AB5-99BE-E42BA9D278F9}"/>
    <cellStyle name="40% - Accent1 3 7 3" xfId="10848" xr:uid="{961C74DF-9731-4E6D-A029-723FCE30EAD2}"/>
    <cellStyle name="40% - Accent1 3 8" xfId="4558" xr:uid="{00000000-0005-0000-0000-000039040000}"/>
    <cellStyle name="40% - Accent1 3 8 2" xfId="13000" xr:uid="{491044C9-0E2A-40D7-946C-F5E3F824AF72}"/>
    <cellStyle name="40% - Accent1 3 9" xfId="8782" xr:uid="{3F7AD584-5E0D-44D5-9341-36A9E0B9466B}"/>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2 2 2" xfId="15561" xr:uid="{21382CFB-55AB-473D-A943-10D98450FC60}"/>
    <cellStyle name="40% - Accent1 4 2 2 3" xfId="11343" xr:uid="{32F35C07-F75E-49BB-914C-12C31FBDA32B}"/>
    <cellStyle name="40% - Accent1 4 2 3" xfId="4974" xr:uid="{00000000-0005-0000-0000-00003E040000}"/>
    <cellStyle name="40% - Accent1 4 2 3 2" xfId="13416" xr:uid="{9A84445D-B95D-4874-85DA-DC47066B4819}"/>
    <cellStyle name="40% - Accent1 4 2 4" xfId="9198" xr:uid="{BFB9AA29-2A3B-4554-99A5-858A631E7701}"/>
    <cellStyle name="40% - Accent1 4 3" xfId="1078" xr:uid="{00000000-0005-0000-0000-00003F040000}"/>
    <cellStyle name="40% - Accent1 4 3 2" xfId="3309" xr:uid="{00000000-0005-0000-0000-000040040000}"/>
    <cellStyle name="40% - Accent1 4 3 2 2" xfId="7532" xr:uid="{00000000-0005-0000-0000-000041040000}"/>
    <cellStyle name="40% - Accent1 4 3 2 2 2" xfId="15974" xr:uid="{E996D144-FA77-42B0-A7AA-012FE3668465}"/>
    <cellStyle name="40% - Accent1 4 3 2 3" xfId="11756" xr:uid="{70833A1E-0578-42AF-AF7E-125C08D08060}"/>
    <cellStyle name="40% - Accent1 4 3 3" xfId="5387" xr:uid="{00000000-0005-0000-0000-000042040000}"/>
    <cellStyle name="40% - Accent1 4 3 3 2" xfId="13829" xr:uid="{1312FBF5-D334-4E8D-B14A-40248337153D}"/>
    <cellStyle name="40% - Accent1 4 3 4" xfId="9611" xr:uid="{79CD704E-1494-4C4B-9B54-D82C0DF13081}"/>
    <cellStyle name="40% - Accent1 4 4" xfId="1492" xr:uid="{00000000-0005-0000-0000-000043040000}"/>
    <cellStyle name="40% - Accent1 4 4 2" xfId="3722" xr:uid="{00000000-0005-0000-0000-000044040000}"/>
    <cellStyle name="40% - Accent1 4 4 2 2" xfId="7945" xr:uid="{00000000-0005-0000-0000-000045040000}"/>
    <cellStyle name="40% - Accent1 4 4 2 2 2" xfId="16387" xr:uid="{034B0659-2973-49EA-B4BC-9755D50C3EDC}"/>
    <cellStyle name="40% - Accent1 4 4 2 3" xfId="12169" xr:uid="{214DDD52-6440-4939-87D9-01CA23AB6684}"/>
    <cellStyle name="40% - Accent1 4 4 3" xfId="5800" xr:uid="{00000000-0005-0000-0000-000046040000}"/>
    <cellStyle name="40% - Accent1 4 4 3 2" xfId="14242" xr:uid="{2D7E1294-2D1B-46FC-B47D-EACC735399CC}"/>
    <cellStyle name="40% - Accent1 4 4 4" xfId="10024" xr:uid="{6FDE4789-2D03-4217-8815-97C4A24C14D6}"/>
    <cellStyle name="40% - Accent1 4 5" xfId="1906" xr:uid="{00000000-0005-0000-0000-000047040000}"/>
    <cellStyle name="40% - Accent1 4 5 2" xfId="4135" xr:uid="{00000000-0005-0000-0000-000048040000}"/>
    <cellStyle name="40% - Accent1 4 5 2 2" xfId="8358" xr:uid="{00000000-0005-0000-0000-000049040000}"/>
    <cellStyle name="40% - Accent1 4 5 2 2 2" xfId="16800" xr:uid="{2EF3B849-1FE7-420B-A237-84B7681829F5}"/>
    <cellStyle name="40% - Accent1 4 5 2 3" xfId="12582" xr:uid="{CF8C6A20-BE17-4B1F-AA98-AB2392654861}"/>
    <cellStyle name="40% - Accent1 4 5 3" xfId="6213" xr:uid="{00000000-0005-0000-0000-00004A040000}"/>
    <cellStyle name="40% - Accent1 4 5 3 2" xfId="14655" xr:uid="{C3188944-0A57-410F-8ACB-3363525E4B79}"/>
    <cellStyle name="40% - Accent1 4 5 4" xfId="10437" xr:uid="{05D7FDBA-48B7-48E5-BEB9-80EFFDCECCAE}"/>
    <cellStyle name="40% - Accent1 4 6" xfId="2319" xr:uid="{00000000-0005-0000-0000-00004B040000}"/>
    <cellStyle name="40% - Accent1 4 6 2" xfId="6626" xr:uid="{00000000-0005-0000-0000-00004C040000}"/>
    <cellStyle name="40% - Accent1 4 6 2 2" xfId="15068" xr:uid="{C97CBEA6-16B4-44AF-8C23-1D9EC2C28CCF}"/>
    <cellStyle name="40% - Accent1 4 6 3" xfId="10850" xr:uid="{756BDA39-B8DE-459F-A823-3C742F6E7594}"/>
    <cellStyle name="40% - Accent1 4 7" xfId="4560" xr:uid="{00000000-0005-0000-0000-00004D040000}"/>
    <cellStyle name="40% - Accent1 4 7 2" xfId="13002" xr:uid="{68D5973C-AAAF-482C-BE80-F4B546C41741}"/>
    <cellStyle name="40% - Accent1 4 8" xfId="8784" xr:uid="{30E92C26-FEA1-45B3-B90D-5F445E2E3D6F}"/>
    <cellStyle name="40% - Accent1 5" xfId="618" xr:uid="{00000000-0005-0000-0000-00004E040000}"/>
    <cellStyle name="40% - Accent1 5 2" xfId="2889" xr:uid="{00000000-0005-0000-0000-00004F040000}"/>
    <cellStyle name="40% - Accent1 5 2 2" xfId="7112" xr:uid="{00000000-0005-0000-0000-000050040000}"/>
    <cellStyle name="40% - Accent1 5 2 2 2" xfId="15554" xr:uid="{46A5E9E4-70F8-45DA-859A-D818BA7CD97E}"/>
    <cellStyle name="40% - Accent1 5 2 3" xfId="11336" xr:uid="{177318FE-8B58-4C94-9303-C2DA9426B075}"/>
    <cellStyle name="40% - Accent1 5 3" xfId="4967" xr:uid="{00000000-0005-0000-0000-000051040000}"/>
    <cellStyle name="40% - Accent1 5 3 2" xfId="13409" xr:uid="{D9E38472-174D-4164-BE3F-8AE34043A288}"/>
    <cellStyle name="40% - Accent1 5 4" xfId="9191" xr:uid="{BCD6BAC1-2A1A-4DEF-940C-06E7E8329BD3}"/>
    <cellStyle name="40% - Accent1 6" xfId="1071" xr:uid="{00000000-0005-0000-0000-000052040000}"/>
    <cellStyle name="40% - Accent1 6 2" xfId="3302" xr:uid="{00000000-0005-0000-0000-000053040000}"/>
    <cellStyle name="40% - Accent1 6 2 2" xfId="7525" xr:uid="{00000000-0005-0000-0000-000054040000}"/>
    <cellStyle name="40% - Accent1 6 2 2 2" xfId="15967" xr:uid="{A7F98AAA-A8FC-4FEC-A369-0A003699A719}"/>
    <cellStyle name="40% - Accent1 6 2 3" xfId="11749" xr:uid="{C2E8AE03-61B6-4DCC-9975-12E1DCFF9B16}"/>
    <cellStyle name="40% - Accent1 6 3" xfId="5380" xr:uid="{00000000-0005-0000-0000-000055040000}"/>
    <cellStyle name="40% - Accent1 6 3 2" xfId="13822" xr:uid="{15C4FA90-2711-4409-A25C-FBD9DB785321}"/>
    <cellStyle name="40% - Accent1 6 4" xfId="9604" xr:uid="{7FDCA82A-BAB1-4398-B6B8-C3EF5AAB5CF9}"/>
    <cellStyle name="40% - Accent1 7" xfId="1485" xr:uid="{00000000-0005-0000-0000-000056040000}"/>
    <cellStyle name="40% - Accent1 7 2" xfId="3715" xr:uid="{00000000-0005-0000-0000-000057040000}"/>
    <cellStyle name="40% - Accent1 7 2 2" xfId="7938" xr:uid="{00000000-0005-0000-0000-000058040000}"/>
    <cellStyle name="40% - Accent1 7 2 2 2" xfId="16380" xr:uid="{C1ECA648-EB6A-415E-9FD3-66631457C95A}"/>
    <cellStyle name="40% - Accent1 7 2 3" xfId="12162" xr:uid="{04B1635B-EDC2-4E5A-AA57-616F521ED659}"/>
    <cellStyle name="40% - Accent1 7 3" xfId="5793" xr:uid="{00000000-0005-0000-0000-000059040000}"/>
    <cellStyle name="40% - Accent1 7 3 2" xfId="14235" xr:uid="{DACB48B7-3481-400C-BED1-6C95895FA927}"/>
    <cellStyle name="40% - Accent1 7 4" xfId="10017" xr:uid="{A10276E3-2B87-44F9-82AC-6EDA0C73C8C3}"/>
    <cellStyle name="40% - Accent1 8" xfId="1899" xr:uid="{00000000-0005-0000-0000-00005A040000}"/>
    <cellStyle name="40% - Accent1 8 2" xfId="4128" xr:uid="{00000000-0005-0000-0000-00005B040000}"/>
    <cellStyle name="40% - Accent1 8 2 2" xfId="8351" xr:uid="{00000000-0005-0000-0000-00005C040000}"/>
    <cellStyle name="40% - Accent1 8 2 2 2" xfId="16793" xr:uid="{50B6762A-5C34-41B3-8B91-AD9129A0820B}"/>
    <cellStyle name="40% - Accent1 8 2 3" xfId="12575" xr:uid="{68472045-7670-4A44-9BEE-C73048CEF2CF}"/>
    <cellStyle name="40% - Accent1 8 3" xfId="6206" xr:uid="{00000000-0005-0000-0000-00005D040000}"/>
    <cellStyle name="40% - Accent1 8 3 2" xfId="14648" xr:uid="{739D0712-C9B5-4AE9-BB48-70AC33212992}"/>
    <cellStyle name="40% - Accent1 8 4" xfId="10430" xr:uid="{9A670B9F-4BEC-485B-840E-77559AE7D14F}"/>
    <cellStyle name="40% - Accent1 9" xfId="2312" xr:uid="{00000000-0005-0000-0000-00005E040000}"/>
    <cellStyle name="40% - Accent1 9 2" xfId="6619" xr:uid="{00000000-0005-0000-0000-00005F040000}"/>
    <cellStyle name="40% - Accent1 9 2 2" xfId="15061" xr:uid="{635433DF-E6BC-4E29-940B-C561FAEAE0CA}"/>
    <cellStyle name="40% - Accent1 9 3" xfId="10843" xr:uid="{AD62B97D-6C22-41D9-9423-18D9DAF8FC3E}"/>
    <cellStyle name="40% - Accent2" xfId="57" builtinId="35" customBuiltin="1"/>
    <cellStyle name="40% - Accent2 10" xfId="4561" xr:uid="{00000000-0005-0000-0000-000061040000}"/>
    <cellStyle name="40% - Accent2 10 2" xfId="13003" xr:uid="{654808B4-100B-4B03-AF59-13CCC72A2605}"/>
    <cellStyle name="40% - Accent2 11" xfId="8785" xr:uid="{E9781AA6-85E2-4A8F-9041-337F37087F43}"/>
    <cellStyle name="40% - Accent2 2" xfId="58" xr:uid="{00000000-0005-0000-0000-000062040000}"/>
    <cellStyle name="40% - Accent2 2 10" xfId="8786" xr:uid="{EADB6EE2-940E-44AD-8840-4E8FAF48C77A}"/>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2 2 2" xfId="15565" xr:uid="{CDB15030-CDDE-4857-995A-C9E2D01B685D}"/>
    <cellStyle name="40% - Accent2 2 2 2 2 2 3" xfId="11347" xr:uid="{3DF2C85F-A848-4C16-B77B-667112D94E82}"/>
    <cellStyle name="40% - Accent2 2 2 2 2 3" xfId="4978" xr:uid="{00000000-0005-0000-0000-000068040000}"/>
    <cellStyle name="40% - Accent2 2 2 2 2 3 2" xfId="13420" xr:uid="{B860DDAB-77AC-4A43-BD01-F505A80D8D66}"/>
    <cellStyle name="40% - Accent2 2 2 2 2 4" xfId="9202" xr:uid="{AE1A5A79-F6E2-41FC-9290-3BA338C78CA3}"/>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2 2 2" xfId="15978" xr:uid="{450334C0-CAA1-49A9-AD09-259220BF84F6}"/>
    <cellStyle name="40% - Accent2 2 2 2 3 2 3" xfId="11760" xr:uid="{FA6A938C-1B19-4812-AEA6-127F70DD792B}"/>
    <cellStyle name="40% - Accent2 2 2 2 3 3" xfId="5391" xr:uid="{00000000-0005-0000-0000-00006C040000}"/>
    <cellStyle name="40% - Accent2 2 2 2 3 3 2" xfId="13833" xr:uid="{EE13B562-DB01-49D2-AADF-134F31F9D049}"/>
    <cellStyle name="40% - Accent2 2 2 2 3 4" xfId="9615" xr:uid="{6C0E8769-30BC-421E-8EEA-E26ED066ABFF}"/>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2 2 2" xfId="16391" xr:uid="{11735977-BAB6-4644-B7A3-C16952BA4112}"/>
    <cellStyle name="40% - Accent2 2 2 2 4 2 3" xfId="12173" xr:uid="{F0A59177-5A68-41DB-89B6-9B51C3746E4E}"/>
    <cellStyle name="40% - Accent2 2 2 2 4 3" xfId="5804" xr:uid="{00000000-0005-0000-0000-000070040000}"/>
    <cellStyle name="40% - Accent2 2 2 2 4 3 2" xfId="14246" xr:uid="{D4472555-2800-4943-82FD-4A1EE3F281E4}"/>
    <cellStyle name="40% - Accent2 2 2 2 4 4" xfId="10028" xr:uid="{3E8EF678-BD23-4545-B905-5C746E02099C}"/>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2 2 2" xfId="16804" xr:uid="{98795C71-40B2-4CD0-9F6D-11E008ADAB96}"/>
    <cellStyle name="40% - Accent2 2 2 2 5 2 3" xfId="12586" xr:uid="{95D24EAE-6FBD-4860-9DBF-B9EF6E618540}"/>
    <cellStyle name="40% - Accent2 2 2 2 5 3" xfId="6217" xr:uid="{00000000-0005-0000-0000-000074040000}"/>
    <cellStyle name="40% - Accent2 2 2 2 5 3 2" xfId="14659" xr:uid="{8A37DD13-528B-45F3-BDA6-152143C70E79}"/>
    <cellStyle name="40% - Accent2 2 2 2 5 4" xfId="10441" xr:uid="{EDEAE43C-5CEF-437D-B106-19C60ED64073}"/>
    <cellStyle name="40% - Accent2 2 2 2 6" xfId="2323" xr:uid="{00000000-0005-0000-0000-000075040000}"/>
    <cellStyle name="40% - Accent2 2 2 2 6 2" xfId="6630" xr:uid="{00000000-0005-0000-0000-000076040000}"/>
    <cellStyle name="40% - Accent2 2 2 2 6 2 2" xfId="15072" xr:uid="{635A9FA5-D1A7-43E5-818B-401005221AB5}"/>
    <cellStyle name="40% - Accent2 2 2 2 6 3" xfId="10854" xr:uid="{9685B437-6255-4BDB-B918-9267560F4636}"/>
    <cellStyle name="40% - Accent2 2 2 2 7" xfId="4564" xr:uid="{00000000-0005-0000-0000-000077040000}"/>
    <cellStyle name="40% - Accent2 2 2 2 7 2" xfId="13006" xr:uid="{522EDF33-2423-451E-8AE6-7A57A0AC2AF6}"/>
    <cellStyle name="40% - Accent2 2 2 2 8" xfId="8788" xr:uid="{95A2C808-231C-4F1B-ACEF-B92D1B73121A}"/>
    <cellStyle name="40% - Accent2 2 2 3" xfId="628" xr:uid="{00000000-0005-0000-0000-000078040000}"/>
    <cellStyle name="40% - Accent2 2 2 3 2" xfId="2899" xr:uid="{00000000-0005-0000-0000-000079040000}"/>
    <cellStyle name="40% - Accent2 2 2 3 2 2" xfId="7122" xr:uid="{00000000-0005-0000-0000-00007A040000}"/>
    <cellStyle name="40% - Accent2 2 2 3 2 2 2" xfId="15564" xr:uid="{8231C149-877F-48FB-A579-8068D8D1DF06}"/>
    <cellStyle name="40% - Accent2 2 2 3 2 3" xfId="11346" xr:uid="{05F8A961-A14E-4697-9738-557EB104F2F9}"/>
    <cellStyle name="40% - Accent2 2 2 3 3" xfId="4977" xr:uid="{00000000-0005-0000-0000-00007B040000}"/>
    <cellStyle name="40% - Accent2 2 2 3 3 2" xfId="13419" xr:uid="{9972143E-DB24-4C17-80A6-B51F0729D641}"/>
    <cellStyle name="40% - Accent2 2 2 3 4" xfId="9201" xr:uid="{22CF581D-B112-49B6-9F13-85F3D84557D8}"/>
    <cellStyle name="40% - Accent2 2 2 4" xfId="1081" xr:uid="{00000000-0005-0000-0000-00007C040000}"/>
    <cellStyle name="40% - Accent2 2 2 4 2" xfId="3312" xr:uid="{00000000-0005-0000-0000-00007D040000}"/>
    <cellStyle name="40% - Accent2 2 2 4 2 2" xfId="7535" xr:uid="{00000000-0005-0000-0000-00007E040000}"/>
    <cellStyle name="40% - Accent2 2 2 4 2 2 2" xfId="15977" xr:uid="{BDCBDA38-BA22-41AB-BAFA-84D5CADE7181}"/>
    <cellStyle name="40% - Accent2 2 2 4 2 3" xfId="11759" xr:uid="{ECC9148B-ED6E-4C8E-AA38-A4E24FD49881}"/>
    <cellStyle name="40% - Accent2 2 2 4 3" xfId="5390" xr:uid="{00000000-0005-0000-0000-00007F040000}"/>
    <cellStyle name="40% - Accent2 2 2 4 3 2" xfId="13832" xr:uid="{E82BB768-3EB7-4E3A-A493-2E078B5EF889}"/>
    <cellStyle name="40% - Accent2 2 2 4 4" xfId="9614" xr:uid="{0D4A8C7C-1B68-4F7B-BE05-13A8690E4376}"/>
    <cellStyle name="40% - Accent2 2 2 5" xfId="1495" xr:uid="{00000000-0005-0000-0000-000080040000}"/>
    <cellStyle name="40% - Accent2 2 2 5 2" xfId="3725" xr:uid="{00000000-0005-0000-0000-000081040000}"/>
    <cellStyle name="40% - Accent2 2 2 5 2 2" xfId="7948" xr:uid="{00000000-0005-0000-0000-000082040000}"/>
    <cellStyle name="40% - Accent2 2 2 5 2 2 2" xfId="16390" xr:uid="{06C34F85-DCCD-43BF-AC55-0CFCA2801D4F}"/>
    <cellStyle name="40% - Accent2 2 2 5 2 3" xfId="12172" xr:uid="{7DCF7D59-C34C-4B5F-9250-A35DE03054E5}"/>
    <cellStyle name="40% - Accent2 2 2 5 3" xfId="5803" xr:uid="{00000000-0005-0000-0000-000083040000}"/>
    <cellStyle name="40% - Accent2 2 2 5 3 2" xfId="14245" xr:uid="{3182DE58-88DA-4328-A177-5C3767679FF5}"/>
    <cellStyle name="40% - Accent2 2 2 5 4" xfId="10027" xr:uid="{22B2E7F9-43C1-4F99-A0AC-D4CA1DFEC982}"/>
    <cellStyle name="40% - Accent2 2 2 6" xfId="1909" xr:uid="{00000000-0005-0000-0000-000084040000}"/>
    <cellStyle name="40% - Accent2 2 2 6 2" xfId="4138" xr:uid="{00000000-0005-0000-0000-000085040000}"/>
    <cellStyle name="40% - Accent2 2 2 6 2 2" xfId="8361" xr:uid="{00000000-0005-0000-0000-000086040000}"/>
    <cellStyle name="40% - Accent2 2 2 6 2 2 2" xfId="16803" xr:uid="{F3D5BB7C-490F-4AE1-AEF2-FCF850CE1E36}"/>
    <cellStyle name="40% - Accent2 2 2 6 2 3" xfId="12585" xr:uid="{59238ED1-BD48-45C9-AAAB-BBC00D491476}"/>
    <cellStyle name="40% - Accent2 2 2 6 3" xfId="6216" xr:uid="{00000000-0005-0000-0000-000087040000}"/>
    <cellStyle name="40% - Accent2 2 2 6 3 2" xfId="14658" xr:uid="{A19F1BEA-4178-4F81-8E5A-65AC53EC1023}"/>
    <cellStyle name="40% - Accent2 2 2 6 4" xfId="10440" xr:uid="{973D913D-371F-41D2-A252-25F8D87997FF}"/>
    <cellStyle name="40% - Accent2 2 2 7" xfId="2322" xr:uid="{00000000-0005-0000-0000-000088040000}"/>
    <cellStyle name="40% - Accent2 2 2 7 2" xfId="6629" xr:uid="{00000000-0005-0000-0000-000089040000}"/>
    <cellStyle name="40% - Accent2 2 2 7 2 2" xfId="15071" xr:uid="{DDB869BD-B144-47C5-926F-7762666AE5D4}"/>
    <cellStyle name="40% - Accent2 2 2 7 3" xfId="10853" xr:uid="{B9AE12AA-462A-4C95-B0D0-158FBEF7EB29}"/>
    <cellStyle name="40% - Accent2 2 2 8" xfId="4563" xr:uid="{00000000-0005-0000-0000-00008A040000}"/>
    <cellStyle name="40% - Accent2 2 2 8 2" xfId="13005" xr:uid="{F77B3D5B-0712-45FB-9E33-7020B713ECEF}"/>
    <cellStyle name="40% - Accent2 2 2 9" xfId="8787" xr:uid="{06D1EDAA-4B61-4002-A79C-872A3092C4EF}"/>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2 2 2" xfId="15566" xr:uid="{BEE9A5AC-61A6-4841-A6DD-6A9331453B7B}"/>
    <cellStyle name="40% - Accent2 2 3 2 2 3" xfId="11348" xr:uid="{C6558CFF-E933-45F1-88D6-EE946BF766DB}"/>
    <cellStyle name="40% - Accent2 2 3 2 3" xfId="4979" xr:uid="{00000000-0005-0000-0000-00008F040000}"/>
    <cellStyle name="40% - Accent2 2 3 2 3 2" xfId="13421" xr:uid="{05CEB735-4369-4E4D-A651-997439F21BC6}"/>
    <cellStyle name="40% - Accent2 2 3 2 4" xfId="9203" xr:uid="{AA02F57E-C25F-4B29-851B-F3B1C0CCAF98}"/>
    <cellStyle name="40% - Accent2 2 3 3" xfId="1083" xr:uid="{00000000-0005-0000-0000-000090040000}"/>
    <cellStyle name="40% - Accent2 2 3 3 2" xfId="3314" xr:uid="{00000000-0005-0000-0000-000091040000}"/>
    <cellStyle name="40% - Accent2 2 3 3 2 2" xfId="7537" xr:uid="{00000000-0005-0000-0000-000092040000}"/>
    <cellStyle name="40% - Accent2 2 3 3 2 2 2" xfId="15979" xr:uid="{C67560C8-DEE6-4F6D-BDF7-1AAFD1A7C7E0}"/>
    <cellStyle name="40% - Accent2 2 3 3 2 3" xfId="11761" xr:uid="{9283B7F4-B2C2-4539-9A4D-F61684D22DEF}"/>
    <cellStyle name="40% - Accent2 2 3 3 3" xfId="5392" xr:uid="{00000000-0005-0000-0000-000093040000}"/>
    <cellStyle name="40% - Accent2 2 3 3 3 2" xfId="13834" xr:uid="{5966F095-1677-4D31-901F-C35BA8878D8D}"/>
    <cellStyle name="40% - Accent2 2 3 3 4" xfId="9616" xr:uid="{F6845EDB-27B6-411F-BDA4-018A3A17A557}"/>
    <cellStyle name="40% - Accent2 2 3 4" xfId="1497" xr:uid="{00000000-0005-0000-0000-000094040000}"/>
    <cellStyle name="40% - Accent2 2 3 4 2" xfId="3727" xr:uid="{00000000-0005-0000-0000-000095040000}"/>
    <cellStyle name="40% - Accent2 2 3 4 2 2" xfId="7950" xr:uid="{00000000-0005-0000-0000-000096040000}"/>
    <cellStyle name="40% - Accent2 2 3 4 2 2 2" xfId="16392" xr:uid="{49C646A1-86BE-4237-912A-AFFFFCB830DA}"/>
    <cellStyle name="40% - Accent2 2 3 4 2 3" xfId="12174" xr:uid="{EDC189DF-1623-4641-BB2C-018CF61A98ED}"/>
    <cellStyle name="40% - Accent2 2 3 4 3" xfId="5805" xr:uid="{00000000-0005-0000-0000-000097040000}"/>
    <cellStyle name="40% - Accent2 2 3 4 3 2" xfId="14247" xr:uid="{6156505C-79BE-4D9E-AB41-5010C3A20B8C}"/>
    <cellStyle name="40% - Accent2 2 3 4 4" xfId="10029" xr:uid="{D5A381CD-BFBF-45B4-B744-062D8B350C1E}"/>
    <cellStyle name="40% - Accent2 2 3 5" xfId="1911" xr:uid="{00000000-0005-0000-0000-000098040000}"/>
    <cellStyle name="40% - Accent2 2 3 5 2" xfId="4140" xr:uid="{00000000-0005-0000-0000-000099040000}"/>
    <cellStyle name="40% - Accent2 2 3 5 2 2" xfId="8363" xr:uid="{00000000-0005-0000-0000-00009A040000}"/>
    <cellStyle name="40% - Accent2 2 3 5 2 2 2" xfId="16805" xr:uid="{CE9936CF-8D72-4238-837D-DDFEE8CA2B1C}"/>
    <cellStyle name="40% - Accent2 2 3 5 2 3" xfId="12587" xr:uid="{604C85EA-252B-4808-9C63-7EC37BEC2283}"/>
    <cellStyle name="40% - Accent2 2 3 5 3" xfId="6218" xr:uid="{00000000-0005-0000-0000-00009B040000}"/>
    <cellStyle name="40% - Accent2 2 3 5 3 2" xfId="14660" xr:uid="{2FB24EBC-5726-463E-88AB-C790FAF92785}"/>
    <cellStyle name="40% - Accent2 2 3 5 4" xfId="10442" xr:uid="{8DFD1376-FAED-41DE-A383-883B5BD38DC2}"/>
    <cellStyle name="40% - Accent2 2 3 6" xfId="2324" xr:uid="{00000000-0005-0000-0000-00009C040000}"/>
    <cellStyle name="40% - Accent2 2 3 6 2" xfId="6631" xr:uid="{00000000-0005-0000-0000-00009D040000}"/>
    <cellStyle name="40% - Accent2 2 3 6 2 2" xfId="15073" xr:uid="{F7DA41EF-4953-45A3-AADA-190028A3B326}"/>
    <cellStyle name="40% - Accent2 2 3 6 3" xfId="10855" xr:uid="{9D7799B2-5E83-4B85-94FF-B90F461776CB}"/>
    <cellStyle name="40% - Accent2 2 3 7" xfId="4565" xr:uid="{00000000-0005-0000-0000-00009E040000}"/>
    <cellStyle name="40% - Accent2 2 3 7 2" xfId="13007" xr:uid="{4948E096-69BF-44D6-879C-0E94DCBF4D25}"/>
    <cellStyle name="40% - Accent2 2 3 8" xfId="8789" xr:uid="{89A21CF1-2AF7-4622-85FD-DCD74080366A}"/>
    <cellStyle name="40% - Accent2 2 4" xfId="627" xr:uid="{00000000-0005-0000-0000-00009F040000}"/>
    <cellStyle name="40% - Accent2 2 4 2" xfId="2898" xr:uid="{00000000-0005-0000-0000-0000A0040000}"/>
    <cellStyle name="40% - Accent2 2 4 2 2" xfId="7121" xr:uid="{00000000-0005-0000-0000-0000A1040000}"/>
    <cellStyle name="40% - Accent2 2 4 2 2 2" xfId="15563" xr:uid="{AD6EB8B7-95F1-4B94-BE60-EFC587E605D6}"/>
    <cellStyle name="40% - Accent2 2 4 2 3" xfId="11345" xr:uid="{8A08EC63-B184-4378-B59B-BAA1F814778A}"/>
    <cellStyle name="40% - Accent2 2 4 3" xfId="4976" xr:uid="{00000000-0005-0000-0000-0000A2040000}"/>
    <cellStyle name="40% - Accent2 2 4 3 2" xfId="13418" xr:uid="{37FC4C47-D857-4470-B2F8-E5ABE4F4F0B1}"/>
    <cellStyle name="40% - Accent2 2 4 4" xfId="9200" xr:uid="{F88E66A1-B880-4DFA-BD59-5A3566034A3C}"/>
    <cellStyle name="40% - Accent2 2 5" xfId="1080" xr:uid="{00000000-0005-0000-0000-0000A3040000}"/>
    <cellStyle name="40% - Accent2 2 5 2" xfId="3311" xr:uid="{00000000-0005-0000-0000-0000A4040000}"/>
    <cellStyle name="40% - Accent2 2 5 2 2" xfId="7534" xr:uid="{00000000-0005-0000-0000-0000A5040000}"/>
    <cellStyle name="40% - Accent2 2 5 2 2 2" xfId="15976" xr:uid="{1DECE34F-AF1A-4EB1-85A1-2768F43D5045}"/>
    <cellStyle name="40% - Accent2 2 5 2 3" xfId="11758" xr:uid="{B40555CB-5BF7-4A2E-9F62-C5E36F75FC3C}"/>
    <cellStyle name="40% - Accent2 2 5 3" xfId="5389" xr:uid="{00000000-0005-0000-0000-0000A6040000}"/>
    <cellStyle name="40% - Accent2 2 5 3 2" xfId="13831" xr:uid="{78E4DC2E-4C9E-458A-977F-CFA573B5B5F3}"/>
    <cellStyle name="40% - Accent2 2 5 4" xfId="9613" xr:uid="{0700AA5D-7648-43B2-833A-1EEE124E1896}"/>
    <cellStyle name="40% - Accent2 2 6" xfId="1494" xr:uid="{00000000-0005-0000-0000-0000A7040000}"/>
    <cellStyle name="40% - Accent2 2 6 2" xfId="3724" xr:uid="{00000000-0005-0000-0000-0000A8040000}"/>
    <cellStyle name="40% - Accent2 2 6 2 2" xfId="7947" xr:uid="{00000000-0005-0000-0000-0000A9040000}"/>
    <cellStyle name="40% - Accent2 2 6 2 2 2" xfId="16389" xr:uid="{A983DFD6-9A6E-4FFB-A5F4-9F962D89C66B}"/>
    <cellStyle name="40% - Accent2 2 6 2 3" xfId="12171" xr:uid="{595B3858-D8BE-4024-834A-0D545E1492E7}"/>
    <cellStyle name="40% - Accent2 2 6 3" xfId="5802" xr:uid="{00000000-0005-0000-0000-0000AA040000}"/>
    <cellStyle name="40% - Accent2 2 6 3 2" xfId="14244" xr:uid="{8927AD05-9FF0-43BD-BB8B-8284BAAC2C1C}"/>
    <cellStyle name="40% - Accent2 2 6 4" xfId="10026" xr:uid="{3FEA9788-E960-4842-B50C-B120B555E0E7}"/>
    <cellStyle name="40% - Accent2 2 7" xfId="1908" xr:uid="{00000000-0005-0000-0000-0000AB040000}"/>
    <cellStyle name="40% - Accent2 2 7 2" xfId="4137" xr:uid="{00000000-0005-0000-0000-0000AC040000}"/>
    <cellStyle name="40% - Accent2 2 7 2 2" xfId="8360" xr:uid="{00000000-0005-0000-0000-0000AD040000}"/>
    <cellStyle name="40% - Accent2 2 7 2 2 2" xfId="16802" xr:uid="{912435D4-8CAF-40B0-A5AB-236166926745}"/>
    <cellStyle name="40% - Accent2 2 7 2 3" xfId="12584" xr:uid="{E9DCEDB2-931A-49CE-A768-B71620FC448B}"/>
    <cellStyle name="40% - Accent2 2 7 3" xfId="6215" xr:uid="{00000000-0005-0000-0000-0000AE040000}"/>
    <cellStyle name="40% - Accent2 2 7 3 2" xfId="14657" xr:uid="{0146AEC8-CE68-402B-AAB9-FE2F42146400}"/>
    <cellStyle name="40% - Accent2 2 7 4" xfId="10439" xr:uid="{77D09ECE-3D25-4402-A847-214F4A62D467}"/>
    <cellStyle name="40% - Accent2 2 8" xfId="2321" xr:uid="{00000000-0005-0000-0000-0000AF040000}"/>
    <cellStyle name="40% - Accent2 2 8 2" xfId="6628" xr:uid="{00000000-0005-0000-0000-0000B0040000}"/>
    <cellStyle name="40% - Accent2 2 8 2 2" xfId="15070" xr:uid="{C625708A-4A3C-4DB1-B6ED-BF82237D2D1A}"/>
    <cellStyle name="40% - Accent2 2 8 3" xfId="10852" xr:uid="{92831F85-C504-4C80-B98E-7303A4FC1755}"/>
    <cellStyle name="40% - Accent2 2 9" xfId="4562" xr:uid="{00000000-0005-0000-0000-0000B1040000}"/>
    <cellStyle name="40% - Accent2 2 9 2" xfId="13004" xr:uid="{F63E83F6-910D-4546-B36F-946CD529FA2D}"/>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2 2 2" xfId="15568" xr:uid="{587257E3-36F8-48F4-AA88-A6E7E1EA2F6C}"/>
    <cellStyle name="40% - Accent2 3 2 2 2 3" xfId="11350" xr:uid="{806EB7BC-8FF6-414E-94A6-99CA8621637A}"/>
    <cellStyle name="40% - Accent2 3 2 2 3" xfId="4981" xr:uid="{00000000-0005-0000-0000-0000B7040000}"/>
    <cellStyle name="40% - Accent2 3 2 2 3 2" xfId="13423" xr:uid="{FBD968A8-E9CA-46FD-B461-A8275FFC535A}"/>
    <cellStyle name="40% - Accent2 3 2 2 4" xfId="9205" xr:uid="{5E67BAC9-2369-488B-8905-F677C225B93B}"/>
    <cellStyle name="40% - Accent2 3 2 3" xfId="1085" xr:uid="{00000000-0005-0000-0000-0000B8040000}"/>
    <cellStyle name="40% - Accent2 3 2 3 2" xfId="3316" xr:uid="{00000000-0005-0000-0000-0000B9040000}"/>
    <cellStyle name="40% - Accent2 3 2 3 2 2" xfId="7539" xr:uid="{00000000-0005-0000-0000-0000BA040000}"/>
    <cellStyle name="40% - Accent2 3 2 3 2 2 2" xfId="15981" xr:uid="{24C03484-8F4A-4A23-9DC4-5B34ACF09E90}"/>
    <cellStyle name="40% - Accent2 3 2 3 2 3" xfId="11763" xr:uid="{DABA6EBD-D70A-4B10-9938-61A27151DA41}"/>
    <cellStyle name="40% - Accent2 3 2 3 3" xfId="5394" xr:uid="{00000000-0005-0000-0000-0000BB040000}"/>
    <cellStyle name="40% - Accent2 3 2 3 3 2" xfId="13836" xr:uid="{6D920133-96F2-47C1-8281-19C261F3143D}"/>
    <cellStyle name="40% - Accent2 3 2 3 4" xfId="9618" xr:uid="{1FD3AA9C-2180-4921-9D05-C4E61AEB70B9}"/>
    <cellStyle name="40% - Accent2 3 2 4" xfId="1499" xr:uid="{00000000-0005-0000-0000-0000BC040000}"/>
    <cellStyle name="40% - Accent2 3 2 4 2" xfId="3729" xr:uid="{00000000-0005-0000-0000-0000BD040000}"/>
    <cellStyle name="40% - Accent2 3 2 4 2 2" xfId="7952" xr:uid="{00000000-0005-0000-0000-0000BE040000}"/>
    <cellStyle name="40% - Accent2 3 2 4 2 2 2" xfId="16394" xr:uid="{72BB37AF-E0F0-4452-8708-BF018D047131}"/>
    <cellStyle name="40% - Accent2 3 2 4 2 3" xfId="12176" xr:uid="{AFA94A59-2EB8-4B97-A52A-7E812BA1D2C2}"/>
    <cellStyle name="40% - Accent2 3 2 4 3" xfId="5807" xr:uid="{00000000-0005-0000-0000-0000BF040000}"/>
    <cellStyle name="40% - Accent2 3 2 4 3 2" xfId="14249" xr:uid="{48D1CD23-4741-41C4-92F1-51131942749A}"/>
    <cellStyle name="40% - Accent2 3 2 4 4" xfId="10031" xr:uid="{27FBAE0E-8160-42C0-8CB1-00A5E5CE80D2}"/>
    <cellStyle name="40% - Accent2 3 2 5" xfId="1913" xr:uid="{00000000-0005-0000-0000-0000C0040000}"/>
    <cellStyle name="40% - Accent2 3 2 5 2" xfId="4142" xr:uid="{00000000-0005-0000-0000-0000C1040000}"/>
    <cellStyle name="40% - Accent2 3 2 5 2 2" xfId="8365" xr:uid="{00000000-0005-0000-0000-0000C2040000}"/>
    <cellStyle name="40% - Accent2 3 2 5 2 2 2" xfId="16807" xr:uid="{B069F6AF-D6BF-4C9B-B97A-5E5D9B1EDAB5}"/>
    <cellStyle name="40% - Accent2 3 2 5 2 3" xfId="12589" xr:uid="{5CA2D723-43E9-473B-90A7-0145268DF090}"/>
    <cellStyle name="40% - Accent2 3 2 5 3" xfId="6220" xr:uid="{00000000-0005-0000-0000-0000C3040000}"/>
    <cellStyle name="40% - Accent2 3 2 5 3 2" xfId="14662" xr:uid="{6B3287F5-0264-48BC-AB3B-10CB13A1F5B6}"/>
    <cellStyle name="40% - Accent2 3 2 5 4" xfId="10444" xr:uid="{EA3FB181-AF0C-4631-8D9C-EDAD046DF91F}"/>
    <cellStyle name="40% - Accent2 3 2 6" xfId="2326" xr:uid="{00000000-0005-0000-0000-0000C4040000}"/>
    <cellStyle name="40% - Accent2 3 2 6 2" xfId="6633" xr:uid="{00000000-0005-0000-0000-0000C5040000}"/>
    <cellStyle name="40% - Accent2 3 2 6 2 2" xfId="15075" xr:uid="{26E629B3-5897-4796-97DA-C56C02EDDB19}"/>
    <cellStyle name="40% - Accent2 3 2 6 3" xfId="10857" xr:uid="{0B8C9D5F-4FEE-474A-B8D6-91E20F424358}"/>
    <cellStyle name="40% - Accent2 3 2 7" xfId="4567" xr:uid="{00000000-0005-0000-0000-0000C6040000}"/>
    <cellStyle name="40% - Accent2 3 2 7 2" xfId="13009" xr:uid="{5D7772B0-CD65-4262-A8E8-B344752804FC}"/>
    <cellStyle name="40% - Accent2 3 2 8" xfId="8791" xr:uid="{89271BE6-C5A0-452A-B3F1-CE029CADC906}"/>
    <cellStyle name="40% - Accent2 3 3" xfId="631" xr:uid="{00000000-0005-0000-0000-0000C7040000}"/>
    <cellStyle name="40% - Accent2 3 3 2" xfId="2902" xr:uid="{00000000-0005-0000-0000-0000C8040000}"/>
    <cellStyle name="40% - Accent2 3 3 2 2" xfId="7125" xr:uid="{00000000-0005-0000-0000-0000C9040000}"/>
    <cellStyle name="40% - Accent2 3 3 2 2 2" xfId="15567" xr:uid="{3E402D44-9420-4C32-A77B-C6CB9C1352BF}"/>
    <cellStyle name="40% - Accent2 3 3 2 3" xfId="11349" xr:uid="{1B0AF92F-72E4-4990-9A83-6EAFB0490463}"/>
    <cellStyle name="40% - Accent2 3 3 3" xfId="4980" xr:uid="{00000000-0005-0000-0000-0000CA040000}"/>
    <cellStyle name="40% - Accent2 3 3 3 2" xfId="13422" xr:uid="{ED1FA46C-9987-4F81-AE81-B36EF6A78F78}"/>
    <cellStyle name="40% - Accent2 3 3 4" xfId="9204" xr:uid="{4051C24C-FF59-4E5B-90DC-F58D55CB6BA8}"/>
    <cellStyle name="40% - Accent2 3 4" xfId="1084" xr:uid="{00000000-0005-0000-0000-0000CB040000}"/>
    <cellStyle name="40% - Accent2 3 4 2" xfId="3315" xr:uid="{00000000-0005-0000-0000-0000CC040000}"/>
    <cellStyle name="40% - Accent2 3 4 2 2" xfId="7538" xr:uid="{00000000-0005-0000-0000-0000CD040000}"/>
    <cellStyle name="40% - Accent2 3 4 2 2 2" xfId="15980" xr:uid="{D78A79A9-A1EE-4CA8-BFBC-F6F271C2244E}"/>
    <cellStyle name="40% - Accent2 3 4 2 3" xfId="11762" xr:uid="{1ED3A701-9330-4A39-87E0-53CB49795E98}"/>
    <cellStyle name="40% - Accent2 3 4 3" xfId="5393" xr:uid="{00000000-0005-0000-0000-0000CE040000}"/>
    <cellStyle name="40% - Accent2 3 4 3 2" xfId="13835" xr:uid="{2215F96C-595B-429A-B99B-F2880528DF22}"/>
    <cellStyle name="40% - Accent2 3 4 4" xfId="9617" xr:uid="{60B9E5D9-D37F-43D8-A087-18BB45D60925}"/>
    <cellStyle name="40% - Accent2 3 5" xfId="1498" xr:uid="{00000000-0005-0000-0000-0000CF040000}"/>
    <cellStyle name="40% - Accent2 3 5 2" xfId="3728" xr:uid="{00000000-0005-0000-0000-0000D0040000}"/>
    <cellStyle name="40% - Accent2 3 5 2 2" xfId="7951" xr:uid="{00000000-0005-0000-0000-0000D1040000}"/>
    <cellStyle name="40% - Accent2 3 5 2 2 2" xfId="16393" xr:uid="{67F3ABF0-8C64-4727-ABCB-C417A34EF29E}"/>
    <cellStyle name="40% - Accent2 3 5 2 3" xfId="12175" xr:uid="{1E841E33-E5CF-4D09-8C04-81005496F9B3}"/>
    <cellStyle name="40% - Accent2 3 5 3" xfId="5806" xr:uid="{00000000-0005-0000-0000-0000D2040000}"/>
    <cellStyle name="40% - Accent2 3 5 3 2" xfId="14248" xr:uid="{4EE12A61-CEA9-4E1A-9453-831D5BF8447E}"/>
    <cellStyle name="40% - Accent2 3 5 4" xfId="10030" xr:uid="{3CC79DA6-A1BF-476D-B951-F5A307EDC570}"/>
    <cellStyle name="40% - Accent2 3 6" xfId="1912" xr:uid="{00000000-0005-0000-0000-0000D3040000}"/>
    <cellStyle name="40% - Accent2 3 6 2" xfId="4141" xr:uid="{00000000-0005-0000-0000-0000D4040000}"/>
    <cellStyle name="40% - Accent2 3 6 2 2" xfId="8364" xr:uid="{00000000-0005-0000-0000-0000D5040000}"/>
    <cellStyle name="40% - Accent2 3 6 2 2 2" xfId="16806" xr:uid="{E8B4AB9D-1D15-4A5C-BBA5-87BE9AF7BA33}"/>
    <cellStyle name="40% - Accent2 3 6 2 3" xfId="12588" xr:uid="{4016626F-2E62-4DBE-AFDC-96CDC510A991}"/>
    <cellStyle name="40% - Accent2 3 6 3" xfId="6219" xr:uid="{00000000-0005-0000-0000-0000D6040000}"/>
    <cellStyle name="40% - Accent2 3 6 3 2" xfId="14661" xr:uid="{FEB48286-2B93-4DFC-A7FE-24AD0BBF87CE}"/>
    <cellStyle name="40% - Accent2 3 6 4" xfId="10443" xr:uid="{CD9A3130-D66B-48CD-BAFD-79DBD9AE7ACA}"/>
    <cellStyle name="40% - Accent2 3 7" xfId="2325" xr:uid="{00000000-0005-0000-0000-0000D7040000}"/>
    <cellStyle name="40% - Accent2 3 7 2" xfId="6632" xr:uid="{00000000-0005-0000-0000-0000D8040000}"/>
    <cellStyle name="40% - Accent2 3 7 2 2" xfId="15074" xr:uid="{72B8E6DA-E53E-4626-92AB-43DCE5C22160}"/>
    <cellStyle name="40% - Accent2 3 7 3" xfId="10856" xr:uid="{06B7DFA9-8E1B-43B5-B4E4-3461F9F1D0DA}"/>
    <cellStyle name="40% - Accent2 3 8" xfId="4566" xr:uid="{00000000-0005-0000-0000-0000D9040000}"/>
    <cellStyle name="40% - Accent2 3 8 2" xfId="13008" xr:uid="{9628849A-15D8-4365-8E1F-AD62CD43FA83}"/>
    <cellStyle name="40% - Accent2 3 9" xfId="8790" xr:uid="{E24B17DD-D4EB-425E-AC89-C39E4A650F22}"/>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2 2 2" xfId="15569" xr:uid="{F419ACA3-8D15-441E-B2EF-9D231E7F6E5A}"/>
    <cellStyle name="40% - Accent2 4 2 2 3" xfId="11351" xr:uid="{904F164C-33FD-481E-BCC2-D481121BD3E2}"/>
    <cellStyle name="40% - Accent2 4 2 3" xfId="4982" xr:uid="{00000000-0005-0000-0000-0000DE040000}"/>
    <cellStyle name="40% - Accent2 4 2 3 2" xfId="13424" xr:uid="{4AB2D126-FE8D-46D4-93D3-D7C0428DEEFA}"/>
    <cellStyle name="40% - Accent2 4 2 4" xfId="9206" xr:uid="{4F8113F9-8FDB-4821-BD18-FCEA74A06B97}"/>
    <cellStyle name="40% - Accent2 4 3" xfId="1086" xr:uid="{00000000-0005-0000-0000-0000DF040000}"/>
    <cellStyle name="40% - Accent2 4 3 2" xfId="3317" xr:uid="{00000000-0005-0000-0000-0000E0040000}"/>
    <cellStyle name="40% - Accent2 4 3 2 2" xfId="7540" xr:uid="{00000000-0005-0000-0000-0000E1040000}"/>
    <cellStyle name="40% - Accent2 4 3 2 2 2" xfId="15982" xr:uid="{13F7EB49-766C-4F3F-A4D3-22F57DEBC4B9}"/>
    <cellStyle name="40% - Accent2 4 3 2 3" xfId="11764" xr:uid="{549D82CC-5377-411A-B2CD-FC46F621EBE4}"/>
    <cellStyle name="40% - Accent2 4 3 3" xfId="5395" xr:uid="{00000000-0005-0000-0000-0000E2040000}"/>
    <cellStyle name="40% - Accent2 4 3 3 2" xfId="13837" xr:uid="{843C7C01-5238-4C37-9526-56F9B18FC4CC}"/>
    <cellStyle name="40% - Accent2 4 3 4" xfId="9619" xr:uid="{8020403C-2D3B-4805-A02A-172039AFBC2F}"/>
    <cellStyle name="40% - Accent2 4 4" xfId="1500" xr:uid="{00000000-0005-0000-0000-0000E3040000}"/>
    <cellStyle name="40% - Accent2 4 4 2" xfId="3730" xr:uid="{00000000-0005-0000-0000-0000E4040000}"/>
    <cellStyle name="40% - Accent2 4 4 2 2" xfId="7953" xr:uid="{00000000-0005-0000-0000-0000E5040000}"/>
    <cellStyle name="40% - Accent2 4 4 2 2 2" xfId="16395" xr:uid="{446DA9C3-12B4-4F38-941D-F925214A24AD}"/>
    <cellStyle name="40% - Accent2 4 4 2 3" xfId="12177" xr:uid="{7091676B-09E0-45E7-ACD9-E750CB32E47B}"/>
    <cellStyle name="40% - Accent2 4 4 3" xfId="5808" xr:uid="{00000000-0005-0000-0000-0000E6040000}"/>
    <cellStyle name="40% - Accent2 4 4 3 2" xfId="14250" xr:uid="{0D461A19-E11F-4FC5-973B-5233F82B7D48}"/>
    <cellStyle name="40% - Accent2 4 4 4" xfId="10032" xr:uid="{8FB35012-81B2-4093-A7C9-04D1D38AB2D8}"/>
    <cellStyle name="40% - Accent2 4 5" xfId="1914" xr:uid="{00000000-0005-0000-0000-0000E7040000}"/>
    <cellStyle name="40% - Accent2 4 5 2" xfId="4143" xr:uid="{00000000-0005-0000-0000-0000E8040000}"/>
    <cellStyle name="40% - Accent2 4 5 2 2" xfId="8366" xr:uid="{00000000-0005-0000-0000-0000E9040000}"/>
    <cellStyle name="40% - Accent2 4 5 2 2 2" xfId="16808" xr:uid="{6865EC84-7B68-4F07-99BB-B4CDEB936C47}"/>
    <cellStyle name="40% - Accent2 4 5 2 3" xfId="12590" xr:uid="{8BF6D252-44C5-421E-A5B6-514F4A5370D6}"/>
    <cellStyle name="40% - Accent2 4 5 3" xfId="6221" xr:uid="{00000000-0005-0000-0000-0000EA040000}"/>
    <cellStyle name="40% - Accent2 4 5 3 2" xfId="14663" xr:uid="{8E0473F9-80B8-4FE2-944C-4F908A549778}"/>
    <cellStyle name="40% - Accent2 4 5 4" xfId="10445" xr:uid="{E8363631-83DD-470A-AABE-D66187DF2E8A}"/>
    <cellStyle name="40% - Accent2 4 6" xfId="2327" xr:uid="{00000000-0005-0000-0000-0000EB040000}"/>
    <cellStyle name="40% - Accent2 4 6 2" xfId="6634" xr:uid="{00000000-0005-0000-0000-0000EC040000}"/>
    <cellStyle name="40% - Accent2 4 6 2 2" xfId="15076" xr:uid="{A1265AC4-20FD-4937-8E7D-19559E9FA39B}"/>
    <cellStyle name="40% - Accent2 4 6 3" xfId="10858" xr:uid="{478FD7E5-7B35-4566-9417-69C941DF30D1}"/>
    <cellStyle name="40% - Accent2 4 7" xfId="4568" xr:uid="{00000000-0005-0000-0000-0000ED040000}"/>
    <cellStyle name="40% - Accent2 4 7 2" xfId="13010" xr:uid="{0A0AC14F-C110-4AB4-8B79-7E87B6872450}"/>
    <cellStyle name="40% - Accent2 4 8" xfId="8792" xr:uid="{EF3A7E9A-26B6-4E96-A819-DBC84F97BB65}"/>
    <cellStyle name="40% - Accent2 5" xfId="626" xr:uid="{00000000-0005-0000-0000-0000EE040000}"/>
    <cellStyle name="40% - Accent2 5 2" xfId="2897" xr:uid="{00000000-0005-0000-0000-0000EF040000}"/>
    <cellStyle name="40% - Accent2 5 2 2" xfId="7120" xr:uid="{00000000-0005-0000-0000-0000F0040000}"/>
    <cellStyle name="40% - Accent2 5 2 2 2" xfId="15562" xr:uid="{9F3EA6DE-FF79-487E-865E-49CC73108BF9}"/>
    <cellStyle name="40% - Accent2 5 2 3" xfId="11344" xr:uid="{CA583566-7784-4EE7-8750-33E8FA468EDE}"/>
    <cellStyle name="40% - Accent2 5 3" xfId="4975" xr:uid="{00000000-0005-0000-0000-0000F1040000}"/>
    <cellStyle name="40% - Accent2 5 3 2" xfId="13417" xr:uid="{F5970DA1-C813-4E3B-A48C-D252B67A7CCE}"/>
    <cellStyle name="40% - Accent2 5 4" xfId="9199" xr:uid="{B0BE95B1-53BB-4E57-95F2-C097B3F467DE}"/>
    <cellStyle name="40% - Accent2 6" xfId="1079" xr:uid="{00000000-0005-0000-0000-0000F2040000}"/>
    <cellStyle name="40% - Accent2 6 2" xfId="3310" xr:uid="{00000000-0005-0000-0000-0000F3040000}"/>
    <cellStyle name="40% - Accent2 6 2 2" xfId="7533" xr:uid="{00000000-0005-0000-0000-0000F4040000}"/>
    <cellStyle name="40% - Accent2 6 2 2 2" xfId="15975" xr:uid="{7AD26C05-2E7D-45C5-A6C6-52F1FD74E003}"/>
    <cellStyle name="40% - Accent2 6 2 3" xfId="11757" xr:uid="{966BA7A0-C180-42A7-A3CD-42D22AC1977C}"/>
    <cellStyle name="40% - Accent2 6 3" xfId="5388" xr:uid="{00000000-0005-0000-0000-0000F5040000}"/>
    <cellStyle name="40% - Accent2 6 3 2" xfId="13830" xr:uid="{E22F0922-DD5F-4380-96DB-74FF44366CEE}"/>
    <cellStyle name="40% - Accent2 6 4" xfId="9612" xr:uid="{AAC05A44-40B7-4DF3-8947-39958248FDD0}"/>
    <cellStyle name="40% - Accent2 7" xfId="1493" xr:uid="{00000000-0005-0000-0000-0000F6040000}"/>
    <cellStyle name="40% - Accent2 7 2" xfId="3723" xr:uid="{00000000-0005-0000-0000-0000F7040000}"/>
    <cellStyle name="40% - Accent2 7 2 2" xfId="7946" xr:uid="{00000000-0005-0000-0000-0000F8040000}"/>
    <cellStyle name="40% - Accent2 7 2 2 2" xfId="16388" xr:uid="{7DEDD0C6-A0D5-48D3-A55F-C349CBAA1F8C}"/>
    <cellStyle name="40% - Accent2 7 2 3" xfId="12170" xr:uid="{46C9BE51-BFCA-4C28-B72E-455C34F9D133}"/>
    <cellStyle name="40% - Accent2 7 3" xfId="5801" xr:uid="{00000000-0005-0000-0000-0000F9040000}"/>
    <cellStyle name="40% - Accent2 7 3 2" xfId="14243" xr:uid="{3CE64627-F013-4FF4-A482-D94917415A0F}"/>
    <cellStyle name="40% - Accent2 7 4" xfId="10025" xr:uid="{0EC762E9-83BD-4A20-85E9-255440329327}"/>
    <cellStyle name="40% - Accent2 8" xfId="1907" xr:uid="{00000000-0005-0000-0000-0000FA040000}"/>
    <cellStyle name="40% - Accent2 8 2" xfId="4136" xr:uid="{00000000-0005-0000-0000-0000FB040000}"/>
    <cellStyle name="40% - Accent2 8 2 2" xfId="8359" xr:uid="{00000000-0005-0000-0000-0000FC040000}"/>
    <cellStyle name="40% - Accent2 8 2 2 2" xfId="16801" xr:uid="{9ACA94F3-D554-4614-B20C-408425BB8DDF}"/>
    <cellStyle name="40% - Accent2 8 2 3" xfId="12583" xr:uid="{FF314DFD-B02D-4723-8F6E-C0DAF323C597}"/>
    <cellStyle name="40% - Accent2 8 3" xfId="6214" xr:uid="{00000000-0005-0000-0000-0000FD040000}"/>
    <cellStyle name="40% - Accent2 8 3 2" xfId="14656" xr:uid="{78600FF1-29B2-4697-BBE8-9B5373E0C609}"/>
    <cellStyle name="40% - Accent2 8 4" xfId="10438" xr:uid="{94C4247D-CD8D-4847-BDAA-817A5FEB2A5F}"/>
    <cellStyle name="40% - Accent2 9" xfId="2320" xr:uid="{00000000-0005-0000-0000-0000FE040000}"/>
    <cellStyle name="40% - Accent2 9 2" xfId="6627" xr:uid="{00000000-0005-0000-0000-0000FF040000}"/>
    <cellStyle name="40% - Accent2 9 2 2" xfId="15069" xr:uid="{F0BD20AB-EF32-42FC-87C1-B8CEC499CFF2}"/>
    <cellStyle name="40% - Accent2 9 3" xfId="10851" xr:uid="{141A7B28-078B-41F9-B6F3-EF5C7F036903}"/>
    <cellStyle name="40% - Accent3" xfId="65" builtinId="39" customBuiltin="1"/>
    <cellStyle name="40% - Accent3 10" xfId="4569" xr:uid="{00000000-0005-0000-0000-000001050000}"/>
    <cellStyle name="40% - Accent3 10 2" xfId="13011" xr:uid="{EF873D8D-32F2-4AD1-904B-0AA5841BC384}"/>
    <cellStyle name="40% - Accent3 11" xfId="8793" xr:uid="{1735A589-CCDA-41F7-A92E-431515B06A42}"/>
    <cellStyle name="40% - Accent3 2" xfId="66" xr:uid="{00000000-0005-0000-0000-000002050000}"/>
    <cellStyle name="40% - Accent3 2 10" xfId="8794" xr:uid="{0BFCDC37-AE7A-43CB-B3A6-42F1B23B5966}"/>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2 2 2" xfId="15573" xr:uid="{109BBAEA-8C62-4D61-B496-1D458B2F3595}"/>
    <cellStyle name="40% - Accent3 2 2 2 2 2 3" xfId="11355" xr:uid="{1D238F40-1794-49D1-B071-CFE31759C1F3}"/>
    <cellStyle name="40% - Accent3 2 2 2 2 3" xfId="4986" xr:uid="{00000000-0005-0000-0000-000008050000}"/>
    <cellStyle name="40% - Accent3 2 2 2 2 3 2" xfId="13428" xr:uid="{EBF1FD57-0579-4BE2-8DA2-648B5956CF9E}"/>
    <cellStyle name="40% - Accent3 2 2 2 2 4" xfId="9210" xr:uid="{49E95BDD-5CEE-4258-AD88-2B2EA3E2E645}"/>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2 2 2" xfId="15986" xr:uid="{2A2FD0DE-B2FD-4EE5-BE75-4C2F01FC0343}"/>
    <cellStyle name="40% - Accent3 2 2 2 3 2 3" xfId="11768" xr:uid="{05FA7B41-3D0B-461C-8389-A79962C26623}"/>
    <cellStyle name="40% - Accent3 2 2 2 3 3" xfId="5399" xr:uid="{00000000-0005-0000-0000-00000C050000}"/>
    <cellStyle name="40% - Accent3 2 2 2 3 3 2" xfId="13841" xr:uid="{F35EB1DF-39EE-4AAF-B275-27CE09264D91}"/>
    <cellStyle name="40% - Accent3 2 2 2 3 4" xfId="9623" xr:uid="{5E8BD51A-47C9-4399-94D5-B8B678568DAA}"/>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2 2 2" xfId="16399" xr:uid="{D8C49465-9ADA-4800-8A04-7CDCE3E3A4A3}"/>
    <cellStyle name="40% - Accent3 2 2 2 4 2 3" xfId="12181" xr:uid="{4A97FE04-73A0-4DE4-8ACA-87444932494F}"/>
    <cellStyle name="40% - Accent3 2 2 2 4 3" xfId="5812" xr:uid="{00000000-0005-0000-0000-000010050000}"/>
    <cellStyle name="40% - Accent3 2 2 2 4 3 2" xfId="14254" xr:uid="{6483FA68-A312-42E1-8666-03929E1D428B}"/>
    <cellStyle name="40% - Accent3 2 2 2 4 4" xfId="10036" xr:uid="{26062964-17D5-4391-84C0-B5863EA90C37}"/>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2 2 2" xfId="16812" xr:uid="{81270347-97C9-498B-BBAA-5B87A4DB095E}"/>
    <cellStyle name="40% - Accent3 2 2 2 5 2 3" xfId="12594" xr:uid="{D77E9D3D-348F-4997-AE07-EDD612C11FE2}"/>
    <cellStyle name="40% - Accent3 2 2 2 5 3" xfId="6225" xr:uid="{00000000-0005-0000-0000-000014050000}"/>
    <cellStyle name="40% - Accent3 2 2 2 5 3 2" xfId="14667" xr:uid="{003CCF1E-1605-49AF-A297-0C832A4850B3}"/>
    <cellStyle name="40% - Accent3 2 2 2 5 4" xfId="10449" xr:uid="{5AFD154D-9E37-4B83-A0A1-10198C719DFF}"/>
    <cellStyle name="40% - Accent3 2 2 2 6" xfId="2331" xr:uid="{00000000-0005-0000-0000-000015050000}"/>
    <cellStyle name="40% - Accent3 2 2 2 6 2" xfId="6638" xr:uid="{00000000-0005-0000-0000-000016050000}"/>
    <cellStyle name="40% - Accent3 2 2 2 6 2 2" xfId="15080" xr:uid="{DEEB41AD-07AB-4E4D-ADBD-5A1CF0FDD26F}"/>
    <cellStyle name="40% - Accent3 2 2 2 6 3" xfId="10862" xr:uid="{BFAAEA20-B998-4168-B716-2156F4F44776}"/>
    <cellStyle name="40% - Accent3 2 2 2 7" xfId="4572" xr:uid="{00000000-0005-0000-0000-000017050000}"/>
    <cellStyle name="40% - Accent3 2 2 2 7 2" xfId="13014" xr:uid="{26C0600E-EBC6-4665-9F1C-1C78AFFE397F}"/>
    <cellStyle name="40% - Accent3 2 2 2 8" xfId="8796" xr:uid="{AE4E4AB8-460F-4D41-B24F-2824CD3E9BF1}"/>
    <cellStyle name="40% - Accent3 2 2 3" xfId="636" xr:uid="{00000000-0005-0000-0000-000018050000}"/>
    <cellStyle name="40% - Accent3 2 2 3 2" xfId="2907" xr:uid="{00000000-0005-0000-0000-000019050000}"/>
    <cellStyle name="40% - Accent3 2 2 3 2 2" xfId="7130" xr:uid="{00000000-0005-0000-0000-00001A050000}"/>
    <cellStyle name="40% - Accent3 2 2 3 2 2 2" xfId="15572" xr:uid="{A7C10F71-7917-4691-B351-463A1F865D42}"/>
    <cellStyle name="40% - Accent3 2 2 3 2 3" xfId="11354" xr:uid="{5F3CBCB3-AC8F-43F8-919F-14EF07870ACF}"/>
    <cellStyle name="40% - Accent3 2 2 3 3" xfId="4985" xr:uid="{00000000-0005-0000-0000-00001B050000}"/>
    <cellStyle name="40% - Accent3 2 2 3 3 2" xfId="13427" xr:uid="{CF98A792-4AE1-4FB7-9B17-7C63EB473E35}"/>
    <cellStyle name="40% - Accent3 2 2 3 4" xfId="9209" xr:uid="{33EC1FF3-3329-4FC7-B81E-5C31E8270C20}"/>
    <cellStyle name="40% - Accent3 2 2 4" xfId="1089" xr:uid="{00000000-0005-0000-0000-00001C050000}"/>
    <cellStyle name="40% - Accent3 2 2 4 2" xfId="3320" xr:uid="{00000000-0005-0000-0000-00001D050000}"/>
    <cellStyle name="40% - Accent3 2 2 4 2 2" xfId="7543" xr:uid="{00000000-0005-0000-0000-00001E050000}"/>
    <cellStyle name="40% - Accent3 2 2 4 2 2 2" xfId="15985" xr:uid="{20F280AE-2C46-4869-AAF5-241D0DB85C76}"/>
    <cellStyle name="40% - Accent3 2 2 4 2 3" xfId="11767" xr:uid="{AD93F6C7-255C-41A8-A819-1BA22C57B3E7}"/>
    <cellStyle name="40% - Accent3 2 2 4 3" xfId="5398" xr:uid="{00000000-0005-0000-0000-00001F050000}"/>
    <cellStyle name="40% - Accent3 2 2 4 3 2" xfId="13840" xr:uid="{BF8C2AAD-831B-4383-BC6C-15C6A70D7898}"/>
    <cellStyle name="40% - Accent3 2 2 4 4" xfId="9622" xr:uid="{3E11AF69-4AE9-4AC8-B2D4-6A300B191084}"/>
    <cellStyle name="40% - Accent3 2 2 5" xfId="1503" xr:uid="{00000000-0005-0000-0000-000020050000}"/>
    <cellStyle name="40% - Accent3 2 2 5 2" xfId="3733" xr:uid="{00000000-0005-0000-0000-000021050000}"/>
    <cellStyle name="40% - Accent3 2 2 5 2 2" xfId="7956" xr:uid="{00000000-0005-0000-0000-000022050000}"/>
    <cellStyle name="40% - Accent3 2 2 5 2 2 2" xfId="16398" xr:uid="{28804BFE-B506-4224-BEC2-E5825A6DAFD8}"/>
    <cellStyle name="40% - Accent3 2 2 5 2 3" xfId="12180" xr:uid="{0C2B53AA-2388-4E14-8A93-A81D8CA39571}"/>
    <cellStyle name="40% - Accent3 2 2 5 3" xfId="5811" xr:uid="{00000000-0005-0000-0000-000023050000}"/>
    <cellStyle name="40% - Accent3 2 2 5 3 2" xfId="14253" xr:uid="{74DE1E65-D429-4268-933E-DD4421545355}"/>
    <cellStyle name="40% - Accent3 2 2 5 4" xfId="10035" xr:uid="{25774F5F-8C74-40D9-8238-67A91E6B7647}"/>
    <cellStyle name="40% - Accent3 2 2 6" xfId="1917" xr:uid="{00000000-0005-0000-0000-000024050000}"/>
    <cellStyle name="40% - Accent3 2 2 6 2" xfId="4146" xr:uid="{00000000-0005-0000-0000-000025050000}"/>
    <cellStyle name="40% - Accent3 2 2 6 2 2" xfId="8369" xr:uid="{00000000-0005-0000-0000-000026050000}"/>
    <cellStyle name="40% - Accent3 2 2 6 2 2 2" xfId="16811" xr:uid="{7BEABA14-A0E5-4098-A9D3-79BFD1BFAF0B}"/>
    <cellStyle name="40% - Accent3 2 2 6 2 3" xfId="12593" xr:uid="{E95B0819-DE50-4DCA-830A-0D6ECB13C737}"/>
    <cellStyle name="40% - Accent3 2 2 6 3" xfId="6224" xr:uid="{00000000-0005-0000-0000-000027050000}"/>
    <cellStyle name="40% - Accent3 2 2 6 3 2" xfId="14666" xr:uid="{F993BDF4-8D77-4550-9B58-DD4CAD7682A8}"/>
    <cellStyle name="40% - Accent3 2 2 6 4" xfId="10448" xr:uid="{AFA2FF84-9C92-4D86-AAE5-34D750F4CE2A}"/>
    <cellStyle name="40% - Accent3 2 2 7" xfId="2330" xr:uid="{00000000-0005-0000-0000-000028050000}"/>
    <cellStyle name="40% - Accent3 2 2 7 2" xfId="6637" xr:uid="{00000000-0005-0000-0000-000029050000}"/>
    <cellStyle name="40% - Accent3 2 2 7 2 2" xfId="15079" xr:uid="{91E18F58-C330-492B-BD64-ED1C18AF669B}"/>
    <cellStyle name="40% - Accent3 2 2 7 3" xfId="10861" xr:uid="{CD9D5BBE-5970-41EE-BCE8-B41396A8BC7B}"/>
    <cellStyle name="40% - Accent3 2 2 8" xfId="4571" xr:uid="{00000000-0005-0000-0000-00002A050000}"/>
    <cellStyle name="40% - Accent3 2 2 8 2" xfId="13013" xr:uid="{8F391814-F52C-4FBB-8BFB-FBA0C6814DCF}"/>
    <cellStyle name="40% - Accent3 2 2 9" xfId="8795" xr:uid="{9F8463D0-273E-4130-A1C3-1EA3CB58C7B3}"/>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2 2 2" xfId="15574" xr:uid="{E9AB0390-34C3-44AB-9A71-549BFC1BFD1C}"/>
    <cellStyle name="40% - Accent3 2 3 2 2 3" xfId="11356" xr:uid="{2C14752B-EDE0-4E9F-BC24-89F17DDD895E}"/>
    <cellStyle name="40% - Accent3 2 3 2 3" xfId="4987" xr:uid="{00000000-0005-0000-0000-00002F050000}"/>
    <cellStyle name="40% - Accent3 2 3 2 3 2" xfId="13429" xr:uid="{855CA304-9B64-4C3F-BF82-BF2D410D9AF3}"/>
    <cellStyle name="40% - Accent3 2 3 2 4" xfId="9211" xr:uid="{A6998D8F-7382-4760-9119-64708C5C7DD0}"/>
    <cellStyle name="40% - Accent3 2 3 3" xfId="1091" xr:uid="{00000000-0005-0000-0000-000030050000}"/>
    <cellStyle name="40% - Accent3 2 3 3 2" xfId="3322" xr:uid="{00000000-0005-0000-0000-000031050000}"/>
    <cellStyle name="40% - Accent3 2 3 3 2 2" xfId="7545" xr:uid="{00000000-0005-0000-0000-000032050000}"/>
    <cellStyle name="40% - Accent3 2 3 3 2 2 2" xfId="15987" xr:uid="{CADC53B3-70E3-4CD6-A187-EFAFFD00CF18}"/>
    <cellStyle name="40% - Accent3 2 3 3 2 3" xfId="11769" xr:uid="{4FA06850-EFE0-4EE4-9272-006442616221}"/>
    <cellStyle name="40% - Accent3 2 3 3 3" xfId="5400" xr:uid="{00000000-0005-0000-0000-000033050000}"/>
    <cellStyle name="40% - Accent3 2 3 3 3 2" xfId="13842" xr:uid="{4E6F599D-1497-4C8D-BF69-8B66EE07BA7E}"/>
    <cellStyle name="40% - Accent3 2 3 3 4" xfId="9624" xr:uid="{4E57C8EF-5A24-4EC8-8BD1-2166066CD0EF}"/>
    <cellStyle name="40% - Accent3 2 3 4" xfId="1505" xr:uid="{00000000-0005-0000-0000-000034050000}"/>
    <cellStyle name="40% - Accent3 2 3 4 2" xfId="3735" xr:uid="{00000000-0005-0000-0000-000035050000}"/>
    <cellStyle name="40% - Accent3 2 3 4 2 2" xfId="7958" xr:uid="{00000000-0005-0000-0000-000036050000}"/>
    <cellStyle name="40% - Accent3 2 3 4 2 2 2" xfId="16400" xr:uid="{71202605-7CFE-4921-95DD-ADA8270DD83F}"/>
    <cellStyle name="40% - Accent3 2 3 4 2 3" xfId="12182" xr:uid="{61A14438-477D-43F0-A80B-74A127280908}"/>
    <cellStyle name="40% - Accent3 2 3 4 3" xfId="5813" xr:uid="{00000000-0005-0000-0000-000037050000}"/>
    <cellStyle name="40% - Accent3 2 3 4 3 2" xfId="14255" xr:uid="{39891605-37AE-4249-A031-D965F29524E2}"/>
    <cellStyle name="40% - Accent3 2 3 4 4" xfId="10037" xr:uid="{7304DA91-32BE-43A7-97CA-2B6B9A2D7DD4}"/>
    <cellStyle name="40% - Accent3 2 3 5" xfId="1919" xr:uid="{00000000-0005-0000-0000-000038050000}"/>
    <cellStyle name="40% - Accent3 2 3 5 2" xfId="4148" xr:uid="{00000000-0005-0000-0000-000039050000}"/>
    <cellStyle name="40% - Accent3 2 3 5 2 2" xfId="8371" xr:uid="{00000000-0005-0000-0000-00003A050000}"/>
    <cellStyle name="40% - Accent3 2 3 5 2 2 2" xfId="16813" xr:uid="{6DB9F4DD-A972-4C65-866C-D7F51837F87F}"/>
    <cellStyle name="40% - Accent3 2 3 5 2 3" xfId="12595" xr:uid="{17A80037-06C4-4B53-B13A-3525573A5307}"/>
    <cellStyle name="40% - Accent3 2 3 5 3" xfId="6226" xr:uid="{00000000-0005-0000-0000-00003B050000}"/>
    <cellStyle name="40% - Accent3 2 3 5 3 2" xfId="14668" xr:uid="{70D4806F-95D6-49B2-A935-3D5C7EB0F1E5}"/>
    <cellStyle name="40% - Accent3 2 3 5 4" xfId="10450" xr:uid="{505A1B23-1D07-4FB1-A903-A7EA0CD4EC54}"/>
    <cellStyle name="40% - Accent3 2 3 6" xfId="2332" xr:uid="{00000000-0005-0000-0000-00003C050000}"/>
    <cellStyle name="40% - Accent3 2 3 6 2" xfId="6639" xr:uid="{00000000-0005-0000-0000-00003D050000}"/>
    <cellStyle name="40% - Accent3 2 3 6 2 2" xfId="15081" xr:uid="{8E63A4DA-3F61-4D4D-B068-25D00B992C6E}"/>
    <cellStyle name="40% - Accent3 2 3 6 3" xfId="10863" xr:uid="{A24739D0-6827-44DB-AB20-38A8D6E86FBE}"/>
    <cellStyle name="40% - Accent3 2 3 7" xfId="4573" xr:uid="{00000000-0005-0000-0000-00003E050000}"/>
    <cellStyle name="40% - Accent3 2 3 7 2" xfId="13015" xr:uid="{50C9F7FA-6F89-49D7-BE1A-D3FD859B8645}"/>
    <cellStyle name="40% - Accent3 2 3 8" xfId="8797" xr:uid="{BCB853FD-3FF9-4C18-A759-FAD82E6193C1}"/>
    <cellStyle name="40% - Accent3 2 4" xfId="635" xr:uid="{00000000-0005-0000-0000-00003F050000}"/>
    <cellStyle name="40% - Accent3 2 4 2" xfId="2906" xr:uid="{00000000-0005-0000-0000-000040050000}"/>
    <cellStyle name="40% - Accent3 2 4 2 2" xfId="7129" xr:uid="{00000000-0005-0000-0000-000041050000}"/>
    <cellStyle name="40% - Accent3 2 4 2 2 2" xfId="15571" xr:uid="{20B276CB-6A65-454C-A1A4-F57C9F25D9EC}"/>
    <cellStyle name="40% - Accent3 2 4 2 3" xfId="11353" xr:uid="{2C1BA89C-0122-4A92-AED7-DD6F6EBAA8DA}"/>
    <cellStyle name="40% - Accent3 2 4 3" xfId="4984" xr:uid="{00000000-0005-0000-0000-000042050000}"/>
    <cellStyle name="40% - Accent3 2 4 3 2" xfId="13426" xr:uid="{8CA2C42E-452E-4F51-962C-44A0B911EE35}"/>
    <cellStyle name="40% - Accent3 2 4 4" xfId="9208" xr:uid="{9D85945B-1AB6-4D29-B2CC-702194A6F6B8}"/>
    <cellStyle name="40% - Accent3 2 5" xfId="1088" xr:uid="{00000000-0005-0000-0000-000043050000}"/>
    <cellStyle name="40% - Accent3 2 5 2" xfId="3319" xr:uid="{00000000-0005-0000-0000-000044050000}"/>
    <cellStyle name="40% - Accent3 2 5 2 2" xfId="7542" xr:uid="{00000000-0005-0000-0000-000045050000}"/>
    <cellStyle name="40% - Accent3 2 5 2 2 2" xfId="15984" xr:uid="{31A938B2-9367-45B9-B644-7BCE8E9DFCC1}"/>
    <cellStyle name="40% - Accent3 2 5 2 3" xfId="11766" xr:uid="{40528A63-33E2-408D-A880-6F4F3C71B52B}"/>
    <cellStyle name="40% - Accent3 2 5 3" xfId="5397" xr:uid="{00000000-0005-0000-0000-000046050000}"/>
    <cellStyle name="40% - Accent3 2 5 3 2" xfId="13839" xr:uid="{03804297-94FB-40BA-8BB6-8D4E20DCFEAE}"/>
    <cellStyle name="40% - Accent3 2 5 4" xfId="9621" xr:uid="{0ECCF9DE-D8F2-4F87-8FFE-F821C88ECA51}"/>
    <cellStyle name="40% - Accent3 2 6" xfId="1502" xr:uid="{00000000-0005-0000-0000-000047050000}"/>
    <cellStyle name="40% - Accent3 2 6 2" xfId="3732" xr:uid="{00000000-0005-0000-0000-000048050000}"/>
    <cellStyle name="40% - Accent3 2 6 2 2" xfId="7955" xr:uid="{00000000-0005-0000-0000-000049050000}"/>
    <cellStyle name="40% - Accent3 2 6 2 2 2" xfId="16397" xr:uid="{9253A099-36BD-497F-B01A-6599EE3FE906}"/>
    <cellStyle name="40% - Accent3 2 6 2 3" xfId="12179" xr:uid="{BF5DF11F-6DE4-40E5-B1CC-E031C0C17342}"/>
    <cellStyle name="40% - Accent3 2 6 3" xfId="5810" xr:uid="{00000000-0005-0000-0000-00004A050000}"/>
    <cellStyle name="40% - Accent3 2 6 3 2" xfId="14252" xr:uid="{8004CC3B-08E0-4CEB-A48C-939A5533025D}"/>
    <cellStyle name="40% - Accent3 2 6 4" xfId="10034" xr:uid="{6B7FCA95-B460-4F1A-B72D-0F2334F82156}"/>
    <cellStyle name="40% - Accent3 2 7" xfId="1916" xr:uid="{00000000-0005-0000-0000-00004B050000}"/>
    <cellStyle name="40% - Accent3 2 7 2" xfId="4145" xr:uid="{00000000-0005-0000-0000-00004C050000}"/>
    <cellStyle name="40% - Accent3 2 7 2 2" xfId="8368" xr:uid="{00000000-0005-0000-0000-00004D050000}"/>
    <cellStyle name="40% - Accent3 2 7 2 2 2" xfId="16810" xr:uid="{576CEBEA-BC5D-4E6C-B351-60ABD41B79E4}"/>
    <cellStyle name="40% - Accent3 2 7 2 3" xfId="12592" xr:uid="{C7CE4C89-0571-45EB-8A0A-5F470E77ED38}"/>
    <cellStyle name="40% - Accent3 2 7 3" xfId="6223" xr:uid="{00000000-0005-0000-0000-00004E050000}"/>
    <cellStyle name="40% - Accent3 2 7 3 2" xfId="14665" xr:uid="{5BC75039-058D-43A7-8182-6738A7058B9C}"/>
    <cellStyle name="40% - Accent3 2 7 4" xfId="10447" xr:uid="{BA4A7695-D71D-4474-9A31-917E0CFB7A50}"/>
    <cellStyle name="40% - Accent3 2 8" xfId="2329" xr:uid="{00000000-0005-0000-0000-00004F050000}"/>
    <cellStyle name="40% - Accent3 2 8 2" xfId="6636" xr:uid="{00000000-0005-0000-0000-000050050000}"/>
    <cellStyle name="40% - Accent3 2 8 2 2" xfId="15078" xr:uid="{B962AB51-EBCD-4C84-B7D0-E4EB2991757C}"/>
    <cellStyle name="40% - Accent3 2 8 3" xfId="10860" xr:uid="{33D727F5-86B0-4377-A157-A631CD432D75}"/>
    <cellStyle name="40% - Accent3 2 9" xfId="4570" xr:uid="{00000000-0005-0000-0000-000051050000}"/>
    <cellStyle name="40% - Accent3 2 9 2" xfId="13012" xr:uid="{0495C8C4-9C40-410E-95A2-3CA99DB014AD}"/>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2 2 2" xfId="15576" xr:uid="{B4F28F10-C5D8-42AB-9C0A-3D583343B8B4}"/>
    <cellStyle name="40% - Accent3 3 2 2 2 3" xfId="11358" xr:uid="{DDBA754F-EF4B-4F7A-8970-5EB3BB62D94B}"/>
    <cellStyle name="40% - Accent3 3 2 2 3" xfId="4989" xr:uid="{00000000-0005-0000-0000-000057050000}"/>
    <cellStyle name="40% - Accent3 3 2 2 3 2" xfId="13431" xr:uid="{15002C66-51DD-41C8-BDBB-B69D24DECE52}"/>
    <cellStyle name="40% - Accent3 3 2 2 4" xfId="9213" xr:uid="{507BDC17-C68E-4468-B39F-15B926BAD21D}"/>
    <cellStyle name="40% - Accent3 3 2 3" xfId="1093" xr:uid="{00000000-0005-0000-0000-000058050000}"/>
    <cellStyle name="40% - Accent3 3 2 3 2" xfId="3324" xr:uid="{00000000-0005-0000-0000-000059050000}"/>
    <cellStyle name="40% - Accent3 3 2 3 2 2" xfId="7547" xr:uid="{00000000-0005-0000-0000-00005A050000}"/>
    <cellStyle name="40% - Accent3 3 2 3 2 2 2" xfId="15989" xr:uid="{981582DE-F474-4B82-9491-DE15439937A1}"/>
    <cellStyle name="40% - Accent3 3 2 3 2 3" xfId="11771" xr:uid="{4A19C52F-64A2-457E-B235-9966F62BDE37}"/>
    <cellStyle name="40% - Accent3 3 2 3 3" xfId="5402" xr:uid="{00000000-0005-0000-0000-00005B050000}"/>
    <cellStyle name="40% - Accent3 3 2 3 3 2" xfId="13844" xr:uid="{0F2330CE-415F-4121-A043-2ABC0683D6DB}"/>
    <cellStyle name="40% - Accent3 3 2 3 4" xfId="9626" xr:uid="{DC8A6F1B-0A9C-44B6-B130-FBF2E4CD162B}"/>
    <cellStyle name="40% - Accent3 3 2 4" xfId="1507" xr:uid="{00000000-0005-0000-0000-00005C050000}"/>
    <cellStyle name="40% - Accent3 3 2 4 2" xfId="3737" xr:uid="{00000000-0005-0000-0000-00005D050000}"/>
    <cellStyle name="40% - Accent3 3 2 4 2 2" xfId="7960" xr:uid="{00000000-0005-0000-0000-00005E050000}"/>
    <cellStyle name="40% - Accent3 3 2 4 2 2 2" xfId="16402" xr:uid="{9DDF6739-6CA2-4BC1-A97F-289ADF8159F7}"/>
    <cellStyle name="40% - Accent3 3 2 4 2 3" xfId="12184" xr:uid="{DDC9978C-E0FE-418E-AF5B-87657D69F9A4}"/>
    <cellStyle name="40% - Accent3 3 2 4 3" xfId="5815" xr:uid="{00000000-0005-0000-0000-00005F050000}"/>
    <cellStyle name="40% - Accent3 3 2 4 3 2" xfId="14257" xr:uid="{AE9A3154-22A0-4560-ABAA-8E4E953E305A}"/>
    <cellStyle name="40% - Accent3 3 2 4 4" xfId="10039" xr:uid="{C955E128-5B36-4B30-9AD9-7B185E04266E}"/>
    <cellStyle name="40% - Accent3 3 2 5" xfId="1921" xr:uid="{00000000-0005-0000-0000-000060050000}"/>
    <cellStyle name="40% - Accent3 3 2 5 2" xfId="4150" xr:uid="{00000000-0005-0000-0000-000061050000}"/>
    <cellStyle name="40% - Accent3 3 2 5 2 2" xfId="8373" xr:uid="{00000000-0005-0000-0000-000062050000}"/>
    <cellStyle name="40% - Accent3 3 2 5 2 2 2" xfId="16815" xr:uid="{3225F3C4-4F55-4F1A-8BC5-6227FF24EB1E}"/>
    <cellStyle name="40% - Accent3 3 2 5 2 3" xfId="12597" xr:uid="{F9C1F034-1529-40CC-B0C5-0E7B4E721C66}"/>
    <cellStyle name="40% - Accent3 3 2 5 3" xfId="6228" xr:uid="{00000000-0005-0000-0000-000063050000}"/>
    <cellStyle name="40% - Accent3 3 2 5 3 2" xfId="14670" xr:uid="{9C2703FE-B56F-497D-9F52-0A01FD7D2148}"/>
    <cellStyle name="40% - Accent3 3 2 5 4" xfId="10452" xr:uid="{BEDDB894-8F69-4579-9DF0-261C598F31DA}"/>
    <cellStyle name="40% - Accent3 3 2 6" xfId="2334" xr:uid="{00000000-0005-0000-0000-000064050000}"/>
    <cellStyle name="40% - Accent3 3 2 6 2" xfId="6641" xr:uid="{00000000-0005-0000-0000-000065050000}"/>
    <cellStyle name="40% - Accent3 3 2 6 2 2" xfId="15083" xr:uid="{ED1D5C1C-36C2-4D8B-95F3-7E9341127595}"/>
    <cellStyle name="40% - Accent3 3 2 6 3" xfId="10865" xr:uid="{F78B1A79-852A-40FB-91FC-B6A4AE0B945D}"/>
    <cellStyle name="40% - Accent3 3 2 7" xfId="4575" xr:uid="{00000000-0005-0000-0000-000066050000}"/>
    <cellStyle name="40% - Accent3 3 2 7 2" xfId="13017" xr:uid="{B84235FD-9052-42F2-B8D6-B23EEDAB3DFF}"/>
    <cellStyle name="40% - Accent3 3 2 8" xfId="8799" xr:uid="{1F5E0E10-FAA9-4003-A7A7-C521AA26CBBD}"/>
    <cellStyle name="40% - Accent3 3 3" xfId="639" xr:uid="{00000000-0005-0000-0000-000067050000}"/>
    <cellStyle name="40% - Accent3 3 3 2" xfId="2910" xr:uid="{00000000-0005-0000-0000-000068050000}"/>
    <cellStyle name="40% - Accent3 3 3 2 2" xfId="7133" xr:uid="{00000000-0005-0000-0000-000069050000}"/>
    <cellStyle name="40% - Accent3 3 3 2 2 2" xfId="15575" xr:uid="{841F47DC-AAD4-4B70-8143-C6F7C01F2DDB}"/>
    <cellStyle name="40% - Accent3 3 3 2 3" xfId="11357" xr:uid="{A210A45F-5F5A-4548-B271-D66D35B3AD2E}"/>
    <cellStyle name="40% - Accent3 3 3 3" xfId="4988" xr:uid="{00000000-0005-0000-0000-00006A050000}"/>
    <cellStyle name="40% - Accent3 3 3 3 2" xfId="13430" xr:uid="{E4499847-CC9A-4F3C-B0F4-6FD0ABD0159B}"/>
    <cellStyle name="40% - Accent3 3 3 4" xfId="9212" xr:uid="{79B46D55-FD5F-4892-B3FB-DF8B7500E341}"/>
    <cellStyle name="40% - Accent3 3 4" xfId="1092" xr:uid="{00000000-0005-0000-0000-00006B050000}"/>
    <cellStyle name="40% - Accent3 3 4 2" xfId="3323" xr:uid="{00000000-0005-0000-0000-00006C050000}"/>
    <cellStyle name="40% - Accent3 3 4 2 2" xfId="7546" xr:uid="{00000000-0005-0000-0000-00006D050000}"/>
    <cellStyle name="40% - Accent3 3 4 2 2 2" xfId="15988" xr:uid="{FFC281B3-8B0A-4429-A7FA-1313E1F246C9}"/>
    <cellStyle name="40% - Accent3 3 4 2 3" xfId="11770" xr:uid="{F82EC2AD-8E32-4424-ADDF-A6EA5D36BC05}"/>
    <cellStyle name="40% - Accent3 3 4 3" xfId="5401" xr:uid="{00000000-0005-0000-0000-00006E050000}"/>
    <cellStyle name="40% - Accent3 3 4 3 2" xfId="13843" xr:uid="{4BEF3672-C88A-4392-9711-FE164C21524E}"/>
    <cellStyle name="40% - Accent3 3 4 4" xfId="9625" xr:uid="{8978F4E4-E7FA-4802-ACE1-792C4E6EED43}"/>
    <cellStyle name="40% - Accent3 3 5" xfId="1506" xr:uid="{00000000-0005-0000-0000-00006F050000}"/>
    <cellStyle name="40% - Accent3 3 5 2" xfId="3736" xr:uid="{00000000-0005-0000-0000-000070050000}"/>
    <cellStyle name="40% - Accent3 3 5 2 2" xfId="7959" xr:uid="{00000000-0005-0000-0000-000071050000}"/>
    <cellStyle name="40% - Accent3 3 5 2 2 2" xfId="16401" xr:uid="{BC2A29D9-F6BE-47BA-926C-80B4013BDC7C}"/>
    <cellStyle name="40% - Accent3 3 5 2 3" xfId="12183" xr:uid="{DE69BA1A-E6F1-42B8-9A0C-181E50AF8419}"/>
    <cellStyle name="40% - Accent3 3 5 3" xfId="5814" xr:uid="{00000000-0005-0000-0000-000072050000}"/>
    <cellStyle name="40% - Accent3 3 5 3 2" xfId="14256" xr:uid="{49FDCAE0-ACD7-49C2-9ECF-C8D527C9F0D9}"/>
    <cellStyle name="40% - Accent3 3 5 4" xfId="10038" xr:uid="{C77507BB-8CB8-47BE-B247-9FB43D4CED2C}"/>
    <cellStyle name="40% - Accent3 3 6" xfId="1920" xr:uid="{00000000-0005-0000-0000-000073050000}"/>
    <cellStyle name="40% - Accent3 3 6 2" xfId="4149" xr:uid="{00000000-0005-0000-0000-000074050000}"/>
    <cellStyle name="40% - Accent3 3 6 2 2" xfId="8372" xr:uid="{00000000-0005-0000-0000-000075050000}"/>
    <cellStyle name="40% - Accent3 3 6 2 2 2" xfId="16814" xr:uid="{2C150159-4C21-4C6A-AF8E-F6C37CFD6A3C}"/>
    <cellStyle name="40% - Accent3 3 6 2 3" xfId="12596" xr:uid="{7B35AED0-DDA5-4D7E-AE0F-36306373F425}"/>
    <cellStyle name="40% - Accent3 3 6 3" xfId="6227" xr:uid="{00000000-0005-0000-0000-000076050000}"/>
    <cellStyle name="40% - Accent3 3 6 3 2" xfId="14669" xr:uid="{F27BE200-53F1-4C76-85A7-333802EECE14}"/>
    <cellStyle name="40% - Accent3 3 6 4" xfId="10451" xr:uid="{3B0BCAF9-2209-4DA2-A353-AF0D82EE52CF}"/>
    <cellStyle name="40% - Accent3 3 7" xfId="2333" xr:uid="{00000000-0005-0000-0000-000077050000}"/>
    <cellStyle name="40% - Accent3 3 7 2" xfId="6640" xr:uid="{00000000-0005-0000-0000-000078050000}"/>
    <cellStyle name="40% - Accent3 3 7 2 2" xfId="15082" xr:uid="{B54AF20A-49E0-4BE7-9A47-025A00334C5D}"/>
    <cellStyle name="40% - Accent3 3 7 3" xfId="10864" xr:uid="{1BFD03B4-F839-47C3-B301-6805E45F4B00}"/>
    <cellStyle name="40% - Accent3 3 8" xfId="4574" xr:uid="{00000000-0005-0000-0000-000079050000}"/>
    <cellStyle name="40% - Accent3 3 8 2" xfId="13016" xr:uid="{11E0C263-BE7E-4759-AA1F-8794C416C1F1}"/>
    <cellStyle name="40% - Accent3 3 9" xfId="8798" xr:uid="{687DD3E0-09C6-4610-8B84-31202057253F}"/>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2 2 2" xfId="15577" xr:uid="{F933F18F-A05F-4AD2-8D42-E9013276F175}"/>
    <cellStyle name="40% - Accent3 4 2 2 3" xfId="11359" xr:uid="{B49065EF-8412-499A-8934-5ECCB81F9058}"/>
    <cellStyle name="40% - Accent3 4 2 3" xfId="4990" xr:uid="{00000000-0005-0000-0000-00007E050000}"/>
    <cellStyle name="40% - Accent3 4 2 3 2" xfId="13432" xr:uid="{54544750-6623-4032-AD4B-465656337943}"/>
    <cellStyle name="40% - Accent3 4 2 4" xfId="9214" xr:uid="{61D59EDD-BE34-4B1A-BF70-45EC41C5533F}"/>
    <cellStyle name="40% - Accent3 4 3" xfId="1094" xr:uid="{00000000-0005-0000-0000-00007F050000}"/>
    <cellStyle name="40% - Accent3 4 3 2" xfId="3325" xr:uid="{00000000-0005-0000-0000-000080050000}"/>
    <cellStyle name="40% - Accent3 4 3 2 2" xfId="7548" xr:uid="{00000000-0005-0000-0000-000081050000}"/>
    <cellStyle name="40% - Accent3 4 3 2 2 2" xfId="15990" xr:uid="{7041641B-AACD-4A90-A878-DF67D35BCE61}"/>
    <cellStyle name="40% - Accent3 4 3 2 3" xfId="11772" xr:uid="{EADBD168-4904-464B-A7AE-92C123A6B712}"/>
    <cellStyle name="40% - Accent3 4 3 3" xfId="5403" xr:uid="{00000000-0005-0000-0000-000082050000}"/>
    <cellStyle name="40% - Accent3 4 3 3 2" xfId="13845" xr:uid="{415DA5E6-DC9E-43A4-ABFD-A9DF1191D8C9}"/>
    <cellStyle name="40% - Accent3 4 3 4" xfId="9627" xr:uid="{0494D5F3-79AF-47B1-A7F4-A0C197064319}"/>
    <cellStyle name="40% - Accent3 4 4" xfId="1508" xr:uid="{00000000-0005-0000-0000-000083050000}"/>
    <cellStyle name="40% - Accent3 4 4 2" xfId="3738" xr:uid="{00000000-0005-0000-0000-000084050000}"/>
    <cellStyle name="40% - Accent3 4 4 2 2" xfId="7961" xr:uid="{00000000-0005-0000-0000-000085050000}"/>
    <cellStyle name="40% - Accent3 4 4 2 2 2" xfId="16403" xr:uid="{DAE08FC7-78D2-444D-A047-652AD46058C2}"/>
    <cellStyle name="40% - Accent3 4 4 2 3" xfId="12185" xr:uid="{D9974E86-9428-4120-A55C-AF83C43D9A69}"/>
    <cellStyle name="40% - Accent3 4 4 3" xfId="5816" xr:uid="{00000000-0005-0000-0000-000086050000}"/>
    <cellStyle name="40% - Accent3 4 4 3 2" xfId="14258" xr:uid="{965DB0E1-0CCC-492E-B2EB-A634B59C773E}"/>
    <cellStyle name="40% - Accent3 4 4 4" xfId="10040" xr:uid="{5F160717-F2D8-4C2B-8942-CD6F8FE6B423}"/>
    <cellStyle name="40% - Accent3 4 5" xfId="1922" xr:uid="{00000000-0005-0000-0000-000087050000}"/>
    <cellStyle name="40% - Accent3 4 5 2" xfId="4151" xr:uid="{00000000-0005-0000-0000-000088050000}"/>
    <cellStyle name="40% - Accent3 4 5 2 2" xfId="8374" xr:uid="{00000000-0005-0000-0000-000089050000}"/>
    <cellStyle name="40% - Accent3 4 5 2 2 2" xfId="16816" xr:uid="{A6925019-E4A6-489E-9DD7-393D0D23854E}"/>
    <cellStyle name="40% - Accent3 4 5 2 3" xfId="12598" xr:uid="{CD256EF4-11FE-4B16-9DD0-36DFDF74D40B}"/>
    <cellStyle name="40% - Accent3 4 5 3" xfId="6229" xr:uid="{00000000-0005-0000-0000-00008A050000}"/>
    <cellStyle name="40% - Accent3 4 5 3 2" xfId="14671" xr:uid="{7C17607E-D413-44BA-9A5B-4A9C9DEB4C71}"/>
    <cellStyle name="40% - Accent3 4 5 4" xfId="10453" xr:uid="{451AD75D-B8D8-4315-BE49-546850840180}"/>
    <cellStyle name="40% - Accent3 4 6" xfId="2335" xr:uid="{00000000-0005-0000-0000-00008B050000}"/>
    <cellStyle name="40% - Accent3 4 6 2" xfId="6642" xr:uid="{00000000-0005-0000-0000-00008C050000}"/>
    <cellStyle name="40% - Accent3 4 6 2 2" xfId="15084" xr:uid="{86A3F3CB-F46E-4543-AD43-3602E364AD1D}"/>
    <cellStyle name="40% - Accent3 4 6 3" xfId="10866" xr:uid="{F49DEE7A-A51A-484B-8A63-3E8D0640769E}"/>
    <cellStyle name="40% - Accent3 4 7" xfId="4576" xr:uid="{00000000-0005-0000-0000-00008D050000}"/>
    <cellStyle name="40% - Accent3 4 7 2" xfId="13018" xr:uid="{E09FEC62-D663-49CF-B95D-A78A3CFFF97D}"/>
    <cellStyle name="40% - Accent3 4 8" xfId="8800" xr:uid="{8F178223-7B79-47D1-9475-2718E8637B3A}"/>
    <cellStyle name="40% - Accent3 5" xfId="634" xr:uid="{00000000-0005-0000-0000-00008E050000}"/>
    <cellStyle name="40% - Accent3 5 2" xfId="2905" xr:uid="{00000000-0005-0000-0000-00008F050000}"/>
    <cellStyle name="40% - Accent3 5 2 2" xfId="7128" xr:uid="{00000000-0005-0000-0000-000090050000}"/>
    <cellStyle name="40% - Accent3 5 2 2 2" xfId="15570" xr:uid="{03FF3114-3842-4297-992F-64719016F77E}"/>
    <cellStyle name="40% - Accent3 5 2 3" xfId="11352" xr:uid="{F6FAF395-0883-4C99-B395-5A27DD745AFB}"/>
    <cellStyle name="40% - Accent3 5 3" xfId="4983" xr:uid="{00000000-0005-0000-0000-000091050000}"/>
    <cellStyle name="40% - Accent3 5 3 2" xfId="13425" xr:uid="{C4038F58-2136-416B-AEC9-AF32987A6F10}"/>
    <cellStyle name="40% - Accent3 5 4" xfId="9207" xr:uid="{143F2D56-43D6-4189-899F-AA8382F15581}"/>
    <cellStyle name="40% - Accent3 6" xfId="1087" xr:uid="{00000000-0005-0000-0000-000092050000}"/>
    <cellStyle name="40% - Accent3 6 2" xfId="3318" xr:uid="{00000000-0005-0000-0000-000093050000}"/>
    <cellStyle name="40% - Accent3 6 2 2" xfId="7541" xr:uid="{00000000-0005-0000-0000-000094050000}"/>
    <cellStyle name="40% - Accent3 6 2 2 2" xfId="15983" xr:uid="{8BB9EE8F-2A8B-4DD4-888A-9531D7B26B15}"/>
    <cellStyle name="40% - Accent3 6 2 3" xfId="11765" xr:uid="{E514765C-281C-4229-A4D2-F7AB5335F851}"/>
    <cellStyle name="40% - Accent3 6 3" xfId="5396" xr:uid="{00000000-0005-0000-0000-000095050000}"/>
    <cellStyle name="40% - Accent3 6 3 2" xfId="13838" xr:uid="{FD1BB38C-614D-4552-B1B8-285577A077F0}"/>
    <cellStyle name="40% - Accent3 6 4" xfId="9620" xr:uid="{C7060676-71CE-45F4-9F5A-CBAC9ED4160F}"/>
    <cellStyle name="40% - Accent3 7" xfId="1501" xr:uid="{00000000-0005-0000-0000-000096050000}"/>
    <cellStyle name="40% - Accent3 7 2" xfId="3731" xr:uid="{00000000-0005-0000-0000-000097050000}"/>
    <cellStyle name="40% - Accent3 7 2 2" xfId="7954" xr:uid="{00000000-0005-0000-0000-000098050000}"/>
    <cellStyle name="40% - Accent3 7 2 2 2" xfId="16396" xr:uid="{77B07AE5-9EC0-4423-9DC5-43556EDC302C}"/>
    <cellStyle name="40% - Accent3 7 2 3" xfId="12178" xr:uid="{3E659197-7DFF-4C2E-B814-9426DA055CB0}"/>
    <cellStyle name="40% - Accent3 7 3" xfId="5809" xr:uid="{00000000-0005-0000-0000-000099050000}"/>
    <cellStyle name="40% - Accent3 7 3 2" xfId="14251" xr:uid="{F3173569-27E0-470D-AB58-A1A658235A2D}"/>
    <cellStyle name="40% - Accent3 7 4" xfId="10033" xr:uid="{A3124764-53B3-4FCE-AEB3-949D6A44F72C}"/>
    <cellStyle name="40% - Accent3 8" xfId="1915" xr:uid="{00000000-0005-0000-0000-00009A050000}"/>
    <cellStyle name="40% - Accent3 8 2" xfId="4144" xr:uid="{00000000-0005-0000-0000-00009B050000}"/>
    <cellStyle name="40% - Accent3 8 2 2" xfId="8367" xr:uid="{00000000-0005-0000-0000-00009C050000}"/>
    <cellStyle name="40% - Accent3 8 2 2 2" xfId="16809" xr:uid="{8C07F1A4-ED54-4318-A6E6-76626A1A5357}"/>
    <cellStyle name="40% - Accent3 8 2 3" xfId="12591" xr:uid="{A45A93A4-87AB-41CD-B9D6-DAD655E7E28D}"/>
    <cellStyle name="40% - Accent3 8 3" xfId="6222" xr:uid="{00000000-0005-0000-0000-00009D050000}"/>
    <cellStyle name="40% - Accent3 8 3 2" xfId="14664" xr:uid="{92945EBF-A725-4D71-91BE-B5F4F5542FA6}"/>
    <cellStyle name="40% - Accent3 8 4" xfId="10446" xr:uid="{441BFACF-5721-4FC4-9C52-D6FAE9B8282C}"/>
    <cellStyle name="40% - Accent3 9" xfId="2328" xr:uid="{00000000-0005-0000-0000-00009E050000}"/>
    <cellStyle name="40% - Accent3 9 2" xfId="6635" xr:uid="{00000000-0005-0000-0000-00009F050000}"/>
    <cellStyle name="40% - Accent3 9 2 2" xfId="15077" xr:uid="{5CE0B40A-E9C9-413B-92B0-889B3183B2B9}"/>
    <cellStyle name="40% - Accent3 9 3" xfId="10859" xr:uid="{BAB70EDA-8C41-4D27-B470-01FC77E6BB70}"/>
    <cellStyle name="40% - Accent4" xfId="73" builtinId="43" customBuiltin="1"/>
    <cellStyle name="40% - Accent4 10" xfId="4577" xr:uid="{00000000-0005-0000-0000-0000A1050000}"/>
    <cellStyle name="40% - Accent4 10 2" xfId="13019" xr:uid="{86C820C2-4CC7-486B-A78A-18D0E218C1B6}"/>
    <cellStyle name="40% - Accent4 11" xfId="8801" xr:uid="{C5DC07A0-87D0-45D3-9247-CA0773020CAF}"/>
    <cellStyle name="40% - Accent4 2" xfId="74" xr:uid="{00000000-0005-0000-0000-0000A2050000}"/>
    <cellStyle name="40% - Accent4 2 10" xfId="8802" xr:uid="{80D885C7-73EF-4C00-966B-0E3F24804C61}"/>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2 2 2" xfId="15581" xr:uid="{3F9FE8FF-A931-4BA8-A2FA-3A849175B0D4}"/>
    <cellStyle name="40% - Accent4 2 2 2 2 2 3" xfId="11363" xr:uid="{3EE58C38-B4C9-4494-A9B1-DD0CCEBF5F0A}"/>
    <cellStyle name="40% - Accent4 2 2 2 2 3" xfId="4994" xr:uid="{00000000-0005-0000-0000-0000A8050000}"/>
    <cellStyle name="40% - Accent4 2 2 2 2 3 2" xfId="13436" xr:uid="{0EB5E3F2-CAEF-4F80-BEF4-3FFFE0449A33}"/>
    <cellStyle name="40% - Accent4 2 2 2 2 4" xfId="9218" xr:uid="{523F2177-2CA0-4DBB-9BEF-5AA4F12BE8C6}"/>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2 2 2" xfId="15994" xr:uid="{E0794F22-640E-4606-A713-8E954676A228}"/>
    <cellStyle name="40% - Accent4 2 2 2 3 2 3" xfId="11776" xr:uid="{B71CC38A-2972-45DF-A312-E451FE212A88}"/>
    <cellStyle name="40% - Accent4 2 2 2 3 3" xfId="5407" xr:uid="{00000000-0005-0000-0000-0000AC050000}"/>
    <cellStyle name="40% - Accent4 2 2 2 3 3 2" xfId="13849" xr:uid="{F7B047E0-EA62-4644-86D2-B5E0944AE06C}"/>
    <cellStyle name="40% - Accent4 2 2 2 3 4" xfId="9631" xr:uid="{2988B0A9-CC5F-42F7-9DE8-18B89E7B917A}"/>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2 2 2" xfId="16407" xr:uid="{0CBA7461-6F13-48F1-96AC-E0068E286A38}"/>
    <cellStyle name="40% - Accent4 2 2 2 4 2 3" xfId="12189" xr:uid="{61F1B3DF-6941-4800-BB29-49E31F36F446}"/>
    <cellStyle name="40% - Accent4 2 2 2 4 3" xfId="5820" xr:uid="{00000000-0005-0000-0000-0000B0050000}"/>
    <cellStyle name="40% - Accent4 2 2 2 4 3 2" xfId="14262" xr:uid="{A7A4779D-5778-4DB5-9BD2-57AE4E11E0BD}"/>
    <cellStyle name="40% - Accent4 2 2 2 4 4" xfId="10044" xr:uid="{11E51C4D-67CF-4B94-AD32-7A970FC85DF8}"/>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2 2 2" xfId="16820" xr:uid="{0BF2D11D-D49B-480A-83B3-86CD618BE25C}"/>
    <cellStyle name="40% - Accent4 2 2 2 5 2 3" xfId="12602" xr:uid="{29696AEE-F509-47A5-ACC2-6F20184D5792}"/>
    <cellStyle name="40% - Accent4 2 2 2 5 3" xfId="6233" xr:uid="{00000000-0005-0000-0000-0000B4050000}"/>
    <cellStyle name="40% - Accent4 2 2 2 5 3 2" xfId="14675" xr:uid="{939DCF20-3EEB-4B34-99F6-BD5F7A7F7B80}"/>
    <cellStyle name="40% - Accent4 2 2 2 5 4" xfId="10457" xr:uid="{24EF8FF9-18C8-45C4-A657-E09B2FF3919E}"/>
    <cellStyle name="40% - Accent4 2 2 2 6" xfId="2339" xr:uid="{00000000-0005-0000-0000-0000B5050000}"/>
    <cellStyle name="40% - Accent4 2 2 2 6 2" xfId="6646" xr:uid="{00000000-0005-0000-0000-0000B6050000}"/>
    <cellStyle name="40% - Accent4 2 2 2 6 2 2" xfId="15088" xr:uid="{3B9124BF-9E0C-484B-884A-658E760E3644}"/>
    <cellStyle name="40% - Accent4 2 2 2 6 3" xfId="10870" xr:uid="{27A831A5-8A6C-47EE-ACAB-F7EE8C5CD790}"/>
    <cellStyle name="40% - Accent4 2 2 2 7" xfId="4580" xr:uid="{00000000-0005-0000-0000-0000B7050000}"/>
    <cellStyle name="40% - Accent4 2 2 2 7 2" xfId="13022" xr:uid="{7C4232C8-847C-4367-AFF6-F2077A1C64C5}"/>
    <cellStyle name="40% - Accent4 2 2 2 8" xfId="8804" xr:uid="{4396A85F-48F4-4675-AB40-B9101251B98D}"/>
    <cellStyle name="40% - Accent4 2 2 3" xfId="644" xr:uid="{00000000-0005-0000-0000-0000B8050000}"/>
    <cellStyle name="40% - Accent4 2 2 3 2" xfId="2915" xr:uid="{00000000-0005-0000-0000-0000B9050000}"/>
    <cellStyle name="40% - Accent4 2 2 3 2 2" xfId="7138" xr:uid="{00000000-0005-0000-0000-0000BA050000}"/>
    <cellStyle name="40% - Accent4 2 2 3 2 2 2" xfId="15580" xr:uid="{CF932C3E-4AB2-43F5-A38E-2C183AEFF5F6}"/>
    <cellStyle name="40% - Accent4 2 2 3 2 3" xfId="11362" xr:uid="{881FB184-2320-44E7-8407-C007DCD3FD87}"/>
    <cellStyle name="40% - Accent4 2 2 3 3" xfId="4993" xr:uid="{00000000-0005-0000-0000-0000BB050000}"/>
    <cellStyle name="40% - Accent4 2 2 3 3 2" xfId="13435" xr:uid="{8B526085-CC9D-4215-84F4-AECF60F18F71}"/>
    <cellStyle name="40% - Accent4 2 2 3 4" xfId="9217" xr:uid="{808AF6DE-D1A7-49BC-A54A-8049B1C934FB}"/>
    <cellStyle name="40% - Accent4 2 2 4" xfId="1097" xr:uid="{00000000-0005-0000-0000-0000BC050000}"/>
    <cellStyle name="40% - Accent4 2 2 4 2" xfId="3328" xr:uid="{00000000-0005-0000-0000-0000BD050000}"/>
    <cellStyle name="40% - Accent4 2 2 4 2 2" xfId="7551" xr:uid="{00000000-0005-0000-0000-0000BE050000}"/>
    <cellStyle name="40% - Accent4 2 2 4 2 2 2" xfId="15993" xr:uid="{66437B89-F795-4E4C-B85F-27CBAD98B76D}"/>
    <cellStyle name="40% - Accent4 2 2 4 2 3" xfId="11775" xr:uid="{5E12B61F-6F51-49E5-A78D-C62CC0578730}"/>
    <cellStyle name="40% - Accent4 2 2 4 3" xfId="5406" xr:uid="{00000000-0005-0000-0000-0000BF050000}"/>
    <cellStyle name="40% - Accent4 2 2 4 3 2" xfId="13848" xr:uid="{A1360609-0976-4718-8D2C-A90FDC16EC9E}"/>
    <cellStyle name="40% - Accent4 2 2 4 4" xfId="9630" xr:uid="{90470850-C783-4512-91A8-47D3052397FF}"/>
    <cellStyle name="40% - Accent4 2 2 5" xfId="1511" xr:uid="{00000000-0005-0000-0000-0000C0050000}"/>
    <cellStyle name="40% - Accent4 2 2 5 2" xfId="3741" xr:uid="{00000000-0005-0000-0000-0000C1050000}"/>
    <cellStyle name="40% - Accent4 2 2 5 2 2" xfId="7964" xr:uid="{00000000-0005-0000-0000-0000C2050000}"/>
    <cellStyle name="40% - Accent4 2 2 5 2 2 2" xfId="16406" xr:uid="{A2314B74-CE7F-486B-9644-9CB2EE055E26}"/>
    <cellStyle name="40% - Accent4 2 2 5 2 3" xfId="12188" xr:uid="{EEC4D807-5558-4810-8030-3B8196916110}"/>
    <cellStyle name="40% - Accent4 2 2 5 3" xfId="5819" xr:uid="{00000000-0005-0000-0000-0000C3050000}"/>
    <cellStyle name="40% - Accent4 2 2 5 3 2" xfId="14261" xr:uid="{DCD2784A-1434-42A4-B981-07008193BC8B}"/>
    <cellStyle name="40% - Accent4 2 2 5 4" xfId="10043" xr:uid="{A290FF65-1BF0-4E26-B31F-3A62ADF2F453}"/>
    <cellStyle name="40% - Accent4 2 2 6" xfId="1925" xr:uid="{00000000-0005-0000-0000-0000C4050000}"/>
    <cellStyle name="40% - Accent4 2 2 6 2" xfId="4154" xr:uid="{00000000-0005-0000-0000-0000C5050000}"/>
    <cellStyle name="40% - Accent4 2 2 6 2 2" xfId="8377" xr:uid="{00000000-0005-0000-0000-0000C6050000}"/>
    <cellStyle name="40% - Accent4 2 2 6 2 2 2" xfId="16819" xr:uid="{EDE660E5-F7DA-4A36-8251-E31979C5A1CB}"/>
    <cellStyle name="40% - Accent4 2 2 6 2 3" xfId="12601" xr:uid="{DA856A2C-0D38-4EAB-BADC-AC579F204CB7}"/>
    <cellStyle name="40% - Accent4 2 2 6 3" xfId="6232" xr:uid="{00000000-0005-0000-0000-0000C7050000}"/>
    <cellStyle name="40% - Accent4 2 2 6 3 2" xfId="14674" xr:uid="{55694155-5444-40CF-9BD2-9AB4C420BB30}"/>
    <cellStyle name="40% - Accent4 2 2 6 4" xfId="10456" xr:uid="{9F07FDAD-0D4B-48F0-A194-6653E2AF86DF}"/>
    <cellStyle name="40% - Accent4 2 2 7" xfId="2338" xr:uid="{00000000-0005-0000-0000-0000C8050000}"/>
    <cellStyle name="40% - Accent4 2 2 7 2" xfId="6645" xr:uid="{00000000-0005-0000-0000-0000C9050000}"/>
    <cellStyle name="40% - Accent4 2 2 7 2 2" xfId="15087" xr:uid="{A863AF66-8D7C-451E-9CA4-24EF4ECF635B}"/>
    <cellStyle name="40% - Accent4 2 2 7 3" xfId="10869" xr:uid="{6C9EC70C-D3E4-4402-A782-B9D2F5F553CE}"/>
    <cellStyle name="40% - Accent4 2 2 8" xfId="4579" xr:uid="{00000000-0005-0000-0000-0000CA050000}"/>
    <cellStyle name="40% - Accent4 2 2 8 2" xfId="13021" xr:uid="{31778899-FD58-4EDF-8CAD-78506D079475}"/>
    <cellStyle name="40% - Accent4 2 2 9" xfId="8803" xr:uid="{4C999014-171C-4124-B5E2-959BBDA5B86F}"/>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2 2 2" xfId="15582" xr:uid="{AF5DE0AA-33F8-4B33-94A0-49AC3FA01AB0}"/>
    <cellStyle name="40% - Accent4 2 3 2 2 3" xfId="11364" xr:uid="{6CA9AB65-D3EA-4811-ABD2-5B161ACFC2B1}"/>
    <cellStyle name="40% - Accent4 2 3 2 3" xfId="4995" xr:uid="{00000000-0005-0000-0000-0000CF050000}"/>
    <cellStyle name="40% - Accent4 2 3 2 3 2" xfId="13437" xr:uid="{D0FEFA2A-D7A1-4A5C-A1C0-DE1E5A125B84}"/>
    <cellStyle name="40% - Accent4 2 3 2 4" xfId="9219" xr:uid="{E7D3A4CD-E58E-45D4-98F0-80D6F3603749}"/>
    <cellStyle name="40% - Accent4 2 3 3" xfId="1099" xr:uid="{00000000-0005-0000-0000-0000D0050000}"/>
    <cellStyle name="40% - Accent4 2 3 3 2" xfId="3330" xr:uid="{00000000-0005-0000-0000-0000D1050000}"/>
    <cellStyle name="40% - Accent4 2 3 3 2 2" xfId="7553" xr:uid="{00000000-0005-0000-0000-0000D2050000}"/>
    <cellStyle name="40% - Accent4 2 3 3 2 2 2" xfId="15995" xr:uid="{5A7D1EBC-63B3-49BC-8852-19E1108DD760}"/>
    <cellStyle name="40% - Accent4 2 3 3 2 3" xfId="11777" xr:uid="{30D10843-ABD6-4AAE-97C9-5B9D515A95D9}"/>
    <cellStyle name="40% - Accent4 2 3 3 3" xfId="5408" xr:uid="{00000000-0005-0000-0000-0000D3050000}"/>
    <cellStyle name="40% - Accent4 2 3 3 3 2" xfId="13850" xr:uid="{77FFBF7B-7037-4EBA-BDA8-ED1AB7185FD0}"/>
    <cellStyle name="40% - Accent4 2 3 3 4" xfId="9632" xr:uid="{E0C20D0D-4F56-40E1-AE44-91EB8F377E19}"/>
    <cellStyle name="40% - Accent4 2 3 4" xfId="1513" xr:uid="{00000000-0005-0000-0000-0000D4050000}"/>
    <cellStyle name="40% - Accent4 2 3 4 2" xfId="3743" xr:uid="{00000000-0005-0000-0000-0000D5050000}"/>
    <cellStyle name="40% - Accent4 2 3 4 2 2" xfId="7966" xr:uid="{00000000-0005-0000-0000-0000D6050000}"/>
    <cellStyle name="40% - Accent4 2 3 4 2 2 2" xfId="16408" xr:uid="{80D4CF28-EB06-46F2-9307-BA444FBEFBC6}"/>
    <cellStyle name="40% - Accent4 2 3 4 2 3" xfId="12190" xr:uid="{717EF65D-4FBE-431D-8772-014D76B92E27}"/>
    <cellStyle name="40% - Accent4 2 3 4 3" xfId="5821" xr:uid="{00000000-0005-0000-0000-0000D7050000}"/>
    <cellStyle name="40% - Accent4 2 3 4 3 2" xfId="14263" xr:uid="{24661053-F37E-493A-89B8-B8C1BD2C136F}"/>
    <cellStyle name="40% - Accent4 2 3 4 4" xfId="10045" xr:uid="{0CEF6BC2-EFF9-4487-AF3B-C7C7757923DC}"/>
    <cellStyle name="40% - Accent4 2 3 5" xfId="1927" xr:uid="{00000000-0005-0000-0000-0000D8050000}"/>
    <cellStyle name="40% - Accent4 2 3 5 2" xfId="4156" xr:uid="{00000000-0005-0000-0000-0000D9050000}"/>
    <cellStyle name="40% - Accent4 2 3 5 2 2" xfId="8379" xr:uid="{00000000-0005-0000-0000-0000DA050000}"/>
    <cellStyle name="40% - Accent4 2 3 5 2 2 2" xfId="16821" xr:uid="{32D4A214-76D6-4CD8-8904-A9AA1A94A5F6}"/>
    <cellStyle name="40% - Accent4 2 3 5 2 3" xfId="12603" xr:uid="{757C92C8-B0A0-4D3E-8EA6-3FA7AA6EAF6F}"/>
    <cellStyle name="40% - Accent4 2 3 5 3" xfId="6234" xr:uid="{00000000-0005-0000-0000-0000DB050000}"/>
    <cellStyle name="40% - Accent4 2 3 5 3 2" xfId="14676" xr:uid="{4C0B165D-2837-4806-B606-7677AF052F2D}"/>
    <cellStyle name="40% - Accent4 2 3 5 4" xfId="10458" xr:uid="{3EDB3A6A-69B6-4019-A3A2-11EEDFB21373}"/>
    <cellStyle name="40% - Accent4 2 3 6" xfId="2340" xr:uid="{00000000-0005-0000-0000-0000DC050000}"/>
    <cellStyle name="40% - Accent4 2 3 6 2" xfId="6647" xr:uid="{00000000-0005-0000-0000-0000DD050000}"/>
    <cellStyle name="40% - Accent4 2 3 6 2 2" xfId="15089" xr:uid="{90F26A0E-341B-4592-A6A8-1BED94556FF0}"/>
    <cellStyle name="40% - Accent4 2 3 6 3" xfId="10871" xr:uid="{642EAD04-A43B-4609-A72F-4004F4021752}"/>
    <cellStyle name="40% - Accent4 2 3 7" xfId="4581" xr:uid="{00000000-0005-0000-0000-0000DE050000}"/>
    <cellStyle name="40% - Accent4 2 3 7 2" xfId="13023" xr:uid="{98D79DC7-CF27-4F15-ABB1-61AD96963C94}"/>
    <cellStyle name="40% - Accent4 2 3 8" xfId="8805" xr:uid="{F2422327-FEFB-44C0-A85C-E1453E95A881}"/>
    <cellStyle name="40% - Accent4 2 4" xfId="643" xr:uid="{00000000-0005-0000-0000-0000DF050000}"/>
    <cellStyle name="40% - Accent4 2 4 2" xfId="2914" xr:uid="{00000000-0005-0000-0000-0000E0050000}"/>
    <cellStyle name="40% - Accent4 2 4 2 2" xfId="7137" xr:uid="{00000000-0005-0000-0000-0000E1050000}"/>
    <cellStyle name="40% - Accent4 2 4 2 2 2" xfId="15579" xr:uid="{D13E3D71-4A70-46C3-AD60-607C74D42C7F}"/>
    <cellStyle name="40% - Accent4 2 4 2 3" xfId="11361" xr:uid="{2FC2C5A2-7176-4E64-B8C3-500D2F990964}"/>
    <cellStyle name="40% - Accent4 2 4 3" xfId="4992" xr:uid="{00000000-0005-0000-0000-0000E2050000}"/>
    <cellStyle name="40% - Accent4 2 4 3 2" xfId="13434" xr:uid="{FBC0E6B6-7065-4834-A49F-916B67470045}"/>
    <cellStyle name="40% - Accent4 2 4 4" xfId="9216" xr:uid="{06934629-90CD-473C-8787-AF21AF558706}"/>
    <cellStyle name="40% - Accent4 2 5" xfId="1096" xr:uid="{00000000-0005-0000-0000-0000E3050000}"/>
    <cellStyle name="40% - Accent4 2 5 2" xfId="3327" xr:uid="{00000000-0005-0000-0000-0000E4050000}"/>
    <cellStyle name="40% - Accent4 2 5 2 2" xfId="7550" xr:uid="{00000000-0005-0000-0000-0000E5050000}"/>
    <cellStyle name="40% - Accent4 2 5 2 2 2" xfId="15992" xr:uid="{DE42B860-F4DF-4E61-9A31-F67B7D70FD05}"/>
    <cellStyle name="40% - Accent4 2 5 2 3" xfId="11774" xr:uid="{DDF11F56-FEFD-4BF4-9133-A3C4047BBC5E}"/>
    <cellStyle name="40% - Accent4 2 5 3" xfId="5405" xr:uid="{00000000-0005-0000-0000-0000E6050000}"/>
    <cellStyle name="40% - Accent4 2 5 3 2" xfId="13847" xr:uid="{8EC7D20B-9437-4A22-856C-5BDE57870B29}"/>
    <cellStyle name="40% - Accent4 2 5 4" xfId="9629" xr:uid="{DAA4E44F-CDAD-4C3A-BB76-412BE768D040}"/>
    <cellStyle name="40% - Accent4 2 6" xfId="1510" xr:uid="{00000000-0005-0000-0000-0000E7050000}"/>
    <cellStyle name="40% - Accent4 2 6 2" xfId="3740" xr:uid="{00000000-0005-0000-0000-0000E8050000}"/>
    <cellStyle name="40% - Accent4 2 6 2 2" xfId="7963" xr:uid="{00000000-0005-0000-0000-0000E9050000}"/>
    <cellStyle name="40% - Accent4 2 6 2 2 2" xfId="16405" xr:uid="{8F3247E8-C93E-4A24-84A1-E285520E8965}"/>
    <cellStyle name="40% - Accent4 2 6 2 3" xfId="12187" xr:uid="{8F0DECFF-70B6-4014-B5EE-6C1303AE90ED}"/>
    <cellStyle name="40% - Accent4 2 6 3" xfId="5818" xr:uid="{00000000-0005-0000-0000-0000EA050000}"/>
    <cellStyle name="40% - Accent4 2 6 3 2" xfId="14260" xr:uid="{CE221672-08C0-4ABB-8CAB-5971F0A5F35E}"/>
    <cellStyle name="40% - Accent4 2 6 4" xfId="10042" xr:uid="{11707B53-0E3F-412A-92A1-6B87FBDC1F43}"/>
    <cellStyle name="40% - Accent4 2 7" xfId="1924" xr:uid="{00000000-0005-0000-0000-0000EB050000}"/>
    <cellStyle name="40% - Accent4 2 7 2" xfId="4153" xr:uid="{00000000-0005-0000-0000-0000EC050000}"/>
    <cellStyle name="40% - Accent4 2 7 2 2" xfId="8376" xr:uid="{00000000-0005-0000-0000-0000ED050000}"/>
    <cellStyle name="40% - Accent4 2 7 2 2 2" xfId="16818" xr:uid="{8F46C305-25DF-464E-AA44-84E1342609FB}"/>
    <cellStyle name="40% - Accent4 2 7 2 3" xfId="12600" xr:uid="{35F6DF24-00A7-4DC4-8FA4-1BC8E237C528}"/>
    <cellStyle name="40% - Accent4 2 7 3" xfId="6231" xr:uid="{00000000-0005-0000-0000-0000EE050000}"/>
    <cellStyle name="40% - Accent4 2 7 3 2" xfId="14673" xr:uid="{169FFB52-53D3-4DFE-86E0-3D0CE0DCC38D}"/>
    <cellStyle name="40% - Accent4 2 7 4" xfId="10455" xr:uid="{5A25DF8D-25EB-41E0-A0E1-5B23225D7762}"/>
    <cellStyle name="40% - Accent4 2 8" xfId="2337" xr:uid="{00000000-0005-0000-0000-0000EF050000}"/>
    <cellStyle name="40% - Accent4 2 8 2" xfId="6644" xr:uid="{00000000-0005-0000-0000-0000F0050000}"/>
    <cellStyle name="40% - Accent4 2 8 2 2" xfId="15086" xr:uid="{E7B7C67C-7B30-43D2-A305-B62785305A1E}"/>
    <cellStyle name="40% - Accent4 2 8 3" xfId="10868" xr:uid="{EC84DEE9-7011-4177-86F7-524FE77E7994}"/>
    <cellStyle name="40% - Accent4 2 9" xfId="4578" xr:uid="{00000000-0005-0000-0000-0000F1050000}"/>
    <cellStyle name="40% - Accent4 2 9 2" xfId="13020" xr:uid="{E71C2936-8070-4555-88AA-A38B00CC7A17}"/>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2 2 2" xfId="15584" xr:uid="{81BCD0F3-1E31-4232-B1D5-981E3C74DBF2}"/>
    <cellStyle name="40% - Accent4 3 2 2 2 3" xfId="11366" xr:uid="{D0C1BF50-40AD-43EF-813D-47775D5B8D99}"/>
    <cellStyle name="40% - Accent4 3 2 2 3" xfId="4997" xr:uid="{00000000-0005-0000-0000-0000F7050000}"/>
    <cellStyle name="40% - Accent4 3 2 2 3 2" xfId="13439" xr:uid="{DE734741-5F8E-45FC-A34D-A016488EBB11}"/>
    <cellStyle name="40% - Accent4 3 2 2 4" xfId="9221" xr:uid="{9407D123-5437-415D-82AB-17EF0E25336E}"/>
    <cellStyle name="40% - Accent4 3 2 3" xfId="1101" xr:uid="{00000000-0005-0000-0000-0000F8050000}"/>
    <cellStyle name="40% - Accent4 3 2 3 2" xfId="3332" xr:uid="{00000000-0005-0000-0000-0000F9050000}"/>
    <cellStyle name="40% - Accent4 3 2 3 2 2" xfId="7555" xr:uid="{00000000-0005-0000-0000-0000FA050000}"/>
    <cellStyle name="40% - Accent4 3 2 3 2 2 2" xfId="15997" xr:uid="{C32506AD-2BD7-4D61-8E0D-2B0059050C45}"/>
    <cellStyle name="40% - Accent4 3 2 3 2 3" xfId="11779" xr:uid="{4AA97972-A4A3-43A2-9820-2984C5A389A8}"/>
    <cellStyle name="40% - Accent4 3 2 3 3" xfId="5410" xr:uid="{00000000-0005-0000-0000-0000FB050000}"/>
    <cellStyle name="40% - Accent4 3 2 3 3 2" xfId="13852" xr:uid="{9B05A42D-63DB-47F7-AD68-2E375F62AB35}"/>
    <cellStyle name="40% - Accent4 3 2 3 4" xfId="9634" xr:uid="{704EBFDB-5F91-4EA7-A494-5E065574CA9C}"/>
    <cellStyle name="40% - Accent4 3 2 4" xfId="1515" xr:uid="{00000000-0005-0000-0000-0000FC050000}"/>
    <cellStyle name="40% - Accent4 3 2 4 2" xfId="3745" xr:uid="{00000000-0005-0000-0000-0000FD050000}"/>
    <cellStyle name="40% - Accent4 3 2 4 2 2" xfId="7968" xr:uid="{00000000-0005-0000-0000-0000FE050000}"/>
    <cellStyle name="40% - Accent4 3 2 4 2 2 2" xfId="16410" xr:uid="{D17A7EF7-23E1-4EFB-B5A8-0055A343EEE7}"/>
    <cellStyle name="40% - Accent4 3 2 4 2 3" xfId="12192" xr:uid="{9C035D06-2584-46BF-A799-BD1879A77896}"/>
    <cellStyle name="40% - Accent4 3 2 4 3" xfId="5823" xr:uid="{00000000-0005-0000-0000-0000FF050000}"/>
    <cellStyle name="40% - Accent4 3 2 4 3 2" xfId="14265" xr:uid="{9B4D24BB-D08C-4665-84F8-5477E7CD01E4}"/>
    <cellStyle name="40% - Accent4 3 2 4 4" xfId="10047" xr:uid="{BE8201F9-3630-4391-B5EE-23FC7B36DBD3}"/>
    <cellStyle name="40% - Accent4 3 2 5" xfId="1929" xr:uid="{00000000-0005-0000-0000-000000060000}"/>
    <cellStyle name="40% - Accent4 3 2 5 2" xfId="4158" xr:uid="{00000000-0005-0000-0000-000001060000}"/>
    <cellStyle name="40% - Accent4 3 2 5 2 2" xfId="8381" xr:uid="{00000000-0005-0000-0000-000002060000}"/>
    <cellStyle name="40% - Accent4 3 2 5 2 2 2" xfId="16823" xr:uid="{155F83A7-67C3-402A-B60F-C2860EBE3E8F}"/>
    <cellStyle name="40% - Accent4 3 2 5 2 3" xfId="12605" xr:uid="{725D65A3-D7FA-416C-B27D-E3C8F1CFE9F2}"/>
    <cellStyle name="40% - Accent4 3 2 5 3" xfId="6236" xr:uid="{00000000-0005-0000-0000-000003060000}"/>
    <cellStyle name="40% - Accent4 3 2 5 3 2" xfId="14678" xr:uid="{11ECF604-FDEF-4890-B088-7F068CC73D22}"/>
    <cellStyle name="40% - Accent4 3 2 5 4" xfId="10460" xr:uid="{08B06DD6-E73E-4349-BC15-E892E607650A}"/>
    <cellStyle name="40% - Accent4 3 2 6" xfId="2342" xr:uid="{00000000-0005-0000-0000-000004060000}"/>
    <cellStyle name="40% - Accent4 3 2 6 2" xfId="6649" xr:uid="{00000000-0005-0000-0000-000005060000}"/>
    <cellStyle name="40% - Accent4 3 2 6 2 2" xfId="15091" xr:uid="{A6ACEFD5-E31D-4F91-B683-262230486C80}"/>
    <cellStyle name="40% - Accent4 3 2 6 3" xfId="10873" xr:uid="{51D4E370-3BE7-4C62-88B0-D554BB0BECBB}"/>
    <cellStyle name="40% - Accent4 3 2 7" xfId="4583" xr:uid="{00000000-0005-0000-0000-000006060000}"/>
    <cellStyle name="40% - Accent4 3 2 7 2" xfId="13025" xr:uid="{80F6363B-D2AB-4FED-8AC5-7702DC84FAD6}"/>
    <cellStyle name="40% - Accent4 3 2 8" xfId="8807" xr:uid="{08954EF0-5B3D-4463-95CE-154335555A0A}"/>
    <cellStyle name="40% - Accent4 3 3" xfId="647" xr:uid="{00000000-0005-0000-0000-000007060000}"/>
    <cellStyle name="40% - Accent4 3 3 2" xfId="2918" xr:uid="{00000000-0005-0000-0000-000008060000}"/>
    <cellStyle name="40% - Accent4 3 3 2 2" xfId="7141" xr:uid="{00000000-0005-0000-0000-000009060000}"/>
    <cellStyle name="40% - Accent4 3 3 2 2 2" xfId="15583" xr:uid="{9227BAD5-0EEF-4305-BF19-5EA4F139191E}"/>
    <cellStyle name="40% - Accent4 3 3 2 3" xfId="11365" xr:uid="{3FC9226C-7053-45D8-97CB-B94BEA5F83E6}"/>
    <cellStyle name="40% - Accent4 3 3 3" xfId="4996" xr:uid="{00000000-0005-0000-0000-00000A060000}"/>
    <cellStyle name="40% - Accent4 3 3 3 2" xfId="13438" xr:uid="{2DAE3985-1AF0-4BD7-B592-9910C79E46D0}"/>
    <cellStyle name="40% - Accent4 3 3 4" xfId="9220" xr:uid="{850621F6-4C4E-4224-AD00-B791009F00D0}"/>
    <cellStyle name="40% - Accent4 3 4" xfId="1100" xr:uid="{00000000-0005-0000-0000-00000B060000}"/>
    <cellStyle name="40% - Accent4 3 4 2" xfId="3331" xr:uid="{00000000-0005-0000-0000-00000C060000}"/>
    <cellStyle name="40% - Accent4 3 4 2 2" xfId="7554" xr:uid="{00000000-0005-0000-0000-00000D060000}"/>
    <cellStyle name="40% - Accent4 3 4 2 2 2" xfId="15996" xr:uid="{D1E468FD-9664-43EE-9D8B-98C75041BA10}"/>
    <cellStyle name="40% - Accent4 3 4 2 3" xfId="11778" xr:uid="{D6312306-7356-42B8-AD56-87CD8704F683}"/>
    <cellStyle name="40% - Accent4 3 4 3" xfId="5409" xr:uid="{00000000-0005-0000-0000-00000E060000}"/>
    <cellStyle name="40% - Accent4 3 4 3 2" xfId="13851" xr:uid="{04961228-F260-4C42-8D30-4C372EAC3A71}"/>
    <cellStyle name="40% - Accent4 3 4 4" xfId="9633" xr:uid="{1D4947E1-8475-4833-B92A-6AA1FFDFBA56}"/>
    <cellStyle name="40% - Accent4 3 5" xfId="1514" xr:uid="{00000000-0005-0000-0000-00000F060000}"/>
    <cellStyle name="40% - Accent4 3 5 2" xfId="3744" xr:uid="{00000000-0005-0000-0000-000010060000}"/>
    <cellStyle name="40% - Accent4 3 5 2 2" xfId="7967" xr:uid="{00000000-0005-0000-0000-000011060000}"/>
    <cellStyle name="40% - Accent4 3 5 2 2 2" xfId="16409" xr:uid="{CBCA89DD-C95F-4892-83B6-D5FEA6567341}"/>
    <cellStyle name="40% - Accent4 3 5 2 3" xfId="12191" xr:uid="{5B95CAA7-4B9B-4F38-9BD1-76FDFB1038BB}"/>
    <cellStyle name="40% - Accent4 3 5 3" xfId="5822" xr:uid="{00000000-0005-0000-0000-000012060000}"/>
    <cellStyle name="40% - Accent4 3 5 3 2" xfId="14264" xr:uid="{6407B741-D556-4948-879D-01A5ADF47140}"/>
    <cellStyle name="40% - Accent4 3 5 4" xfId="10046" xr:uid="{606E46B5-D56B-497E-B478-77FB64226F51}"/>
    <cellStyle name="40% - Accent4 3 6" xfId="1928" xr:uid="{00000000-0005-0000-0000-000013060000}"/>
    <cellStyle name="40% - Accent4 3 6 2" xfId="4157" xr:uid="{00000000-0005-0000-0000-000014060000}"/>
    <cellStyle name="40% - Accent4 3 6 2 2" xfId="8380" xr:uid="{00000000-0005-0000-0000-000015060000}"/>
    <cellStyle name="40% - Accent4 3 6 2 2 2" xfId="16822" xr:uid="{431242E8-A997-4655-9612-84C69E3457C6}"/>
    <cellStyle name="40% - Accent4 3 6 2 3" xfId="12604" xr:uid="{D1B99F9E-CD23-42BF-A969-960C22E30E0D}"/>
    <cellStyle name="40% - Accent4 3 6 3" xfId="6235" xr:uid="{00000000-0005-0000-0000-000016060000}"/>
    <cellStyle name="40% - Accent4 3 6 3 2" xfId="14677" xr:uid="{93D2B574-AE4C-40B9-A7F4-1D6861B70402}"/>
    <cellStyle name="40% - Accent4 3 6 4" xfId="10459" xr:uid="{0AD1EABC-8960-46AA-AEF9-3ADC98A1A6E4}"/>
    <cellStyle name="40% - Accent4 3 7" xfId="2341" xr:uid="{00000000-0005-0000-0000-000017060000}"/>
    <cellStyle name="40% - Accent4 3 7 2" xfId="6648" xr:uid="{00000000-0005-0000-0000-000018060000}"/>
    <cellStyle name="40% - Accent4 3 7 2 2" xfId="15090" xr:uid="{5B77ABFF-EF83-4928-B543-F428CE0BB611}"/>
    <cellStyle name="40% - Accent4 3 7 3" xfId="10872" xr:uid="{1B411E80-C8AC-457B-AE51-42B21DB96335}"/>
    <cellStyle name="40% - Accent4 3 8" xfId="4582" xr:uid="{00000000-0005-0000-0000-000019060000}"/>
    <cellStyle name="40% - Accent4 3 8 2" xfId="13024" xr:uid="{DE6F9012-AF65-4954-8E02-E23D719D85D6}"/>
    <cellStyle name="40% - Accent4 3 9" xfId="8806" xr:uid="{25679228-333C-497B-9A76-D9BA8634F798}"/>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2 2 2" xfId="15585" xr:uid="{422F7068-AC80-4ABC-985E-7E8E6B0EC018}"/>
    <cellStyle name="40% - Accent4 4 2 2 3" xfId="11367" xr:uid="{930D3DB4-E3C4-4C1A-A79B-84098242D3CA}"/>
    <cellStyle name="40% - Accent4 4 2 3" xfId="4998" xr:uid="{00000000-0005-0000-0000-00001E060000}"/>
    <cellStyle name="40% - Accent4 4 2 3 2" xfId="13440" xr:uid="{D01C7304-E84F-4D22-9CF6-595A3A08F47B}"/>
    <cellStyle name="40% - Accent4 4 2 4" xfId="9222" xr:uid="{903BF53E-0663-4310-9252-AA8A1895B803}"/>
    <cellStyle name="40% - Accent4 4 3" xfId="1102" xr:uid="{00000000-0005-0000-0000-00001F060000}"/>
    <cellStyle name="40% - Accent4 4 3 2" xfId="3333" xr:uid="{00000000-0005-0000-0000-000020060000}"/>
    <cellStyle name="40% - Accent4 4 3 2 2" xfId="7556" xr:uid="{00000000-0005-0000-0000-000021060000}"/>
    <cellStyle name="40% - Accent4 4 3 2 2 2" xfId="15998" xr:uid="{7A4424EA-D893-4138-BC70-5A26961611A5}"/>
    <cellStyle name="40% - Accent4 4 3 2 3" xfId="11780" xr:uid="{1D1D50A3-3208-4924-B350-7D0CE7621C9E}"/>
    <cellStyle name="40% - Accent4 4 3 3" xfId="5411" xr:uid="{00000000-0005-0000-0000-000022060000}"/>
    <cellStyle name="40% - Accent4 4 3 3 2" xfId="13853" xr:uid="{6A476248-A2E6-4885-8656-62774FCA94D0}"/>
    <cellStyle name="40% - Accent4 4 3 4" xfId="9635" xr:uid="{5BBFEF28-33E8-4877-A100-412662AB2612}"/>
    <cellStyle name="40% - Accent4 4 4" xfId="1516" xr:uid="{00000000-0005-0000-0000-000023060000}"/>
    <cellStyle name="40% - Accent4 4 4 2" xfId="3746" xr:uid="{00000000-0005-0000-0000-000024060000}"/>
    <cellStyle name="40% - Accent4 4 4 2 2" xfId="7969" xr:uid="{00000000-0005-0000-0000-000025060000}"/>
    <cellStyle name="40% - Accent4 4 4 2 2 2" xfId="16411" xr:uid="{9D8A4F56-0124-44BF-BC96-18734D05B87F}"/>
    <cellStyle name="40% - Accent4 4 4 2 3" xfId="12193" xr:uid="{259B2A8A-7EB4-4504-A09F-1061E46D1588}"/>
    <cellStyle name="40% - Accent4 4 4 3" xfId="5824" xr:uid="{00000000-0005-0000-0000-000026060000}"/>
    <cellStyle name="40% - Accent4 4 4 3 2" xfId="14266" xr:uid="{BF8695A6-4D7A-4C46-A60F-61FA641DF7E9}"/>
    <cellStyle name="40% - Accent4 4 4 4" xfId="10048" xr:uid="{085C3931-878F-4C26-A017-9D665C3B494A}"/>
    <cellStyle name="40% - Accent4 4 5" xfId="1930" xr:uid="{00000000-0005-0000-0000-000027060000}"/>
    <cellStyle name="40% - Accent4 4 5 2" xfId="4159" xr:uid="{00000000-0005-0000-0000-000028060000}"/>
    <cellStyle name="40% - Accent4 4 5 2 2" xfId="8382" xr:uid="{00000000-0005-0000-0000-000029060000}"/>
    <cellStyle name="40% - Accent4 4 5 2 2 2" xfId="16824" xr:uid="{260572D6-F1CB-44FE-88E7-02E50DC4BB46}"/>
    <cellStyle name="40% - Accent4 4 5 2 3" xfId="12606" xr:uid="{D260B017-1E3C-4E2A-997F-55DA9CC14C24}"/>
    <cellStyle name="40% - Accent4 4 5 3" xfId="6237" xr:uid="{00000000-0005-0000-0000-00002A060000}"/>
    <cellStyle name="40% - Accent4 4 5 3 2" xfId="14679" xr:uid="{9DD0B37E-C59D-4142-9C22-2DE64980CDF1}"/>
    <cellStyle name="40% - Accent4 4 5 4" xfId="10461" xr:uid="{14A5AD53-9B44-48A2-8D1E-AA664C99AEE9}"/>
    <cellStyle name="40% - Accent4 4 6" xfId="2343" xr:uid="{00000000-0005-0000-0000-00002B060000}"/>
    <cellStyle name="40% - Accent4 4 6 2" xfId="6650" xr:uid="{00000000-0005-0000-0000-00002C060000}"/>
    <cellStyle name="40% - Accent4 4 6 2 2" xfId="15092" xr:uid="{563D32EA-FBF4-45B8-854C-E419A6BFA007}"/>
    <cellStyle name="40% - Accent4 4 6 3" xfId="10874" xr:uid="{16909BE4-E3AF-4103-9FA2-6D00BE6EBC79}"/>
    <cellStyle name="40% - Accent4 4 7" xfId="4584" xr:uid="{00000000-0005-0000-0000-00002D060000}"/>
    <cellStyle name="40% - Accent4 4 7 2" xfId="13026" xr:uid="{FCAB675F-4CFD-4DDB-ACCD-1C821F6E95F4}"/>
    <cellStyle name="40% - Accent4 4 8" xfId="8808" xr:uid="{A61E1704-8F9B-4FB9-89A7-E280D106FC16}"/>
    <cellStyle name="40% - Accent4 5" xfId="642" xr:uid="{00000000-0005-0000-0000-00002E060000}"/>
    <cellStyle name="40% - Accent4 5 2" xfId="2913" xr:uid="{00000000-0005-0000-0000-00002F060000}"/>
    <cellStyle name="40% - Accent4 5 2 2" xfId="7136" xr:uid="{00000000-0005-0000-0000-000030060000}"/>
    <cellStyle name="40% - Accent4 5 2 2 2" xfId="15578" xr:uid="{765D89E4-61BE-4921-843D-C2DB3DF86226}"/>
    <cellStyle name="40% - Accent4 5 2 3" xfId="11360" xr:uid="{7E98FFBD-7350-4F6A-9832-45A21B25FAFF}"/>
    <cellStyle name="40% - Accent4 5 3" xfId="4991" xr:uid="{00000000-0005-0000-0000-000031060000}"/>
    <cellStyle name="40% - Accent4 5 3 2" xfId="13433" xr:uid="{E6F2C1F5-6130-4670-8A1A-B9111B788A04}"/>
    <cellStyle name="40% - Accent4 5 4" xfId="9215" xr:uid="{CA5E3FBF-7E13-4016-B905-DFD48BBDE72B}"/>
    <cellStyle name="40% - Accent4 6" xfId="1095" xr:uid="{00000000-0005-0000-0000-000032060000}"/>
    <cellStyle name="40% - Accent4 6 2" xfId="3326" xr:uid="{00000000-0005-0000-0000-000033060000}"/>
    <cellStyle name="40% - Accent4 6 2 2" xfId="7549" xr:uid="{00000000-0005-0000-0000-000034060000}"/>
    <cellStyle name="40% - Accent4 6 2 2 2" xfId="15991" xr:uid="{F374FAEE-74CB-4450-9892-548622F04A86}"/>
    <cellStyle name="40% - Accent4 6 2 3" xfId="11773" xr:uid="{9B91A108-FDFD-4371-9AE9-5F96847C0D5C}"/>
    <cellStyle name="40% - Accent4 6 3" xfId="5404" xr:uid="{00000000-0005-0000-0000-000035060000}"/>
    <cellStyle name="40% - Accent4 6 3 2" xfId="13846" xr:uid="{303856CD-6422-4485-99BE-88E5207789FA}"/>
    <cellStyle name="40% - Accent4 6 4" xfId="9628" xr:uid="{D621510E-1A66-4939-96CF-7D3DEBF62C2B}"/>
    <cellStyle name="40% - Accent4 7" xfId="1509" xr:uid="{00000000-0005-0000-0000-000036060000}"/>
    <cellStyle name="40% - Accent4 7 2" xfId="3739" xr:uid="{00000000-0005-0000-0000-000037060000}"/>
    <cellStyle name="40% - Accent4 7 2 2" xfId="7962" xr:uid="{00000000-0005-0000-0000-000038060000}"/>
    <cellStyle name="40% - Accent4 7 2 2 2" xfId="16404" xr:uid="{CDC26152-FB7E-4848-87FF-3F0349FE3BF5}"/>
    <cellStyle name="40% - Accent4 7 2 3" xfId="12186" xr:uid="{036905AC-FD24-48E5-A233-6DB1813CB097}"/>
    <cellStyle name="40% - Accent4 7 3" xfId="5817" xr:uid="{00000000-0005-0000-0000-000039060000}"/>
    <cellStyle name="40% - Accent4 7 3 2" xfId="14259" xr:uid="{65211E5C-B630-4A06-BC36-847513364C63}"/>
    <cellStyle name="40% - Accent4 7 4" xfId="10041" xr:uid="{E360D7FB-54F8-41B2-A60D-1715BE341CDD}"/>
    <cellStyle name="40% - Accent4 8" xfId="1923" xr:uid="{00000000-0005-0000-0000-00003A060000}"/>
    <cellStyle name="40% - Accent4 8 2" xfId="4152" xr:uid="{00000000-0005-0000-0000-00003B060000}"/>
    <cellStyle name="40% - Accent4 8 2 2" xfId="8375" xr:uid="{00000000-0005-0000-0000-00003C060000}"/>
    <cellStyle name="40% - Accent4 8 2 2 2" xfId="16817" xr:uid="{2C051C8E-5658-42AB-973B-BBF4BE7E1441}"/>
    <cellStyle name="40% - Accent4 8 2 3" xfId="12599" xr:uid="{F29FC6ED-4F8E-435F-A00F-DCB8F98D8528}"/>
    <cellStyle name="40% - Accent4 8 3" xfId="6230" xr:uid="{00000000-0005-0000-0000-00003D060000}"/>
    <cellStyle name="40% - Accent4 8 3 2" xfId="14672" xr:uid="{78DA0FBB-2BCB-4F94-992A-103D47FDACD8}"/>
    <cellStyle name="40% - Accent4 8 4" xfId="10454" xr:uid="{070BBFEE-6D9C-469E-ADFC-63D5B03E185A}"/>
    <cellStyle name="40% - Accent4 9" xfId="2336" xr:uid="{00000000-0005-0000-0000-00003E060000}"/>
    <cellStyle name="40% - Accent4 9 2" xfId="6643" xr:uid="{00000000-0005-0000-0000-00003F060000}"/>
    <cellStyle name="40% - Accent4 9 2 2" xfId="15085" xr:uid="{E7AD30E0-DA91-4EFB-9641-558C740CB5A7}"/>
    <cellStyle name="40% - Accent4 9 3" xfId="10867" xr:uid="{A9E8B727-3C78-4671-A15A-4BFA1589936D}"/>
    <cellStyle name="40% - Accent5" xfId="81" builtinId="47" customBuiltin="1"/>
    <cellStyle name="40% - Accent5 10" xfId="4585" xr:uid="{00000000-0005-0000-0000-000041060000}"/>
    <cellStyle name="40% - Accent5 10 2" xfId="13027" xr:uid="{F28806CE-641C-4641-90BA-892D39518FB9}"/>
    <cellStyle name="40% - Accent5 11" xfId="8809" xr:uid="{72531AB2-B30C-4321-8553-69644BC385E3}"/>
    <cellStyle name="40% - Accent5 2" xfId="82" xr:uid="{00000000-0005-0000-0000-000042060000}"/>
    <cellStyle name="40% - Accent5 2 10" xfId="8810" xr:uid="{AA3495EC-59E9-4BF3-AD30-429B5A293B76}"/>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2 2 2" xfId="15589" xr:uid="{DE8E4844-D27A-4C17-A632-AABFC6999EA3}"/>
    <cellStyle name="40% - Accent5 2 2 2 2 2 3" xfId="11371" xr:uid="{CCE3E8DE-515A-4D6A-A332-A78BEA36B715}"/>
    <cellStyle name="40% - Accent5 2 2 2 2 3" xfId="5002" xr:uid="{00000000-0005-0000-0000-000048060000}"/>
    <cellStyle name="40% - Accent5 2 2 2 2 3 2" xfId="13444" xr:uid="{7F5F9819-4032-4072-97E0-CB5705CD3021}"/>
    <cellStyle name="40% - Accent5 2 2 2 2 4" xfId="9226" xr:uid="{7707EFEA-0096-416B-8FE8-0E93176187C2}"/>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2 2 2" xfId="16002" xr:uid="{6ECF2A05-72B9-4929-80FF-0409C978C50E}"/>
    <cellStyle name="40% - Accent5 2 2 2 3 2 3" xfId="11784" xr:uid="{4F69632C-2FDC-483D-B8D7-74788EFAEBCE}"/>
    <cellStyle name="40% - Accent5 2 2 2 3 3" xfId="5415" xr:uid="{00000000-0005-0000-0000-00004C060000}"/>
    <cellStyle name="40% - Accent5 2 2 2 3 3 2" xfId="13857" xr:uid="{71BE1C65-5FEC-4C91-B5CD-28BCA741FE23}"/>
    <cellStyle name="40% - Accent5 2 2 2 3 4" xfId="9639" xr:uid="{C70335B4-3E6F-4F10-B8A6-87A47F2A2904}"/>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2 2 2" xfId="16415" xr:uid="{F4782148-CD8C-43CD-B9DE-61BD77F35941}"/>
    <cellStyle name="40% - Accent5 2 2 2 4 2 3" xfId="12197" xr:uid="{1B8F2632-56BF-4A31-AE8D-6BF67CD161CE}"/>
    <cellStyle name="40% - Accent5 2 2 2 4 3" xfId="5828" xr:uid="{00000000-0005-0000-0000-000050060000}"/>
    <cellStyle name="40% - Accent5 2 2 2 4 3 2" xfId="14270" xr:uid="{FCA69B96-533C-48B7-BB1D-6D689D23E3F4}"/>
    <cellStyle name="40% - Accent5 2 2 2 4 4" xfId="10052" xr:uid="{9AA2C80E-6247-4602-9277-7B223E645176}"/>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2 2 2" xfId="16828" xr:uid="{206CBCB1-BF01-4653-95A0-62674F53D7F9}"/>
    <cellStyle name="40% - Accent5 2 2 2 5 2 3" xfId="12610" xr:uid="{F9CBD93A-5F10-40D0-9CE9-8918F3000CB3}"/>
    <cellStyle name="40% - Accent5 2 2 2 5 3" xfId="6241" xr:uid="{00000000-0005-0000-0000-000054060000}"/>
    <cellStyle name="40% - Accent5 2 2 2 5 3 2" xfId="14683" xr:uid="{E22CA132-A827-4011-8DCF-DF12834F8652}"/>
    <cellStyle name="40% - Accent5 2 2 2 5 4" xfId="10465" xr:uid="{B85F2F76-BEB4-4AD7-ACD1-B347B263D0F0}"/>
    <cellStyle name="40% - Accent5 2 2 2 6" xfId="2347" xr:uid="{00000000-0005-0000-0000-000055060000}"/>
    <cellStyle name="40% - Accent5 2 2 2 6 2" xfId="6654" xr:uid="{00000000-0005-0000-0000-000056060000}"/>
    <cellStyle name="40% - Accent5 2 2 2 6 2 2" xfId="15096" xr:uid="{06655920-AD61-438D-B110-F537EB680440}"/>
    <cellStyle name="40% - Accent5 2 2 2 6 3" xfId="10878" xr:uid="{A5334D3C-06A0-42FE-81A3-44231D62642A}"/>
    <cellStyle name="40% - Accent5 2 2 2 7" xfId="4588" xr:uid="{00000000-0005-0000-0000-000057060000}"/>
    <cellStyle name="40% - Accent5 2 2 2 7 2" xfId="13030" xr:uid="{0DA20678-1825-4219-9BCA-FDFB045AF2F8}"/>
    <cellStyle name="40% - Accent5 2 2 2 8" xfId="8812" xr:uid="{0D674145-6080-48F7-B320-D7B2CE71D4CC}"/>
    <cellStyle name="40% - Accent5 2 2 3" xfId="652" xr:uid="{00000000-0005-0000-0000-000058060000}"/>
    <cellStyle name="40% - Accent5 2 2 3 2" xfId="2923" xr:uid="{00000000-0005-0000-0000-000059060000}"/>
    <cellStyle name="40% - Accent5 2 2 3 2 2" xfId="7146" xr:uid="{00000000-0005-0000-0000-00005A060000}"/>
    <cellStyle name="40% - Accent5 2 2 3 2 2 2" xfId="15588" xr:uid="{C5E3FD6C-D63C-4265-A7A3-518EE8A381ED}"/>
    <cellStyle name="40% - Accent5 2 2 3 2 3" xfId="11370" xr:uid="{07739F88-96D3-4E89-948D-7082E9AFDFE9}"/>
    <cellStyle name="40% - Accent5 2 2 3 3" xfId="5001" xr:uid="{00000000-0005-0000-0000-00005B060000}"/>
    <cellStyle name="40% - Accent5 2 2 3 3 2" xfId="13443" xr:uid="{BB2D9DE6-2F3B-4987-9B8D-E81D340FB2C5}"/>
    <cellStyle name="40% - Accent5 2 2 3 4" xfId="9225" xr:uid="{F48A3856-3543-41E1-9BD4-680B0F30DD74}"/>
    <cellStyle name="40% - Accent5 2 2 4" xfId="1105" xr:uid="{00000000-0005-0000-0000-00005C060000}"/>
    <cellStyle name="40% - Accent5 2 2 4 2" xfId="3336" xr:uid="{00000000-0005-0000-0000-00005D060000}"/>
    <cellStyle name="40% - Accent5 2 2 4 2 2" xfId="7559" xr:uid="{00000000-0005-0000-0000-00005E060000}"/>
    <cellStyle name="40% - Accent5 2 2 4 2 2 2" xfId="16001" xr:uid="{2945A6AC-F338-4C9E-8EAF-083FADC5DF5F}"/>
    <cellStyle name="40% - Accent5 2 2 4 2 3" xfId="11783" xr:uid="{F84C34C3-FEB9-4CA7-AA25-EA27EC64DCC0}"/>
    <cellStyle name="40% - Accent5 2 2 4 3" xfId="5414" xr:uid="{00000000-0005-0000-0000-00005F060000}"/>
    <cellStyle name="40% - Accent5 2 2 4 3 2" xfId="13856" xr:uid="{3D384852-FB87-4DFC-962C-A583CA224360}"/>
    <cellStyle name="40% - Accent5 2 2 4 4" xfId="9638" xr:uid="{44F9E6B3-D413-4E9D-80EB-E75CB6ABF012}"/>
    <cellStyle name="40% - Accent5 2 2 5" xfId="1519" xr:uid="{00000000-0005-0000-0000-000060060000}"/>
    <cellStyle name="40% - Accent5 2 2 5 2" xfId="3749" xr:uid="{00000000-0005-0000-0000-000061060000}"/>
    <cellStyle name="40% - Accent5 2 2 5 2 2" xfId="7972" xr:uid="{00000000-0005-0000-0000-000062060000}"/>
    <cellStyle name="40% - Accent5 2 2 5 2 2 2" xfId="16414" xr:uid="{255F494E-8860-4D62-A422-AE3CE0078C0E}"/>
    <cellStyle name="40% - Accent5 2 2 5 2 3" xfId="12196" xr:uid="{A47CE8CD-CF96-4DC4-8E27-911E6FB25883}"/>
    <cellStyle name="40% - Accent5 2 2 5 3" xfId="5827" xr:uid="{00000000-0005-0000-0000-000063060000}"/>
    <cellStyle name="40% - Accent5 2 2 5 3 2" xfId="14269" xr:uid="{8BEA035A-CAEF-461C-ADD4-E79127738D85}"/>
    <cellStyle name="40% - Accent5 2 2 5 4" xfId="10051" xr:uid="{5EF2F235-A7D8-425F-A8F0-E1647E77875F}"/>
    <cellStyle name="40% - Accent5 2 2 6" xfId="1933" xr:uid="{00000000-0005-0000-0000-000064060000}"/>
    <cellStyle name="40% - Accent5 2 2 6 2" xfId="4162" xr:uid="{00000000-0005-0000-0000-000065060000}"/>
    <cellStyle name="40% - Accent5 2 2 6 2 2" xfId="8385" xr:uid="{00000000-0005-0000-0000-000066060000}"/>
    <cellStyle name="40% - Accent5 2 2 6 2 2 2" xfId="16827" xr:uid="{7532000F-155B-4A1A-AA5A-DD7300E47335}"/>
    <cellStyle name="40% - Accent5 2 2 6 2 3" xfId="12609" xr:uid="{66AD8C09-0517-4EFE-8E0E-33C42168708A}"/>
    <cellStyle name="40% - Accent5 2 2 6 3" xfId="6240" xr:uid="{00000000-0005-0000-0000-000067060000}"/>
    <cellStyle name="40% - Accent5 2 2 6 3 2" xfId="14682" xr:uid="{8D207AE1-D326-4D50-A9E9-4DD7EE515049}"/>
    <cellStyle name="40% - Accent5 2 2 6 4" xfId="10464" xr:uid="{6321943C-E83E-4C0C-85C5-A3CB99DDE8FA}"/>
    <cellStyle name="40% - Accent5 2 2 7" xfId="2346" xr:uid="{00000000-0005-0000-0000-000068060000}"/>
    <cellStyle name="40% - Accent5 2 2 7 2" xfId="6653" xr:uid="{00000000-0005-0000-0000-000069060000}"/>
    <cellStyle name="40% - Accent5 2 2 7 2 2" xfId="15095" xr:uid="{2BA63B07-8C4B-4A7C-9A3E-F3458E15F7BC}"/>
    <cellStyle name="40% - Accent5 2 2 7 3" xfId="10877" xr:uid="{76E8723E-0B9A-4050-AE8D-C916DFDFAC54}"/>
    <cellStyle name="40% - Accent5 2 2 8" xfId="4587" xr:uid="{00000000-0005-0000-0000-00006A060000}"/>
    <cellStyle name="40% - Accent5 2 2 8 2" xfId="13029" xr:uid="{11288D3D-FD60-4625-A3D1-D395BA892F28}"/>
    <cellStyle name="40% - Accent5 2 2 9" xfId="8811" xr:uid="{814DF1DB-CD02-478B-B7DC-73CD3DC5C48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2 2 2" xfId="15590" xr:uid="{F3C1319D-797F-4322-8D6C-02C3AF66070E}"/>
    <cellStyle name="40% - Accent5 2 3 2 2 3" xfId="11372" xr:uid="{ECC2CF44-02D5-4896-BC0D-C3007B709675}"/>
    <cellStyle name="40% - Accent5 2 3 2 3" xfId="5003" xr:uid="{00000000-0005-0000-0000-00006F060000}"/>
    <cellStyle name="40% - Accent5 2 3 2 3 2" xfId="13445" xr:uid="{33E936F2-8879-4BCA-B58A-ABF68890EF4B}"/>
    <cellStyle name="40% - Accent5 2 3 2 4" xfId="9227" xr:uid="{6EE2AB17-7CED-45FD-89ED-231469F20818}"/>
    <cellStyle name="40% - Accent5 2 3 3" xfId="1107" xr:uid="{00000000-0005-0000-0000-000070060000}"/>
    <cellStyle name="40% - Accent5 2 3 3 2" xfId="3338" xr:uid="{00000000-0005-0000-0000-000071060000}"/>
    <cellStyle name="40% - Accent5 2 3 3 2 2" xfId="7561" xr:uid="{00000000-0005-0000-0000-000072060000}"/>
    <cellStyle name="40% - Accent5 2 3 3 2 2 2" xfId="16003" xr:uid="{577ABCE1-6240-4639-B4CB-E494684141D0}"/>
    <cellStyle name="40% - Accent5 2 3 3 2 3" xfId="11785" xr:uid="{7BFA86B9-DC8E-4C05-ACAC-794FC327A7D7}"/>
    <cellStyle name="40% - Accent5 2 3 3 3" xfId="5416" xr:uid="{00000000-0005-0000-0000-000073060000}"/>
    <cellStyle name="40% - Accent5 2 3 3 3 2" xfId="13858" xr:uid="{92C372B7-9B47-42C6-BC60-97A742B22E88}"/>
    <cellStyle name="40% - Accent5 2 3 3 4" xfId="9640" xr:uid="{DF492B32-1C5F-4276-91AC-9235D2BEC696}"/>
    <cellStyle name="40% - Accent5 2 3 4" xfId="1521" xr:uid="{00000000-0005-0000-0000-000074060000}"/>
    <cellStyle name="40% - Accent5 2 3 4 2" xfId="3751" xr:uid="{00000000-0005-0000-0000-000075060000}"/>
    <cellStyle name="40% - Accent5 2 3 4 2 2" xfId="7974" xr:uid="{00000000-0005-0000-0000-000076060000}"/>
    <cellStyle name="40% - Accent5 2 3 4 2 2 2" xfId="16416" xr:uid="{7FD68F41-39E0-40AC-9441-FF86FD3F4A20}"/>
    <cellStyle name="40% - Accent5 2 3 4 2 3" xfId="12198" xr:uid="{37FA40F0-19E0-49D5-8F26-EED12004A32C}"/>
    <cellStyle name="40% - Accent5 2 3 4 3" xfId="5829" xr:uid="{00000000-0005-0000-0000-000077060000}"/>
    <cellStyle name="40% - Accent5 2 3 4 3 2" xfId="14271" xr:uid="{200592D6-10DF-4A08-A7E1-55CFAC39F3F1}"/>
    <cellStyle name="40% - Accent5 2 3 4 4" xfId="10053" xr:uid="{04DA0C12-D2CF-471D-A137-389A94661560}"/>
    <cellStyle name="40% - Accent5 2 3 5" xfId="1935" xr:uid="{00000000-0005-0000-0000-000078060000}"/>
    <cellStyle name="40% - Accent5 2 3 5 2" xfId="4164" xr:uid="{00000000-0005-0000-0000-000079060000}"/>
    <cellStyle name="40% - Accent5 2 3 5 2 2" xfId="8387" xr:uid="{00000000-0005-0000-0000-00007A060000}"/>
    <cellStyle name="40% - Accent5 2 3 5 2 2 2" xfId="16829" xr:uid="{A830ACAA-D8B7-4429-811B-C79135C72823}"/>
    <cellStyle name="40% - Accent5 2 3 5 2 3" xfId="12611" xr:uid="{B2363FF8-EBCE-4559-BD39-DB3A9F8087F0}"/>
    <cellStyle name="40% - Accent5 2 3 5 3" xfId="6242" xr:uid="{00000000-0005-0000-0000-00007B060000}"/>
    <cellStyle name="40% - Accent5 2 3 5 3 2" xfId="14684" xr:uid="{A2BFCE9B-9334-4E31-9987-0ABE984F2ED9}"/>
    <cellStyle name="40% - Accent5 2 3 5 4" xfId="10466" xr:uid="{E40468DD-C281-4C16-8EAC-5407E1406338}"/>
    <cellStyle name="40% - Accent5 2 3 6" xfId="2348" xr:uid="{00000000-0005-0000-0000-00007C060000}"/>
    <cellStyle name="40% - Accent5 2 3 6 2" xfId="6655" xr:uid="{00000000-0005-0000-0000-00007D060000}"/>
    <cellStyle name="40% - Accent5 2 3 6 2 2" xfId="15097" xr:uid="{31107321-F847-4331-AA5C-A100BC019481}"/>
    <cellStyle name="40% - Accent5 2 3 6 3" xfId="10879" xr:uid="{DE76F0A3-DAED-474F-B5AB-E0CAB9C4D72F}"/>
    <cellStyle name="40% - Accent5 2 3 7" xfId="4589" xr:uid="{00000000-0005-0000-0000-00007E060000}"/>
    <cellStyle name="40% - Accent5 2 3 7 2" xfId="13031" xr:uid="{971261CD-BD1A-4F65-87EC-45D5997493EF}"/>
    <cellStyle name="40% - Accent5 2 3 8" xfId="8813" xr:uid="{C2329C81-DF9F-4B46-AE64-8F4FCCCDF338}"/>
    <cellStyle name="40% - Accent5 2 4" xfId="651" xr:uid="{00000000-0005-0000-0000-00007F060000}"/>
    <cellStyle name="40% - Accent5 2 4 2" xfId="2922" xr:uid="{00000000-0005-0000-0000-000080060000}"/>
    <cellStyle name="40% - Accent5 2 4 2 2" xfId="7145" xr:uid="{00000000-0005-0000-0000-000081060000}"/>
    <cellStyle name="40% - Accent5 2 4 2 2 2" xfId="15587" xr:uid="{4627A204-7E64-4F5D-8C7C-18078D8D2BB4}"/>
    <cellStyle name="40% - Accent5 2 4 2 3" xfId="11369" xr:uid="{EF018F70-4CF7-4CF5-9210-A8D5ABC0FF68}"/>
    <cellStyle name="40% - Accent5 2 4 3" xfId="5000" xr:uid="{00000000-0005-0000-0000-000082060000}"/>
    <cellStyle name="40% - Accent5 2 4 3 2" xfId="13442" xr:uid="{6F5A26D1-04A9-47C6-900A-ADB39B5BD7E5}"/>
    <cellStyle name="40% - Accent5 2 4 4" xfId="9224" xr:uid="{99B26F17-CCEA-46CC-B775-4A535D7AAB33}"/>
    <cellStyle name="40% - Accent5 2 5" xfId="1104" xr:uid="{00000000-0005-0000-0000-000083060000}"/>
    <cellStyle name="40% - Accent5 2 5 2" xfId="3335" xr:uid="{00000000-0005-0000-0000-000084060000}"/>
    <cellStyle name="40% - Accent5 2 5 2 2" xfId="7558" xr:uid="{00000000-0005-0000-0000-000085060000}"/>
    <cellStyle name="40% - Accent5 2 5 2 2 2" xfId="16000" xr:uid="{A05A40C4-29F7-47B5-9839-1DCB65A969B2}"/>
    <cellStyle name="40% - Accent5 2 5 2 3" xfId="11782" xr:uid="{988E6FF4-B076-4055-8F75-1901981402ED}"/>
    <cellStyle name="40% - Accent5 2 5 3" xfId="5413" xr:uid="{00000000-0005-0000-0000-000086060000}"/>
    <cellStyle name="40% - Accent5 2 5 3 2" xfId="13855" xr:uid="{3527A1AB-4A50-4AC0-BDD7-35FDE26B3FD7}"/>
    <cellStyle name="40% - Accent5 2 5 4" xfId="9637" xr:uid="{C3FFC29D-77BC-4591-9010-ECCAC73D6486}"/>
    <cellStyle name="40% - Accent5 2 6" xfId="1518" xr:uid="{00000000-0005-0000-0000-000087060000}"/>
    <cellStyle name="40% - Accent5 2 6 2" xfId="3748" xr:uid="{00000000-0005-0000-0000-000088060000}"/>
    <cellStyle name="40% - Accent5 2 6 2 2" xfId="7971" xr:uid="{00000000-0005-0000-0000-000089060000}"/>
    <cellStyle name="40% - Accent5 2 6 2 2 2" xfId="16413" xr:uid="{D560004D-9D43-4F01-B6A1-6B06E5DEA1FA}"/>
    <cellStyle name="40% - Accent5 2 6 2 3" xfId="12195" xr:uid="{ACA14E7F-564D-4597-B08A-75ECE2E1891F}"/>
    <cellStyle name="40% - Accent5 2 6 3" xfId="5826" xr:uid="{00000000-0005-0000-0000-00008A060000}"/>
    <cellStyle name="40% - Accent5 2 6 3 2" xfId="14268" xr:uid="{6F1B8CBE-3627-4FC8-ADD6-1E9750454DCA}"/>
    <cellStyle name="40% - Accent5 2 6 4" xfId="10050" xr:uid="{E2B111E4-C722-417E-AFC4-9C02A2C2474C}"/>
    <cellStyle name="40% - Accent5 2 7" xfId="1932" xr:uid="{00000000-0005-0000-0000-00008B060000}"/>
    <cellStyle name="40% - Accent5 2 7 2" xfId="4161" xr:uid="{00000000-0005-0000-0000-00008C060000}"/>
    <cellStyle name="40% - Accent5 2 7 2 2" xfId="8384" xr:uid="{00000000-0005-0000-0000-00008D060000}"/>
    <cellStyle name="40% - Accent5 2 7 2 2 2" xfId="16826" xr:uid="{83E1AB25-5D69-4BB0-9812-A53DC0712F24}"/>
    <cellStyle name="40% - Accent5 2 7 2 3" xfId="12608" xr:uid="{50057B33-3F4D-4644-A82D-38CA40EAABE8}"/>
    <cellStyle name="40% - Accent5 2 7 3" xfId="6239" xr:uid="{00000000-0005-0000-0000-00008E060000}"/>
    <cellStyle name="40% - Accent5 2 7 3 2" xfId="14681" xr:uid="{A7F2E534-8FB4-4E52-A564-0C282C75C75B}"/>
    <cellStyle name="40% - Accent5 2 7 4" xfId="10463" xr:uid="{5EBF3580-DB21-4C7F-8042-CE526292B919}"/>
    <cellStyle name="40% - Accent5 2 8" xfId="2345" xr:uid="{00000000-0005-0000-0000-00008F060000}"/>
    <cellStyle name="40% - Accent5 2 8 2" xfId="6652" xr:uid="{00000000-0005-0000-0000-000090060000}"/>
    <cellStyle name="40% - Accent5 2 8 2 2" xfId="15094" xr:uid="{54291C22-07E6-4533-9096-3D8AD7A26F03}"/>
    <cellStyle name="40% - Accent5 2 8 3" xfId="10876" xr:uid="{B9087153-9F87-457C-AD25-C9E6052CDE7A}"/>
    <cellStyle name="40% - Accent5 2 9" xfId="4586" xr:uid="{00000000-0005-0000-0000-000091060000}"/>
    <cellStyle name="40% - Accent5 2 9 2" xfId="13028" xr:uid="{869EE890-AA5B-4E96-8633-D843F26A38AA}"/>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2 2 2" xfId="15592" xr:uid="{6DEADCA2-40D3-4357-A1C8-D1019738E1FE}"/>
    <cellStyle name="40% - Accent5 3 2 2 2 3" xfId="11374" xr:uid="{F78157AE-58C9-4795-850C-E9C24A5414A7}"/>
    <cellStyle name="40% - Accent5 3 2 2 3" xfId="5005" xr:uid="{00000000-0005-0000-0000-000097060000}"/>
    <cellStyle name="40% - Accent5 3 2 2 3 2" xfId="13447" xr:uid="{1F3BB892-CD5D-45D3-9B8D-300BDC074312}"/>
    <cellStyle name="40% - Accent5 3 2 2 4" xfId="9229" xr:uid="{3605B021-0259-4389-8314-D05C5382CBAA}"/>
    <cellStyle name="40% - Accent5 3 2 3" xfId="1109" xr:uid="{00000000-0005-0000-0000-000098060000}"/>
    <cellStyle name="40% - Accent5 3 2 3 2" xfId="3340" xr:uid="{00000000-0005-0000-0000-000099060000}"/>
    <cellStyle name="40% - Accent5 3 2 3 2 2" xfId="7563" xr:uid="{00000000-0005-0000-0000-00009A060000}"/>
    <cellStyle name="40% - Accent5 3 2 3 2 2 2" xfId="16005" xr:uid="{35C9ED4B-F073-4975-815F-B4E00AA58BEB}"/>
    <cellStyle name="40% - Accent5 3 2 3 2 3" xfId="11787" xr:uid="{6BAC5F9F-E109-49EE-BBAB-DFBB88B21B70}"/>
    <cellStyle name="40% - Accent5 3 2 3 3" xfId="5418" xr:uid="{00000000-0005-0000-0000-00009B060000}"/>
    <cellStyle name="40% - Accent5 3 2 3 3 2" xfId="13860" xr:uid="{11882B21-9105-413F-93B8-B18A68440530}"/>
    <cellStyle name="40% - Accent5 3 2 3 4" xfId="9642" xr:uid="{43E43449-EC25-409F-A336-291142D5854F}"/>
    <cellStyle name="40% - Accent5 3 2 4" xfId="1523" xr:uid="{00000000-0005-0000-0000-00009C060000}"/>
    <cellStyle name="40% - Accent5 3 2 4 2" xfId="3753" xr:uid="{00000000-0005-0000-0000-00009D060000}"/>
    <cellStyle name="40% - Accent5 3 2 4 2 2" xfId="7976" xr:uid="{00000000-0005-0000-0000-00009E060000}"/>
    <cellStyle name="40% - Accent5 3 2 4 2 2 2" xfId="16418" xr:uid="{30A68946-04AD-441A-9564-AAFD9E666B94}"/>
    <cellStyle name="40% - Accent5 3 2 4 2 3" xfId="12200" xr:uid="{8BFB3F61-4857-4254-A785-BB3334FF7FF7}"/>
    <cellStyle name="40% - Accent5 3 2 4 3" xfId="5831" xr:uid="{00000000-0005-0000-0000-00009F060000}"/>
    <cellStyle name="40% - Accent5 3 2 4 3 2" xfId="14273" xr:uid="{382B2B97-A1C3-4D6E-A73E-CB6BE07D4F26}"/>
    <cellStyle name="40% - Accent5 3 2 4 4" xfId="10055" xr:uid="{43994B15-3345-4C18-8A4C-148E1DE02859}"/>
    <cellStyle name="40% - Accent5 3 2 5" xfId="1937" xr:uid="{00000000-0005-0000-0000-0000A0060000}"/>
    <cellStyle name="40% - Accent5 3 2 5 2" xfId="4166" xr:uid="{00000000-0005-0000-0000-0000A1060000}"/>
    <cellStyle name="40% - Accent5 3 2 5 2 2" xfId="8389" xr:uid="{00000000-0005-0000-0000-0000A2060000}"/>
    <cellStyle name="40% - Accent5 3 2 5 2 2 2" xfId="16831" xr:uid="{006239DF-91D9-4608-B345-DA272B156851}"/>
    <cellStyle name="40% - Accent5 3 2 5 2 3" xfId="12613" xr:uid="{19A31B22-CA60-413C-87D0-4F1A4CDE7D71}"/>
    <cellStyle name="40% - Accent5 3 2 5 3" xfId="6244" xr:uid="{00000000-0005-0000-0000-0000A3060000}"/>
    <cellStyle name="40% - Accent5 3 2 5 3 2" xfId="14686" xr:uid="{31E30C9F-58B2-48E2-BB6B-A93913E80097}"/>
    <cellStyle name="40% - Accent5 3 2 5 4" xfId="10468" xr:uid="{AAC1D9AD-C7C0-41F7-B411-925845A3F41B}"/>
    <cellStyle name="40% - Accent5 3 2 6" xfId="2350" xr:uid="{00000000-0005-0000-0000-0000A4060000}"/>
    <cellStyle name="40% - Accent5 3 2 6 2" xfId="6657" xr:uid="{00000000-0005-0000-0000-0000A5060000}"/>
    <cellStyle name="40% - Accent5 3 2 6 2 2" xfId="15099" xr:uid="{876C42B9-E40D-4342-889F-5EB897E150CE}"/>
    <cellStyle name="40% - Accent5 3 2 6 3" xfId="10881" xr:uid="{939CE315-5052-4EB2-A721-84718A759EFF}"/>
    <cellStyle name="40% - Accent5 3 2 7" xfId="4591" xr:uid="{00000000-0005-0000-0000-0000A6060000}"/>
    <cellStyle name="40% - Accent5 3 2 7 2" xfId="13033" xr:uid="{8847BA48-24F6-4A30-89A0-35EB8665DFFA}"/>
    <cellStyle name="40% - Accent5 3 2 8" xfId="8815" xr:uid="{7EF2DE2D-9C3A-4995-B612-A79DBF65F40B}"/>
    <cellStyle name="40% - Accent5 3 3" xfId="655" xr:uid="{00000000-0005-0000-0000-0000A7060000}"/>
    <cellStyle name="40% - Accent5 3 3 2" xfId="2926" xr:uid="{00000000-0005-0000-0000-0000A8060000}"/>
    <cellStyle name="40% - Accent5 3 3 2 2" xfId="7149" xr:uid="{00000000-0005-0000-0000-0000A9060000}"/>
    <cellStyle name="40% - Accent5 3 3 2 2 2" xfId="15591" xr:uid="{9FC89EFE-BD67-4EE8-8FE4-EE286A0FD6BF}"/>
    <cellStyle name="40% - Accent5 3 3 2 3" xfId="11373" xr:uid="{F9501CE5-B5FB-41C4-BC09-DB2E88EA72E6}"/>
    <cellStyle name="40% - Accent5 3 3 3" xfId="5004" xr:uid="{00000000-0005-0000-0000-0000AA060000}"/>
    <cellStyle name="40% - Accent5 3 3 3 2" xfId="13446" xr:uid="{48B887CA-B75F-4D0D-AC51-FF2512F600E8}"/>
    <cellStyle name="40% - Accent5 3 3 4" xfId="9228" xr:uid="{5FC1356E-B9EA-428A-9422-32F3273702C1}"/>
    <cellStyle name="40% - Accent5 3 4" xfId="1108" xr:uid="{00000000-0005-0000-0000-0000AB060000}"/>
    <cellStyle name="40% - Accent5 3 4 2" xfId="3339" xr:uid="{00000000-0005-0000-0000-0000AC060000}"/>
    <cellStyle name="40% - Accent5 3 4 2 2" xfId="7562" xr:uid="{00000000-0005-0000-0000-0000AD060000}"/>
    <cellStyle name="40% - Accent5 3 4 2 2 2" xfId="16004" xr:uid="{E7149F3B-40C1-4B70-AF47-CBD737990088}"/>
    <cellStyle name="40% - Accent5 3 4 2 3" xfId="11786" xr:uid="{271A8E78-94CF-4E67-A370-09E6B9724D77}"/>
    <cellStyle name="40% - Accent5 3 4 3" xfId="5417" xr:uid="{00000000-0005-0000-0000-0000AE060000}"/>
    <cellStyle name="40% - Accent5 3 4 3 2" xfId="13859" xr:uid="{EC39FC7D-6C07-4E35-907A-BD64EDC258FF}"/>
    <cellStyle name="40% - Accent5 3 4 4" xfId="9641" xr:uid="{F09316D7-3A45-4460-8F62-60B6B174E667}"/>
    <cellStyle name="40% - Accent5 3 5" xfId="1522" xr:uid="{00000000-0005-0000-0000-0000AF060000}"/>
    <cellStyle name="40% - Accent5 3 5 2" xfId="3752" xr:uid="{00000000-0005-0000-0000-0000B0060000}"/>
    <cellStyle name="40% - Accent5 3 5 2 2" xfId="7975" xr:uid="{00000000-0005-0000-0000-0000B1060000}"/>
    <cellStyle name="40% - Accent5 3 5 2 2 2" xfId="16417" xr:uid="{751CA8EF-CB84-4ABA-9138-363EF7A484D7}"/>
    <cellStyle name="40% - Accent5 3 5 2 3" xfId="12199" xr:uid="{18E10E13-70C9-46A2-B28D-9C6C7E1D7316}"/>
    <cellStyle name="40% - Accent5 3 5 3" xfId="5830" xr:uid="{00000000-0005-0000-0000-0000B2060000}"/>
    <cellStyle name="40% - Accent5 3 5 3 2" xfId="14272" xr:uid="{3072778C-AE61-4CD5-A98B-A823994C4D73}"/>
    <cellStyle name="40% - Accent5 3 5 4" xfId="10054" xr:uid="{DA6055D4-3845-42C9-8A61-6EE875B75536}"/>
    <cellStyle name="40% - Accent5 3 6" xfId="1936" xr:uid="{00000000-0005-0000-0000-0000B3060000}"/>
    <cellStyle name="40% - Accent5 3 6 2" xfId="4165" xr:uid="{00000000-0005-0000-0000-0000B4060000}"/>
    <cellStyle name="40% - Accent5 3 6 2 2" xfId="8388" xr:uid="{00000000-0005-0000-0000-0000B5060000}"/>
    <cellStyle name="40% - Accent5 3 6 2 2 2" xfId="16830" xr:uid="{515B0B18-96FA-4FFC-887B-98CF996FC1E7}"/>
    <cellStyle name="40% - Accent5 3 6 2 3" xfId="12612" xr:uid="{5746D3D5-B12B-4099-8D03-DCDB630F508E}"/>
    <cellStyle name="40% - Accent5 3 6 3" xfId="6243" xr:uid="{00000000-0005-0000-0000-0000B6060000}"/>
    <cellStyle name="40% - Accent5 3 6 3 2" xfId="14685" xr:uid="{B3CCEC7E-0CAD-49EB-92BE-4234214AA2C8}"/>
    <cellStyle name="40% - Accent5 3 6 4" xfId="10467" xr:uid="{BE64D10C-801B-4510-ADE5-93D0F910BAE1}"/>
    <cellStyle name="40% - Accent5 3 7" xfId="2349" xr:uid="{00000000-0005-0000-0000-0000B7060000}"/>
    <cellStyle name="40% - Accent5 3 7 2" xfId="6656" xr:uid="{00000000-0005-0000-0000-0000B8060000}"/>
    <cellStyle name="40% - Accent5 3 7 2 2" xfId="15098" xr:uid="{4B4C6D86-627A-42C8-B8C3-6D82AEBB245F}"/>
    <cellStyle name="40% - Accent5 3 7 3" xfId="10880" xr:uid="{99FBF823-A6C4-40D4-978F-B45B0A4472AD}"/>
    <cellStyle name="40% - Accent5 3 8" xfId="4590" xr:uid="{00000000-0005-0000-0000-0000B9060000}"/>
    <cellStyle name="40% - Accent5 3 8 2" xfId="13032" xr:uid="{E2CF67B4-DDCD-4429-8729-1B4BA723EB7E}"/>
    <cellStyle name="40% - Accent5 3 9" xfId="8814" xr:uid="{67966A6F-CEE6-48E0-8814-D2407E75B5B5}"/>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2 2 2" xfId="15593" xr:uid="{B776D6BE-9136-4DCD-9969-BC1B8596200F}"/>
    <cellStyle name="40% - Accent5 4 2 2 3" xfId="11375" xr:uid="{44B6E7A5-A120-432D-A8F8-1E9C70555B32}"/>
    <cellStyle name="40% - Accent5 4 2 3" xfId="5006" xr:uid="{00000000-0005-0000-0000-0000BE060000}"/>
    <cellStyle name="40% - Accent5 4 2 3 2" xfId="13448" xr:uid="{3DB7FCB1-1504-4CB4-9FF7-BF46E43CD31A}"/>
    <cellStyle name="40% - Accent5 4 2 4" xfId="9230" xr:uid="{819FF9FA-7F1F-43C7-84CF-F178D882109D}"/>
    <cellStyle name="40% - Accent5 4 3" xfId="1110" xr:uid="{00000000-0005-0000-0000-0000BF060000}"/>
    <cellStyle name="40% - Accent5 4 3 2" xfId="3341" xr:uid="{00000000-0005-0000-0000-0000C0060000}"/>
    <cellStyle name="40% - Accent5 4 3 2 2" xfId="7564" xr:uid="{00000000-0005-0000-0000-0000C1060000}"/>
    <cellStyle name="40% - Accent5 4 3 2 2 2" xfId="16006" xr:uid="{E67F6E25-DE99-45B4-8288-E4535B314C51}"/>
    <cellStyle name="40% - Accent5 4 3 2 3" xfId="11788" xr:uid="{9F94E9C7-FA4B-415A-B301-19C2E06EDCF5}"/>
    <cellStyle name="40% - Accent5 4 3 3" xfId="5419" xr:uid="{00000000-0005-0000-0000-0000C2060000}"/>
    <cellStyle name="40% - Accent5 4 3 3 2" xfId="13861" xr:uid="{15A10184-6796-4B21-BC97-C1F77F7BDDA3}"/>
    <cellStyle name="40% - Accent5 4 3 4" xfId="9643" xr:uid="{DADB24A7-19E3-4A10-869D-267C2A712F7D}"/>
    <cellStyle name="40% - Accent5 4 4" xfId="1524" xr:uid="{00000000-0005-0000-0000-0000C3060000}"/>
    <cellStyle name="40% - Accent5 4 4 2" xfId="3754" xr:uid="{00000000-0005-0000-0000-0000C4060000}"/>
    <cellStyle name="40% - Accent5 4 4 2 2" xfId="7977" xr:uid="{00000000-0005-0000-0000-0000C5060000}"/>
    <cellStyle name="40% - Accent5 4 4 2 2 2" xfId="16419" xr:uid="{E63FA1C3-A9ED-4C17-87E7-8195B7570038}"/>
    <cellStyle name="40% - Accent5 4 4 2 3" xfId="12201" xr:uid="{3A48DF15-F117-456C-B6A3-8B01864FDF11}"/>
    <cellStyle name="40% - Accent5 4 4 3" xfId="5832" xr:uid="{00000000-0005-0000-0000-0000C6060000}"/>
    <cellStyle name="40% - Accent5 4 4 3 2" xfId="14274" xr:uid="{F6DDDB96-2409-4B6D-8678-D788CD78C171}"/>
    <cellStyle name="40% - Accent5 4 4 4" xfId="10056" xr:uid="{6CDDABF1-AA09-40A6-9964-CD97C1BA33C0}"/>
    <cellStyle name="40% - Accent5 4 5" xfId="1938" xr:uid="{00000000-0005-0000-0000-0000C7060000}"/>
    <cellStyle name="40% - Accent5 4 5 2" xfId="4167" xr:uid="{00000000-0005-0000-0000-0000C8060000}"/>
    <cellStyle name="40% - Accent5 4 5 2 2" xfId="8390" xr:uid="{00000000-0005-0000-0000-0000C9060000}"/>
    <cellStyle name="40% - Accent5 4 5 2 2 2" xfId="16832" xr:uid="{7860BF07-8FD7-4DD4-89FB-40E679BD779E}"/>
    <cellStyle name="40% - Accent5 4 5 2 3" xfId="12614" xr:uid="{AAB6F53C-BC50-424D-9686-7F9584288725}"/>
    <cellStyle name="40% - Accent5 4 5 3" xfId="6245" xr:uid="{00000000-0005-0000-0000-0000CA060000}"/>
    <cellStyle name="40% - Accent5 4 5 3 2" xfId="14687" xr:uid="{40115EDA-729C-42B4-A63F-0E5BFF04DD0D}"/>
    <cellStyle name="40% - Accent5 4 5 4" xfId="10469" xr:uid="{CB809E3F-E4E3-4A9A-BE1A-9D3C04B309B0}"/>
    <cellStyle name="40% - Accent5 4 6" xfId="2351" xr:uid="{00000000-0005-0000-0000-0000CB060000}"/>
    <cellStyle name="40% - Accent5 4 6 2" xfId="6658" xr:uid="{00000000-0005-0000-0000-0000CC060000}"/>
    <cellStyle name="40% - Accent5 4 6 2 2" xfId="15100" xr:uid="{F1F9D7FB-C649-4D26-9A4E-3DA72E4A499E}"/>
    <cellStyle name="40% - Accent5 4 6 3" xfId="10882" xr:uid="{2C3753F8-D1B3-4154-917F-EAB70EDC15F3}"/>
    <cellStyle name="40% - Accent5 4 7" xfId="4592" xr:uid="{00000000-0005-0000-0000-0000CD060000}"/>
    <cellStyle name="40% - Accent5 4 7 2" xfId="13034" xr:uid="{FE5765A2-B114-4044-B6CE-6F93778A9F66}"/>
    <cellStyle name="40% - Accent5 4 8" xfId="8816" xr:uid="{BB7A6421-4B3B-4F27-AE79-B9BDA83BDD66}"/>
    <cellStyle name="40% - Accent5 5" xfId="650" xr:uid="{00000000-0005-0000-0000-0000CE060000}"/>
    <cellStyle name="40% - Accent5 5 2" xfId="2921" xr:uid="{00000000-0005-0000-0000-0000CF060000}"/>
    <cellStyle name="40% - Accent5 5 2 2" xfId="7144" xr:uid="{00000000-0005-0000-0000-0000D0060000}"/>
    <cellStyle name="40% - Accent5 5 2 2 2" xfId="15586" xr:uid="{F39576DA-34DA-49E5-9426-CA72670DFD12}"/>
    <cellStyle name="40% - Accent5 5 2 3" xfId="11368" xr:uid="{C3805CD3-6CAC-4307-AA99-047F47696688}"/>
    <cellStyle name="40% - Accent5 5 3" xfId="4999" xr:uid="{00000000-0005-0000-0000-0000D1060000}"/>
    <cellStyle name="40% - Accent5 5 3 2" xfId="13441" xr:uid="{E29438A8-25D3-475E-A77A-8134AE6EC1E6}"/>
    <cellStyle name="40% - Accent5 5 4" xfId="9223" xr:uid="{B398C1DF-D6CE-4276-8377-28F24AABC7C9}"/>
    <cellStyle name="40% - Accent5 6" xfId="1103" xr:uid="{00000000-0005-0000-0000-0000D2060000}"/>
    <cellStyle name="40% - Accent5 6 2" xfId="3334" xr:uid="{00000000-0005-0000-0000-0000D3060000}"/>
    <cellStyle name="40% - Accent5 6 2 2" xfId="7557" xr:uid="{00000000-0005-0000-0000-0000D4060000}"/>
    <cellStyle name="40% - Accent5 6 2 2 2" xfId="15999" xr:uid="{074F9AEA-6260-4D5A-8EAC-6A114781A62F}"/>
    <cellStyle name="40% - Accent5 6 2 3" xfId="11781" xr:uid="{B2A4C3BB-C359-43B8-81D2-07F27D753E2E}"/>
    <cellStyle name="40% - Accent5 6 3" xfId="5412" xr:uid="{00000000-0005-0000-0000-0000D5060000}"/>
    <cellStyle name="40% - Accent5 6 3 2" xfId="13854" xr:uid="{3F854E5A-089B-4E48-878E-62827A836F44}"/>
    <cellStyle name="40% - Accent5 6 4" xfId="9636" xr:uid="{3EBBA717-6399-42B8-8E78-D6046BEEE130}"/>
    <cellStyle name="40% - Accent5 7" xfId="1517" xr:uid="{00000000-0005-0000-0000-0000D6060000}"/>
    <cellStyle name="40% - Accent5 7 2" xfId="3747" xr:uid="{00000000-0005-0000-0000-0000D7060000}"/>
    <cellStyle name="40% - Accent5 7 2 2" xfId="7970" xr:uid="{00000000-0005-0000-0000-0000D8060000}"/>
    <cellStyle name="40% - Accent5 7 2 2 2" xfId="16412" xr:uid="{546FA64B-F67B-4366-8296-C3EB34D1C991}"/>
    <cellStyle name="40% - Accent5 7 2 3" xfId="12194" xr:uid="{A6707D45-A46B-4BB4-A4E3-187B48D4E45C}"/>
    <cellStyle name="40% - Accent5 7 3" xfId="5825" xr:uid="{00000000-0005-0000-0000-0000D9060000}"/>
    <cellStyle name="40% - Accent5 7 3 2" xfId="14267" xr:uid="{E880E4D6-C983-4D27-BA46-0005BC72DE0D}"/>
    <cellStyle name="40% - Accent5 7 4" xfId="10049" xr:uid="{FBFC3740-B19C-4888-8F7C-D11243E69DEE}"/>
    <cellStyle name="40% - Accent5 8" xfId="1931" xr:uid="{00000000-0005-0000-0000-0000DA060000}"/>
    <cellStyle name="40% - Accent5 8 2" xfId="4160" xr:uid="{00000000-0005-0000-0000-0000DB060000}"/>
    <cellStyle name="40% - Accent5 8 2 2" xfId="8383" xr:uid="{00000000-0005-0000-0000-0000DC060000}"/>
    <cellStyle name="40% - Accent5 8 2 2 2" xfId="16825" xr:uid="{634D14AB-9E8D-4233-BD52-A72B5AFB6E9A}"/>
    <cellStyle name="40% - Accent5 8 2 3" xfId="12607" xr:uid="{01D38C0B-63CD-4BFB-B3C8-8351BF265660}"/>
    <cellStyle name="40% - Accent5 8 3" xfId="6238" xr:uid="{00000000-0005-0000-0000-0000DD060000}"/>
    <cellStyle name="40% - Accent5 8 3 2" xfId="14680" xr:uid="{688F8253-160D-4579-87AA-FF7CF8A7ADFB}"/>
    <cellStyle name="40% - Accent5 8 4" xfId="10462" xr:uid="{4C4A786B-E5E9-4BE0-8EDA-5595E6ADC0BE}"/>
    <cellStyle name="40% - Accent5 9" xfId="2344" xr:uid="{00000000-0005-0000-0000-0000DE060000}"/>
    <cellStyle name="40% - Accent5 9 2" xfId="6651" xr:uid="{00000000-0005-0000-0000-0000DF060000}"/>
    <cellStyle name="40% - Accent5 9 2 2" xfId="15093" xr:uid="{006D5E58-DF01-45EF-908B-4C1D7DE34E76}"/>
    <cellStyle name="40% - Accent5 9 3" xfId="10875" xr:uid="{5B14700A-F60F-4687-BAC1-31FFD1A020C2}"/>
    <cellStyle name="40% - Accent6" xfId="89" builtinId="51" customBuiltin="1"/>
    <cellStyle name="40% - Accent6 10" xfId="4593" xr:uid="{00000000-0005-0000-0000-0000E1060000}"/>
    <cellStyle name="40% - Accent6 10 2" xfId="13035" xr:uid="{8CB6DA05-F8A5-4384-8123-EB5458A6F2EA}"/>
    <cellStyle name="40% - Accent6 11" xfId="8817" xr:uid="{2D20C52D-16DA-41DE-8CE5-160FED2033BE}"/>
    <cellStyle name="40% - Accent6 2" xfId="90" xr:uid="{00000000-0005-0000-0000-0000E2060000}"/>
    <cellStyle name="40% - Accent6 2 10" xfId="8818" xr:uid="{4584EAA5-065E-49CF-87D1-EB8C4321F053}"/>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2 2 2" xfId="15597" xr:uid="{5B5310A7-324F-4268-B966-6E038D0A2F99}"/>
    <cellStyle name="40% - Accent6 2 2 2 2 2 3" xfId="11379" xr:uid="{34840FE3-AF88-4A65-8690-D2E1319D3761}"/>
    <cellStyle name="40% - Accent6 2 2 2 2 3" xfId="5010" xr:uid="{00000000-0005-0000-0000-0000E8060000}"/>
    <cellStyle name="40% - Accent6 2 2 2 2 3 2" xfId="13452" xr:uid="{49634F5E-B5FB-4D43-97F2-6EFAD4D4E03F}"/>
    <cellStyle name="40% - Accent6 2 2 2 2 4" xfId="9234" xr:uid="{12AC3831-A136-4CC0-A023-0D9439A3B9FE}"/>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2 2 2" xfId="16010" xr:uid="{F51E84F2-3362-4BDE-8489-27299CA7E54F}"/>
    <cellStyle name="40% - Accent6 2 2 2 3 2 3" xfId="11792" xr:uid="{32B46FA2-F0D4-4404-A8CE-42A463C879B9}"/>
    <cellStyle name="40% - Accent6 2 2 2 3 3" xfId="5423" xr:uid="{00000000-0005-0000-0000-0000EC060000}"/>
    <cellStyle name="40% - Accent6 2 2 2 3 3 2" xfId="13865" xr:uid="{249754E9-4AFA-474F-AE25-EC3B834DC1A2}"/>
    <cellStyle name="40% - Accent6 2 2 2 3 4" xfId="9647" xr:uid="{0E73823B-DFDC-4A26-A1C5-ED8BD038AA09}"/>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2 2 2" xfId="16423" xr:uid="{A6E9182C-B83C-4564-9246-70EF4DF44797}"/>
    <cellStyle name="40% - Accent6 2 2 2 4 2 3" xfId="12205" xr:uid="{35E057F2-0F02-4A50-AB8B-31B46DE2EB07}"/>
    <cellStyle name="40% - Accent6 2 2 2 4 3" xfId="5836" xr:uid="{00000000-0005-0000-0000-0000F0060000}"/>
    <cellStyle name="40% - Accent6 2 2 2 4 3 2" xfId="14278" xr:uid="{9A523B3C-4340-491B-BBC8-6A2E5E22F1CD}"/>
    <cellStyle name="40% - Accent6 2 2 2 4 4" xfId="10060" xr:uid="{F838FBB5-DA33-4DE7-A7BE-A1FAE6ECAF3B}"/>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2 2 2" xfId="16836" xr:uid="{67AB718B-FF50-4033-8E56-1B17ABD86491}"/>
    <cellStyle name="40% - Accent6 2 2 2 5 2 3" xfId="12618" xr:uid="{24CB731D-115A-418C-AD6B-56E2AE2BDB8F}"/>
    <cellStyle name="40% - Accent6 2 2 2 5 3" xfId="6249" xr:uid="{00000000-0005-0000-0000-0000F4060000}"/>
    <cellStyle name="40% - Accent6 2 2 2 5 3 2" xfId="14691" xr:uid="{DA3B2F9B-E078-4982-9187-B4792DED3CB4}"/>
    <cellStyle name="40% - Accent6 2 2 2 5 4" xfId="10473" xr:uid="{50ABC4FD-2651-458A-8B1B-40495FCDB700}"/>
    <cellStyle name="40% - Accent6 2 2 2 6" xfId="2355" xr:uid="{00000000-0005-0000-0000-0000F5060000}"/>
    <cellStyle name="40% - Accent6 2 2 2 6 2" xfId="6662" xr:uid="{00000000-0005-0000-0000-0000F6060000}"/>
    <cellStyle name="40% - Accent6 2 2 2 6 2 2" xfId="15104" xr:uid="{F46D082B-ECF3-4911-ACB2-501CF191DFBD}"/>
    <cellStyle name="40% - Accent6 2 2 2 6 3" xfId="10886" xr:uid="{03AAF216-7927-4001-8D89-975980BB65F5}"/>
    <cellStyle name="40% - Accent6 2 2 2 7" xfId="4596" xr:uid="{00000000-0005-0000-0000-0000F7060000}"/>
    <cellStyle name="40% - Accent6 2 2 2 7 2" xfId="13038" xr:uid="{D2E89293-3BE5-4F67-907A-245A8DC81E54}"/>
    <cellStyle name="40% - Accent6 2 2 2 8" xfId="8820" xr:uid="{A3E98BDD-0A40-4F7C-9A11-2D0CB723599B}"/>
    <cellStyle name="40% - Accent6 2 2 3" xfId="660" xr:uid="{00000000-0005-0000-0000-0000F8060000}"/>
    <cellStyle name="40% - Accent6 2 2 3 2" xfId="2931" xr:uid="{00000000-0005-0000-0000-0000F9060000}"/>
    <cellStyle name="40% - Accent6 2 2 3 2 2" xfId="7154" xr:uid="{00000000-0005-0000-0000-0000FA060000}"/>
    <cellStyle name="40% - Accent6 2 2 3 2 2 2" xfId="15596" xr:uid="{811B8752-8305-4914-9C61-7E5C097A8C60}"/>
    <cellStyle name="40% - Accent6 2 2 3 2 3" xfId="11378" xr:uid="{DDA7630D-1067-4BC0-AA12-B0665B88F620}"/>
    <cellStyle name="40% - Accent6 2 2 3 3" xfId="5009" xr:uid="{00000000-0005-0000-0000-0000FB060000}"/>
    <cellStyle name="40% - Accent6 2 2 3 3 2" xfId="13451" xr:uid="{6CF9BF86-FD01-4B98-90E3-244ACBF4678C}"/>
    <cellStyle name="40% - Accent6 2 2 3 4" xfId="9233" xr:uid="{4F5527A9-EBCC-4EAB-915C-A6C801892D98}"/>
    <cellStyle name="40% - Accent6 2 2 4" xfId="1113" xr:uid="{00000000-0005-0000-0000-0000FC060000}"/>
    <cellStyle name="40% - Accent6 2 2 4 2" xfId="3344" xr:uid="{00000000-0005-0000-0000-0000FD060000}"/>
    <cellStyle name="40% - Accent6 2 2 4 2 2" xfId="7567" xr:uid="{00000000-0005-0000-0000-0000FE060000}"/>
    <cellStyle name="40% - Accent6 2 2 4 2 2 2" xfId="16009" xr:uid="{667C25B3-6B83-485F-BED4-5793A70119E6}"/>
    <cellStyle name="40% - Accent6 2 2 4 2 3" xfId="11791" xr:uid="{75465D62-D30F-46EE-9314-7C435FB2BFC9}"/>
    <cellStyle name="40% - Accent6 2 2 4 3" xfId="5422" xr:uid="{00000000-0005-0000-0000-0000FF060000}"/>
    <cellStyle name="40% - Accent6 2 2 4 3 2" xfId="13864" xr:uid="{E7C22480-B434-4B66-8C24-443E3C82B6A7}"/>
    <cellStyle name="40% - Accent6 2 2 4 4" xfId="9646" xr:uid="{1EBE7C8C-6778-4510-A333-76C8892AF3EC}"/>
    <cellStyle name="40% - Accent6 2 2 5" xfId="1527" xr:uid="{00000000-0005-0000-0000-000000070000}"/>
    <cellStyle name="40% - Accent6 2 2 5 2" xfId="3757" xr:uid="{00000000-0005-0000-0000-000001070000}"/>
    <cellStyle name="40% - Accent6 2 2 5 2 2" xfId="7980" xr:uid="{00000000-0005-0000-0000-000002070000}"/>
    <cellStyle name="40% - Accent6 2 2 5 2 2 2" xfId="16422" xr:uid="{113F5BB0-7E33-440A-A8A1-7E3FDDA08BF4}"/>
    <cellStyle name="40% - Accent6 2 2 5 2 3" xfId="12204" xr:uid="{386C877D-3801-4246-8672-C4266BAE929F}"/>
    <cellStyle name="40% - Accent6 2 2 5 3" xfId="5835" xr:uid="{00000000-0005-0000-0000-000003070000}"/>
    <cellStyle name="40% - Accent6 2 2 5 3 2" xfId="14277" xr:uid="{AAA0C33B-FE86-4F7A-8313-D7B276C3BC2D}"/>
    <cellStyle name="40% - Accent6 2 2 5 4" xfId="10059" xr:uid="{D530A4D4-F207-4F2D-ABEF-0A50FDE9C77E}"/>
    <cellStyle name="40% - Accent6 2 2 6" xfId="1941" xr:uid="{00000000-0005-0000-0000-000004070000}"/>
    <cellStyle name="40% - Accent6 2 2 6 2" xfId="4170" xr:uid="{00000000-0005-0000-0000-000005070000}"/>
    <cellStyle name="40% - Accent6 2 2 6 2 2" xfId="8393" xr:uid="{00000000-0005-0000-0000-000006070000}"/>
    <cellStyle name="40% - Accent6 2 2 6 2 2 2" xfId="16835" xr:uid="{CB4BAFF0-DCCF-4B5E-B517-0B56721B367D}"/>
    <cellStyle name="40% - Accent6 2 2 6 2 3" xfId="12617" xr:uid="{B5179931-DE28-4B13-9F7C-585D6294BA86}"/>
    <cellStyle name="40% - Accent6 2 2 6 3" xfId="6248" xr:uid="{00000000-0005-0000-0000-000007070000}"/>
    <cellStyle name="40% - Accent6 2 2 6 3 2" xfId="14690" xr:uid="{D42FB917-E0F2-494B-B855-DF8624343E3A}"/>
    <cellStyle name="40% - Accent6 2 2 6 4" xfId="10472" xr:uid="{1EC045F4-6196-43C7-AA53-641547D99904}"/>
    <cellStyle name="40% - Accent6 2 2 7" xfId="2354" xr:uid="{00000000-0005-0000-0000-000008070000}"/>
    <cellStyle name="40% - Accent6 2 2 7 2" xfId="6661" xr:uid="{00000000-0005-0000-0000-000009070000}"/>
    <cellStyle name="40% - Accent6 2 2 7 2 2" xfId="15103" xr:uid="{B9301A5F-5E24-4F02-A6FA-14F336C02591}"/>
    <cellStyle name="40% - Accent6 2 2 7 3" xfId="10885" xr:uid="{6EF9181A-6EF4-4A75-B298-84D6EF97E939}"/>
    <cellStyle name="40% - Accent6 2 2 8" xfId="4595" xr:uid="{00000000-0005-0000-0000-00000A070000}"/>
    <cellStyle name="40% - Accent6 2 2 8 2" xfId="13037" xr:uid="{39F87992-CFA1-4A1B-937D-21981ABD46D9}"/>
    <cellStyle name="40% - Accent6 2 2 9" xfId="8819" xr:uid="{0F7C3CA6-F1BB-44F1-B057-B7A5D0FA3E9C}"/>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2 2 2" xfId="15598" xr:uid="{323AA228-2259-4E33-A162-69EF94B1803D}"/>
    <cellStyle name="40% - Accent6 2 3 2 2 3" xfId="11380" xr:uid="{06BDDB3D-1743-4DED-B77A-42EE538D2BE9}"/>
    <cellStyle name="40% - Accent6 2 3 2 3" xfId="5011" xr:uid="{00000000-0005-0000-0000-00000F070000}"/>
    <cellStyle name="40% - Accent6 2 3 2 3 2" xfId="13453" xr:uid="{81AE2559-AD81-4788-9484-80D627FCD3F0}"/>
    <cellStyle name="40% - Accent6 2 3 2 4" xfId="9235" xr:uid="{A93CB3E7-4FF1-4AEB-BD48-23C656972597}"/>
    <cellStyle name="40% - Accent6 2 3 3" xfId="1115" xr:uid="{00000000-0005-0000-0000-000010070000}"/>
    <cellStyle name="40% - Accent6 2 3 3 2" xfId="3346" xr:uid="{00000000-0005-0000-0000-000011070000}"/>
    <cellStyle name="40% - Accent6 2 3 3 2 2" xfId="7569" xr:uid="{00000000-0005-0000-0000-000012070000}"/>
    <cellStyle name="40% - Accent6 2 3 3 2 2 2" xfId="16011" xr:uid="{B7041BD3-1E09-412D-8432-98EABDFD2405}"/>
    <cellStyle name="40% - Accent6 2 3 3 2 3" xfId="11793" xr:uid="{AF571256-329A-4B8E-AC20-13241512A538}"/>
    <cellStyle name="40% - Accent6 2 3 3 3" xfId="5424" xr:uid="{00000000-0005-0000-0000-000013070000}"/>
    <cellStyle name="40% - Accent6 2 3 3 3 2" xfId="13866" xr:uid="{D7F5E2E0-AF60-4AF6-9AF6-DD5B0155DE70}"/>
    <cellStyle name="40% - Accent6 2 3 3 4" xfId="9648" xr:uid="{0C27AE02-9929-4A7A-A530-EE1C1EE6DB38}"/>
    <cellStyle name="40% - Accent6 2 3 4" xfId="1529" xr:uid="{00000000-0005-0000-0000-000014070000}"/>
    <cellStyle name="40% - Accent6 2 3 4 2" xfId="3759" xr:uid="{00000000-0005-0000-0000-000015070000}"/>
    <cellStyle name="40% - Accent6 2 3 4 2 2" xfId="7982" xr:uid="{00000000-0005-0000-0000-000016070000}"/>
    <cellStyle name="40% - Accent6 2 3 4 2 2 2" xfId="16424" xr:uid="{49214EA6-B918-4F89-8D4E-8998F7501E60}"/>
    <cellStyle name="40% - Accent6 2 3 4 2 3" xfId="12206" xr:uid="{379DBFE1-EB7F-4889-87A1-FE4C4986A970}"/>
    <cellStyle name="40% - Accent6 2 3 4 3" xfId="5837" xr:uid="{00000000-0005-0000-0000-000017070000}"/>
    <cellStyle name="40% - Accent6 2 3 4 3 2" xfId="14279" xr:uid="{AD67CDAB-82E5-466B-BF7F-3B1A36826AA5}"/>
    <cellStyle name="40% - Accent6 2 3 4 4" xfId="10061" xr:uid="{E7695071-A09C-47E5-BF7B-E1E5871A5FCF}"/>
    <cellStyle name="40% - Accent6 2 3 5" xfId="1943" xr:uid="{00000000-0005-0000-0000-000018070000}"/>
    <cellStyle name="40% - Accent6 2 3 5 2" xfId="4172" xr:uid="{00000000-0005-0000-0000-000019070000}"/>
    <cellStyle name="40% - Accent6 2 3 5 2 2" xfId="8395" xr:uid="{00000000-0005-0000-0000-00001A070000}"/>
    <cellStyle name="40% - Accent6 2 3 5 2 2 2" xfId="16837" xr:uid="{CEBEFF3D-35BE-4DC1-8703-D588CC4769E6}"/>
    <cellStyle name="40% - Accent6 2 3 5 2 3" xfId="12619" xr:uid="{139F0A47-7997-4EA3-8281-C922AF69EA54}"/>
    <cellStyle name="40% - Accent6 2 3 5 3" xfId="6250" xr:uid="{00000000-0005-0000-0000-00001B070000}"/>
    <cellStyle name="40% - Accent6 2 3 5 3 2" xfId="14692" xr:uid="{E5CC7042-DE2B-4B4F-A667-B45F5511D8BE}"/>
    <cellStyle name="40% - Accent6 2 3 5 4" xfId="10474" xr:uid="{876B08D0-66DB-4BB3-A488-F69217E8BAC2}"/>
    <cellStyle name="40% - Accent6 2 3 6" xfId="2356" xr:uid="{00000000-0005-0000-0000-00001C070000}"/>
    <cellStyle name="40% - Accent6 2 3 6 2" xfId="6663" xr:uid="{00000000-0005-0000-0000-00001D070000}"/>
    <cellStyle name="40% - Accent6 2 3 6 2 2" xfId="15105" xr:uid="{19E9F15A-C64E-42E3-8893-1669FB2E4677}"/>
    <cellStyle name="40% - Accent6 2 3 6 3" xfId="10887" xr:uid="{281559EA-B22C-4CC0-AAC1-B106D55891FD}"/>
    <cellStyle name="40% - Accent6 2 3 7" xfId="4597" xr:uid="{00000000-0005-0000-0000-00001E070000}"/>
    <cellStyle name="40% - Accent6 2 3 7 2" xfId="13039" xr:uid="{0EA78B29-73D6-4789-8248-E90B0725E67B}"/>
    <cellStyle name="40% - Accent6 2 3 8" xfId="8821" xr:uid="{2555D6C9-6335-4A09-9363-3C45A3A0898A}"/>
    <cellStyle name="40% - Accent6 2 4" xfId="659" xr:uid="{00000000-0005-0000-0000-00001F070000}"/>
    <cellStyle name="40% - Accent6 2 4 2" xfId="2930" xr:uid="{00000000-0005-0000-0000-000020070000}"/>
    <cellStyle name="40% - Accent6 2 4 2 2" xfId="7153" xr:uid="{00000000-0005-0000-0000-000021070000}"/>
    <cellStyle name="40% - Accent6 2 4 2 2 2" xfId="15595" xr:uid="{50AE861B-F5B3-4391-96E7-DA9030CF4A8A}"/>
    <cellStyle name="40% - Accent6 2 4 2 3" xfId="11377" xr:uid="{1FB2ABB9-E736-4071-B86A-EDFE78696B6E}"/>
    <cellStyle name="40% - Accent6 2 4 3" xfId="5008" xr:uid="{00000000-0005-0000-0000-000022070000}"/>
    <cellStyle name="40% - Accent6 2 4 3 2" xfId="13450" xr:uid="{87CB2862-C33E-4884-A2C1-ED9CDC6183C8}"/>
    <cellStyle name="40% - Accent6 2 4 4" xfId="9232" xr:uid="{2589E5E2-5086-4A72-A5ED-4EED41BE7391}"/>
    <cellStyle name="40% - Accent6 2 5" xfId="1112" xr:uid="{00000000-0005-0000-0000-000023070000}"/>
    <cellStyle name="40% - Accent6 2 5 2" xfId="3343" xr:uid="{00000000-0005-0000-0000-000024070000}"/>
    <cellStyle name="40% - Accent6 2 5 2 2" xfId="7566" xr:uid="{00000000-0005-0000-0000-000025070000}"/>
    <cellStyle name="40% - Accent6 2 5 2 2 2" xfId="16008" xr:uid="{2D295270-05A0-46DD-9A73-BB6468A210E1}"/>
    <cellStyle name="40% - Accent6 2 5 2 3" xfId="11790" xr:uid="{5AA0589E-2391-43D5-A8F9-01E10099A116}"/>
    <cellStyle name="40% - Accent6 2 5 3" xfId="5421" xr:uid="{00000000-0005-0000-0000-000026070000}"/>
    <cellStyle name="40% - Accent6 2 5 3 2" xfId="13863" xr:uid="{EA632C46-D432-4348-A769-0C85CB9AE4EA}"/>
    <cellStyle name="40% - Accent6 2 5 4" xfId="9645" xr:uid="{7592350E-C4C6-4BBC-B729-3C73D0D9CD92}"/>
    <cellStyle name="40% - Accent6 2 6" xfId="1526" xr:uid="{00000000-0005-0000-0000-000027070000}"/>
    <cellStyle name="40% - Accent6 2 6 2" xfId="3756" xr:uid="{00000000-0005-0000-0000-000028070000}"/>
    <cellStyle name="40% - Accent6 2 6 2 2" xfId="7979" xr:uid="{00000000-0005-0000-0000-000029070000}"/>
    <cellStyle name="40% - Accent6 2 6 2 2 2" xfId="16421" xr:uid="{D0589237-B839-4857-ACE7-EE04C157AFC4}"/>
    <cellStyle name="40% - Accent6 2 6 2 3" xfId="12203" xr:uid="{F2E95CC9-167E-467B-A849-8C2A56E40BC9}"/>
    <cellStyle name="40% - Accent6 2 6 3" xfId="5834" xr:uid="{00000000-0005-0000-0000-00002A070000}"/>
    <cellStyle name="40% - Accent6 2 6 3 2" xfId="14276" xr:uid="{2E07B8E2-9AA3-41F3-9B04-613C0709DF40}"/>
    <cellStyle name="40% - Accent6 2 6 4" xfId="10058" xr:uid="{12D59454-5224-4CF9-AAB9-97A7E48C92F3}"/>
    <cellStyle name="40% - Accent6 2 7" xfId="1940" xr:uid="{00000000-0005-0000-0000-00002B070000}"/>
    <cellStyle name="40% - Accent6 2 7 2" xfId="4169" xr:uid="{00000000-0005-0000-0000-00002C070000}"/>
    <cellStyle name="40% - Accent6 2 7 2 2" xfId="8392" xr:uid="{00000000-0005-0000-0000-00002D070000}"/>
    <cellStyle name="40% - Accent6 2 7 2 2 2" xfId="16834" xr:uid="{7ED7605A-AD80-4D94-95CE-913715701F64}"/>
    <cellStyle name="40% - Accent6 2 7 2 3" xfId="12616" xr:uid="{63A9E251-B757-4052-A7A4-01C257490027}"/>
    <cellStyle name="40% - Accent6 2 7 3" xfId="6247" xr:uid="{00000000-0005-0000-0000-00002E070000}"/>
    <cellStyle name="40% - Accent6 2 7 3 2" xfId="14689" xr:uid="{1AA54DED-A21C-4C2B-AF80-6D2D61F7B839}"/>
    <cellStyle name="40% - Accent6 2 7 4" xfId="10471" xr:uid="{636D64D5-8939-421A-99D2-7485C6D71B00}"/>
    <cellStyle name="40% - Accent6 2 8" xfId="2353" xr:uid="{00000000-0005-0000-0000-00002F070000}"/>
    <cellStyle name="40% - Accent6 2 8 2" xfId="6660" xr:uid="{00000000-0005-0000-0000-000030070000}"/>
    <cellStyle name="40% - Accent6 2 8 2 2" xfId="15102" xr:uid="{E7E0366B-2D4D-4F6D-8A14-18D56D3E457B}"/>
    <cellStyle name="40% - Accent6 2 8 3" xfId="10884" xr:uid="{498250E6-A4CA-4C4E-AD5F-983B8949C37E}"/>
    <cellStyle name="40% - Accent6 2 9" xfId="4594" xr:uid="{00000000-0005-0000-0000-000031070000}"/>
    <cellStyle name="40% - Accent6 2 9 2" xfId="13036" xr:uid="{DC325DC0-A7DF-44E8-AE4A-1074CE0A9D72}"/>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2 2 2" xfId="15600" xr:uid="{F265CD66-16C5-47F4-8CF9-843450E69344}"/>
    <cellStyle name="40% - Accent6 3 2 2 2 3" xfId="11382" xr:uid="{F05A8690-3AC0-4525-A9AA-0B34583DEF46}"/>
    <cellStyle name="40% - Accent6 3 2 2 3" xfId="5013" xr:uid="{00000000-0005-0000-0000-000037070000}"/>
    <cellStyle name="40% - Accent6 3 2 2 3 2" xfId="13455" xr:uid="{7743B1CB-E360-43B7-8B10-1FC835F52F24}"/>
    <cellStyle name="40% - Accent6 3 2 2 4" xfId="9237" xr:uid="{877A5CA2-6760-4FB2-B91B-67B82B790F82}"/>
    <cellStyle name="40% - Accent6 3 2 3" xfId="1117" xr:uid="{00000000-0005-0000-0000-000038070000}"/>
    <cellStyle name="40% - Accent6 3 2 3 2" xfId="3348" xr:uid="{00000000-0005-0000-0000-000039070000}"/>
    <cellStyle name="40% - Accent6 3 2 3 2 2" xfId="7571" xr:uid="{00000000-0005-0000-0000-00003A070000}"/>
    <cellStyle name="40% - Accent6 3 2 3 2 2 2" xfId="16013" xr:uid="{2F8387B2-6301-4DF3-B01A-7AEE7BEB3BDB}"/>
    <cellStyle name="40% - Accent6 3 2 3 2 3" xfId="11795" xr:uid="{7EB27DB4-2AD8-49BA-9DF0-FBA7ABA9C8A5}"/>
    <cellStyle name="40% - Accent6 3 2 3 3" xfId="5426" xr:uid="{00000000-0005-0000-0000-00003B070000}"/>
    <cellStyle name="40% - Accent6 3 2 3 3 2" xfId="13868" xr:uid="{27449761-848B-482F-A169-16FBDC3EBDDF}"/>
    <cellStyle name="40% - Accent6 3 2 3 4" xfId="9650" xr:uid="{88DBAA25-9E04-4260-A74A-BA8297A1380A}"/>
    <cellStyle name="40% - Accent6 3 2 4" xfId="1531" xr:uid="{00000000-0005-0000-0000-00003C070000}"/>
    <cellStyle name="40% - Accent6 3 2 4 2" xfId="3761" xr:uid="{00000000-0005-0000-0000-00003D070000}"/>
    <cellStyle name="40% - Accent6 3 2 4 2 2" xfId="7984" xr:uid="{00000000-0005-0000-0000-00003E070000}"/>
    <cellStyle name="40% - Accent6 3 2 4 2 2 2" xfId="16426" xr:uid="{2413BD39-13CC-48E4-A97E-F8CC8F8559D5}"/>
    <cellStyle name="40% - Accent6 3 2 4 2 3" xfId="12208" xr:uid="{662725AF-DA41-4421-A01C-4512312F448C}"/>
    <cellStyle name="40% - Accent6 3 2 4 3" xfId="5839" xr:uid="{00000000-0005-0000-0000-00003F070000}"/>
    <cellStyle name="40% - Accent6 3 2 4 3 2" xfId="14281" xr:uid="{D5E4A829-637F-4AAD-83E5-ACE25F338E4F}"/>
    <cellStyle name="40% - Accent6 3 2 4 4" xfId="10063" xr:uid="{FC6B29DF-0BB8-434E-9A6C-AF0FDA466DAD}"/>
    <cellStyle name="40% - Accent6 3 2 5" xfId="1945" xr:uid="{00000000-0005-0000-0000-000040070000}"/>
    <cellStyle name="40% - Accent6 3 2 5 2" xfId="4174" xr:uid="{00000000-0005-0000-0000-000041070000}"/>
    <cellStyle name="40% - Accent6 3 2 5 2 2" xfId="8397" xr:uid="{00000000-0005-0000-0000-000042070000}"/>
    <cellStyle name="40% - Accent6 3 2 5 2 2 2" xfId="16839" xr:uid="{DCC3F587-A0E7-4D47-90A9-FC3314C5BC54}"/>
    <cellStyle name="40% - Accent6 3 2 5 2 3" xfId="12621" xr:uid="{21106BB0-6907-4459-8252-4D6C335DA0A9}"/>
    <cellStyle name="40% - Accent6 3 2 5 3" xfId="6252" xr:uid="{00000000-0005-0000-0000-000043070000}"/>
    <cellStyle name="40% - Accent6 3 2 5 3 2" xfId="14694" xr:uid="{51E215FF-DC4D-4682-9632-8490415E55D9}"/>
    <cellStyle name="40% - Accent6 3 2 5 4" xfId="10476" xr:uid="{DC2BA54E-5551-456C-A518-A686FCF3AE14}"/>
    <cellStyle name="40% - Accent6 3 2 6" xfId="2358" xr:uid="{00000000-0005-0000-0000-000044070000}"/>
    <cellStyle name="40% - Accent6 3 2 6 2" xfId="6665" xr:uid="{00000000-0005-0000-0000-000045070000}"/>
    <cellStyle name="40% - Accent6 3 2 6 2 2" xfId="15107" xr:uid="{A77A8098-C373-46F2-85EC-AFA8D2402360}"/>
    <cellStyle name="40% - Accent6 3 2 6 3" xfId="10889" xr:uid="{522594B2-19C4-4180-B766-5F08A2BE75A0}"/>
    <cellStyle name="40% - Accent6 3 2 7" xfId="4599" xr:uid="{00000000-0005-0000-0000-000046070000}"/>
    <cellStyle name="40% - Accent6 3 2 7 2" xfId="13041" xr:uid="{8ACE2C74-E39A-41A9-B08D-3B87066F92DE}"/>
    <cellStyle name="40% - Accent6 3 2 8" xfId="8823" xr:uid="{229808AC-3030-499D-9A98-3A0B02E87174}"/>
    <cellStyle name="40% - Accent6 3 3" xfId="663" xr:uid="{00000000-0005-0000-0000-000047070000}"/>
    <cellStyle name="40% - Accent6 3 3 2" xfId="2934" xr:uid="{00000000-0005-0000-0000-000048070000}"/>
    <cellStyle name="40% - Accent6 3 3 2 2" xfId="7157" xr:uid="{00000000-0005-0000-0000-000049070000}"/>
    <cellStyle name="40% - Accent6 3 3 2 2 2" xfId="15599" xr:uid="{82BC0541-5284-4F7F-86A2-AFA2E4900B3E}"/>
    <cellStyle name="40% - Accent6 3 3 2 3" xfId="11381" xr:uid="{ECD38B38-86DC-4C95-AE82-A75123D820A9}"/>
    <cellStyle name="40% - Accent6 3 3 3" xfId="5012" xr:uid="{00000000-0005-0000-0000-00004A070000}"/>
    <cellStyle name="40% - Accent6 3 3 3 2" xfId="13454" xr:uid="{499EE673-0294-476D-8E80-90A9B927EB97}"/>
    <cellStyle name="40% - Accent6 3 3 4" xfId="9236" xr:uid="{9580F640-6F5B-4897-9B20-47E129F2A7DF}"/>
    <cellStyle name="40% - Accent6 3 4" xfId="1116" xr:uid="{00000000-0005-0000-0000-00004B070000}"/>
    <cellStyle name="40% - Accent6 3 4 2" xfId="3347" xr:uid="{00000000-0005-0000-0000-00004C070000}"/>
    <cellStyle name="40% - Accent6 3 4 2 2" xfId="7570" xr:uid="{00000000-0005-0000-0000-00004D070000}"/>
    <cellStyle name="40% - Accent6 3 4 2 2 2" xfId="16012" xr:uid="{818F2860-A2E5-44DC-9FDA-4EC635A665E9}"/>
    <cellStyle name="40% - Accent6 3 4 2 3" xfId="11794" xr:uid="{72E6BE7F-7594-41EB-AB2D-973B14FA4D67}"/>
    <cellStyle name="40% - Accent6 3 4 3" xfId="5425" xr:uid="{00000000-0005-0000-0000-00004E070000}"/>
    <cellStyle name="40% - Accent6 3 4 3 2" xfId="13867" xr:uid="{780FAAE3-9CF1-4CB7-ADF1-8BB640ABBD62}"/>
    <cellStyle name="40% - Accent6 3 4 4" xfId="9649" xr:uid="{B54DA39D-0B7E-4B74-95E7-606243F40A0D}"/>
    <cellStyle name="40% - Accent6 3 5" xfId="1530" xr:uid="{00000000-0005-0000-0000-00004F070000}"/>
    <cellStyle name="40% - Accent6 3 5 2" xfId="3760" xr:uid="{00000000-0005-0000-0000-000050070000}"/>
    <cellStyle name="40% - Accent6 3 5 2 2" xfId="7983" xr:uid="{00000000-0005-0000-0000-000051070000}"/>
    <cellStyle name="40% - Accent6 3 5 2 2 2" xfId="16425" xr:uid="{1EDC37A1-766E-41A8-A349-4A66BEAA006A}"/>
    <cellStyle name="40% - Accent6 3 5 2 3" xfId="12207" xr:uid="{D27F9CF9-07F9-4658-B0BD-61FA7B2E0609}"/>
    <cellStyle name="40% - Accent6 3 5 3" xfId="5838" xr:uid="{00000000-0005-0000-0000-000052070000}"/>
    <cellStyle name="40% - Accent6 3 5 3 2" xfId="14280" xr:uid="{D4136BF1-1E53-40AA-82BC-40C6545874D4}"/>
    <cellStyle name="40% - Accent6 3 5 4" xfId="10062" xr:uid="{62817FCB-3FB5-4DB2-8314-6D0328698BB5}"/>
    <cellStyle name="40% - Accent6 3 6" xfId="1944" xr:uid="{00000000-0005-0000-0000-000053070000}"/>
    <cellStyle name="40% - Accent6 3 6 2" xfId="4173" xr:uid="{00000000-0005-0000-0000-000054070000}"/>
    <cellStyle name="40% - Accent6 3 6 2 2" xfId="8396" xr:uid="{00000000-0005-0000-0000-000055070000}"/>
    <cellStyle name="40% - Accent6 3 6 2 2 2" xfId="16838" xr:uid="{5ED79E87-C5CC-44F3-A6AA-723ABF75D597}"/>
    <cellStyle name="40% - Accent6 3 6 2 3" xfId="12620" xr:uid="{3FB34F46-6E44-43FF-8E50-06E90C66D00B}"/>
    <cellStyle name="40% - Accent6 3 6 3" xfId="6251" xr:uid="{00000000-0005-0000-0000-000056070000}"/>
    <cellStyle name="40% - Accent6 3 6 3 2" xfId="14693" xr:uid="{978AED90-043C-4113-B8CF-8FC1DCCED039}"/>
    <cellStyle name="40% - Accent6 3 6 4" xfId="10475" xr:uid="{9A3DD48A-86C5-4D82-9D56-007EF5F642C9}"/>
    <cellStyle name="40% - Accent6 3 7" xfId="2357" xr:uid="{00000000-0005-0000-0000-000057070000}"/>
    <cellStyle name="40% - Accent6 3 7 2" xfId="6664" xr:uid="{00000000-0005-0000-0000-000058070000}"/>
    <cellStyle name="40% - Accent6 3 7 2 2" xfId="15106" xr:uid="{67DBA589-FEDA-4C56-8979-B0AC3BD02A2A}"/>
    <cellStyle name="40% - Accent6 3 7 3" xfId="10888" xr:uid="{D60F7947-3492-4FA3-A59B-0240524C527B}"/>
    <cellStyle name="40% - Accent6 3 8" xfId="4598" xr:uid="{00000000-0005-0000-0000-000059070000}"/>
    <cellStyle name="40% - Accent6 3 8 2" xfId="13040" xr:uid="{DB274D93-1499-45F9-ACE7-AB88032082B0}"/>
    <cellStyle name="40% - Accent6 3 9" xfId="8822" xr:uid="{906973B7-DDAD-4242-A923-2C08247E473C}"/>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2 2 2" xfId="15601" xr:uid="{8FF6970B-3024-4D5C-8801-BB554C125200}"/>
    <cellStyle name="40% - Accent6 4 2 2 3" xfId="11383" xr:uid="{AA247245-BD48-45FC-A221-A97B0E40893F}"/>
    <cellStyle name="40% - Accent6 4 2 3" xfId="5014" xr:uid="{00000000-0005-0000-0000-00005E070000}"/>
    <cellStyle name="40% - Accent6 4 2 3 2" xfId="13456" xr:uid="{E72B614B-7000-47C4-8CFE-46AD673FB490}"/>
    <cellStyle name="40% - Accent6 4 2 4" xfId="9238" xr:uid="{045B7067-13F4-4D04-B5F9-21DD10A4CC77}"/>
    <cellStyle name="40% - Accent6 4 3" xfId="1118" xr:uid="{00000000-0005-0000-0000-00005F070000}"/>
    <cellStyle name="40% - Accent6 4 3 2" xfId="3349" xr:uid="{00000000-0005-0000-0000-000060070000}"/>
    <cellStyle name="40% - Accent6 4 3 2 2" xfId="7572" xr:uid="{00000000-0005-0000-0000-000061070000}"/>
    <cellStyle name="40% - Accent6 4 3 2 2 2" xfId="16014" xr:uid="{05E42A55-D4F5-496E-A51C-629230991170}"/>
    <cellStyle name="40% - Accent6 4 3 2 3" xfId="11796" xr:uid="{0F266E56-2D85-49DA-A493-22494477D484}"/>
    <cellStyle name="40% - Accent6 4 3 3" xfId="5427" xr:uid="{00000000-0005-0000-0000-000062070000}"/>
    <cellStyle name="40% - Accent6 4 3 3 2" xfId="13869" xr:uid="{01CAF98E-7ED8-4385-B7AB-BC55041EEF22}"/>
    <cellStyle name="40% - Accent6 4 3 4" xfId="9651" xr:uid="{369E4AF3-1662-4A40-BC5C-432FC47CF2EA}"/>
    <cellStyle name="40% - Accent6 4 4" xfId="1532" xr:uid="{00000000-0005-0000-0000-000063070000}"/>
    <cellStyle name="40% - Accent6 4 4 2" xfId="3762" xr:uid="{00000000-0005-0000-0000-000064070000}"/>
    <cellStyle name="40% - Accent6 4 4 2 2" xfId="7985" xr:uid="{00000000-0005-0000-0000-000065070000}"/>
    <cellStyle name="40% - Accent6 4 4 2 2 2" xfId="16427" xr:uid="{E9F0B902-5AAA-43B2-B2D7-11E798D9DA66}"/>
    <cellStyle name="40% - Accent6 4 4 2 3" xfId="12209" xr:uid="{012C543C-45C0-4E32-A401-7C35A06910DC}"/>
    <cellStyle name="40% - Accent6 4 4 3" xfId="5840" xr:uid="{00000000-0005-0000-0000-000066070000}"/>
    <cellStyle name="40% - Accent6 4 4 3 2" xfId="14282" xr:uid="{9886FEAD-2229-4421-95E8-BBC5BC999AAF}"/>
    <cellStyle name="40% - Accent6 4 4 4" xfId="10064" xr:uid="{430284E8-C067-4E5D-B8C3-362F807336A9}"/>
    <cellStyle name="40% - Accent6 4 5" xfId="1946" xr:uid="{00000000-0005-0000-0000-000067070000}"/>
    <cellStyle name="40% - Accent6 4 5 2" xfId="4175" xr:uid="{00000000-0005-0000-0000-000068070000}"/>
    <cellStyle name="40% - Accent6 4 5 2 2" xfId="8398" xr:uid="{00000000-0005-0000-0000-000069070000}"/>
    <cellStyle name="40% - Accent6 4 5 2 2 2" xfId="16840" xr:uid="{35464DDC-AB2C-4527-8F36-B0A05FEB24EA}"/>
    <cellStyle name="40% - Accent6 4 5 2 3" xfId="12622" xr:uid="{CF81C776-D37D-4199-8F75-BEAF7B72F25F}"/>
    <cellStyle name="40% - Accent6 4 5 3" xfId="6253" xr:uid="{00000000-0005-0000-0000-00006A070000}"/>
    <cellStyle name="40% - Accent6 4 5 3 2" xfId="14695" xr:uid="{619F65A1-A346-4148-A3F6-791E96DCB21F}"/>
    <cellStyle name="40% - Accent6 4 5 4" xfId="10477" xr:uid="{054CD305-2397-4A9D-A921-7340CBFBD597}"/>
    <cellStyle name="40% - Accent6 4 6" xfId="2359" xr:uid="{00000000-0005-0000-0000-00006B070000}"/>
    <cellStyle name="40% - Accent6 4 6 2" xfId="6666" xr:uid="{00000000-0005-0000-0000-00006C070000}"/>
    <cellStyle name="40% - Accent6 4 6 2 2" xfId="15108" xr:uid="{C272FF3C-26F1-4B78-BC73-33FEDC30DA57}"/>
    <cellStyle name="40% - Accent6 4 6 3" xfId="10890" xr:uid="{292D0526-89F7-48AB-B853-6749AB1F50E0}"/>
    <cellStyle name="40% - Accent6 4 7" xfId="4600" xr:uid="{00000000-0005-0000-0000-00006D070000}"/>
    <cellStyle name="40% - Accent6 4 7 2" xfId="13042" xr:uid="{B6B84A25-D327-4CA4-B8D5-F09AB1C91D1D}"/>
    <cellStyle name="40% - Accent6 4 8" xfId="8824" xr:uid="{CF9523E9-E4EF-4BB5-98CF-08EFB00731C4}"/>
    <cellStyle name="40% - Accent6 5" xfId="658" xr:uid="{00000000-0005-0000-0000-00006E070000}"/>
    <cellStyle name="40% - Accent6 5 2" xfId="2929" xr:uid="{00000000-0005-0000-0000-00006F070000}"/>
    <cellStyle name="40% - Accent6 5 2 2" xfId="7152" xr:uid="{00000000-0005-0000-0000-000070070000}"/>
    <cellStyle name="40% - Accent6 5 2 2 2" xfId="15594" xr:uid="{9A9A19D7-414D-4A37-BDD3-E446C392A30B}"/>
    <cellStyle name="40% - Accent6 5 2 3" xfId="11376" xr:uid="{632B8E90-A212-434E-9C28-1999AC5AD585}"/>
    <cellStyle name="40% - Accent6 5 3" xfId="5007" xr:uid="{00000000-0005-0000-0000-000071070000}"/>
    <cellStyle name="40% - Accent6 5 3 2" xfId="13449" xr:uid="{490B51C6-3F75-423C-B9B5-6C8781E9E8EC}"/>
    <cellStyle name="40% - Accent6 5 4" xfId="9231" xr:uid="{DE172FBA-F684-469B-BC70-E85CD4F188E1}"/>
    <cellStyle name="40% - Accent6 6" xfId="1111" xr:uid="{00000000-0005-0000-0000-000072070000}"/>
    <cellStyle name="40% - Accent6 6 2" xfId="3342" xr:uid="{00000000-0005-0000-0000-000073070000}"/>
    <cellStyle name="40% - Accent6 6 2 2" xfId="7565" xr:uid="{00000000-0005-0000-0000-000074070000}"/>
    <cellStyle name="40% - Accent6 6 2 2 2" xfId="16007" xr:uid="{D5D3AC6E-BD12-46B2-9692-DB6CECEFC973}"/>
    <cellStyle name="40% - Accent6 6 2 3" xfId="11789" xr:uid="{5D19BD87-102F-46D7-9781-0CF59F97D32F}"/>
    <cellStyle name="40% - Accent6 6 3" xfId="5420" xr:uid="{00000000-0005-0000-0000-000075070000}"/>
    <cellStyle name="40% - Accent6 6 3 2" xfId="13862" xr:uid="{6C01B893-A080-46AE-8696-0A25DF944BAC}"/>
    <cellStyle name="40% - Accent6 6 4" xfId="9644" xr:uid="{2D2080A5-ECC1-45A5-ACE8-EA31839BA167}"/>
    <cellStyle name="40% - Accent6 7" xfId="1525" xr:uid="{00000000-0005-0000-0000-000076070000}"/>
    <cellStyle name="40% - Accent6 7 2" xfId="3755" xr:uid="{00000000-0005-0000-0000-000077070000}"/>
    <cellStyle name="40% - Accent6 7 2 2" xfId="7978" xr:uid="{00000000-0005-0000-0000-000078070000}"/>
    <cellStyle name="40% - Accent6 7 2 2 2" xfId="16420" xr:uid="{982F76ED-10BD-43DB-BEEA-6507DF5D27C1}"/>
    <cellStyle name="40% - Accent6 7 2 3" xfId="12202" xr:uid="{FD2C0516-E965-4D93-9D17-1F9E2359C95A}"/>
    <cellStyle name="40% - Accent6 7 3" xfId="5833" xr:uid="{00000000-0005-0000-0000-000079070000}"/>
    <cellStyle name="40% - Accent6 7 3 2" xfId="14275" xr:uid="{7FB1BBF9-8A71-40C9-9A66-D981163F8336}"/>
    <cellStyle name="40% - Accent6 7 4" xfId="10057" xr:uid="{DD141326-79CB-43A1-BB5C-1F3765DD89C2}"/>
    <cellStyle name="40% - Accent6 8" xfId="1939" xr:uid="{00000000-0005-0000-0000-00007A070000}"/>
    <cellStyle name="40% - Accent6 8 2" xfId="4168" xr:uid="{00000000-0005-0000-0000-00007B070000}"/>
    <cellStyle name="40% - Accent6 8 2 2" xfId="8391" xr:uid="{00000000-0005-0000-0000-00007C070000}"/>
    <cellStyle name="40% - Accent6 8 2 2 2" xfId="16833" xr:uid="{E1D3632C-B0B1-4E00-9FB9-B807CCAA14E3}"/>
    <cellStyle name="40% - Accent6 8 2 3" xfId="12615" xr:uid="{E9AB4851-DBB8-4046-8F33-AD058C9B5DF4}"/>
    <cellStyle name="40% - Accent6 8 3" xfId="6246" xr:uid="{00000000-0005-0000-0000-00007D070000}"/>
    <cellStyle name="40% - Accent6 8 3 2" xfId="14688" xr:uid="{CB1D99AD-B8D3-4032-9D34-F8572D6D6DE4}"/>
    <cellStyle name="40% - Accent6 8 4" xfId="10470" xr:uid="{57270143-9521-478A-A12D-AD26BCD13FD2}"/>
    <cellStyle name="40% - Accent6 9" xfId="2352" xr:uid="{00000000-0005-0000-0000-00007E070000}"/>
    <cellStyle name="40% - Accent6 9 2" xfId="6659" xr:uid="{00000000-0005-0000-0000-00007F070000}"/>
    <cellStyle name="40% - Accent6 9 2 2" xfId="15101" xr:uid="{624AF243-403D-42C1-8BE9-5D52C7667932}"/>
    <cellStyle name="40% - Accent6 9 3" xfId="10883" xr:uid="{312D70AF-D947-4F6F-8460-0C676ACE4AA5}"/>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0 2 2" xfId="15426" xr:uid="{56D5B99F-F57C-4582-8461-B9E64759871D}"/>
    <cellStyle name="Comma 4 2 2 2 10 3" xfId="11208" xr:uid="{9C7A8299-FFE9-45CB-BB8C-FCD8CBE34AF6}"/>
    <cellStyle name="Comma 4 2 2 2 11" xfId="4601" xr:uid="{00000000-0005-0000-0000-0000A3070000}"/>
    <cellStyle name="Comma 4 2 2 2 11 2" xfId="13043" xr:uid="{425F8EC7-6350-4CB4-9E2C-F88A735A60F4}"/>
    <cellStyle name="Comma 4 2 2 2 12" xfId="8825" xr:uid="{D1294AC2-AAF3-417C-8D90-BE5BBD459B2B}"/>
    <cellStyle name="Comma 4 2 2 2 2" xfId="129" xr:uid="{00000000-0005-0000-0000-0000A4070000}"/>
    <cellStyle name="Comma 4 2 2 2 2 10" xfId="4602" xr:uid="{00000000-0005-0000-0000-0000A5070000}"/>
    <cellStyle name="Comma 4 2 2 2 2 10 2" xfId="13044" xr:uid="{A8E83622-5125-4108-BFDA-30C99A367B13}"/>
    <cellStyle name="Comma 4 2 2 2 2 11" xfId="8826" xr:uid="{F39A5ADC-F905-435E-A780-9ED15A7BB46E}"/>
    <cellStyle name="Comma 4 2 2 2 2 2" xfId="130" xr:uid="{00000000-0005-0000-0000-0000A6070000}"/>
    <cellStyle name="Comma 4 2 2 2 2 2 10" xfId="8827" xr:uid="{AE638451-D5D2-427B-BD21-E96822657DF5}"/>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2 2 2" xfId="15604" xr:uid="{452E7FA2-090C-4B99-AF6B-7534D4C6F340}"/>
    <cellStyle name="Comma 4 2 2 2 2 2 2 2 3" xfId="11386" xr:uid="{ECB934BC-691A-453C-94CB-737CE5346462}"/>
    <cellStyle name="Comma 4 2 2 2 2 2 2 3" xfId="5017" xr:uid="{00000000-0005-0000-0000-0000AA070000}"/>
    <cellStyle name="Comma 4 2 2 2 2 2 2 3 2" xfId="13459" xr:uid="{426306E9-4539-4693-AA1A-CE69E8F1D03C}"/>
    <cellStyle name="Comma 4 2 2 2 2 2 2 4" xfId="9241" xr:uid="{A2C85735-226A-4DCB-B9A9-B7CA0D8CDAE5}"/>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2 2 2" xfId="16017" xr:uid="{A7DCBD09-9A82-4D67-9A9F-971C6748F764}"/>
    <cellStyle name="Comma 4 2 2 2 2 2 3 2 3" xfId="11799" xr:uid="{DB53658A-387E-4C47-9413-0B63BF90A9E4}"/>
    <cellStyle name="Comma 4 2 2 2 2 2 3 3" xfId="5430" xr:uid="{00000000-0005-0000-0000-0000AE070000}"/>
    <cellStyle name="Comma 4 2 2 2 2 2 3 3 2" xfId="13872" xr:uid="{79CDA4DA-18C2-49BF-B751-A252FBCA7151}"/>
    <cellStyle name="Comma 4 2 2 2 2 2 3 4" xfId="9654" xr:uid="{C59AA5EC-9056-4F8F-96AA-611DBA45F257}"/>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2 2 2" xfId="16430" xr:uid="{45B98D51-AA17-4E3F-B40C-44AEC2EA8A0B}"/>
    <cellStyle name="Comma 4 2 2 2 2 2 4 2 3" xfId="12212" xr:uid="{AB579A44-B72C-4078-AC53-4BD3A1CD2B5E}"/>
    <cellStyle name="Comma 4 2 2 2 2 2 4 3" xfId="5843" xr:uid="{00000000-0005-0000-0000-0000B2070000}"/>
    <cellStyle name="Comma 4 2 2 2 2 2 4 3 2" xfId="14285" xr:uid="{7D31FC35-FC6C-4EFB-8365-6865C25AC054}"/>
    <cellStyle name="Comma 4 2 2 2 2 2 4 4" xfId="10067" xr:uid="{B8C4E9DE-3B5A-4344-BAFA-0F96FDB96E2B}"/>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2 2 2" xfId="16843" xr:uid="{91B1E03B-E842-46CA-A157-59C06741D664}"/>
    <cellStyle name="Comma 4 2 2 2 2 2 5 2 3" xfId="12625" xr:uid="{A8AF204A-4C91-4494-BF4F-1159FC33819C}"/>
    <cellStyle name="Comma 4 2 2 2 2 2 5 3" xfId="6256" xr:uid="{00000000-0005-0000-0000-0000B6070000}"/>
    <cellStyle name="Comma 4 2 2 2 2 2 5 3 2" xfId="14698" xr:uid="{5AD25ADD-57DA-4739-9A78-E206F1082E63}"/>
    <cellStyle name="Comma 4 2 2 2 2 2 5 4" xfId="10480" xr:uid="{B6FE3C8E-FEA0-4C8A-A924-1768EC2F82FD}"/>
    <cellStyle name="Comma 4 2 2 2 2 2 6" xfId="2384" xr:uid="{00000000-0005-0000-0000-0000B7070000}"/>
    <cellStyle name="Comma 4 2 2 2 2 2 6 2" xfId="6669" xr:uid="{00000000-0005-0000-0000-0000B8070000}"/>
    <cellStyle name="Comma 4 2 2 2 2 2 6 2 2" xfId="15111" xr:uid="{2A51EAC5-786B-4A64-B297-BA5378EBB4C4}"/>
    <cellStyle name="Comma 4 2 2 2 2 2 6 3" xfId="10893" xr:uid="{943BDB21-3D9F-444A-9862-9ACE327F057B}"/>
    <cellStyle name="Comma 4 2 2 2 2 2 7" xfId="2379" xr:uid="{00000000-0005-0000-0000-0000B9070000}"/>
    <cellStyle name="Comma 4 2 2 2 2 2 8" xfId="2762" xr:uid="{00000000-0005-0000-0000-0000BA070000}"/>
    <cellStyle name="Comma 4 2 2 2 2 2 8 2" xfId="6986" xr:uid="{00000000-0005-0000-0000-0000BB070000}"/>
    <cellStyle name="Comma 4 2 2 2 2 2 8 2 2" xfId="15428" xr:uid="{ADE9661A-AAA7-415B-BE49-31C02F64398A}"/>
    <cellStyle name="Comma 4 2 2 2 2 2 8 3" xfId="11210" xr:uid="{89BBD287-8723-4C06-8DCA-34D32FFE0D73}"/>
    <cellStyle name="Comma 4 2 2 2 2 2 9" xfId="4603" xr:uid="{00000000-0005-0000-0000-0000BC070000}"/>
    <cellStyle name="Comma 4 2 2 2 2 2 9 2" xfId="13045" xr:uid="{E7F3F7D2-3D2D-4E17-A006-0429F6264AA7}"/>
    <cellStyle name="Comma 4 2 2 2 2 3" xfId="667" xr:uid="{00000000-0005-0000-0000-0000BD070000}"/>
    <cellStyle name="Comma 4 2 2 2 2 3 2" xfId="2938" xr:uid="{00000000-0005-0000-0000-0000BE070000}"/>
    <cellStyle name="Comma 4 2 2 2 2 3 2 2" xfId="7161" xr:uid="{00000000-0005-0000-0000-0000BF070000}"/>
    <cellStyle name="Comma 4 2 2 2 2 3 2 2 2" xfId="15603" xr:uid="{A7990307-1180-4F3C-B2DD-C2BDBCD62B2C}"/>
    <cellStyle name="Comma 4 2 2 2 2 3 2 3" xfId="11385" xr:uid="{2AC017CF-9CB3-4F77-BE51-5DC61CB28820}"/>
    <cellStyle name="Comma 4 2 2 2 2 3 3" xfId="5016" xr:uid="{00000000-0005-0000-0000-0000C0070000}"/>
    <cellStyle name="Comma 4 2 2 2 2 3 3 2" xfId="13458" xr:uid="{9B3A527D-AE1D-40EB-80F0-9AA3883CB723}"/>
    <cellStyle name="Comma 4 2 2 2 2 3 4" xfId="9240" xr:uid="{82D9F049-C97A-47C1-B49D-86369E323681}"/>
    <cellStyle name="Comma 4 2 2 2 2 4" xfId="1120" xr:uid="{00000000-0005-0000-0000-0000C1070000}"/>
    <cellStyle name="Comma 4 2 2 2 2 4 2" xfId="3351" xr:uid="{00000000-0005-0000-0000-0000C2070000}"/>
    <cellStyle name="Comma 4 2 2 2 2 4 2 2" xfId="7574" xr:uid="{00000000-0005-0000-0000-0000C3070000}"/>
    <cellStyle name="Comma 4 2 2 2 2 4 2 2 2" xfId="16016" xr:uid="{E7BF0B53-A6E3-4147-B07B-743C6011D155}"/>
    <cellStyle name="Comma 4 2 2 2 2 4 2 3" xfId="11798" xr:uid="{33D7A730-D00B-4BF5-9167-11C73BD7C070}"/>
    <cellStyle name="Comma 4 2 2 2 2 4 3" xfId="5429" xr:uid="{00000000-0005-0000-0000-0000C4070000}"/>
    <cellStyle name="Comma 4 2 2 2 2 4 3 2" xfId="13871" xr:uid="{30A8F7C7-9BC1-4416-857B-E59956CFA806}"/>
    <cellStyle name="Comma 4 2 2 2 2 4 4" xfId="9653" xr:uid="{14A3510E-BC9B-441B-A3F1-A0EF35302FBF}"/>
    <cellStyle name="Comma 4 2 2 2 2 5" xfId="1534" xr:uid="{00000000-0005-0000-0000-0000C5070000}"/>
    <cellStyle name="Comma 4 2 2 2 2 5 2" xfId="3764" xr:uid="{00000000-0005-0000-0000-0000C6070000}"/>
    <cellStyle name="Comma 4 2 2 2 2 5 2 2" xfId="7987" xr:uid="{00000000-0005-0000-0000-0000C7070000}"/>
    <cellStyle name="Comma 4 2 2 2 2 5 2 2 2" xfId="16429" xr:uid="{B4C028ED-D2E5-492D-A3BE-0890D4A9A7AB}"/>
    <cellStyle name="Comma 4 2 2 2 2 5 2 3" xfId="12211" xr:uid="{056A7270-02AE-465E-AC41-1034B82CD05B}"/>
    <cellStyle name="Comma 4 2 2 2 2 5 3" xfId="5842" xr:uid="{00000000-0005-0000-0000-0000C8070000}"/>
    <cellStyle name="Comma 4 2 2 2 2 5 3 2" xfId="14284" xr:uid="{6125866A-51CF-4629-A4FD-343DB40E2B05}"/>
    <cellStyle name="Comma 4 2 2 2 2 5 4" xfId="10066" xr:uid="{908CFCA2-B723-4FF1-9CF1-B6C45C3B62BA}"/>
    <cellStyle name="Comma 4 2 2 2 2 6" xfId="1948" xr:uid="{00000000-0005-0000-0000-0000C9070000}"/>
    <cellStyle name="Comma 4 2 2 2 2 6 2" xfId="4177" xr:uid="{00000000-0005-0000-0000-0000CA070000}"/>
    <cellStyle name="Comma 4 2 2 2 2 6 2 2" xfId="8400" xr:uid="{00000000-0005-0000-0000-0000CB070000}"/>
    <cellStyle name="Comma 4 2 2 2 2 6 2 2 2" xfId="16842" xr:uid="{1AC09266-DFF2-4AF0-B330-C06E71D2631A}"/>
    <cellStyle name="Comma 4 2 2 2 2 6 2 3" xfId="12624" xr:uid="{C653BDFD-CEEA-4EFF-ADB6-E58BC504BF19}"/>
    <cellStyle name="Comma 4 2 2 2 2 6 3" xfId="6255" xr:uid="{00000000-0005-0000-0000-0000CC070000}"/>
    <cellStyle name="Comma 4 2 2 2 2 6 3 2" xfId="14697" xr:uid="{389ACF2E-CF65-4653-93BA-BD34175AE398}"/>
    <cellStyle name="Comma 4 2 2 2 2 6 4" xfId="10479" xr:uid="{886B83B4-6F94-42D1-AFC5-1E427DE47185}"/>
    <cellStyle name="Comma 4 2 2 2 2 7" xfId="2383" xr:uid="{00000000-0005-0000-0000-0000CD070000}"/>
    <cellStyle name="Comma 4 2 2 2 2 7 2" xfId="6668" xr:uid="{00000000-0005-0000-0000-0000CE070000}"/>
    <cellStyle name="Comma 4 2 2 2 2 7 2 2" xfId="15110" xr:uid="{3B0F6327-28FA-4047-A519-24F42B25108B}"/>
    <cellStyle name="Comma 4 2 2 2 2 7 3" xfId="10892" xr:uid="{18EFFBD0-2670-4280-8A0A-93E36D625A03}"/>
    <cellStyle name="Comma 4 2 2 2 2 8" xfId="2380" xr:uid="{00000000-0005-0000-0000-0000CF070000}"/>
    <cellStyle name="Comma 4 2 2 2 2 9" xfId="2761" xr:uid="{00000000-0005-0000-0000-0000D0070000}"/>
    <cellStyle name="Comma 4 2 2 2 2 9 2" xfId="6985" xr:uid="{00000000-0005-0000-0000-0000D1070000}"/>
    <cellStyle name="Comma 4 2 2 2 2 9 2 2" xfId="15427" xr:uid="{66010FE6-AAF3-435A-835C-7D7294F1B99F}"/>
    <cellStyle name="Comma 4 2 2 2 2 9 3" xfId="11209" xr:uid="{02B40173-1FB4-4A23-A30B-2F2AC02D007E}"/>
    <cellStyle name="Comma 4 2 2 2 3" xfId="131" xr:uid="{00000000-0005-0000-0000-0000D2070000}"/>
    <cellStyle name="Comma 4 2 2 2 3 10" xfId="8828" xr:uid="{2D017593-9A22-426D-AB50-617A56B2AE61}"/>
    <cellStyle name="Comma 4 2 2 2 3 2" xfId="669" xr:uid="{00000000-0005-0000-0000-0000D3070000}"/>
    <cellStyle name="Comma 4 2 2 2 3 2 2" xfId="2940" xr:uid="{00000000-0005-0000-0000-0000D4070000}"/>
    <cellStyle name="Comma 4 2 2 2 3 2 2 2" xfId="7163" xr:uid="{00000000-0005-0000-0000-0000D5070000}"/>
    <cellStyle name="Comma 4 2 2 2 3 2 2 2 2" xfId="15605" xr:uid="{E289DC66-1C93-4D86-8176-253A88761CB0}"/>
    <cellStyle name="Comma 4 2 2 2 3 2 2 3" xfId="11387" xr:uid="{01B4C8DB-9EF6-4DB8-9187-E9676331FEAC}"/>
    <cellStyle name="Comma 4 2 2 2 3 2 3" xfId="5018" xr:uid="{00000000-0005-0000-0000-0000D6070000}"/>
    <cellStyle name="Comma 4 2 2 2 3 2 3 2" xfId="13460" xr:uid="{00076CDB-88F0-4BB9-AC43-8B0E2F66795A}"/>
    <cellStyle name="Comma 4 2 2 2 3 2 4" xfId="9242" xr:uid="{8ED2AA9B-6EA0-4EEF-9A51-CCCD108CF324}"/>
    <cellStyle name="Comma 4 2 2 2 3 3" xfId="1122" xr:uid="{00000000-0005-0000-0000-0000D7070000}"/>
    <cellStyle name="Comma 4 2 2 2 3 3 2" xfId="3353" xr:uid="{00000000-0005-0000-0000-0000D8070000}"/>
    <cellStyle name="Comma 4 2 2 2 3 3 2 2" xfId="7576" xr:uid="{00000000-0005-0000-0000-0000D9070000}"/>
    <cellStyle name="Comma 4 2 2 2 3 3 2 2 2" xfId="16018" xr:uid="{0C8C50A3-9DE4-4FC7-815F-2420FFDE7B3E}"/>
    <cellStyle name="Comma 4 2 2 2 3 3 2 3" xfId="11800" xr:uid="{B5DBE297-5AFD-499A-B486-4C7C02239999}"/>
    <cellStyle name="Comma 4 2 2 2 3 3 3" xfId="5431" xr:uid="{00000000-0005-0000-0000-0000DA070000}"/>
    <cellStyle name="Comma 4 2 2 2 3 3 3 2" xfId="13873" xr:uid="{FA9D38DD-69E8-4A5D-A931-CEBB546F81A6}"/>
    <cellStyle name="Comma 4 2 2 2 3 3 4" xfId="9655" xr:uid="{6BF1C85F-75A0-49C3-A1B8-D3BF858CE63A}"/>
    <cellStyle name="Comma 4 2 2 2 3 4" xfId="1536" xr:uid="{00000000-0005-0000-0000-0000DB070000}"/>
    <cellStyle name="Comma 4 2 2 2 3 4 2" xfId="3766" xr:uid="{00000000-0005-0000-0000-0000DC070000}"/>
    <cellStyle name="Comma 4 2 2 2 3 4 2 2" xfId="7989" xr:uid="{00000000-0005-0000-0000-0000DD070000}"/>
    <cellStyle name="Comma 4 2 2 2 3 4 2 2 2" xfId="16431" xr:uid="{19CE3B15-49F9-4C94-ABDA-BCA353D71D16}"/>
    <cellStyle name="Comma 4 2 2 2 3 4 2 3" xfId="12213" xr:uid="{E2AFC104-E9DF-424B-BA86-2D195BF47430}"/>
    <cellStyle name="Comma 4 2 2 2 3 4 3" xfId="5844" xr:uid="{00000000-0005-0000-0000-0000DE070000}"/>
    <cellStyle name="Comma 4 2 2 2 3 4 3 2" xfId="14286" xr:uid="{AC33C266-8A49-435C-8376-CF5730F90833}"/>
    <cellStyle name="Comma 4 2 2 2 3 4 4" xfId="10068" xr:uid="{3452975E-BF5D-4E2B-B6F5-3D286F66C5F9}"/>
    <cellStyle name="Comma 4 2 2 2 3 5" xfId="1950" xr:uid="{00000000-0005-0000-0000-0000DF070000}"/>
    <cellStyle name="Comma 4 2 2 2 3 5 2" xfId="4179" xr:uid="{00000000-0005-0000-0000-0000E0070000}"/>
    <cellStyle name="Comma 4 2 2 2 3 5 2 2" xfId="8402" xr:uid="{00000000-0005-0000-0000-0000E1070000}"/>
    <cellStyle name="Comma 4 2 2 2 3 5 2 2 2" xfId="16844" xr:uid="{5469A69A-85D6-4C03-B094-9E4D14AB2BB7}"/>
    <cellStyle name="Comma 4 2 2 2 3 5 2 3" xfId="12626" xr:uid="{AAADBBF5-9516-4D7A-8F8B-C3554E997F24}"/>
    <cellStyle name="Comma 4 2 2 2 3 5 3" xfId="6257" xr:uid="{00000000-0005-0000-0000-0000E2070000}"/>
    <cellStyle name="Comma 4 2 2 2 3 5 3 2" xfId="14699" xr:uid="{5BF88AAB-D023-4B7E-9D54-ED86ACA3675C}"/>
    <cellStyle name="Comma 4 2 2 2 3 5 4" xfId="10481" xr:uid="{F92571E9-F19D-45E9-8D61-0485C7308F94}"/>
    <cellStyle name="Comma 4 2 2 2 3 6" xfId="2385" xr:uid="{00000000-0005-0000-0000-0000E3070000}"/>
    <cellStyle name="Comma 4 2 2 2 3 6 2" xfId="6670" xr:uid="{00000000-0005-0000-0000-0000E4070000}"/>
    <cellStyle name="Comma 4 2 2 2 3 6 2 2" xfId="15112" xr:uid="{A177569D-C1E5-4488-9742-0855A174FC3D}"/>
    <cellStyle name="Comma 4 2 2 2 3 6 3" xfId="10894" xr:uid="{05E231C5-E973-4ADB-A5E7-10E8AE5C1DC0}"/>
    <cellStyle name="Comma 4 2 2 2 3 7" xfId="2378" xr:uid="{00000000-0005-0000-0000-0000E5070000}"/>
    <cellStyle name="Comma 4 2 2 2 3 8" xfId="2763" xr:uid="{00000000-0005-0000-0000-0000E6070000}"/>
    <cellStyle name="Comma 4 2 2 2 3 8 2" xfId="6987" xr:uid="{00000000-0005-0000-0000-0000E7070000}"/>
    <cellStyle name="Comma 4 2 2 2 3 8 2 2" xfId="15429" xr:uid="{33F17A33-D4F8-41A5-BECF-1059DA8963EC}"/>
    <cellStyle name="Comma 4 2 2 2 3 8 3" xfId="11211" xr:uid="{BB72E386-9919-4EBA-AE19-926E3F722CD5}"/>
    <cellStyle name="Comma 4 2 2 2 3 9" xfId="4604" xr:uid="{00000000-0005-0000-0000-0000E8070000}"/>
    <cellStyle name="Comma 4 2 2 2 3 9 2" xfId="13046" xr:uid="{C91FC5D9-AAD5-4048-8ED6-96508463E756}"/>
    <cellStyle name="Comma 4 2 2 2 4" xfId="666" xr:uid="{00000000-0005-0000-0000-0000E9070000}"/>
    <cellStyle name="Comma 4 2 2 2 4 2" xfId="2937" xr:uid="{00000000-0005-0000-0000-0000EA070000}"/>
    <cellStyle name="Comma 4 2 2 2 4 2 2" xfId="7160" xr:uid="{00000000-0005-0000-0000-0000EB070000}"/>
    <cellStyle name="Comma 4 2 2 2 4 2 2 2" xfId="15602" xr:uid="{750F83BD-ADA3-4D9E-8348-A31708BD411F}"/>
    <cellStyle name="Comma 4 2 2 2 4 2 3" xfId="11384" xr:uid="{0B78DAB2-236F-456B-98B6-1EE0D157734F}"/>
    <cellStyle name="Comma 4 2 2 2 4 3" xfId="5015" xr:uid="{00000000-0005-0000-0000-0000EC070000}"/>
    <cellStyle name="Comma 4 2 2 2 4 3 2" xfId="13457" xr:uid="{8525C3AB-4A67-4A84-B192-0EB1746C582B}"/>
    <cellStyle name="Comma 4 2 2 2 4 4" xfId="9239" xr:uid="{3CDA3396-2147-458E-9491-BA22F1AAA2B0}"/>
    <cellStyle name="Comma 4 2 2 2 5" xfId="1119" xr:uid="{00000000-0005-0000-0000-0000ED070000}"/>
    <cellStyle name="Comma 4 2 2 2 5 2" xfId="3350" xr:uid="{00000000-0005-0000-0000-0000EE070000}"/>
    <cellStyle name="Comma 4 2 2 2 5 2 2" xfId="7573" xr:uid="{00000000-0005-0000-0000-0000EF070000}"/>
    <cellStyle name="Comma 4 2 2 2 5 2 2 2" xfId="16015" xr:uid="{04AACE73-3C13-4055-A94F-5E43F3375F79}"/>
    <cellStyle name="Comma 4 2 2 2 5 2 3" xfId="11797" xr:uid="{842A0F85-43E8-48EA-A5DA-AE1429DA09CB}"/>
    <cellStyle name="Comma 4 2 2 2 5 3" xfId="5428" xr:uid="{00000000-0005-0000-0000-0000F0070000}"/>
    <cellStyle name="Comma 4 2 2 2 5 3 2" xfId="13870" xr:uid="{18DA0EE4-589D-4868-BFD6-FD4F6A14E10D}"/>
    <cellStyle name="Comma 4 2 2 2 5 4" xfId="9652" xr:uid="{698F878D-4FFC-49BC-9CA1-8DDF9655D611}"/>
    <cellStyle name="Comma 4 2 2 2 6" xfId="1533" xr:uid="{00000000-0005-0000-0000-0000F1070000}"/>
    <cellStyle name="Comma 4 2 2 2 6 2" xfId="3763" xr:uid="{00000000-0005-0000-0000-0000F2070000}"/>
    <cellStyle name="Comma 4 2 2 2 6 2 2" xfId="7986" xr:uid="{00000000-0005-0000-0000-0000F3070000}"/>
    <cellStyle name="Comma 4 2 2 2 6 2 2 2" xfId="16428" xr:uid="{E4229079-E166-4C25-B1E7-2C68C8F61F9A}"/>
    <cellStyle name="Comma 4 2 2 2 6 2 3" xfId="12210" xr:uid="{C4C017B7-A34C-415C-9BAF-BFF74C218665}"/>
    <cellStyle name="Comma 4 2 2 2 6 3" xfId="5841" xr:uid="{00000000-0005-0000-0000-0000F4070000}"/>
    <cellStyle name="Comma 4 2 2 2 6 3 2" xfId="14283" xr:uid="{214CE6ED-D003-4BEF-A5A6-A08837A932BD}"/>
    <cellStyle name="Comma 4 2 2 2 6 4" xfId="10065" xr:uid="{DF9CAF82-1480-4CB4-8DF5-4C97F71FDE99}"/>
    <cellStyle name="Comma 4 2 2 2 7" xfId="1947" xr:uid="{00000000-0005-0000-0000-0000F5070000}"/>
    <cellStyle name="Comma 4 2 2 2 7 2" xfId="4176" xr:uid="{00000000-0005-0000-0000-0000F6070000}"/>
    <cellStyle name="Comma 4 2 2 2 7 2 2" xfId="8399" xr:uid="{00000000-0005-0000-0000-0000F7070000}"/>
    <cellStyle name="Comma 4 2 2 2 7 2 2 2" xfId="16841" xr:uid="{0AEEF7C2-948C-4562-B8F8-31BCCDFD8837}"/>
    <cellStyle name="Comma 4 2 2 2 7 2 3" xfId="12623" xr:uid="{AF330DCD-7CA0-492A-94E8-98CDD8197B97}"/>
    <cellStyle name="Comma 4 2 2 2 7 3" xfId="6254" xr:uid="{00000000-0005-0000-0000-0000F8070000}"/>
    <cellStyle name="Comma 4 2 2 2 7 3 2" xfId="14696" xr:uid="{1AED2F7A-4073-457E-8EBD-071716731B53}"/>
    <cellStyle name="Comma 4 2 2 2 7 4" xfId="10478" xr:uid="{434AC535-0396-4F19-A4F4-894584EEECC8}"/>
    <cellStyle name="Comma 4 2 2 2 8" xfId="2382" xr:uid="{00000000-0005-0000-0000-0000F9070000}"/>
    <cellStyle name="Comma 4 2 2 2 8 2" xfId="6667" xr:uid="{00000000-0005-0000-0000-0000FA070000}"/>
    <cellStyle name="Comma 4 2 2 2 8 2 2" xfId="15109" xr:uid="{84146A67-EC68-44F5-87DA-E3BAC23BAA77}"/>
    <cellStyle name="Comma 4 2 2 2 8 3" xfId="10891" xr:uid="{2170844E-EEA5-43D4-BF57-F4212ED663C3}"/>
    <cellStyle name="Comma 4 2 2 2 9" xfId="2381" xr:uid="{00000000-0005-0000-0000-0000FB070000}"/>
    <cellStyle name="Comma 4 2 2 3" xfId="132" xr:uid="{00000000-0005-0000-0000-0000FC070000}"/>
    <cellStyle name="Comma 4 2 2 3 10" xfId="4605" xr:uid="{00000000-0005-0000-0000-0000FD070000}"/>
    <cellStyle name="Comma 4 2 2 3 10 2" xfId="13047" xr:uid="{A9FA3BF0-C636-4227-83FD-2EE283D6A156}"/>
    <cellStyle name="Comma 4 2 2 3 11" xfId="8829" xr:uid="{E1D0A456-180E-4434-8B4B-C85692218654}"/>
    <cellStyle name="Comma 4 2 2 3 2" xfId="133" xr:uid="{00000000-0005-0000-0000-0000FE070000}"/>
    <cellStyle name="Comma 4 2 2 3 2 10" xfId="8830" xr:uid="{09BDCD56-F535-40E0-940B-1E4B820819BB}"/>
    <cellStyle name="Comma 4 2 2 3 2 2" xfId="671" xr:uid="{00000000-0005-0000-0000-0000FF070000}"/>
    <cellStyle name="Comma 4 2 2 3 2 2 2" xfId="2942" xr:uid="{00000000-0005-0000-0000-000000080000}"/>
    <cellStyle name="Comma 4 2 2 3 2 2 2 2" xfId="7165" xr:uid="{00000000-0005-0000-0000-000001080000}"/>
    <cellStyle name="Comma 4 2 2 3 2 2 2 2 2" xfId="15607" xr:uid="{A1F20BB3-66B9-4E1E-8706-52DC1AC4C836}"/>
    <cellStyle name="Comma 4 2 2 3 2 2 2 3" xfId="11389" xr:uid="{947BC561-F4B3-425E-B0BD-A806EF7A1FA9}"/>
    <cellStyle name="Comma 4 2 2 3 2 2 3" xfId="5020" xr:uid="{00000000-0005-0000-0000-000002080000}"/>
    <cellStyle name="Comma 4 2 2 3 2 2 3 2" xfId="13462" xr:uid="{948ACE9F-A8C0-4663-A47D-595BB869E9D0}"/>
    <cellStyle name="Comma 4 2 2 3 2 2 4" xfId="9244" xr:uid="{29F4A5A3-B312-4CD3-843F-0A5FE192F032}"/>
    <cellStyle name="Comma 4 2 2 3 2 3" xfId="1124" xr:uid="{00000000-0005-0000-0000-000003080000}"/>
    <cellStyle name="Comma 4 2 2 3 2 3 2" xfId="3355" xr:uid="{00000000-0005-0000-0000-000004080000}"/>
    <cellStyle name="Comma 4 2 2 3 2 3 2 2" xfId="7578" xr:uid="{00000000-0005-0000-0000-000005080000}"/>
    <cellStyle name="Comma 4 2 2 3 2 3 2 2 2" xfId="16020" xr:uid="{E03DF6C9-524A-4394-85AE-C1D520ED0DF4}"/>
    <cellStyle name="Comma 4 2 2 3 2 3 2 3" xfId="11802" xr:uid="{C57340D9-C297-45EC-A9D7-C7A2367B11CB}"/>
    <cellStyle name="Comma 4 2 2 3 2 3 3" xfId="5433" xr:uid="{00000000-0005-0000-0000-000006080000}"/>
    <cellStyle name="Comma 4 2 2 3 2 3 3 2" xfId="13875" xr:uid="{77415920-DD9F-4E81-A164-3500B85C7859}"/>
    <cellStyle name="Comma 4 2 2 3 2 3 4" xfId="9657" xr:uid="{43E96A21-15E2-4C21-848B-3F7F3CBF495A}"/>
    <cellStyle name="Comma 4 2 2 3 2 4" xfId="1538" xr:uid="{00000000-0005-0000-0000-000007080000}"/>
    <cellStyle name="Comma 4 2 2 3 2 4 2" xfId="3768" xr:uid="{00000000-0005-0000-0000-000008080000}"/>
    <cellStyle name="Comma 4 2 2 3 2 4 2 2" xfId="7991" xr:uid="{00000000-0005-0000-0000-000009080000}"/>
    <cellStyle name="Comma 4 2 2 3 2 4 2 2 2" xfId="16433" xr:uid="{1A26F4D4-B6D8-453C-BDAD-9A6C37CCFD10}"/>
    <cellStyle name="Comma 4 2 2 3 2 4 2 3" xfId="12215" xr:uid="{5DD21B42-9545-48F9-810A-6E893EF03D66}"/>
    <cellStyle name="Comma 4 2 2 3 2 4 3" xfId="5846" xr:uid="{00000000-0005-0000-0000-00000A080000}"/>
    <cellStyle name="Comma 4 2 2 3 2 4 3 2" xfId="14288" xr:uid="{7D85B317-6A7C-47A4-87EE-DE6CE8CE5614}"/>
    <cellStyle name="Comma 4 2 2 3 2 4 4" xfId="10070" xr:uid="{09565ED7-A715-4E9D-BD1B-0D288324522A}"/>
    <cellStyle name="Comma 4 2 2 3 2 5" xfId="1952" xr:uid="{00000000-0005-0000-0000-00000B080000}"/>
    <cellStyle name="Comma 4 2 2 3 2 5 2" xfId="4181" xr:uid="{00000000-0005-0000-0000-00000C080000}"/>
    <cellStyle name="Comma 4 2 2 3 2 5 2 2" xfId="8404" xr:uid="{00000000-0005-0000-0000-00000D080000}"/>
    <cellStyle name="Comma 4 2 2 3 2 5 2 2 2" xfId="16846" xr:uid="{C10135CD-3D2F-4FB6-9E09-008B292E1A3D}"/>
    <cellStyle name="Comma 4 2 2 3 2 5 2 3" xfId="12628" xr:uid="{4BB9299E-CF26-4B6E-A522-4FB5B1D041DE}"/>
    <cellStyle name="Comma 4 2 2 3 2 5 3" xfId="6259" xr:uid="{00000000-0005-0000-0000-00000E080000}"/>
    <cellStyle name="Comma 4 2 2 3 2 5 3 2" xfId="14701" xr:uid="{FFB76F33-7F91-45E8-9FA6-27059B55C99E}"/>
    <cellStyle name="Comma 4 2 2 3 2 5 4" xfId="10483" xr:uid="{CBDF907E-C248-4335-8D50-155B12E13694}"/>
    <cellStyle name="Comma 4 2 2 3 2 6" xfId="2387" xr:uid="{00000000-0005-0000-0000-00000F080000}"/>
    <cellStyle name="Comma 4 2 2 3 2 6 2" xfId="6672" xr:uid="{00000000-0005-0000-0000-000010080000}"/>
    <cellStyle name="Comma 4 2 2 3 2 6 2 2" xfId="15114" xr:uid="{C06BE57A-C40E-4E73-9ACD-E7072F903F6C}"/>
    <cellStyle name="Comma 4 2 2 3 2 6 3" xfId="10896" xr:uid="{A4BDD8E5-525A-45D4-8AC9-C7C92D3DA76E}"/>
    <cellStyle name="Comma 4 2 2 3 2 7" xfId="2376" xr:uid="{00000000-0005-0000-0000-000011080000}"/>
    <cellStyle name="Comma 4 2 2 3 2 8" xfId="2765" xr:uid="{00000000-0005-0000-0000-000012080000}"/>
    <cellStyle name="Comma 4 2 2 3 2 8 2" xfId="6989" xr:uid="{00000000-0005-0000-0000-000013080000}"/>
    <cellStyle name="Comma 4 2 2 3 2 8 2 2" xfId="15431" xr:uid="{F6725A76-48A3-489B-A05E-C87A4167A596}"/>
    <cellStyle name="Comma 4 2 2 3 2 8 3" xfId="11213" xr:uid="{8750D6DC-6FF8-40B3-ACC1-26BCD2CCCAB4}"/>
    <cellStyle name="Comma 4 2 2 3 2 9" xfId="4606" xr:uid="{00000000-0005-0000-0000-000014080000}"/>
    <cellStyle name="Comma 4 2 2 3 2 9 2" xfId="13048" xr:uid="{038492DF-99A7-4022-B3FC-CDA6FCD67BF2}"/>
    <cellStyle name="Comma 4 2 2 3 3" xfId="670" xr:uid="{00000000-0005-0000-0000-000015080000}"/>
    <cellStyle name="Comma 4 2 2 3 3 2" xfId="2941" xr:uid="{00000000-0005-0000-0000-000016080000}"/>
    <cellStyle name="Comma 4 2 2 3 3 2 2" xfId="7164" xr:uid="{00000000-0005-0000-0000-000017080000}"/>
    <cellStyle name="Comma 4 2 2 3 3 2 2 2" xfId="15606" xr:uid="{1921132F-E99A-414B-B6DC-64915FFFD371}"/>
    <cellStyle name="Comma 4 2 2 3 3 2 3" xfId="11388" xr:uid="{7C7B84C4-6854-42D1-8329-5DC0DBC0E6A5}"/>
    <cellStyle name="Comma 4 2 2 3 3 3" xfId="5019" xr:uid="{00000000-0005-0000-0000-000018080000}"/>
    <cellStyle name="Comma 4 2 2 3 3 3 2" xfId="13461" xr:uid="{D0851E1B-010A-448B-A155-9BCDE6F1B756}"/>
    <cellStyle name="Comma 4 2 2 3 3 4" xfId="9243" xr:uid="{5360E365-4770-4438-B0E5-F5EA7ECA784D}"/>
    <cellStyle name="Comma 4 2 2 3 4" xfId="1123" xr:uid="{00000000-0005-0000-0000-000019080000}"/>
    <cellStyle name="Comma 4 2 2 3 4 2" xfId="3354" xr:uid="{00000000-0005-0000-0000-00001A080000}"/>
    <cellStyle name="Comma 4 2 2 3 4 2 2" xfId="7577" xr:uid="{00000000-0005-0000-0000-00001B080000}"/>
    <cellStyle name="Comma 4 2 2 3 4 2 2 2" xfId="16019" xr:uid="{CA42779F-D1D2-429F-A0C1-CE352C4E0B7D}"/>
    <cellStyle name="Comma 4 2 2 3 4 2 3" xfId="11801" xr:uid="{9675B920-B6E0-4D52-A4C9-EA28DC9F197B}"/>
    <cellStyle name="Comma 4 2 2 3 4 3" xfId="5432" xr:uid="{00000000-0005-0000-0000-00001C080000}"/>
    <cellStyle name="Comma 4 2 2 3 4 3 2" xfId="13874" xr:uid="{7F248AC5-18B4-4362-BBF2-5D654ED9F02C}"/>
    <cellStyle name="Comma 4 2 2 3 4 4" xfId="9656" xr:uid="{92EA7703-B583-4F21-8C48-6937D99C1BDC}"/>
    <cellStyle name="Comma 4 2 2 3 5" xfId="1537" xr:uid="{00000000-0005-0000-0000-00001D080000}"/>
    <cellStyle name="Comma 4 2 2 3 5 2" xfId="3767" xr:uid="{00000000-0005-0000-0000-00001E080000}"/>
    <cellStyle name="Comma 4 2 2 3 5 2 2" xfId="7990" xr:uid="{00000000-0005-0000-0000-00001F080000}"/>
    <cellStyle name="Comma 4 2 2 3 5 2 2 2" xfId="16432" xr:uid="{5C8DDD16-EE0C-48C8-A349-6E291A575165}"/>
    <cellStyle name="Comma 4 2 2 3 5 2 3" xfId="12214" xr:uid="{91318909-E70A-461E-93E1-7FEDDBF98315}"/>
    <cellStyle name="Comma 4 2 2 3 5 3" xfId="5845" xr:uid="{00000000-0005-0000-0000-000020080000}"/>
    <cellStyle name="Comma 4 2 2 3 5 3 2" xfId="14287" xr:uid="{11E4F459-B7E3-499A-8836-39976E64A6E0}"/>
    <cellStyle name="Comma 4 2 2 3 5 4" xfId="10069" xr:uid="{AE528121-F902-4A5C-BE04-55A7231C3441}"/>
    <cellStyle name="Comma 4 2 2 3 6" xfId="1951" xr:uid="{00000000-0005-0000-0000-000021080000}"/>
    <cellStyle name="Comma 4 2 2 3 6 2" xfId="4180" xr:uid="{00000000-0005-0000-0000-000022080000}"/>
    <cellStyle name="Comma 4 2 2 3 6 2 2" xfId="8403" xr:uid="{00000000-0005-0000-0000-000023080000}"/>
    <cellStyle name="Comma 4 2 2 3 6 2 2 2" xfId="16845" xr:uid="{FA0516B0-28BD-4D7C-8382-1327D64DB54F}"/>
    <cellStyle name="Comma 4 2 2 3 6 2 3" xfId="12627" xr:uid="{5047D246-5EBE-429F-AD1A-31B42EE8278E}"/>
    <cellStyle name="Comma 4 2 2 3 6 3" xfId="6258" xr:uid="{00000000-0005-0000-0000-000024080000}"/>
    <cellStyle name="Comma 4 2 2 3 6 3 2" xfId="14700" xr:uid="{AB38D096-DCAE-428C-86A9-1019A686B31E}"/>
    <cellStyle name="Comma 4 2 2 3 6 4" xfId="10482" xr:uid="{F76B4ED5-F461-47FD-90C1-4F936BDEB206}"/>
    <cellStyle name="Comma 4 2 2 3 7" xfId="2386" xr:uid="{00000000-0005-0000-0000-000025080000}"/>
    <cellStyle name="Comma 4 2 2 3 7 2" xfId="6671" xr:uid="{00000000-0005-0000-0000-000026080000}"/>
    <cellStyle name="Comma 4 2 2 3 7 2 2" xfId="15113" xr:uid="{9C2AAF19-7650-45A8-AB1D-E15BFE67460C}"/>
    <cellStyle name="Comma 4 2 2 3 7 3" xfId="10895" xr:uid="{B1ED40AC-3082-4CD8-84B9-919F9497E21A}"/>
    <cellStyle name="Comma 4 2 2 3 8" xfId="2377" xr:uid="{00000000-0005-0000-0000-000027080000}"/>
    <cellStyle name="Comma 4 2 2 3 9" xfId="2764" xr:uid="{00000000-0005-0000-0000-000028080000}"/>
    <cellStyle name="Comma 4 2 2 3 9 2" xfId="6988" xr:uid="{00000000-0005-0000-0000-000029080000}"/>
    <cellStyle name="Comma 4 2 2 3 9 2 2" xfId="15430" xr:uid="{1D49694C-F705-4157-A887-CAF3F5D47DE2}"/>
    <cellStyle name="Comma 4 2 2 3 9 3" xfId="11212" xr:uid="{E6634AE7-57F5-4125-B38E-62846678A0E2}"/>
    <cellStyle name="Comma 4 2 2 4" xfId="134" xr:uid="{00000000-0005-0000-0000-00002A080000}"/>
    <cellStyle name="Comma 4 2 2 4 10" xfId="8831" xr:uid="{635682C2-95EC-4A73-BE4C-288EFED435CC}"/>
    <cellStyle name="Comma 4 2 2 4 2" xfId="672" xr:uid="{00000000-0005-0000-0000-00002B080000}"/>
    <cellStyle name="Comma 4 2 2 4 2 2" xfId="2943" xr:uid="{00000000-0005-0000-0000-00002C080000}"/>
    <cellStyle name="Comma 4 2 2 4 2 2 2" xfId="7166" xr:uid="{00000000-0005-0000-0000-00002D080000}"/>
    <cellStyle name="Comma 4 2 2 4 2 2 2 2" xfId="15608" xr:uid="{8F8EEB11-D797-4CC4-8491-7972426287E4}"/>
    <cellStyle name="Comma 4 2 2 4 2 2 3" xfId="11390" xr:uid="{7F820E81-0D7E-4E3D-9BF0-12C3F79D73AF}"/>
    <cellStyle name="Comma 4 2 2 4 2 3" xfId="5021" xr:uid="{00000000-0005-0000-0000-00002E080000}"/>
    <cellStyle name="Comma 4 2 2 4 2 3 2" xfId="13463" xr:uid="{D7095AB0-5573-4D25-99C0-3AD222C1F407}"/>
    <cellStyle name="Comma 4 2 2 4 2 4" xfId="9245" xr:uid="{AFC9CFAF-A3E4-4D92-B829-34F713EFC2E0}"/>
    <cellStyle name="Comma 4 2 2 4 3" xfId="1125" xr:uid="{00000000-0005-0000-0000-00002F080000}"/>
    <cellStyle name="Comma 4 2 2 4 3 2" xfId="3356" xr:uid="{00000000-0005-0000-0000-000030080000}"/>
    <cellStyle name="Comma 4 2 2 4 3 2 2" xfId="7579" xr:uid="{00000000-0005-0000-0000-000031080000}"/>
    <cellStyle name="Comma 4 2 2 4 3 2 2 2" xfId="16021" xr:uid="{72063C80-BE09-4EE7-894D-2CDECADA4B49}"/>
    <cellStyle name="Comma 4 2 2 4 3 2 3" xfId="11803" xr:uid="{AFDC6224-A248-42FC-BF3E-ABA5C6138270}"/>
    <cellStyle name="Comma 4 2 2 4 3 3" xfId="5434" xr:uid="{00000000-0005-0000-0000-000032080000}"/>
    <cellStyle name="Comma 4 2 2 4 3 3 2" xfId="13876" xr:uid="{2F94D11B-D445-4D91-9E53-7D3F99947B2E}"/>
    <cellStyle name="Comma 4 2 2 4 3 4" xfId="9658" xr:uid="{DC92EB80-4D44-4A6E-9469-6B0C99D7D76C}"/>
    <cellStyle name="Comma 4 2 2 4 4" xfId="1539" xr:uid="{00000000-0005-0000-0000-000033080000}"/>
    <cellStyle name="Comma 4 2 2 4 4 2" xfId="3769" xr:uid="{00000000-0005-0000-0000-000034080000}"/>
    <cellStyle name="Comma 4 2 2 4 4 2 2" xfId="7992" xr:uid="{00000000-0005-0000-0000-000035080000}"/>
    <cellStyle name="Comma 4 2 2 4 4 2 2 2" xfId="16434" xr:uid="{CB654DD6-C98D-4F36-8299-FD755DD6DCD9}"/>
    <cellStyle name="Comma 4 2 2 4 4 2 3" xfId="12216" xr:uid="{6BD6B309-0E38-419E-89AB-47EFFF972BD9}"/>
    <cellStyle name="Comma 4 2 2 4 4 3" xfId="5847" xr:uid="{00000000-0005-0000-0000-000036080000}"/>
    <cellStyle name="Comma 4 2 2 4 4 3 2" xfId="14289" xr:uid="{4EBE1288-4C0F-4E5F-83F2-3B1FEE78F71B}"/>
    <cellStyle name="Comma 4 2 2 4 4 4" xfId="10071" xr:uid="{5A5AF72C-910C-4035-846D-749D1874376C}"/>
    <cellStyle name="Comma 4 2 2 4 5" xfId="1953" xr:uid="{00000000-0005-0000-0000-000037080000}"/>
    <cellStyle name="Comma 4 2 2 4 5 2" xfId="4182" xr:uid="{00000000-0005-0000-0000-000038080000}"/>
    <cellStyle name="Comma 4 2 2 4 5 2 2" xfId="8405" xr:uid="{00000000-0005-0000-0000-000039080000}"/>
    <cellStyle name="Comma 4 2 2 4 5 2 2 2" xfId="16847" xr:uid="{9466F4AF-D784-460B-AA2D-C3807F1EFAA3}"/>
    <cellStyle name="Comma 4 2 2 4 5 2 3" xfId="12629" xr:uid="{D0898BD0-9B5D-4F20-AB91-38F85446F651}"/>
    <cellStyle name="Comma 4 2 2 4 5 3" xfId="6260" xr:uid="{00000000-0005-0000-0000-00003A080000}"/>
    <cellStyle name="Comma 4 2 2 4 5 3 2" xfId="14702" xr:uid="{9CB91A48-2E90-416F-B084-F53E2508ADC9}"/>
    <cellStyle name="Comma 4 2 2 4 5 4" xfId="10484" xr:uid="{914119BB-01DE-47BF-8FE8-4F6901EFCA6E}"/>
    <cellStyle name="Comma 4 2 2 4 6" xfId="2388" xr:uid="{00000000-0005-0000-0000-00003B080000}"/>
    <cellStyle name="Comma 4 2 2 4 6 2" xfId="6673" xr:uid="{00000000-0005-0000-0000-00003C080000}"/>
    <cellStyle name="Comma 4 2 2 4 6 2 2" xfId="15115" xr:uid="{2BBCC014-5711-4539-804E-1F0C65B19B1E}"/>
    <cellStyle name="Comma 4 2 2 4 6 3" xfId="10897" xr:uid="{391DA36B-17AD-4CD6-ADB4-AD621987F2B0}"/>
    <cellStyle name="Comma 4 2 2 4 7" xfId="2375" xr:uid="{00000000-0005-0000-0000-00003D080000}"/>
    <cellStyle name="Comma 4 2 2 4 8" xfId="2766" xr:uid="{00000000-0005-0000-0000-00003E080000}"/>
    <cellStyle name="Comma 4 2 2 4 8 2" xfId="6990" xr:uid="{00000000-0005-0000-0000-00003F080000}"/>
    <cellStyle name="Comma 4 2 2 4 8 2 2" xfId="15432" xr:uid="{F9045556-0B63-47EA-85D0-C92DDEB5B6E1}"/>
    <cellStyle name="Comma 4 2 2 4 8 3" xfId="11214" xr:uid="{6E7CE548-1EE5-4418-917F-4242D029C6B3}"/>
    <cellStyle name="Comma 4 2 2 4 9" xfId="4607" xr:uid="{00000000-0005-0000-0000-000040080000}"/>
    <cellStyle name="Comma 4 2 2 4 9 2" xfId="13049" xr:uid="{3B13FAD7-6A3E-438E-B5E2-C98D323A23A2}"/>
    <cellStyle name="Comma 4 2 2 5" xfId="135" xr:uid="{00000000-0005-0000-0000-000041080000}"/>
    <cellStyle name="Comma 4 2 2 5 10" xfId="8832" xr:uid="{40D94FCF-CBC6-481B-8597-B9EC4F3E6B18}"/>
    <cellStyle name="Comma 4 2 2 5 2" xfId="673" xr:uid="{00000000-0005-0000-0000-000042080000}"/>
    <cellStyle name="Comma 4 2 2 5 2 2" xfId="2944" xr:uid="{00000000-0005-0000-0000-000043080000}"/>
    <cellStyle name="Comma 4 2 2 5 2 2 2" xfId="7167" xr:uid="{00000000-0005-0000-0000-000044080000}"/>
    <cellStyle name="Comma 4 2 2 5 2 2 2 2" xfId="15609" xr:uid="{6434531F-4788-4704-8949-8AA0721045A1}"/>
    <cellStyle name="Comma 4 2 2 5 2 2 3" xfId="11391" xr:uid="{238FA417-3F5B-4F2D-A6BB-EB519C7C42C6}"/>
    <cellStyle name="Comma 4 2 2 5 2 3" xfId="5022" xr:uid="{00000000-0005-0000-0000-000045080000}"/>
    <cellStyle name="Comma 4 2 2 5 2 3 2" xfId="13464" xr:uid="{A5E83AE1-186C-48BC-9EE4-7A67E9A5FBF6}"/>
    <cellStyle name="Comma 4 2 2 5 2 4" xfId="9246" xr:uid="{9247B25D-BAD8-447D-B4FA-08470593DD68}"/>
    <cellStyle name="Comma 4 2 2 5 3" xfId="1126" xr:uid="{00000000-0005-0000-0000-000046080000}"/>
    <cellStyle name="Comma 4 2 2 5 3 2" xfId="3357" xr:uid="{00000000-0005-0000-0000-000047080000}"/>
    <cellStyle name="Comma 4 2 2 5 3 2 2" xfId="7580" xr:uid="{00000000-0005-0000-0000-000048080000}"/>
    <cellStyle name="Comma 4 2 2 5 3 2 2 2" xfId="16022" xr:uid="{68CB1D16-FDB9-4AFD-A634-CB82E01FD93F}"/>
    <cellStyle name="Comma 4 2 2 5 3 2 3" xfId="11804" xr:uid="{28EA6A75-BE93-4364-892E-753D029051F9}"/>
    <cellStyle name="Comma 4 2 2 5 3 3" xfId="5435" xr:uid="{00000000-0005-0000-0000-000049080000}"/>
    <cellStyle name="Comma 4 2 2 5 3 3 2" xfId="13877" xr:uid="{016C81BA-1E11-44F9-B536-2862102847E6}"/>
    <cellStyle name="Comma 4 2 2 5 3 4" xfId="9659" xr:uid="{ACB507F2-B272-4516-9C74-5AAAF1EC0552}"/>
    <cellStyle name="Comma 4 2 2 5 4" xfId="1540" xr:uid="{00000000-0005-0000-0000-00004A080000}"/>
    <cellStyle name="Comma 4 2 2 5 4 2" xfId="3770" xr:uid="{00000000-0005-0000-0000-00004B080000}"/>
    <cellStyle name="Comma 4 2 2 5 4 2 2" xfId="7993" xr:uid="{00000000-0005-0000-0000-00004C080000}"/>
    <cellStyle name="Comma 4 2 2 5 4 2 2 2" xfId="16435" xr:uid="{DE6BBE4C-2A9A-4A85-8E16-7674479E65E7}"/>
    <cellStyle name="Comma 4 2 2 5 4 2 3" xfId="12217" xr:uid="{9CF0EA1A-EFA5-49E9-B3E7-9111286046BE}"/>
    <cellStyle name="Comma 4 2 2 5 4 3" xfId="5848" xr:uid="{00000000-0005-0000-0000-00004D080000}"/>
    <cellStyle name="Comma 4 2 2 5 4 3 2" xfId="14290" xr:uid="{80254B91-590D-4837-94D5-E50187704510}"/>
    <cellStyle name="Comma 4 2 2 5 4 4" xfId="10072" xr:uid="{C85F37CD-76DA-4716-AFBB-89BBF5046769}"/>
    <cellStyle name="Comma 4 2 2 5 5" xfId="1954" xr:uid="{00000000-0005-0000-0000-00004E080000}"/>
    <cellStyle name="Comma 4 2 2 5 5 2" xfId="4183" xr:uid="{00000000-0005-0000-0000-00004F080000}"/>
    <cellStyle name="Comma 4 2 2 5 5 2 2" xfId="8406" xr:uid="{00000000-0005-0000-0000-000050080000}"/>
    <cellStyle name="Comma 4 2 2 5 5 2 2 2" xfId="16848" xr:uid="{C048EA1B-2DEC-4844-ABE8-60416B5C65A1}"/>
    <cellStyle name="Comma 4 2 2 5 5 2 3" xfId="12630" xr:uid="{318A86BD-A1B8-4C66-A1EB-569ECDE9C5CF}"/>
    <cellStyle name="Comma 4 2 2 5 5 3" xfId="6261" xr:uid="{00000000-0005-0000-0000-000051080000}"/>
    <cellStyle name="Comma 4 2 2 5 5 3 2" xfId="14703" xr:uid="{AE93A2D7-92AA-417B-A41D-7AAB24EE15FF}"/>
    <cellStyle name="Comma 4 2 2 5 5 4" xfId="10485" xr:uid="{83D0C92B-802D-481C-B578-B0ECAEF38ACD}"/>
    <cellStyle name="Comma 4 2 2 5 6" xfId="2389" xr:uid="{00000000-0005-0000-0000-000052080000}"/>
    <cellStyle name="Comma 4 2 2 5 6 2" xfId="6674" xr:uid="{00000000-0005-0000-0000-000053080000}"/>
    <cellStyle name="Comma 4 2 2 5 6 2 2" xfId="15116" xr:uid="{7911D238-1269-4C1C-99B3-ECA0413E5440}"/>
    <cellStyle name="Comma 4 2 2 5 6 3" xfId="10898" xr:uid="{37969FA5-6D41-47A1-80B9-128A8F31CE9E}"/>
    <cellStyle name="Comma 4 2 2 5 7" xfId="2374" xr:uid="{00000000-0005-0000-0000-000054080000}"/>
    <cellStyle name="Comma 4 2 2 5 8" xfId="2767" xr:uid="{00000000-0005-0000-0000-000055080000}"/>
    <cellStyle name="Comma 4 2 2 5 8 2" xfId="6991" xr:uid="{00000000-0005-0000-0000-000056080000}"/>
    <cellStyle name="Comma 4 2 2 5 8 2 2" xfId="15433" xr:uid="{C3388811-56BA-472B-BEC2-FBE5DF050100}"/>
    <cellStyle name="Comma 4 2 2 5 8 3" xfId="11215" xr:uid="{B2B21E4D-7254-4B9F-BB17-AF4321CB64B2}"/>
    <cellStyle name="Comma 4 2 2 5 9" xfId="4608" xr:uid="{00000000-0005-0000-0000-000057080000}"/>
    <cellStyle name="Comma 4 2 2 5 9 2" xfId="13050" xr:uid="{ABBC540B-7814-4733-8FB1-1FA1EC2DFE82}"/>
    <cellStyle name="Comma 4 2 3" xfId="136" xr:uid="{00000000-0005-0000-0000-000058080000}"/>
    <cellStyle name="Comma 4 2 3 10" xfId="2768" xr:uid="{00000000-0005-0000-0000-000059080000}"/>
    <cellStyle name="Comma 4 2 3 10 2" xfId="6992" xr:uid="{00000000-0005-0000-0000-00005A080000}"/>
    <cellStyle name="Comma 4 2 3 10 2 2" xfId="15434" xr:uid="{B5E68454-0A43-4B01-A95C-28160A8BBA7C}"/>
    <cellStyle name="Comma 4 2 3 10 3" xfId="11216" xr:uid="{8E0FCE88-B8F2-462F-A6FB-0F7336083CB1}"/>
    <cellStyle name="Comma 4 2 3 11" xfId="4609" xr:uid="{00000000-0005-0000-0000-00005B080000}"/>
    <cellStyle name="Comma 4 2 3 11 2" xfId="13051" xr:uid="{C9CA2007-3055-46A5-B9AD-8EF34F79CCF9}"/>
    <cellStyle name="Comma 4 2 3 12" xfId="8833" xr:uid="{D503909F-EC65-446B-A001-64BF754769EE}"/>
    <cellStyle name="Comma 4 2 3 2" xfId="137" xr:uid="{00000000-0005-0000-0000-00005C080000}"/>
    <cellStyle name="Comma 4 2 3 2 10" xfId="4610" xr:uid="{00000000-0005-0000-0000-00005D080000}"/>
    <cellStyle name="Comma 4 2 3 2 10 2" xfId="13052" xr:uid="{D04E2D2D-3BDB-401F-A735-0C36EF24E8D0}"/>
    <cellStyle name="Comma 4 2 3 2 11" xfId="8834" xr:uid="{A5EAF024-C84F-409F-BB05-53EE5619FA2E}"/>
    <cellStyle name="Comma 4 2 3 2 2" xfId="138" xr:uid="{00000000-0005-0000-0000-00005E080000}"/>
    <cellStyle name="Comma 4 2 3 2 2 10" xfId="8835" xr:uid="{B286A6DC-B772-43CC-BB99-66028C365624}"/>
    <cellStyle name="Comma 4 2 3 2 2 2" xfId="676" xr:uid="{00000000-0005-0000-0000-00005F080000}"/>
    <cellStyle name="Comma 4 2 3 2 2 2 2" xfId="2947" xr:uid="{00000000-0005-0000-0000-000060080000}"/>
    <cellStyle name="Comma 4 2 3 2 2 2 2 2" xfId="7170" xr:uid="{00000000-0005-0000-0000-000061080000}"/>
    <cellStyle name="Comma 4 2 3 2 2 2 2 2 2" xfId="15612" xr:uid="{2C1C1821-C820-494C-827C-21039F21B2F0}"/>
    <cellStyle name="Comma 4 2 3 2 2 2 2 3" xfId="11394" xr:uid="{08633A32-4103-4368-8EE6-8BB46346F11C}"/>
    <cellStyle name="Comma 4 2 3 2 2 2 3" xfId="5025" xr:uid="{00000000-0005-0000-0000-000062080000}"/>
    <cellStyle name="Comma 4 2 3 2 2 2 3 2" xfId="13467" xr:uid="{69C4EBA5-0B10-4901-B080-3C253A186CF5}"/>
    <cellStyle name="Comma 4 2 3 2 2 2 4" xfId="9249" xr:uid="{F7618A65-8AEC-4A92-AF99-D20D4901AEB0}"/>
    <cellStyle name="Comma 4 2 3 2 2 3" xfId="1129" xr:uid="{00000000-0005-0000-0000-000063080000}"/>
    <cellStyle name="Comma 4 2 3 2 2 3 2" xfId="3360" xr:uid="{00000000-0005-0000-0000-000064080000}"/>
    <cellStyle name="Comma 4 2 3 2 2 3 2 2" xfId="7583" xr:uid="{00000000-0005-0000-0000-000065080000}"/>
    <cellStyle name="Comma 4 2 3 2 2 3 2 2 2" xfId="16025" xr:uid="{3419B69F-8EBF-4924-84C8-8A275A6B8545}"/>
    <cellStyle name="Comma 4 2 3 2 2 3 2 3" xfId="11807" xr:uid="{A3BB7546-A21D-45DC-B0FD-081E59E66234}"/>
    <cellStyle name="Comma 4 2 3 2 2 3 3" xfId="5438" xr:uid="{00000000-0005-0000-0000-000066080000}"/>
    <cellStyle name="Comma 4 2 3 2 2 3 3 2" xfId="13880" xr:uid="{A615E2BC-4F4C-4260-B21C-1A6265D6ECB6}"/>
    <cellStyle name="Comma 4 2 3 2 2 3 4" xfId="9662" xr:uid="{141BD91D-6335-47CE-A059-2BAF603A2F82}"/>
    <cellStyle name="Comma 4 2 3 2 2 4" xfId="1543" xr:uid="{00000000-0005-0000-0000-000067080000}"/>
    <cellStyle name="Comma 4 2 3 2 2 4 2" xfId="3773" xr:uid="{00000000-0005-0000-0000-000068080000}"/>
    <cellStyle name="Comma 4 2 3 2 2 4 2 2" xfId="7996" xr:uid="{00000000-0005-0000-0000-000069080000}"/>
    <cellStyle name="Comma 4 2 3 2 2 4 2 2 2" xfId="16438" xr:uid="{5C340255-77E7-423E-8037-8EF69A184E3C}"/>
    <cellStyle name="Comma 4 2 3 2 2 4 2 3" xfId="12220" xr:uid="{76A97141-14B3-4DC7-8A6E-D267EF13CC25}"/>
    <cellStyle name="Comma 4 2 3 2 2 4 3" xfId="5851" xr:uid="{00000000-0005-0000-0000-00006A080000}"/>
    <cellStyle name="Comma 4 2 3 2 2 4 3 2" xfId="14293" xr:uid="{07EEFE3E-A158-4D9C-8389-9481E3EC4826}"/>
    <cellStyle name="Comma 4 2 3 2 2 4 4" xfId="10075" xr:uid="{24C8B005-62F5-4442-8A8E-EA0B9E29BFD8}"/>
    <cellStyle name="Comma 4 2 3 2 2 5" xfId="1957" xr:uid="{00000000-0005-0000-0000-00006B080000}"/>
    <cellStyle name="Comma 4 2 3 2 2 5 2" xfId="4186" xr:uid="{00000000-0005-0000-0000-00006C080000}"/>
    <cellStyle name="Comma 4 2 3 2 2 5 2 2" xfId="8409" xr:uid="{00000000-0005-0000-0000-00006D080000}"/>
    <cellStyle name="Comma 4 2 3 2 2 5 2 2 2" xfId="16851" xr:uid="{6CFE7F22-D3AA-4163-A4CE-736B41AC0606}"/>
    <cellStyle name="Comma 4 2 3 2 2 5 2 3" xfId="12633" xr:uid="{DDDAA11F-9E6D-46CF-A3F9-92F934590B0E}"/>
    <cellStyle name="Comma 4 2 3 2 2 5 3" xfId="6264" xr:uid="{00000000-0005-0000-0000-00006E080000}"/>
    <cellStyle name="Comma 4 2 3 2 2 5 3 2" xfId="14706" xr:uid="{2A5DC735-EA43-4D91-B288-0E4CF2A455E8}"/>
    <cellStyle name="Comma 4 2 3 2 2 5 4" xfId="10488" xr:uid="{2525FE90-BAA8-4A55-A11F-67166D4E9BB0}"/>
    <cellStyle name="Comma 4 2 3 2 2 6" xfId="2392" xr:uid="{00000000-0005-0000-0000-00006F080000}"/>
    <cellStyle name="Comma 4 2 3 2 2 6 2" xfId="6677" xr:uid="{00000000-0005-0000-0000-000070080000}"/>
    <cellStyle name="Comma 4 2 3 2 2 6 2 2" xfId="15119" xr:uid="{D067288F-9444-450C-A496-D2A5EEF259C2}"/>
    <cellStyle name="Comma 4 2 3 2 2 6 3" xfId="10901" xr:uid="{F5A406E9-D4A0-43B6-BF94-E0B70C325AAC}"/>
    <cellStyle name="Comma 4 2 3 2 2 7" xfId="2371" xr:uid="{00000000-0005-0000-0000-000071080000}"/>
    <cellStyle name="Comma 4 2 3 2 2 8" xfId="2770" xr:uid="{00000000-0005-0000-0000-000072080000}"/>
    <cellStyle name="Comma 4 2 3 2 2 8 2" xfId="6994" xr:uid="{00000000-0005-0000-0000-000073080000}"/>
    <cellStyle name="Comma 4 2 3 2 2 8 2 2" xfId="15436" xr:uid="{D84887E1-1A30-4DED-9D1B-F6849C8C16A3}"/>
    <cellStyle name="Comma 4 2 3 2 2 8 3" xfId="11218" xr:uid="{DB027A42-8FC0-4661-B537-0F84D45D3245}"/>
    <cellStyle name="Comma 4 2 3 2 2 9" xfId="4611" xr:uid="{00000000-0005-0000-0000-000074080000}"/>
    <cellStyle name="Comma 4 2 3 2 2 9 2" xfId="13053" xr:uid="{983FAB7C-39A3-4240-B363-306165378CC3}"/>
    <cellStyle name="Comma 4 2 3 2 3" xfId="675" xr:uid="{00000000-0005-0000-0000-000075080000}"/>
    <cellStyle name="Comma 4 2 3 2 3 2" xfId="2946" xr:uid="{00000000-0005-0000-0000-000076080000}"/>
    <cellStyle name="Comma 4 2 3 2 3 2 2" xfId="7169" xr:uid="{00000000-0005-0000-0000-000077080000}"/>
    <cellStyle name="Comma 4 2 3 2 3 2 2 2" xfId="15611" xr:uid="{964F1C4E-81CD-4053-B1A1-2A3BA6FD8F1C}"/>
    <cellStyle name="Comma 4 2 3 2 3 2 3" xfId="11393" xr:uid="{6089F415-6E26-454C-B836-D656AB5C28AB}"/>
    <cellStyle name="Comma 4 2 3 2 3 3" xfId="5024" xr:uid="{00000000-0005-0000-0000-000078080000}"/>
    <cellStyle name="Comma 4 2 3 2 3 3 2" xfId="13466" xr:uid="{EDFBAD83-9652-4A93-AF5D-9D84C53F6B44}"/>
    <cellStyle name="Comma 4 2 3 2 3 4" xfId="9248" xr:uid="{A9A1F698-D371-4B01-BF60-FA202A196D4F}"/>
    <cellStyle name="Comma 4 2 3 2 4" xfId="1128" xr:uid="{00000000-0005-0000-0000-000079080000}"/>
    <cellStyle name="Comma 4 2 3 2 4 2" xfId="3359" xr:uid="{00000000-0005-0000-0000-00007A080000}"/>
    <cellStyle name="Comma 4 2 3 2 4 2 2" xfId="7582" xr:uid="{00000000-0005-0000-0000-00007B080000}"/>
    <cellStyle name="Comma 4 2 3 2 4 2 2 2" xfId="16024" xr:uid="{ECB44AD9-88F7-4336-ABFB-CAC2B2614CFE}"/>
    <cellStyle name="Comma 4 2 3 2 4 2 3" xfId="11806" xr:uid="{E5BD4C56-C0C2-44CE-8AF2-0C088E5E0A6D}"/>
    <cellStyle name="Comma 4 2 3 2 4 3" xfId="5437" xr:uid="{00000000-0005-0000-0000-00007C080000}"/>
    <cellStyle name="Comma 4 2 3 2 4 3 2" xfId="13879" xr:uid="{69EFF734-883B-4FC8-9582-D2300434AA95}"/>
    <cellStyle name="Comma 4 2 3 2 4 4" xfId="9661" xr:uid="{05526942-8A87-45E8-A2A1-25A47C38D5F6}"/>
    <cellStyle name="Comma 4 2 3 2 5" xfId="1542" xr:uid="{00000000-0005-0000-0000-00007D080000}"/>
    <cellStyle name="Comma 4 2 3 2 5 2" xfId="3772" xr:uid="{00000000-0005-0000-0000-00007E080000}"/>
    <cellStyle name="Comma 4 2 3 2 5 2 2" xfId="7995" xr:uid="{00000000-0005-0000-0000-00007F080000}"/>
    <cellStyle name="Comma 4 2 3 2 5 2 2 2" xfId="16437" xr:uid="{F673612D-99CC-4496-823A-606437D84A5C}"/>
    <cellStyle name="Comma 4 2 3 2 5 2 3" xfId="12219" xr:uid="{E9059DDE-44B8-46D1-9AA7-8A55577B9050}"/>
    <cellStyle name="Comma 4 2 3 2 5 3" xfId="5850" xr:uid="{00000000-0005-0000-0000-000080080000}"/>
    <cellStyle name="Comma 4 2 3 2 5 3 2" xfId="14292" xr:uid="{DE423E1C-8647-4B3B-9CCD-0559E5B7A7F3}"/>
    <cellStyle name="Comma 4 2 3 2 5 4" xfId="10074" xr:uid="{F8A85E63-C947-4609-9778-01D70B575C7A}"/>
    <cellStyle name="Comma 4 2 3 2 6" xfId="1956" xr:uid="{00000000-0005-0000-0000-000081080000}"/>
    <cellStyle name="Comma 4 2 3 2 6 2" xfId="4185" xr:uid="{00000000-0005-0000-0000-000082080000}"/>
    <cellStyle name="Comma 4 2 3 2 6 2 2" xfId="8408" xr:uid="{00000000-0005-0000-0000-000083080000}"/>
    <cellStyle name="Comma 4 2 3 2 6 2 2 2" xfId="16850" xr:uid="{D78DAEA5-ECAA-4EF9-85F7-EBD5FF011E47}"/>
    <cellStyle name="Comma 4 2 3 2 6 2 3" xfId="12632" xr:uid="{F5255341-08E2-42E6-9F7A-19A79F0F930B}"/>
    <cellStyle name="Comma 4 2 3 2 6 3" xfId="6263" xr:uid="{00000000-0005-0000-0000-000084080000}"/>
    <cellStyle name="Comma 4 2 3 2 6 3 2" xfId="14705" xr:uid="{3D157B4C-7609-48BC-98E3-13D51977F6EF}"/>
    <cellStyle name="Comma 4 2 3 2 6 4" xfId="10487" xr:uid="{C00F88F9-280D-411E-923D-1C604989DFC4}"/>
    <cellStyle name="Comma 4 2 3 2 7" xfId="2391" xr:uid="{00000000-0005-0000-0000-000085080000}"/>
    <cellStyle name="Comma 4 2 3 2 7 2" xfId="6676" xr:uid="{00000000-0005-0000-0000-000086080000}"/>
    <cellStyle name="Comma 4 2 3 2 7 2 2" xfId="15118" xr:uid="{252CA07E-0374-4E6A-BC83-D2EB6CD3322F}"/>
    <cellStyle name="Comma 4 2 3 2 7 3" xfId="10900" xr:uid="{3D7AF8C1-DE63-47F2-8EF6-1F2D98770A92}"/>
    <cellStyle name="Comma 4 2 3 2 8" xfId="2372" xr:uid="{00000000-0005-0000-0000-000087080000}"/>
    <cellStyle name="Comma 4 2 3 2 9" xfId="2769" xr:uid="{00000000-0005-0000-0000-000088080000}"/>
    <cellStyle name="Comma 4 2 3 2 9 2" xfId="6993" xr:uid="{00000000-0005-0000-0000-000089080000}"/>
    <cellStyle name="Comma 4 2 3 2 9 2 2" xfId="15435" xr:uid="{352280F7-2D2E-42BE-9DBB-2ABD81F09903}"/>
    <cellStyle name="Comma 4 2 3 2 9 3" xfId="11217" xr:uid="{1623BC57-2D46-4BAE-8DF0-CA72BF71C4AE}"/>
    <cellStyle name="Comma 4 2 3 3" xfId="139" xr:uid="{00000000-0005-0000-0000-00008A080000}"/>
    <cellStyle name="Comma 4 2 3 3 10" xfId="8836" xr:uid="{82E399F8-BFB8-4CAF-AC38-08582833E39C}"/>
    <cellStyle name="Comma 4 2 3 3 2" xfId="677" xr:uid="{00000000-0005-0000-0000-00008B080000}"/>
    <cellStyle name="Comma 4 2 3 3 2 2" xfId="2948" xr:uid="{00000000-0005-0000-0000-00008C080000}"/>
    <cellStyle name="Comma 4 2 3 3 2 2 2" xfId="7171" xr:uid="{00000000-0005-0000-0000-00008D080000}"/>
    <cellStyle name="Comma 4 2 3 3 2 2 2 2" xfId="15613" xr:uid="{1B23623E-0C64-42C6-9E7D-8B96271C0BD9}"/>
    <cellStyle name="Comma 4 2 3 3 2 2 3" xfId="11395" xr:uid="{D97867E9-17E0-4009-87DC-D00F0E468791}"/>
    <cellStyle name="Comma 4 2 3 3 2 3" xfId="5026" xr:uid="{00000000-0005-0000-0000-00008E080000}"/>
    <cellStyle name="Comma 4 2 3 3 2 3 2" xfId="13468" xr:uid="{83048595-5CB4-426E-BB00-D12B6AF26D58}"/>
    <cellStyle name="Comma 4 2 3 3 2 4" xfId="9250" xr:uid="{13B419E7-F08E-4DD1-BA94-BA5C9A8F3CE6}"/>
    <cellStyle name="Comma 4 2 3 3 3" xfId="1130" xr:uid="{00000000-0005-0000-0000-00008F080000}"/>
    <cellStyle name="Comma 4 2 3 3 3 2" xfId="3361" xr:uid="{00000000-0005-0000-0000-000090080000}"/>
    <cellStyle name="Comma 4 2 3 3 3 2 2" xfId="7584" xr:uid="{00000000-0005-0000-0000-000091080000}"/>
    <cellStyle name="Comma 4 2 3 3 3 2 2 2" xfId="16026" xr:uid="{E871D0B4-BDE1-43E9-A112-0994091A8DA8}"/>
    <cellStyle name="Comma 4 2 3 3 3 2 3" xfId="11808" xr:uid="{88DC6CB6-CAC2-4F7B-A465-8E9E15278C73}"/>
    <cellStyle name="Comma 4 2 3 3 3 3" xfId="5439" xr:uid="{00000000-0005-0000-0000-000092080000}"/>
    <cellStyle name="Comma 4 2 3 3 3 3 2" xfId="13881" xr:uid="{2A484AEC-1B36-4202-AA2C-F11873998424}"/>
    <cellStyle name="Comma 4 2 3 3 3 4" xfId="9663" xr:uid="{F4499459-479F-4327-9B00-8F2C965EE8DC}"/>
    <cellStyle name="Comma 4 2 3 3 4" xfId="1544" xr:uid="{00000000-0005-0000-0000-000093080000}"/>
    <cellStyle name="Comma 4 2 3 3 4 2" xfId="3774" xr:uid="{00000000-0005-0000-0000-000094080000}"/>
    <cellStyle name="Comma 4 2 3 3 4 2 2" xfId="7997" xr:uid="{00000000-0005-0000-0000-000095080000}"/>
    <cellStyle name="Comma 4 2 3 3 4 2 2 2" xfId="16439" xr:uid="{4B5265C5-34D6-47B3-B8FF-4849B6AB8F1B}"/>
    <cellStyle name="Comma 4 2 3 3 4 2 3" xfId="12221" xr:uid="{92CA4AE6-D354-4B1E-BBE0-F0E4A43C0346}"/>
    <cellStyle name="Comma 4 2 3 3 4 3" xfId="5852" xr:uid="{00000000-0005-0000-0000-000096080000}"/>
    <cellStyle name="Comma 4 2 3 3 4 3 2" xfId="14294" xr:uid="{4A9774EE-BDAF-42A2-8E59-9105B0EFBADC}"/>
    <cellStyle name="Comma 4 2 3 3 4 4" xfId="10076" xr:uid="{A14F353A-C6B8-4E27-AAA4-FCFE17B13829}"/>
    <cellStyle name="Comma 4 2 3 3 5" xfId="1958" xr:uid="{00000000-0005-0000-0000-000097080000}"/>
    <cellStyle name="Comma 4 2 3 3 5 2" xfId="4187" xr:uid="{00000000-0005-0000-0000-000098080000}"/>
    <cellStyle name="Comma 4 2 3 3 5 2 2" xfId="8410" xr:uid="{00000000-0005-0000-0000-000099080000}"/>
    <cellStyle name="Comma 4 2 3 3 5 2 2 2" xfId="16852" xr:uid="{63B71E4C-5EBE-47FB-B4DD-A4C224098FCE}"/>
    <cellStyle name="Comma 4 2 3 3 5 2 3" xfId="12634" xr:uid="{C9C7B8A7-8304-4E3C-8D46-6695D4B28D6D}"/>
    <cellStyle name="Comma 4 2 3 3 5 3" xfId="6265" xr:uid="{00000000-0005-0000-0000-00009A080000}"/>
    <cellStyle name="Comma 4 2 3 3 5 3 2" xfId="14707" xr:uid="{7A25E5D5-F341-499D-A72D-9EBCC2AF102D}"/>
    <cellStyle name="Comma 4 2 3 3 5 4" xfId="10489" xr:uid="{257650D5-2B43-4238-84B0-A7312D6DA016}"/>
    <cellStyle name="Comma 4 2 3 3 6" xfId="2393" xr:uid="{00000000-0005-0000-0000-00009B080000}"/>
    <cellStyle name="Comma 4 2 3 3 6 2" xfId="6678" xr:uid="{00000000-0005-0000-0000-00009C080000}"/>
    <cellStyle name="Comma 4 2 3 3 6 2 2" xfId="15120" xr:uid="{6D0CDC13-F12C-4799-8A96-C84AE53D0EC1}"/>
    <cellStyle name="Comma 4 2 3 3 6 3" xfId="10902" xr:uid="{361FFB41-5C7F-4CE4-96BB-D645EDC00F5C}"/>
    <cellStyle name="Comma 4 2 3 3 7" xfId="2370" xr:uid="{00000000-0005-0000-0000-00009D080000}"/>
    <cellStyle name="Comma 4 2 3 3 8" xfId="2771" xr:uid="{00000000-0005-0000-0000-00009E080000}"/>
    <cellStyle name="Comma 4 2 3 3 8 2" xfId="6995" xr:uid="{00000000-0005-0000-0000-00009F080000}"/>
    <cellStyle name="Comma 4 2 3 3 8 2 2" xfId="15437" xr:uid="{3C907D9B-AB3D-4686-B492-324BE6728FBA}"/>
    <cellStyle name="Comma 4 2 3 3 8 3" xfId="11219" xr:uid="{2D9EFE6D-B5F6-45DC-A5C4-711EA2A03DEB}"/>
    <cellStyle name="Comma 4 2 3 3 9" xfId="4612" xr:uid="{00000000-0005-0000-0000-0000A0080000}"/>
    <cellStyle name="Comma 4 2 3 3 9 2" xfId="13054" xr:uid="{4CD7F751-55B9-4887-93C9-EF2C497C4EF0}"/>
    <cellStyle name="Comma 4 2 3 4" xfId="674" xr:uid="{00000000-0005-0000-0000-0000A1080000}"/>
    <cellStyle name="Comma 4 2 3 4 2" xfId="2945" xr:uid="{00000000-0005-0000-0000-0000A2080000}"/>
    <cellStyle name="Comma 4 2 3 4 2 2" xfId="7168" xr:uid="{00000000-0005-0000-0000-0000A3080000}"/>
    <cellStyle name="Comma 4 2 3 4 2 2 2" xfId="15610" xr:uid="{92CAAFFD-75BD-4858-B4BD-C29D0E21BA5B}"/>
    <cellStyle name="Comma 4 2 3 4 2 3" xfId="11392" xr:uid="{A005023B-7108-4C38-BAB0-7946C25D273C}"/>
    <cellStyle name="Comma 4 2 3 4 3" xfId="5023" xr:uid="{00000000-0005-0000-0000-0000A4080000}"/>
    <cellStyle name="Comma 4 2 3 4 3 2" xfId="13465" xr:uid="{B33A2E97-EE77-41CB-95A1-CD7363C2CF9B}"/>
    <cellStyle name="Comma 4 2 3 4 4" xfId="9247" xr:uid="{0987F052-053F-4751-A856-CE0A29386AAD}"/>
    <cellStyle name="Comma 4 2 3 5" xfId="1127" xr:uid="{00000000-0005-0000-0000-0000A5080000}"/>
    <cellStyle name="Comma 4 2 3 5 2" xfId="3358" xr:uid="{00000000-0005-0000-0000-0000A6080000}"/>
    <cellStyle name="Comma 4 2 3 5 2 2" xfId="7581" xr:uid="{00000000-0005-0000-0000-0000A7080000}"/>
    <cellStyle name="Comma 4 2 3 5 2 2 2" xfId="16023" xr:uid="{A37C1D13-7329-4C50-AC8A-A5AE7A853DAD}"/>
    <cellStyle name="Comma 4 2 3 5 2 3" xfId="11805" xr:uid="{BDAD9A32-4040-493C-BF96-6B5CF45529B8}"/>
    <cellStyle name="Comma 4 2 3 5 3" xfId="5436" xr:uid="{00000000-0005-0000-0000-0000A8080000}"/>
    <cellStyle name="Comma 4 2 3 5 3 2" xfId="13878" xr:uid="{9DFBB49C-EA6C-4E0F-BDFB-AE8E6299BFFA}"/>
    <cellStyle name="Comma 4 2 3 5 4" xfId="9660" xr:uid="{AE122D7C-A87C-4BC0-A895-97FD77F1054E}"/>
    <cellStyle name="Comma 4 2 3 6" xfId="1541" xr:uid="{00000000-0005-0000-0000-0000A9080000}"/>
    <cellStyle name="Comma 4 2 3 6 2" xfId="3771" xr:uid="{00000000-0005-0000-0000-0000AA080000}"/>
    <cellStyle name="Comma 4 2 3 6 2 2" xfId="7994" xr:uid="{00000000-0005-0000-0000-0000AB080000}"/>
    <cellStyle name="Comma 4 2 3 6 2 2 2" xfId="16436" xr:uid="{CFBACE41-208D-407F-BD8F-12462F808A50}"/>
    <cellStyle name="Comma 4 2 3 6 2 3" xfId="12218" xr:uid="{64E80EEC-9EC6-40AE-9D80-5FA761C84320}"/>
    <cellStyle name="Comma 4 2 3 6 3" xfId="5849" xr:uid="{00000000-0005-0000-0000-0000AC080000}"/>
    <cellStyle name="Comma 4 2 3 6 3 2" xfId="14291" xr:uid="{3FF2FE10-F828-4248-86F4-3CBD3914398E}"/>
    <cellStyle name="Comma 4 2 3 6 4" xfId="10073" xr:uid="{F144B7D9-D2F3-4774-88B9-233E86C851F8}"/>
    <cellStyle name="Comma 4 2 3 7" xfId="1955" xr:uid="{00000000-0005-0000-0000-0000AD080000}"/>
    <cellStyle name="Comma 4 2 3 7 2" xfId="4184" xr:uid="{00000000-0005-0000-0000-0000AE080000}"/>
    <cellStyle name="Comma 4 2 3 7 2 2" xfId="8407" xr:uid="{00000000-0005-0000-0000-0000AF080000}"/>
    <cellStyle name="Comma 4 2 3 7 2 2 2" xfId="16849" xr:uid="{117B3019-870B-48BA-A442-58EC5A200210}"/>
    <cellStyle name="Comma 4 2 3 7 2 3" xfId="12631" xr:uid="{5B840767-D88B-4374-9E3F-8F8505681FD7}"/>
    <cellStyle name="Comma 4 2 3 7 3" xfId="6262" xr:uid="{00000000-0005-0000-0000-0000B0080000}"/>
    <cellStyle name="Comma 4 2 3 7 3 2" xfId="14704" xr:uid="{D8367BD3-4971-43F6-8604-B789098C49C2}"/>
    <cellStyle name="Comma 4 2 3 7 4" xfId="10486" xr:uid="{47A5CD39-CDB7-44DD-A94F-45E836D1712B}"/>
    <cellStyle name="Comma 4 2 3 8" xfId="2390" xr:uid="{00000000-0005-0000-0000-0000B1080000}"/>
    <cellStyle name="Comma 4 2 3 8 2" xfId="6675" xr:uid="{00000000-0005-0000-0000-0000B2080000}"/>
    <cellStyle name="Comma 4 2 3 8 2 2" xfId="15117" xr:uid="{9034CC28-0248-4A34-855C-9FD890BC6879}"/>
    <cellStyle name="Comma 4 2 3 8 3" xfId="10899" xr:uid="{1BA80DDC-87A9-46F9-9532-6A1B87DDBD5C}"/>
    <cellStyle name="Comma 4 2 3 9" xfId="2373" xr:uid="{00000000-0005-0000-0000-0000B3080000}"/>
    <cellStyle name="Comma 4 2 4" xfId="140" xr:uid="{00000000-0005-0000-0000-0000B4080000}"/>
    <cellStyle name="Comma 4 2 4 10" xfId="4613" xr:uid="{00000000-0005-0000-0000-0000B5080000}"/>
    <cellStyle name="Comma 4 2 4 10 2" xfId="13055" xr:uid="{617F171C-4273-47FC-8E6A-DE21FDD9A9AD}"/>
    <cellStyle name="Comma 4 2 4 11" xfId="8837" xr:uid="{417F9014-CEB4-46EA-95EA-36EBF3FE0E0A}"/>
    <cellStyle name="Comma 4 2 4 2" xfId="141" xr:uid="{00000000-0005-0000-0000-0000B6080000}"/>
    <cellStyle name="Comma 4 2 4 2 10" xfId="8838" xr:uid="{DF098C5B-5276-4349-8FFB-D1F67200C902}"/>
    <cellStyle name="Comma 4 2 4 2 2" xfId="679" xr:uid="{00000000-0005-0000-0000-0000B7080000}"/>
    <cellStyle name="Comma 4 2 4 2 2 2" xfId="2950" xr:uid="{00000000-0005-0000-0000-0000B8080000}"/>
    <cellStyle name="Comma 4 2 4 2 2 2 2" xfId="7173" xr:uid="{00000000-0005-0000-0000-0000B9080000}"/>
    <cellStyle name="Comma 4 2 4 2 2 2 2 2" xfId="15615" xr:uid="{4047536C-F9B7-4228-BCCF-AFAA6B0D6C38}"/>
    <cellStyle name="Comma 4 2 4 2 2 2 3" xfId="11397" xr:uid="{94DA709C-1439-452E-82D0-8A2E7A6B7492}"/>
    <cellStyle name="Comma 4 2 4 2 2 3" xfId="5028" xr:uid="{00000000-0005-0000-0000-0000BA080000}"/>
    <cellStyle name="Comma 4 2 4 2 2 3 2" xfId="13470" xr:uid="{700B1FEB-4D12-495F-9277-CA332E1BD910}"/>
    <cellStyle name="Comma 4 2 4 2 2 4" xfId="9252" xr:uid="{38ED1CFC-2D8E-4F4E-8CDF-9168B6486950}"/>
    <cellStyle name="Comma 4 2 4 2 3" xfId="1132" xr:uid="{00000000-0005-0000-0000-0000BB080000}"/>
    <cellStyle name="Comma 4 2 4 2 3 2" xfId="3363" xr:uid="{00000000-0005-0000-0000-0000BC080000}"/>
    <cellStyle name="Comma 4 2 4 2 3 2 2" xfId="7586" xr:uid="{00000000-0005-0000-0000-0000BD080000}"/>
    <cellStyle name="Comma 4 2 4 2 3 2 2 2" xfId="16028" xr:uid="{1177D83F-00C4-4624-96D2-0319CADA9C70}"/>
    <cellStyle name="Comma 4 2 4 2 3 2 3" xfId="11810" xr:uid="{CE34332D-F229-49B6-A366-B262CE4085CD}"/>
    <cellStyle name="Comma 4 2 4 2 3 3" xfId="5441" xr:uid="{00000000-0005-0000-0000-0000BE080000}"/>
    <cellStyle name="Comma 4 2 4 2 3 3 2" xfId="13883" xr:uid="{F5F82BA2-4111-4B4D-AC24-FCCDA1103384}"/>
    <cellStyle name="Comma 4 2 4 2 3 4" xfId="9665" xr:uid="{30E3F6BC-B9FC-4F21-B074-85C398F8A261}"/>
    <cellStyle name="Comma 4 2 4 2 4" xfId="1546" xr:uid="{00000000-0005-0000-0000-0000BF080000}"/>
    <cellStyle name="Comma 4 2 4 2 4 2" xfId="3776" xr:uid="{00000000-0005-0000-0000-0000C0080000}"/>
    <cellStyle name="Comma 4 2 4 2 4 2 2" xfId="7999" xr:uid="{00000000-0005-0000-0000-0000C1080000}"/>
    <cellStyle name="Comma 4 2 4 2 4 2 2 2" xfId="16441" xr:uid="{F104B458-B6D4-4F3D-861A-B319D72A8E25}"/>
    <cellStyle name="Comma 4 2 4 2 4 2 3" xfId="12223" xr:uid="{7C4A1E83-4EA3-42F8-A579-DAEECC1BD293}"/>
    <cellStyle name="Comma 4 2 4 2 4 3" xfId="5854" xr:uid="{00000000-0005-0000-0000-0000C2080000}"/>
    <cellStyle name="Comma 4 2 4 2 4 3 2" xfId="14296" xr:uid="{D584419F-36B1-40E2-A7E2-EB0AE842548D}"/>
    <cellStyle name="Comma 4 2 4 2 4 4" xfId="10078" xr:uid="{98430E79-AB4B-4631-8CEB-A1D1F2DD4C48}"/>
    <cellStyle name="Comma 4 2 4 2 5" xfId="1960" xr:uid="{00000000-0005-0000-0000-0000C3080000}"/>
    <cellStyle name="Comma 4 2 4 2 5 2" xfId="4189" xr:uid="{00000000-0005-0000-0000-0000C4080000}"/>
    <cellStyle name="Comma 4 2 4 2 5 2 2" xfId="8412" xr:uid="{00000000-0005-0000-0000-0000C5080000}"/>
    <cellStyle name="Comma 4 2 4 2 5 2 2 2" xfId="16854" xr:uid="{A60A495D-BE0A-4F94-BAFE-66BA7AB1BC73}"/>
    <cellStyle name="Comma 4 2 4 2 5 2 3" xfId="12636" xr:uid="{A61FA9E0-DD82-4A67-9C5F-A6654559FA1A}"/>
    <cellStyle name="Comma 4 2 4 2 5 3" xfId="6267" xr:uid="{00000000-0005-0000-0000-0000C6080000}"/>
    <cellStyle name="Comma 4 2 4 2 5 3 2" xfId="14709" xr:uid="{00920FA4-850C-4CB7-99E2-44172FCA14D2}"/>
    <cellStyle name="Comma 4 2 4 2 5 4" xfId="10491" xr:uid="{55F6C6D2-910D-45B3-B2FA-8EDD8F4D8036}"/>
    <cellStyle name="Comma 4 2 4 2 6" xfId="2395" xr:uid="{00000000-0005-0000-0000-0000C7080000}"/>
    <cellStyle name="Comma 4 2 4 2 6 2" xfId="6680" xr:uid="{00000000-0005-0000-0000-0000C8080000}"/>
    <cellStyle name="Comma 4 2 4 2 6 2 2" xfId="15122" xr:uid="{A3F82A49-DE58-4103-8157-3E955125F104}"/>
    <cellStyle name="Comma 4 2 4 2 6 3" xfId="10904" xr:uid="{CD6EBE2F-B4A3-4F1C-B7FD-0E2F128AAFBB}"/>
    <cellStyle name="Comma 4 2 4 2 7" xfId="2368" xr:uid="{00000000-0005-0000-0000-0000C9080000}"/>
    <cellStyle name="Comma 4 2 4 2 8" xfId="2773" xr:uid="{00000000-0005-0000-0000-0000CA080000}"/>
    <cellStyle name="Comma 4 2 4 2 8 2" xfId="6997" xr:uid="{00000000-0005-0000-0000-0000CB080000}"/>
    <cellStyle name="Comma 4 2 4 2 8 2 2" xfId="15439" xr:uid="{E23ED8EB-E6A3-4FA9-9684-1F7B1C76E25A}"/>
    <cellStyle name="Comma 4 2 4 2 8 3" xfId="11221" xr:uid="{5CF963C6-12BF-4EE9-9EAE-F9E52B588FEA}"/>
    <cellStyle name="Comma 4 2 4 2 9" xfId="4614" xr:uid="{00000000-0005-0000-0000-0000CC080000}"/>
    <cellStyle name="Comma 4 2 4 2 9 2" xfId="13056" xr:uid="{C5E7763E-F8B8-4DB3-8CC7-60BD8EAADE85}"/>
    <cellStyle name="Comma 4 2 4 3" xfId="678" xr:uid="{00000000-0005-0000-0000-0000CD080000}"/>
    <cellStyle name="Comma 4 2 4 3 2" xfId="2949" xr:uid="{00000000-0005-0000-0000-0000CE080000}"/>
    <cellStyle name="Comma 4 2 4 3 2 2" xfId="7172" xr:uid="{00000000-0005-0000-0000-0000CF080000}"/>
    <cellStyle name="Comma 4 2 4 3 2 2 2" xfId="15614" xr:uid="{2411637A-E346-453E-99A7-EE6C3686B314}"/>
    <cellStyle name="Comma 4 2 4 3 2 3" xfId="11396" xr:uid="{339FCFF3-E268-4E76-B637-B27A24319C03}"/>
    <cellStyle name="Comma 4 2 4 3 3" xfId="5027" xr:uid="{00000000-0005-0000-0000-0000D0080000}"/>
    <cellStyle name="Comma 4 2 4 3 3 2" xfId="13469" xr:uid="{626995E0-0279-4ED8-9E11-BEBA29030741}"/>
    <cellStyle name="Comma 4 2 4 3 4" xfId="9251" xr:uid="{F5BB03CA-F989-4CD7-9E4F-F4ECCAC92F6E}"/>
    <cellStyle name="Comma 4 2 4 4" xfId="1131" xr:uid="{00000000-0005-0000-0000-0000D1080000}"/>
    <cellStyle name="Comma 4 2 4 4 2" xfId="3362" xr:uid="{00000000-0005-0000-0000-0000D2080000}"/>
    <cellStyle name="Comma 4 2 4 4 2 2" xfId="7585" xr:uid="{00000000-0005-0000-0000-0000D3080000}"/>
    <cellStyle name="Comma 4 2 4 4 2 2 2" xfId="16027" xr:uid="{CF8FB1FA-3F9F-4BDA-8CDC-AD2575353FD3}"/>
    <cellStyle name="Comma 4 2 4 4 2 3" xfId="11809" xr:uid="{AB72B610-F9F7-4FCE-A8B7-9F0292393577}"/>
    <cellStyle name="Comma 4 2 4 4 3" xfId="5440" xr:uid="{00000000-0005-0000-0000-0000D4080000}"/>
    <cellStyle name="Comma 4 2 4 4 3 2" xfId="13882" xr:uid="{E7FAD88B-651F-4F94-929A-A65D733EE6B4}"/>
    <cellStyle name="Comma 4 2 4 4 4" xfId="9664" xr:uid="{113B636B-547D-47BF-B52F-F4B3CA568150}"/>
    <cellStyle name="Comma 4 2 4 5" xfId="1545" xr:uid="{00000000-0005-0000-0000-0000D5080000}"/>
    <cellStyle name="Comma 4 2 4 5 2" xfId="3775" xr:uid="{00000000-0005-0000-0000-0000D6080000}"/>
    <cellStyle name="Comma 4 2 4 5 2 2" xfId="7998" xr:uid="{00000000-0005-0000-0000-0000D7080000}"/>
    <cellStyle name="Comma 4 2 4 5 2 2 2" xfId="16440" xr:uid="{2310BFD1-9DC5-478B-AC65-A6084FCF9340}"/>
    <cellStyle name="Comma 4 2 4 5 2 3" xfId="12222" xr:uid="{00FE0D11-938E-43CD-93B0-55FD0E885E87}"/>
    <cellStyle name="Comma 4 2 4 5 3" xfId="5853" xr:uid="{00000000-0005-0000-0000-0000D8080000}"/>
    <cellStyle name="Comma 4 2 4 5 3 2" xfId="14295" xr:uid="{9EDEA455-90A5-42CE-81C7-3B192FCFDE65}"/>
    <cellStyle name="Comma 4 2 4 5 4" xfId="10077" xr:uid="{2747FB79-6399-4A8A-AEDE-6E8907A96F16}"/>
    <cellStyle name="Comma 4 2 4 6" xfId="1959" xr:uid="{00000000-0005-0000-0000-0000D9080000}"/>
    <cellStyle name="Comma 4 2 4 6 2" xfId="4188" xr:uid="{00000000-0005-0000-0000-0000DA080000}"/>
    <cellStyle name="Comma 4 2 4 6 2 2" xfId="8411" xr:uid="{00000000-0005-0000-0000-0000DB080000}"/>
    <cellStyle name="Comma 4 2 4 6 2 2 2" xfId="16853" xr:uid="{9F673332-D6B1-46AF-973D-9F8812DCA448}"/>
    <cellStyle name="Comma 4 2 4 6 2 3" xfId="12635" xr:uid="{2E4E52F7-B692-49BB-BE67-7070AA07C42C}"/>
    <cellStyle name="Comma 4 2 4 6 3" xfId="6266" xr:uid="{00000000-0005-0000-0000-0000DC080000}"/>
    <cellStyle name="Comma 4 2 4 6 3 2" xfId="14708" xr:uid="{F420B6CC-6D61-4FC1-95F4-3AD88BCA7777}"/>
    <cellStyle name="Comma 4 2 4 6 4" xfId="10490" xr:uid="{223A04FB-D64A-4F53-A20E-023D41772D09}"/>
    <cellStyle name="Comma 4 2 4 7" xfId="2394" xr:uid="{00000000-0005-0000-0000-0000DD080000}"/>
    <cellStyle name="Comma 4 2 4 7 2" xfId="6679" xr:uid="{00000000-0005-0000-0000-0000DE080000}"/>
    <cellStyle name="Comma 4 2 4 7 2 2" xfId="15121" xr:uid="{A6441FA2-7F8C-4B44-A9C4-65A2F26C0995}"/>
    <cellStyle name="Comma 4 2 4 7 3" xfId="10903" xr:uid="{77BDD5A3-4ADE-497F-8914-CEE3B1C29F4D}"/>
    <cellStyle name="Comma 4 2 4 8" xfId="2369" xr:uid="{00000000-0005-0000-0000-0000DF080000}"/>
    <cellStyle name="Comma 4 2 4 9" xfId="2772" xr:uid="{00000000-0005-0000-0000-0000E0080000}"/>
    <cellStyle name="Comma 4 2 4 9 2" xfId="6996" xr:uid="{00000000-0005-0000-0000-0000E1080000}"/>
    <cellStyle name="Comma 4 2 4 9 2 2" xfId="15438" xr:uid="{8CD1CF76-6663-4E5A-8200-24EB3C03876C}"/>
    <cellStyle name="Comma 4 2 4 9 3" xfId="11220" xr:uid="{46F2C769-27D3-42F8-90E3-63FBE160F136}"/>
    <cellStyle name="Comma 4 2 5" xfId="142" xr:uid="{00000000-0005-0000-0000-0000E2080000}"/>
    <cellStyle name="Comma 4 2 5 10" xfId="8839" xr:uid="{E7BF8990-8E52-4936-86BE-2B1E0AD32A2D}"/>
    <cellStyle name="Comma 4 2 5 2" xfId="680" xr:uid="{00000000-0005-0000-0000-0000E3080000}"/>
    <cellStyle name="Comma 4 2 5 2 2" xfId="2951" xr:uid="{00000000-0005-0000-0000-0000E4080000}"/>
    <cellStyle name="Comma 4 2 5 2 2 2" xfId="7174" xr:uid="{00000000-0005-0000-0000-0000E5080000}"/>
    <cellStyle name="Comma 4 2 5 2 2 2 2" xfId="15616" xr:uid="{B97C61F7-68E5-4227-BD0C-0E8923F114D5}"/>
    <cellStyle name="Comma 4 2 5 2 2 3" xfId="11398" xr:uid="{12598D51-BA1F-4AC5-8CD4-86B87A82B0E9}"/>
    <cellStyle name="Comma 4 2 5 2 3" xfId="5029" xr:uid="{00000000-0005-0000-0000-0000E6080000}"/>
    <cellStyle name="Comma 4 2 5 2 3 2" xfId="13471" xr:uid="{CA61C262-2A8A-4E86-BD89-55601055C9BF}"/>
    <cellStyle name="Comma 4 2 5 2 4" xfId="9253" xr:uid="{3F59FAFD-DC52-4BCF-A77C-A698D3F05FFB}"/>
    <cellStyle name="Comma 4 2 5 3" xfId="1133" xr:uid="{00000000-0005-0000-0000-0000E7080000}"/>
    <cellStyle name="Comma 4 2 5 3 2" xfId="3364" xr:uid="{00000000-0005-0000-0000-0000E8080000}"/>
    <cellStyle name="Comma 4 2 5 3 2 2" xfId="7587" xr:uid="{00000000-0005-0000-0000-0000E9080000}"/>
    <cellStyle name="Comma 4 2 5 3 2 2 2" xfId="16029" xr:uid="{228C49D9-19CF-496D-BF96-0B2324B05CD3}"/>
    <cellStyle name="Comma 4 2 5 3 2 3" xfId="11811" xr:uid="{580B96CA-11F7-47D7-8C5F-F8A9E3F80BF3}"/>
    <cellStyle name="Comma 4 2 5 3 3" xfId="5442" xr:uid="{00000000-0005-0000-0000-0000EA080000}"/>
    <cellStyle name="Comma 4 2 5 3 3 2" xfId="13884" xr:uid="{8CA98E9F-12CA-483A-B7E6-A9B9E7B66CF6}"/>
    <cellStyle name="Comma 4 2 5 3 4" xfId="9666" xr:uid="{BFCC91F0-A01A-4FE4-8A21-868CA3A634E0}"/>
    <cellStyle name="Comma 4 2 5 4" xfId="1547" xr:uid="{00000000-0005-0000-0000-0000EB080000}"/>
    <cellStyle name="Comma 4 2 5 4 2" xfId="3777" xr:uid="{00000000-0005-0000-0000-0000EC080000}"/>
    <cellStyle name="Comma 4 2 5 4 2 2" xfId="8000" xr:uid="{00000000-0005-0000-0000-0000ED080000}"/>
    <cellStyle name="Comma 4 2 5 4 2 2 2" xfId="16442" xr:uid="{E0AF477C-C903-4D37-8498-3FCB5C0F1810}"/>
    <cellStyle name="Comma 4 2 5 4 2 3" xfId="12224" xr:uid="{CAEF0C70-330A-430A-B2B9-747B797917A8}"/>
    <cellStyle name="Comma 4 2 5 4 3" xfId="5855" xr:uid="{00000000-0005-0000-0000-0000EE080000}"/>
    <cellStyle name="Comma 4 2 5 4 3 2" xfId="14297" xr:uid="{73FECCC3-2DCD-4272-B7A3-A6CAE5259D80}"/>
    <cellStyle name="Comma 4 2 5 4 4" xfId="10079" xr:uid="{8CF894D1-2243-4BA5-9381-620CD459D1D3}"/>
    <cellStyle name="Comma 4 2 5 5" xfId="1961" xr:uid="{00000000-0005-0000-0000-0000EF080000}"/>
    <cellStyle name="Comma 4 2 5 5 2" xfId="4190" xr:uid="{00000000-0005-0000-0000-0000F0080000}"/>
    <cellStyle name="Comma 4 2 5 5 2 2" xfId="8413" xr:uid="{00000000-0005-0000-0000-0000F1080000}"/>
    <cellStyle name="Comma 4 2 5 5 2 2 2" xfId="16855" xr:uid="{AA56C9CA-2C34-4DF7-B310-7A330B1B313D}"/>
    <cellStyle name="Comma 4 2 5 5 2 3" xfId="12637" xr:uid="{992FED83-B7AB-4194-B063-F2EB74C0AB2C}"/>
    <cellStyle name="Comma 4 2 5 5 3" xfId="6268" xr:uid="{00000000-0005-0000-0000-0000F2080000}"/>
    <cellStyle name="Comma 4 2 5 5 3 2" xfId="14710" xr:uid="{5BC1F55F-34EB-48AE-9CD3-A4952DC73BA1}"/>
    <cellStyle name="Comma 4 2 5 5 4" xfId="10492" xr:uid="{6156594D-8E15-468F-9167-873CA99D7EEE}"/>
    <cellStyle name="Comma 4 2 5 6" xfId="2396" xr:uid="{00000000-0005-0000-0000-0000F3080000}"/>
    <cellStyle name="Comma 4 2 5 6 2" xfId="6681" xr:uid="{00000000-0005-0000-0000-0000F4080000}"/>
    <cellStyle name="Comma 4 2 5 6 2 2" xfId="15123" xr:uid="{1FCF42F9-8978-45C7-9EC4-4E74F3EBEC45}"/>
    <cellStyle name="Comma 4 2 5 6 3" xfId="10905" xr:uid="{674A68A3-867F-4405-AF96-BD0357185F0B}"/>
    <cellStyle name="Comma 4 2 5 7" xfId="2367" xr:uid="{00000000-0005-0000-0000-0000F5080000}"/>
    <cellStyle name="Comma 4 2 5 8" xfId="2774" xr:uid="{00000000-0005-0000-0000-0000F6080000}"/>
    <cellStyle name="Comma 4 2 5 8 2" xfId="6998" xr:uid="{00000000-0005-0000-0000-0000F7080000}"/>
    <cellStyle name="Comma 4 2 5 8 2 2" xfId="15440" xr:uid="{DCD9786F-9B66-4267-BE97-7F72D8FDAE8B}"/>
    <cellStyle name="Comma 4 2 5 8 3" xfId="11222" xr:uid="{090D2EF2-FA0F-4BF8-9903-95637FF64787}"/>
    <cellStyle name="Comma 4 2 5 9" xfId="4615" xr:uid="{00000000-0005-0000-0000-0000F8080000}"/>
    <cellStyle name="Comma 4 2 5 9 2" xfId="13057" xr:uid="{E04BADA1-95BC-4F4A-849B-C57F5985CD38}"/>
    <cellStyle name="Comma 4 2 6" xfId="143" xr:uid="{00000000-0005-0000-0000-0000F9080000}"/>
    <cellStyle name="Comma 4 2 6 10" xfId="8840" xr:uid="{E569657E-4126-4A09-A088-1AD1B78A5738}"/>
    <cellStyle name="Comma 4 2 6 2" xfId="681" xr:uid="{00000000-0005-0000-0000-0000FA080000}"/>
    <cellStyle name="Comma 4 2 6 2 2" xfId="2952" xr:uid="{00000000-0005-0000-0000-0000FB080000}"/>
    <cellStyle name="Comma 4 2 6 2 2 2" xfId="7175" xr:uid="{00000000-0005-0000-0000-0000FC080000}"/>
    <cellStyle name="Comma 4 2 6 2 2 2 2" xfId="15617" xr:uid="{2B4CCD44-36CA-44CE-ACAE-7614473D03AC}"/>
    <cellStyle name="Comma 4 2 6 2 2 3" xfId="11399" xr:uid="{42E46C35-B181-41D5-AF82-7DAC737C2110}"/>
    <cellStyle name="Comma 4 2 6 2 3" xfId="5030" xr:uid="{00000000-0005-0000-0000-0000FD080000}"/>
    <cellStyle name="Comma 4 2 6 2 3 2" xfId="13472" xr:uid="{3F5AE524-5866-4269-B6E7-B175474DE080}"/>
    <cellStyle name="Comma 4 2 6 2 4" xfId="9254" xr:uid="{0770FA94-98BD-4A05-B502-B44F6DF5F7B1}"/>
    <cellStyle name="Comma 4 2 6 3" xfId="1134" xr:uid="{00000000-0005-0000-0000-0000FE080000}"/>
    <cellStyle name="Comma 4 2 6 3 2" xfId="3365" xr:uid="{00000000-0005-0000-0000-0000FF080000}"/>
    <cellStyle name="Comma 4 2 6 3 2 2" xfId="7588" xr:uid="{00000000-0005-0000-0000-000000090000}"/>
    <cellStyle name="Comma 4 2 6 3 2 2 2" xfId="16030" xr:uid="{C7CC8B9C-0FFC-4849-A9D6-17AB88318511}"/>
    <cellStyle name="Comma 4 2 6 3 2 3" xfId="11812" xr:uid="{F3E31277-8DC2-4F9E-8C5C-4CF44B6771CD}"/>
    <cellStyle name="Comma 4 2 6 3 3" xfId="5443" xr:uid="{00000000-0005-0000-0000-000001090000}"/>
    <cellStyle name="Comma 4 2 6 3 3 2" xfId="13885" xr:uid="{ADA766B6-8998-426E-9AEC-7A6251AE2EEC}"/>
    <cellStyle name="Comma 4 2 6 3 4" xfId="9667" xr:uid="{6C26D4EF-A857-4B89-834D-2417E6C4E213}"/>
    <cellStyle name="Comma 4 2 6 4" xfId="1548" xr:uid="{00000000-0005-0000-0000-000002090000}"/>
    <cellStyle name="Comma 4 2 6 4 2" xfId="3778" xr:uid="{00000000-0005-0000-0000-000003090000}"/>
    <cellStyle name="Comma 4 2 6 4 2 2" xfId="8001" xr:uid="{00000000-0005-0000-0000-000004090000}"/>
    <cellStyle name="Comma 4 2 6 4 2 2 2" xfId="16443" xr:uid="{8725ED44-DC1E-4B27-8F6F-82B210CA6667}"/>
    <cellStyle name="Comma 4 2 6 4 2 3" xfId="12225" xr:uid="{5BBBE02A-D150-4BF8-B2FF-BCFC089064D9}"/>
    <cellStyle name="Comma 4 2 6 4 3" xfId="5856" xr:uid="{00000000-0005-0000-0000-000005090000}"/>
    <cellStyle name="Comma 4 2 6 4 3 2" xfId="14298" xr:uid="{B7082915-D8E2-4DDF-A7E4-6EEA2D6333FC}"/>
    <cellStyle name="Comma 4 2 6 4 4" xfId="10080" xr:uid="{244CECB7-A04C-471D-8004-0ECC1A9FBE86}"/>
    <cellStyle name="Comma 4 2 6 5" xfId="1962" xr:uid="{00000000-0005-0000-0000-000006090000}"/>
    <cellStyle name="Comma 4 2 6 5 2" xfId="4191" xr:uid="{00000000-0005-0000-0000-000007090000}"/>
    <cellStyle name="Comma 4 2 6 5 2 2" xfId="8414" xr:uid="{00000000-0005-0000-0000-000008090000}"/>
    <cellStyle name="Comma 4 2 6 5 2 2 2" xfId="16856" xr:uid="{E7AF50CD-3562-49EE-8372-AEC0BFEE2A7C}"/>
    <cellStyle name="Comma 4 2 6 5 2 3" xfId="12638" xr:uid="{49554F18-95CB-4086-9C9E-D51AA7191E85}"/>
    <cellStyle name="Comma 4 2 6 5 3" xfId="6269" xr:uid="{00000000-0005-0000-0000-000009090000}"/>
    <cellStyle name="Comma 4 2 6 5 3 2" xfId="14711" xr:uid="{149B2C2B-969F-4829-B493-17F969F96097}"/>
    <cellStyle name="Comma 4 2 6 5 4" xfId="10493" xr:uid="{1BF75C3A-B940-40CD-BDC7-5E726FA671C8}"/>
    <cellStyle name="Comma 4 2 6 6" xfId="2397" xr:uid="{00000000-0005-0000-0000-00000A090000}"/>
    <cellStyle name="Comma 4 2 6 6 2" xfId="6682" xr:uid="{00000000-0005-0000-0000-00000B090000}"/>
    <cellStyle name="Comma 4 2 6 6 2 2" xfId="15124" xr:uid="{5F40DF6D-1AE5-40DB-94D9-6936474BB08C}"/>
    <cellStyle name="Comma 4 2 6 6 3" xfId="10906" xr:uid="{B8CB658F-4567-423A-BFD1-5F50BD1203BC}"/>
    <cellStyle name="Comma 4 2 6 7" xfId="2366" xr:uid="{00000000-0005-0000-0000-00000C090000}"/>
    <cellStyle name="Comma 4 2 6 8" xfId="2775" xr:uid="{00000000-0005-0000-0000-00000D090000}"/>
    <cellStyle name="Comma 4 2 6 8 2" xfId="6999" xr:uid="{00000000-0005-0000-0000-00000E090000}"/>
    <cellStyle name="Comma 4 2 6 8 2 2" xfId="15441" xr:uid="{34558C75-70B3-4DA8-98F2-DD91F23C142C}"/>
    <cellStyle name="Comma 4 2 6 8 3" xfId="11223" xr:uid="{E2DBAC04-D8F1-4181-983C-D6A10CF3F757}"/>
    <cellStyle name="Comma 4 2 6 9" xfId="4616" xr:uid="{00000000-0005-0000-0000-00000F090000}"/>
    <cellStyle name="Comma 4 2 6 9 2" xfId="13058" xr:uid="{BFC78D93-498E-4A9F-851D-DFE0626299F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0 2 2" xfId="15442" xr:uid="{77087039-07CC-4794-AE34-261DC09EE0B7}"/>
    <cellStyle name="Comma 4 3 2 10 3" xfId="11224" xr:uid="{A181DA7C-2001-444C-A913-AAD1CD497FF3}"/>
    <cellStyle name="Comma 4 3 2 11" xfId="4617" xr:uid="{00000000-0005-0000-0000-000014090000}"/>
    <cellStyle name="Comma 4 3 2 11 2" xfId="13059" xr:uid="{169C7EB1-BEA4-4F6C-80AB-A1A105BD573D}"/>
    <cellStyle name="Comma 4 3 2 12" xfId="8841" xr:uid="{367287D2-55EB-464E-934B-147F049CE0D6}"/>
    <cellStyle name="Comma 4 3 2 2" xfId="146" xr:uid="{00000000-0005-0000-0000-000015090000}"/>
    <cellStyle name="Comma 4 3 2 2 10" xfId="4618" xr:uid="{00000000-0005-0000-0000-000016090000}"/>
    <cellStyle name="Comma 4 3 2 2 10 2" xfId="13060" xr:uid="{32F08E23-2505-4719-B7F2-6A455B7919A5}"/>
    <cellStyle name="Comma 4 3 2 2 11" xfId="8842" xr:uid="{CC805EB6-5B89-4AEE-A2B9-F5740565029E}"/>
    <cellStyle name="Comma 4 3 2 2 2" xfId="147" xr:uid="{00000000-0005-0000-0000-000017090000}"/>
    <cellStyle name="Comma 4 3 2 2 2 10" xfId="8843" xr:uid="{9E39B029-482A-45A2-B3C0-E548F2369589}"/>
    <cellStyle name="Comma 4 3 2 2 2 2" xfId="684" xr:uid="{00000000-0005-0000-0000-000018090000}"/>
    <cellStyle name="Comma 4 3 2 2 2 2 2" xfId="2955" xr:uid="{00000000-0005-0000-0000-000019090000}"/>
    <cellStyle name="Comma 4 3 2 2 2 2 2 2" xfId="7178" xr:uid="{00000000-0005-0000-0000-00001A090000}"/>
    <cellStyle name="Comma 4 3 2 2 2 2 2 2 2" xfId="15620" xr:uid="{CA722DF7-584A-46D4-9E30-90D62BE7E39C}"/>
    <cellStyle name="Comma 4 3 2 2 2 2 2 3" xfId="11402" xr:uid="{2786D642-54AA-4ADD-BCCA-291E68C4D1F0}"/>
    <cellStyle name="Comma 4 3 2 2 2 2 3" xfId="5033" xr:uid="{00000000-0005-0000-0000-00001B090000}"/>
    <cellStyle name="Comma 4 3 2 2 2 2 3 2" xfId="13475" xr:uid="{A77C9DDD-A7C7-41B2-82A6-6772743F4B90}"/>
    <cellStyle name="Comma 4 3 2 2 2 2 4" xfId="9257" xr:uid="{7CF5CC2C-6E6E-459B-B561-7B9C5CC345BE}"/>
    <cellStyle name="Comma 4 3 2 2 2 3" xfId="1137" xr:uid="{00000000-0005-0000-0000-00001C090000}"/>
    <cellStyle name="Comma 4 3 2 2 2 3 2" xfId="3368" xr:uid="{00000000-0005-0000-0000-00001D090000}"/>
    <cellStyle name="Comma 4 3 2 2 2 3 2 2" xfId="7591" xr:uid="{00000000-0005-0000-0000-00001E090000}"/>
    <cellStyle name="Comma 4 3 2 2 2 3 2 2 2" xfId="16033" xr:uid="{51CAA4D1-CB4C-451C-88D3-05E3FC8D197B}"/>
    <cellStyle name="Comma 4 3 2 2 2 3 2 3" xfId="11815" xr:uid="{E4CC5595-2F6A-4771-B11E-2883B6AF8851}"/>
    <cellStyle name="Comma 4 3 2 2 2 3 3" xfId="5446" xr:uid="{00000000-0005-0000-0000-00001F090000}"/>
    <cellStyle name="Comma 4 3 2 2 2 3 3 2" xfId="13888" xr:uid="{56794ECA-B809-45B4-A1A7-7474EEB863D3}"/>
    <cellStyle name="Comma 4 3 2 2 2 3 4" xfId="9670" xr:uid="{71A2081D-F334-49BD-9DAB-9E342B4DF076}"/>
    <cellStyle name="Comma 4 3 2 2 2 4" xfId="1551" xr:uid="{00000000-0005-0000-0000-000020090000}"/>
    <cellStyle name="Comma 4 3 2 2 2 4 2" xfId="3781" xr:uid="{00000000-0005-0000-0000-000021090000}"/>
    <cellStyle name="Comma 4 3 2 2 2 4 2 2" xfId="8004" xr:uid="{00000000-0005-0000-0000-000022090000}"/>
    <cellStyle name="Comma 4 3 2 2 2 4 2 2 2" xfId="16446" xr:uid="{A10DEEAC-F033-43D8-A258-75E159BF5F5B}"/>
    <cellStyle name="Comma 4 3 2 2 2 4 2 3" xfId="12228" xr:uid="{CC03D54E-0B60-4D31-A1C3-19E06C881A7D}"/>
    <cellStyle name="Comma 4 3 2 2 2 4 3" xfId="5859" xr:uid="{00000000-0005-0000-0000-000023090000}"/>
    <cellStyle name="Comma 4 3 2 2 2 4 3 2" xfId="14301" xr:uid="{22079537-4119-467C-80BE-E82C88D9D2B7}"/>
    <cellStyle name="Comma 4 3 2 2 2 4 4" xfId="10083" xr:uid="{8FE0E60A-7E62-474B-B6B7-DFE78FC383DF}"/>
    <cellStyle name="Comma 4 3 2 2 2 5" xfId="1965" xr:uid="{00000000-0005-0000-0000-000024090000}"/>
    <cellStyle name="Comma 4 3 2 2 2 5 2" xfId="4194" xr:uid="{00000000-0005-0000-0000-000025090000}"/>
    <cellStyle name="Comma 4 3 2 2 2 5 2 2" xfId="8417" xr:uid="{00000000-0005-0000-0000-000026090000}"/>
    <cellStyle name="Comma 4 3 2 2 2 5 2 2 2" xfId="16859" xr:uid="{FB5DB60C-8D6B-4807-A17B-63DE62B840E4}"/>
    <cellStyle name="Comma 4 3 2 2 2 5 2 3" xfId="12641" xr:uid="{023B76F0-CD57-46FF-ABAB-AC76458B6C22}"/>
    <cellStyle name="Comma 4 3 2 2 2 5 3" xfId="6272" xr:uid="{00000000-0005-0000-0000-000027090000}"/>
    <cellStyle name="Comma 4 3 2 2 2 5 3 2" xfId="14714" xr:uid="{3CC04240-ED85-4F1D-8AE7-E1FE90B5CD58}"/>
    <cellStyle name="Comma 4 3 2 2 2 5 4" xfId="10496" xr:uid="{DC138BC4-8217-41EC-9E65-F842920C73BD}"/>
    <cellStyle name="Comma 4 3 2 2 2 6" xfId="2400" xr:uid="{00000000-0005-0000-0000-000028090000}"/>
    <cellStyle name="Comma 4 3 2 2 2 6 2" xfId="6685" xr:uid="{00000000-0005-0000-0000-000029090000}"/>
    <cellStyle name="Comma 4 3 2 2 2 6 2 2" xfId="15127" xr:uid="{AB27C342-B3B1-4D3D-A23C-53E494846957}"/>
    <cellStyle name="Comma 4 3 2 2 2 6 3" xfId="10909" xr:uid="{C6D00F6F-DD9F-46E0-BD26-A32419612283}"/>
    <cellStyle name="Comma 4 3 2 2 2 7" xfId="2363" xr:uid="{00000000-0005-0000-0000-00002A090000}"/>
    <cellStyle name="Comma 4 3 2 2 2 8" xfId="2778" xr:uid="{00000000-0005-0000-0000-00002B090000}"/>
    <cellStyle name="Comma 4 3 2 2 2 8 2" xfId="7002" xr:uid="{00000000-0005-0000-0000-00002C090000}"/>
    <cellStyle name="Comma 4 3 2 2 2 8 2 2" xfId="15444" xr:uid="{77E0BF3F-4B8F-4110-9906-AA6D7BAB7BFD}"/>
    <cellStyle name="Comma 4 3 2 2 2 8 3" xfId="11226" xr:uid="{E5394616-3233-42E3-B9D6-FAAEDBA4A89A}"/>
    <cellStyle name="Comma 4 3 2 2 2 9" xfId="4619" xr:uid="{00000000-0005-0000-0000-00002D090000}"/>
    <cellStyle name="Comma 4 3 2 2 2 9 2" xfId="13061" xr:uid="{216919B4-B402-4775-888C-980FFA910368}"/>
    <cellStyle name="Comma 4 3 2 2 3" xfId="683" xr:uid="{00000000-0005-0000-0000-00002E090000}"/>
    <cellStyle name="Comma 4 3 2 2 3 2" xfId="2954" xr:uid="{00000000-0005-0000-0000-00002F090000}"/>
    <cellStyle name="Comma 4 3 2 2 3 2 2" xfId="7177" xr:uid="{00000000-0005-0000-0000-000030090000}"/>
    <cellStyle name="Comma 4 3 2 2 3 2 2 2" xfId="15619" xr:uid="{53BA2D9D-1FE3-4E14-B575-233B48FB082F}"/>
    <cellStyle name="Comma 4 3 2 2 3 2 3" xfId="11401" xr:uid="{2F1C80D7-AB41-4722-8980-1BEA9AE63682}"/>
    <cellStyle name="Comma 4 3 2 2 3 3" xfId="5032" xr:uid="{00000000-0005-0000-0000-000031090000}"/>
    <cellStyle name="Comma 4 3 2 2 3 3 2" xfId="13474" xr:uid="{CD1753E3-3271-4273-B447-201C5DEFA479}"/>
    <cellStyle name="Comma 4 3 2 2 3 4" xfId="9256" xr:uid="{759E25B2-643A-4371-8D2A-E4320E0E1E8E}"/>
    <cellStyle name="Comma 4 3 2 2 4" xfId="1136" xr:uid="{00000000-0005-0000-0000-000032090000}"/>
    <cellStyle name="Comma 4 3 2 2 4 2" xfId="3367" xr:uid="{00000000-0005-0000-0000-000033090000}"/>
    <cellStyle name="Comma 4 3 2 2 4 2 2" xfId="7590" xr:uid="{00000000-0005-0000-0000-000034090000}"/>
    <cellStyle name="Comma 4 3 2 2 4 2 2 2" xfId="16032" xr:uid="{5D2762FF-7E7C-4D5E-9D5C-36C6182216BA}"/>
    <cellStyle name="Comma 4 3 2 2 4 2 3" xfId="11814" xr:uid="{468AC387-BF4A-490A-9EDA-79B0F0C7E68E}"/>
    <cellStyle name="Comma 4 3 2 2 4 3" xfId="5445" xr:uid="{00000000-0005-0000-0000-000035090000}"/>
    <cellStyle name="Comma 4 3 2 2 4 3 2" xfId="13887" xr:uid="{56B9039F-2DE2-4B68-A9ED-90A47773DF5B}"/>
    <cellStyle name="Comma 4 3 2 2 4 4" xfId="9669" xr:uid="{A5ACF248-8AF3-4FC2-9AAB-16557DBBDF00}"/>
    <cellStyle name="Comma 4 3 2 2 5" xfId="1550" xr:uid="{00000000-0005-0000-0000-000036090000}"/>
    <cellStyle name="Comma 4 3 2 2 5 2" xfId="3780" xr:uid="{00000000-0005-0000-0000-000037090000}"/>
    <cellStyle name="Comma 4 3 2 2 5 2 2" xfId="8003" xr:uid="{00000000-0005-0000-0000-000038090000}"/>
    <cellStyle name="Comma 4 3 2 2 5 2 2 2" xfId="16445" xr:uid="{7E9E79AE-A596-439C-BE80-EBF3ADC3A9AC}"/>
    <cellStyle name="Comma 4 3 2 2 5 2 3" xfId="12227" xr:uid="{E02416E3-76ED-402E-A209-C136C450A3D5}"/>
    <cellStyle name="Comma 4 3 2 2 5 3" xfId="5858" xr:uid="{00000000-0005-0000-0000-000039090000}"/>
    <cellStyle name="Comma 4 3 2 2 5 3 2" xfId="14300" xr:uid="{C45BC96F-59AB-4E75-B6DB-4AB6DFA4826B}"/>
    <cellStyle name="Comma 4 3 2 2 5 4" xfId="10082" xr:uid="{23211F13-CDF7-4D3F-806C-089582BE04AF}"/>
    <cellStyle name="Comma 4 3 2 2 6" xfId="1964" xr:uid="{00000000-0005-0000-0000-00003A090000}"/>
    <cellStyle name="Comma 4 3 2 2 6 2" xfId="4193" xr:uid="{00000000-0005-0000-0000-00003B090000}"/>
    <cellStyle name="Comma 4 3 2 2 6 2 2" xfId="8416" xr:uid="{00000000-0005-0000-0000-00003C090000}"/>
    <cellStyle name="Comma 4 3 2 2 6 2 2 2" xfId="16858" xr:uid="{6666EE9F-EADD-4685-8EA2-7945C48CB281}"/>
    <cellStyle name="Comma 4 3 2 2 6 2 3" xfId="12640" xr:uid="{13CB85C5-E584-4D65-BE93-11E4419B0DFA}"/>
    <cellStyle name="Comma 4 3 2 2 6 3" xfId="6271" xr:uid="{00000000-0005-0000-0000-00003D090000}"/>
    <cellStyle name="Comma 4 3 2 2 6 3 2" xfId="14713" xr:uid="{FE4492AE-BFFB-40A7-9361-1D8F055ADD42}"/>
    <cellStyle name="Comma 4 3 2 2 6 4" xfId="10495" xr:uid="{48670CE1-313F-4E8F-B1ED-0C2D28957EFE}"/>
    <cellStyle name="Comma 4 3 2 2 7" xfId="2399" xr:uid="{00000000-0005-0000-0000-00003E090000}"/>
    <cellStyle name="Comma 4 3 2 2 7 2" xfId="6684" xr:uid="{00000000-0005-0000-0000-00003F090000}"/>
    <cellStyle name="Comma 4 3 2 2 7 2 2" xfId="15126" xr:uid="{3584B953-48BF-4CC4-95FC-CB9C849ADB5C}"/>
    <cellStyle name="Comma 4 3 2 2 7 3" xfId="10908" xr:uid="{5BD417A4-F8EF-492E-A65A-B1E8990316EB}"/>
    <cellStyle name="Comma 4 3 2 2 8" xfId="2364" xr:uid="{00000000-0005-0000-0000-000040090000}"/>
    <cellStyle name="Comma 4 3 2 2 9" xfId="2777" xr:uid="{00000000-0005-0000-0000-000041090000}"/>
    <cellStyle name="Comma 4 3 2 2 9 2" xfId="7001" xr:uid="{00000000-0005-0000-0000-000042090000}"/>
    <cellStyle name="Comma 4 3 2 2 9 2 2" xfId="15443" xr:uid="{61B0D962-53F4-4F34-A4EA-9DF1DE5BC334}"/>
    <cellStyle name="Comma 4 3 2 2 9 3" xfId="11225" xr:uid="{8BD907A4-8DBC-44EE-A5EC-5C310BAC8E8A}"/>
    <cellStyle name="Comma 4 3 2 3" xfId="148" xr:uid="{00000000-0005-0000-0000-000043090000}"/>
    <cellStyle name="Comma 4 3 2 3 10" xfId="8844" xr:uid="{1F2C0521-07AF-49B3-9D99-A5B048CC0137}"/>
    <cellStyle name="Comma 4 3 2 3 2" xfId="685" xr:uid="{00000000-0005-0000-0000-000044090000}"/>
    <cellStyle name="Comma 4 3 2 3 2 2" xfId="2956" xr:uid="{00000000-0005-0000-0000-000045090000}"/>
    <cellStyle name="Comma 4 3 2 3 2 2 2" xfId="7179" xr:uid="{00000000-0005-0000-0000-000046090000}"/>
    <cellStyle name="Comma 4 3 2 3 2 2 2 2" xfId="15621" xr:uid="{0870E87E-0915-48C6-A6B3-BEA2AA76F04C}"/>
    <cellStyle name="Comma 4 3 2 3 2 2 3" xfId="11403" xr:uid="{58FB8579-F9F5-4643-A467-4ED7185602E2}"/>
    <cellStyle name="Comma 4 3 2 3 2 3" xfId="5034" xr:uid="{00000000-0005-0000-0000-000047090000}"/>
    <cellStyle name="Comma 4 3 2 3 2 3 2" xfId="13476" xr:uid="{E71DE6D5-7C52-46AF-A8FA-7DE28FC37FD1}"/>
    <cellStyle name="Comma 4 3 2 3 2 4" xfId="9258" xr:uid="{F5936B49-2904-4339-867A-F8475BBAD7A4}"/>
    <cellStyle name="Comma 4 3 2 3 3" xfId="1138" xr:uid="{00000000-0005-0000-0000-000048090000}"/>
    <cellStyle name="Comma 4 3 2 3 3 2" xfId="3369" xr:uid="{00000000-0005-0000-0000-000049090000}"/>
    <cellStyle name="Comma 4 3 2 3 3 2 2" xfId="7592" xr:uid="{00000000-0005-0000-0000-00004A090000}"/>
    <cellStyle name="Comma 4 3 2 3 3 2 2 2" xfId="16034" xr:uid="{ECD7AC07-6D52-4E67-A25A-E4119AED202B}"/>
    <cellStyle name="Comma 4 3 2 3 3 2 3" xfId="11816" xr:uid="{8096B396-802B-4181-A1CF-E4FC9C2697C6}"/>
    <cellStyle name="Comma 4 3 2 3 3 3" xfId="5447" xr:uid="{00000000-0005-0000-0000-00004B090000}"/>
    <cellStyle name="Comma 4 3 2 3 3 3 2" xfId="13889" xr:uid="{79C2142D-FAC5-4CF9-A2BD-70EAC7AD0623}"/>
    <cellStyle name="Comma 4 3 2 3 3 4" xfId="9671" xr:uid="{95F99402-868D-444E-9EE9-80EF6729E990}"/>
    <cellStyle name="Comma 4 3 2 3 4" xfId="1552" xr:uid="{00000000-0005-0000-0000-00004C090000}"/>
    <cellStyle name="Comma 4 3 2 3 4 2" xfId="3782" xr:uid="{00000000-0005-0000-0000-00004D090000}"/>
    <cellStyle name="Comma 4 3 2 3 4 2 2" xfId="8005" xr:uid="{00000000-0005-0000-0000-00004E090000}"/>
    <cellStyle name="Comma 4 3 2 3 4 2 2 2" xfId="16447" xr:uid="{21DF5187-751C-4D0C-9897-47B9AAD98F29}"/>
    <cellStyle name="Comma 4 3 2 3 4 2 3" xfId="12229" xr:uid="{0818A403-9479-4BD7-8157-63414AE1141B}"/>
    <cellStyle name="Comma 4 3 2 3 4 3" xfId="5860" xr:uid="{00000000-0005-0000-0000-00004F090000}"/>
    <cellStyle name="Comma 4 3 2 3 4 3 2" xfId="14302" xr:uid="{D5EAA72B-3667-4A18-A8DF-F1619F0A44EA}"/>
    <cellStyle name="Comma 4 3 2 3 4 4" xfId="10084" xr:uid="{1B8F5610-24ED-412B-8C3F-2022663B7EAE}"/>
    <cellStyle name="Comma 4 3 2 3 5" xfId="1966" xr:uid="{00000000-0005-0000-0000-000050090000}"/>
    <cellStyle name="Comma 4 3 2 3 5 2" xfId="4195" xr:uid="{00000000-0005-0000-0000-000051090000}"/>
    <cellStyle name="Comma 4 3 2 3 5 2 2" xfId="8418" xr:uid="{00000000-0005-0000-0000-000052090000}"/>
    <cellStyle name="Comma 4 3 2 3 5 2 2 2" xfId="16860" xr:uid="{5C295972-ACED-4447-91FC-7199FC04597A}"/>
    <cellStyle name="Comma 4 3 2 3 5 2 3" xfId="12642" xr:uid="{85110077-3B9B-4992-8BFB-B0AD7F264934}"/>
    <cellStyle name="Comma 4 3 2 3 5 3" xfId="6273" xr:uid="{00000000-0005-0000-0000-000053090000}"/>
    <cellStyle name="Comma 4 3 2 3 5 3 2" xfId="14715" xr:uid="{9853EDF2-A712-413A-A6EC-E5CA3890E4B0}"/>
    <cellStyle name="Comma 4 3 2 3 5 4" xfId="10497" xr:uid="{CDE37352-15BF-4D72-A26A-D12716CC6DCB}"/>
    <cellStyle name="Comma 4 3 2 3 6" xfId="2401" xr:uid="{00000000-0005-0000-0000-000054090000}"/>
    <cellStyle name="Comma 4 3 2 3 6 2" xfId="6686" xr:uid="{00000000-0005-0000-0000-000055090000}"/>
    <cellStyle name="Comma 4 3 2 3 6 2 2" xfId="15128" xr:uid="{4B26D586-10E0-48BB-9DD4-948C8134A705}"/>
    <cellStyle name="Comma 4 3 2 3 6 3" xfId="10910" xr:uid="{EFC24E2B-0B97-4B2D-9B02-B4960ABC0649}"/>
    <cellStyle name="Comma 4 3 2 3 7" xfId="2362" xr:uid="{00000000-0005-0000-0000-000056090000}"/>
    <cellStyle name="Comma 4 3 2 3 8" xfId="2779" xr:uid="{00000000-0005-0000-0000-000057090000}"/>
    <cellStyle name="Comma 4 3 2 3 8 2" xfId="7003" xr:uid="{00000000-0005-0000-0000-000058090000}"/>
    <cellStyle name="Comma 4 3 2 3 8 2 2" xfId="15445" xr:uid="{48D990B0-81E3-4A3F-BFFA-5595EE491760}"/>
    <cellStyle name="Comma 4 3 2 3 8 3" xfId="11227" xr:uid="{49B9B312-3ED9-4D70-8914-BBA86F4DCC09}"/>
    <cellStyle name="Comma 4 3 2 3 9" xfId="4620" xr:uid="{00000000-0005-0000-0000-000059090000}"/>
    <cellStyle name="Comma 4 3 2 3 9 2" xfId="13062" xr:uid="{6DFEF1A6-7705-4605-BB1D-E6AADF206997}"/>
    <cellStyle name="Comma 4 3 2 4" xfId="682" xr:uid="{00000000-0005-0000-0000-00005A090000}"/>
    <cellStyle name="Comma 4 3 2 4 2" xfId="2953" xr:uid="{00000000-0005-0000-0000-00005B090000}"/>
    <cellStyle name="Comma 4 3 2 4 2 2" xfId="7176" xr:uid="{00000000-0005-0000-0000-00005C090000}"/>
    <cellStyle name="Comma 4 3 2 4 2 2 2" xfId="15618" xr:uid="{B6018194-6378-48CB-99B2-DCD6BE59FBAD}"/>
    <cellStyle name="Comma 4 3 2 4 2 3" xfId="11400" xr:uid="{ED4A2880-D7C8-4DEB-99C2-BDDAC099D6B2}"/>
    <cellStyle name="Comma 4 3 2 4 3" xfId="5031" xr:uid="{00000000-0005-0000-0000-00005D090000}"/>
    <cellStyle name="Comma 4 3 2 4 3 2" xfId="13473" xr:uid="{149A3FB6-4B70-4DE1-839D-13BDC5C0E30B}"/>
    <cellStyle name="Comma 4 3 2 4 4" xfId="9255" xr:uid="{9C6905A0-F0B7-4DF0-B6CC-B00C2C71DC33}"/>
    <cellStyle name="Comma 4 3 2 5" xfId="1135" xr:uid="{00000000-0005-0000-0000-00005E090000}"/>
    <cellStyle name="Comma 4 3 2 5 2" xfId="3366" xr:uid="{00000000-0005-0000-0000-00005F090000}"/>
    <cellStyle name="Comma 4 3 2 5 2 2" xfId="7589" xr:uid="{00000000-0005-0000-0000-000060090000}"/>
    <cellStyle name="Comma 4 3 2 5 2 2 2" xfId="16031" xr:uid="{C2F0F283-A58B-43F5-B4C6-3B279D1F859B}"/>
    <cellStyle name="Comma 4 3 2 5 2 3" xfId="11813" xr:uid="{EBA19D80-F8E6-4053-BDBB-3B5D0DD1EF6A}"/>
    <cellStyle name="Comma 4 3 2 5 3" xfId="5444" xr:uid="{00000000-0005-0000-0000-000061090000}"/>
    <cellStyle name="Comma 4 3 2 5 3 2" xfId="13886" xr:uid="{4B9B68BA-7558-4BBB-BCFB-5D96C57B26CF}"/>
    <cellStyle name="Comma 4 3 2 5 4" xfId="9668" xr:uid="{100EA13D-8650-4E04-AA84-4A402151D6EC}"/>
    <cellStyle name="Comma 4 3 2 6" xfId="1549" xr:uid="{00000000-0005-0000-0000-000062090000}"/>
    <cellStyle name="Comma 4 3 2 6 2" xfId="3779" xr:uid="{00000000-0005-0000-0000-000063090000}"/>
    <cellStyle name="Comma 4 3 2 6 2 2" xfId="8002" xr:uid="{00000000-0005-0000-0000-000064090000}"/>
    <cellStyle name="Comma 4 3 2 6 2 2 2" xfId="16444" xr:uid="{BB076977-FEF7-460E-91D0-140FE03208F1}"/>
    <cellStyle name="Comma 4 3 2 6 2 3" xfId="12226" xr:uid="{F77CC8CE-38EA-405F-89B1-37BBF86F1ED4}"/>
    <cellStyle name="Comma 4 3 2 6 3" xfId="5857" xr:uid="{00000000-0005-0000-0000-000065090000}"/>
    <cellStyle name="Comma 4 3 2 6 3 2" xfId="14299" xr:uid="{7D2A9EC9-5F72-418F-9D50-FCA60D72F23D}"/>
    <cellStyle name="Comma 4 3 2 6 4" xfId="10081" xr:uid="{5A390E0F-A1CB-434C-BEAF-D364271F3EB8}"/>
    <cellStyle name="Comma 4 3 2 7" xfId="1963" xr:uid="{00000000-0005-0000-0000-000066090000}"/>
    <cellStyle name="Comma 4 3 2 7 2" xfId="4192" xr:uid="{00000000-0005-0000-0000-000067090000}"/>
    <cellStyle name="Comma 4 3 2 7 2 2" xfId="8415" xr:uid="{00000000-0005-0000-0000-000068090000}"/>
    <cellStyle name="Comma 4 3 2 7 2 2 2" xfId="16857" xr:uid="{3832CA00-2099-4BB8-9570-AB843A61CC09}"/>
    <cellStyle name="Comma 4 3 2 7 2 3" xfId="12639" xr:uid="{ADAE4EB8-410A-42CF-A3B7-793613F47E2E}"/>
    <cellStyle name="Comma 4 3 2 7 3" xfId="6270" xr:uid="{00000000-0005-0000-0000-000069090000}"/>
    <cellStyle name="Comma 4 3 2 7 3 2" xfId="14712" xr:uid="{81A9F658-4985-42D1-8BF0-F52166CF2314}"/>
    <cellStyle name="Comma 4 3 2 7 4" xfId="10494" xr:uid="{4C6D0731-BF98-4DFA-A62A-E977040D5897}"/>
    <cellStyle name="Comma 4 3 2 8" xfId="2398" xr:uid="{00000000-0005-0000-0000-00006A090000}"/>
    <cellStyle name="Comma 4 3 2 8 2" xfId="6683" xr:uid="{00000000-0005-0000-0000-00006B090000}"/>
    <cellStyle name="Comma 4 3 2 8 2 2" xfId="15125" xr:uid="{180FDFEC-885F-4CC2-99AE-D5C452CF9DEE}"/>
    <cellStyle name="Comma 4 3 2 8 3" xfId="10907" xr:uid="{2F07EAC1-CCBB-4936-962D-D0F1F3C9E154}"/>
    <cellStyle name="Comma 4 3 2 9" xfId="2365" xr:uid="{00000000-0005-0000-0000-00006C090000}"/>
    <cellStyle name="Comma 4 3 3" xfId="149" xr:uid="{00000000-0005-0000-0000-00006D090000}"/>
    <cellStyle name="Comma 4 3 3 10" xfId="4621" xr:uid="{00000000-0005-0000-0000-00006E090000}"/>
    <cellStyle name="Comma 4 3 3 10 2" xfId="13063" xr:uid="{134EF4B3-2EF4-4587-9353-166ACEB7ABED}"/>
    <cellStyle name="Comma 4 3 3 11" xfId="8845" xr:uid="{1BFD4450-4AED-4CC0-AD9D-EA8680FC7CA8}"/>
    <cellStyle name="Comma 4 3 3 2" xfId="150" xr:uid="{00000000-0005-0000-0000-00006F090000}"/>
    <cellStyle name="Comma 4 3 3 2 10" xfId="8846" xr:uid="{1E36C836-84CE-46AA-A90F-53050FC122FA}"/>
    <cellStyle name="Comma 4 3 3 2 2" xfId="687" xr:uid="{00000000-0005-0000-0000-000070090000}"/>
    <cellStyle name="Comma 4 3 3 2 2 2" xfId="2958" xr:uid="{00000000-0005-0000-0000-000071090000}"/>
    <cellStyle name="Comma 4 3 3 2 2 2 2" xfId="7181" xr:uid="{00000000-0005-0000-0000-000072090000}"/>
    <cellStyle name="Comma 4 3 3 2 2 2 2 2" xfId="15623" xr:uid="{54BEA286-8851-4E67-83BB-2EE754E9F1AC}"/>
    <cellStyle name="Comma 4 3 3 2 2 2 3" xfId="11405" xr:uid="{7B397122-36CE-4FDE-9DD7-09FA6ED85A4F}"/>
    <cellStyle name="Comma 4 3 3 2 2 3" xfId="5036" xr:uid="{00000000-0005-0000-0000-000073090000}"/>
    <cellStyle name="Comma 4 3 3 2 2 3 2" xfId="13478" xr:uid="{2A560AF6-419A-4A4D-B592-DC7420B45380}"/>
    <cellStyle name="Comma 4 3 3 2 2 4" xfId="9260" xr:uid="{B1BB4294-1D0B-45CE-8108-03A125D6902B}"/>
    <cellStyle name="Comma 4 3 3 2 3" xfId="1140" xr:uid="{00000000-0005-0000-0000-000074090000}"/>
    <cellStyle name="Comma 4 3 3 2 3 2" xfId="3371" xr:uid="{00000000-0005-0000-0000-000075090000}"/>
    <cellStyle name="Comma 4 3 3 2 3 2 2" xfId="7594" xr:uid="{00000000-0005-0000-0000-000076090000}"/>
    <cellStyle name="Comma 4 3 3 2 3 2 2 2" xfId="16036" xr:uid="{CE1E1F40-ED23-4342-AC42-E118F6B9F09D}"/>
    <cellStyle name="Comma 4 3 3 2 3 2 3" xfId="11818" xr:uid="{11A38786-DA08-4FD1-B48C-B8644992B286}"/>
    <cellStyle name="Comma 4 3 3 2 3 3" xfId="5449" xr:uid="{00000000-0005-0000-0000-000077090000}"/>
    <cellStyle name="Comma 4 3 3 2 3 3 2" xfId="13891" xr:uid="{6DD04FF7-801C-4811-8BD9-E0BF3653ECC0}"/>
    <cellStyle name="Comma 4 3 3 2 3 4" xfId="9673" xr:uid="{49383501-9E18-4383-8F26-3B80DAD48E3A}"/>
    <cellStyle name="Comma 4 3 3 2 4" xfId="1554" xr:uid="{00000000-0005-0000-0000-000078090000}"/>
    <cellStyle name="Comma 4 3 3 2 4 2" xfId="3784" xr:uid="{00000000-0005-0000-0000-000079090000}"/>
    <cellStyle name="Comma 4 3 3 2 4 2 2" xfId="8007" xr:uid="{00000000-0005-0000-0000-00007A090000}"/>
    <cellStyle name="Comma 4 3 3 2 4 2 2 2" xfId="16449" xr:uid="{BD167CD3-0DAF-47A0-B134-DDF14B7A8B66}"/>
    <cellStyle name="Comma 4 3 3 2 4 2 3" xfId="12231" xr:uid="{C7A216AE-E33B-4651-A528-B79A51787A03}"/>
    <cellStyle name="Comma 4 3 3 2 4 3" xfId="5862" xr:uid="{00000000-0005-0000-0000-00007B090000}"/>
    <cellStyle name="Comma 4 3 3 2 4 3 2" xfId="14304" xr:uid="{8E0AEB99-6E80-4C56-BB37-EA0DB356C697}"/>
    <cellStyle name="Comma 4 3 3 2 4 4" xfId="10086" xr:uid="{0BFE6132-CAD6-4D1C-86E9-92A32E3CC2A6}"/>
    <cellStyle name="Comma 4 3 3 2 5" xfId="1968" xr:uid="{00000000-0005-0000-0000-00007C090000}"/>
    <cellStyle name="Comma 4 3 3 2 5 2" xfId="4197" xr:uid="{00000000-0005-0000-0000-00007D090000}"/>
    <cellStyle name="Comma 4 3 3 2 5 2 2" xfId="8420" xr:uid="{00000000-0005-0000-0000-00007E090000}"/>
    <cellStyle name="Comma 4 3 3 2 5 2 2 2" xfId="16862" xr:uid="{2F1332C4-BA58-468F-B2AD-7AE078120EEF}"/>
    <cellStyle name="Comma 4 3 3 2 5 2 3" xfId="12644" xr:uid="{36640A7A-539F-48A4-9972-434D1250FE25}"/>
    <cellStyle name="Comma 4 3 3 2 5 3" xfId="6275" xr:uid="{00000000-0005-0000-0000-00007F090000}"/>
    <cellStyle name="Comma 4 3 3 2 5 3 2" xfId="14717" xr:uid="{F8DE70AF-3AA6-448A-86BE-8EE00A33F76D}"/>
    <cellStyle name="Comma 4 3 3 2 5 4" xfId="10499" xr:uid="{9BD9EED5-2E34-4811-B0CC-8A3D0D0A97B1}"/>
    <cellStyle name="Comma 4 3 3 2 6" xfId="2403" xr:uid="{00000000-0005-0000-0000-000080090000}"/>
    <cellStyle name="Comma 4 3 3 2 6 2" xfId="6688" xr:uid="{00000000-0005-0000-0000-000081090000}"/>
    <cellStyle name="Comma 4 3 3 2 6 2 2" xfId="15130" xr:uid="{7247A772-419B-460D-88DD-9963C4545F72}"/>
    <cellStyle name="Comma 4 3 3 2 6 3" xfId="10912" xr:uid="{1E9EA135-8333-4600-82CE-FB1EF9205BEC}"/>
    <cellStyle name="Comma 4 3 3 2 7" xfId="2360" xr:uid="{00000000-0005-0000-0000-000082090000}"/>
    <cellStyle name="Comma 4 3 3 2 8" xfId="2781" xr:uid="{00000000-0005-0000-0000-000083090000}"/>
    <cellStyle name="Comma 4 3 3 2 8 2" xfId="7005" xr:uid="{00000000-0005-0000-0000-000084090000}"/>
    <cellStyle name="Comma 4 3 3 2 8 2 2" xfId="15447" xr:uid="{0AFF54C9-0356-4E06-B217-BDF3BC2D7B88}"/>
    <cellStyle name="Comma 4 3 3 2 8 3" xfId="11229" xr:uid="{98D2271A-D017-458A-B3A3-4EE489190C46}"/>
    <cellStyle name="Comma 4 3 3 2 9" xfId="4622" xr:uid="{00000000-0005-0000-0000-000085090000}"/>
    <cellStyle name="Comma 4 3 3 2 9 2" xfId="13064" xr:uid="{31BDA4C8-7DD0-4B9C-847C-0D0E87223EEC}"/>
    <cellStyle name="Comma 4 3 3 3" xfId="686" xr:uid="{00000000-0005-0000-0000-000086090000}"/>
    <cellStyle name="Comma 4 3 3 3 2" xfId="2957" xr:uid="{00000000-0005-0000-0000-000087090000}"/>
    <cellStyle name="Comma 4 3 3 3 2 2" xfId="7180" xr:uid="{00000000-0005-0000-0000-000088090000}"/>
    <cellStyle name="Comma 4 3 3 3 2 2 2" xfId="15622" xr:uid="{89AB2FA4-2CC2-4FF8-9777-1FFEED795690}"/>
    <cellStyle name="Comma 4 3 3 3 2 3" xfId="11404" xr:uid="{95FD179F-E1C5-4048-9077-22C07C73DC12}"/>
    <cellStyle name="Comma 4 3 3 3 3" xfId="5035" xr:uid="{00000000-0005-0000-0000-000089090000}"/>
    <cellStyle name="Comma 4 3 3 3 3 2" xfId="13477" xr:uid="{4D2761B1-B586-4BF9-872D-EDB6119CDC75}"/>
    <cellStyle name="Comma 4 3 3 3 4" xfId="9259" xr:uid="{8576259A-09AC-48F2-B19F-1CCC96A6A641}"/>
    <cellStyle name="Comma 4 3 3 4" xfId="1139" xr:uid="{00000000-0005-0000-0000-00008A090000}"/>
    <cellStyle name="Comma 4 3 3 4 2" xfId="3370" xr:uid="{00000000-0005-0000-0000-00008B090000}"/>
    <cellStyle name="Comma 4 3 3 4 2 2" xfId="7593" xr:uid="{00000000-0005-0000-0000-00008C090000}"/>
    <cellStyle name="Comma 4 3 3 4 2 2 2" xfId="16035" xr:uid="{4D120CAB-56BE-4947-A0DB-D5A772883250}"/>
    <cellStyle name="Comma 4 3 3 4 2 3" xfId="11817" xr:uid="{668C02A7-006A-4D7F-839F-06113151ECD9}"/>
    <cellStyle name="Comma 4 3 3 4 3" xfId="5448" xr:uid="{00000000-0005-0000-0000-00008D090000}"/>
    <cellStyle name="Comma 4 3 3 4 3 2" xfId="13890" xr:uid="{280F2794-EDC7-400F-8613-A4109058FC4B}"/>
    <cellStyle name="Comma 4 3 3 4 4" xfId="9672" xr:uid="{1E583B1B-2FCB-43EB-B01A-B00B836D6241}"/>
    <cellStyle name="Comma 4 3 3 5" xfId="1553" xr:uid="{00000000-0005-0000-0000-00008E090000}"/>
    <cellStyle name="Comma 4 3 3 5 2" xfId="3783" xr:uid="{00000000-0005-0000-0000-00008F090000}"/>
    <cellStyle name="Comma 4 3 3 5 2 2" xfId="8006" xr:uid="{00000000-0005-0000-0000-000090090000}"/>
    <cellStyle name="Comma 4 3 3 5 2 2 2" xfId="16448" xr:uid="{F54615B1-CC3C-4353-943D-E774AE7FC8BD}"/>
    <cellStyle name="Comma 4 3 3 5 2 3" xfId="12230" xr:uid="{E90A1C24-F23B-4FE0-8C9F-B92AEEDA19B2}"/>
    <cellStyle name="Comma 4 3 3 5 3" xfId="5861" xr:uid="{00000000-0005-0000-0000-000091090000}"/>
    <cellStyle name="Comma 4 3 3 5 3 2" xfId="14303" xr:uid="{19852BB7-895C-4BCF-8759-DEAD506B7ACB}"/>
    <cellStyle name="Comma 4 3 3 5 4" xfId="10085" xr:uid="{FE3042C6-9708-442C-99B8-A88D4BE55983}"/>
    <cellStyle name="Comma 4 3 3 6" xfId="1967" xr:uid="{00000000-0005-0000-0000-000092090000}"/>
    <cellStyle name="Comma 4 3 3 6 2" xfId="4196" xr:uid="{00000000-0005-0000-0000-000093090000}"/>
    <cellStyle name="Comma 4 3 3 6 2 2" xfId="8419" xr:uid="{00000000-0005-0000-0000-000094090000}"/>
    <cellStyle name="Comma 4 3 3 6 2 2 2" xfId="16861" xr:uid="{A12F8446-08ED-4E42-AA8C-BDF611FF6DAA}"/>
    <cellStyle name="Comma 4 3 3 6 2 3" xfId="12643" xr:uid="{BEC1A065-221A-47A0-A809-3EA9E6D19201}"/>
    <cellStyle name="Comma 4 3 3 6 3" xfId="6274" xr:uid="{00000000-0005-0000-0000-000095090000}"/>
    <cellStyle name="Comma 4 3 3 6 3 2" xfId="14716" xr:uid="{A29AB988-CE87-40D9-8C7B-C61A43D57B77}"/>
    <cellStyle name="Comma 4 3 3 6 4" xfId="10498" xr:uid="{8C400134-990F-42AD-952D-DE02E229D481}"/>
    <cellStyle name="Comma 4 3 3 7" xfId="2402" xr:uid="{00000000-0005-0000-0000-000096090000}"/>
    <cellStyle name="Comma 4 3 3 7 2" xfId="6687" xr:uid="{00000000-0005-0000-0000-000097090000}"/>
    <cellStyle name="Comma 4 3 3 7 2 2" xfId="15129" xr:uid="{4A4E6CCE-42C4-48C4-94ED-406764DC2109}"/>
    <cellStyle name="Comma 4 3 3 7 3" xfId="10911" xr:uid="{DD4BFFD6-7CE1-476F-81CE-4F6EBEFAEDB6}"/>
    <cellStyle name="Comma 4 3 3 8" xfId="2361" xr:uid="{00000000-0005-0000-0000-000098090000}"/>
    <cellStyle name="Comma 4 3 3 9" xfId="2780" xr:uid="{00000000-0005-0000-0000-000099090000}"/>
    <cellStyle name="Comma 4 3 3 9 2" xfId="7004" xr:uid="{00000000-0005-0000-0000-00009A090000}"/>
    <cellStyle name="Comma 4 3 3 9 2 2" xfId="15446" xr:uid="{B3FD7F81-8777-4B83-A25B-89FDB9469636}"/>
    <cellStyle name="Comma 4 3 3 9 3" xfId="11228" xr:uid="{F3EB1EAF-B0F0-491E-8F00-88AFC8F90685}"/>
    <cellStyle name="Comma 4 3 4" xfId="151" xr:uid="{00000000-0005-0000-0000-00009B090000}"/>
    <cellStyle name="Comma 4 3 4 10" xfId="8847" xr:uid="{F00C736D-3B07-4279-A45C-484C94BB8818}"/>
    <cellStyle name="Comma 4 3 4 2" xfId="688" xr:uid="{00000000-0005-0000-0000-00009C090000}"/>
    <cellStyle name="Comma 4 3 4 2 2" xfId="2959" xr:uid="{00000000-0005-0000-0000-00009D090000}"/>
    <cellStyle name="Comma 4 3 4 2 2 2" xfId="7182" xr:uid="{00000000-0005-0000-0000-00009E090000}"/>
    <cellStyle name="Comma 4 3 4 2 2 2 2" xfId="15624" xr:uid="{879052A7-64CB-46F8-8516-C884F95BE3DA}"/>
    <cellStyle name="Comma 4 3 4 2 2 3" xfId="11406" xr:uid="{0C3F8C10-1BFC-4ACC-B5CD-C99DB8557297}"/>
    <cellStyle name="Comma 4 3 4 2 3" xfId="5037" xr:uid="{00000000-0005-0000-0000-00009F090000}"/>
    <cellStyle name="Comma 4 3 4 2 3 2" xfId="13479" xr:uid="{60C8B53C-A799-4199-B710-3C57DAA35AF0}"/>
    <cellStyle name="Comma 4 3 4 2 4" xfId="9261" xr:uid="{608ED5C2-3579-4D46-8F74-C6B68D1DB9C0}"/>
    <cellStyle name="Comma 4 3 4 3" xfId="1141" xr:uid="{00000000-0005-0000-0000-0000A0090000}"/>
    <cellStyle name="Comma 4 3 4 3 2" xfId="3372" xr:uid="{00000000-0005-0000-0000-0000A1090000}"/>
    <cellStyle name="Comma 4 3 4 3 2 2" xfId="7595" xr:uid="{00000000-0005-0000-0000-0000A2090000}"/>
    <cellStyle name="Comma 4 3 4 3 2 2 2" xfId="16037" xr:uid="{09D3E8A0-63F9-40CE-A05B-C259288D5857}"/>
    <cellStyle name="Comma 4 3 4 3 2 3" xfId="11819" xr:uid="{560607EF-69DD-403F-98F6-E958510194CC}"/>
    <cellStyle name="Comma 4 3 4 3 3" xfId="5450" xr:uid="{00000000-0005-0000-0000-0000A3090000}"/>
    <cellStyle name="Comma 4 3 4 3 3 2" xfId="13892" xr:uid="{203B8DB2-BD88-4DB3-BE0D-C793332E89F9}"/>
    <cellStyle name="Comma 4 3 4 3 4" xfId="9674" xr:uid="{6E5391BB-6248-4B3E-A74E-D9ABC2681DA2}"/>
    <cellStyle name="Comma 4 3 4 4" xfId="1555" xr:uid="{00000000-0005-0000-0000-0000A4090000}"/>
    <cellStyle name="Comma 4 3 4 4 2" xfId="3785" xr:uid="{00000000-0005-0000-0000-0000A5090000}"/>
    <cellStyle name="Comma 4 3 4 4 2 2" xfId="8008" xr:uid="{00000000-0005-0000-0000-0000A6090000}"/>
    <cellStyle name="Comma 4 3 4 4 2 2 2" xfId="16450" xr:uid="{9BE4E43B-9BA6-4611-9B81-2D166A3FA422}"/>
    <cellStyle name="Comma 4 3 4 4 2 3" xfId="12232" xr:uid="{CF824303-60C5-48C4-A5B7-65271ACEC1F2}"/>
    <cellStyle name="Comma 4 3 4 4 3" xfId="5863" xr:uid="{00000000-0005-0000-0000-0000A7090000}"/>
    <cellStyle name="Comma 4 3 4 4 3 2" xfId="14305" xr:uid="{B1D4E3AB-3F5C-4102-A844-DD9303E98974}"/>
    <cellStyle name="Comma 4 3 4 4 4" xfId="10087" xr:uid="{A8B2BC32-10FE-474F-8B01-31E05119DDB9}"/>
    <cellStyle name="Comma 4 3 4 5" xfId="1969" xr:uid="{00000000-0005-0000-0000-0000A8090000}"/>
    <cellStyle name="Comma 4 3 4 5 2" xfId="4198" xr:uid="{00000000-0005-0000-0000-0000A9090000}"/>
    <cellStyle name="Comma 4 3 4 5 2 2" xfId="8421" xr:uid="{00000000-0005-0000-0000-0000AA090000}"/>
    <cellStyle name="Comma 4 3 4 5 2 2 2" xfId="16863" xr:uid="{F99A3814-6D11-4738-89DA-83DF94FE8D16}"/>
    <cellStyle name="Comma 4 3 4 5 2 3" xfId="12645" xr:uid="{776CB3D2-18C4-4932-94F2-FAC5277D1111}"/>
    <cellStyle name="Comma 4 3 4 5 3" xfId="6276" xr:uid="{00000000-0005-0000-0000-0000AB090000}"/>
    <cellStyle name="Comma 4 3 4 5 3 2" xfId="14718" xr:uid="{4E8386AA-4C6B-412D-8EAC-15C9EEAF10E5}"/>
    <cellStyle name="Comma 4 3 4 5 4" xfId="10500" xr:uid="{BA973C80-36B1-4A29-BC43-E66BE32F91F0}"/>
    <cellStyle name="Comma 4 3 4 6" xfId="2404" xr:uid="{00000000-0005-0000-0000-0000AC090000}"/>
    <cellStyle name="Comma 4 3 4 6 2" xfId="6689" xr:uid="{00000000-0005-0000-0000-0000AD090000}"/>
    <cellStyle name="Comma 4 3 4 6 2 2" xfId="15131" xr:uid="{AAD88C46-A1E1-492B-BC5A-D5720D212060}"/>
    <cellStyle name="Comma 4 3 4 6 3" xfId="10913" xr:uid="{9A5C99D6-545A-4527-B029-10E37017889F}"/>
    <cellStyle name="Comma 4 3 4 7" xfId="2700" xr:uid="{00000000-0005-0000-0000-0000AE090000}"/>
    <cellStyle name="Comma 4 3 4 8" xfId="2782" xr:uid="{00000000-0005-0000-0000-0000AF090000}"/>
    <cellStyle name="Comma 4 3 4 8 2" xfId="7006" xr:uid="{00000000-0005-0000-0000-0000B0090000}"/>
    <cellStyle name="Comma 4 3 4 8 2 2" xfId="15448" xr:uid="{88BCD663-A252-4B8E-9656-85EA8A9DEB5D}"/>
    <cellStyle name="Comma 4 3 4 8 3" xfId="11230" xr:uid="{0B30E043-F317-4925-8346-88BEBE5B41F5}"/>
    <cellStyle name="Comma 4 3 4 9" xfId="4623" xr:uid="{00000000-0005-0000-0000-0000B1090000}"/>
    <cellStyle name="Comma 4 3 4 9 2" xfId="13065" xr:uid="{6F8F7252-8B5D-4542-8778-8B2822240CE9}"/>
    <cellStyle name="Comma 4 3 5" xfId="152" xr:uid="{00000000-0005-0000-0000-0000B2090000}"/>
    <cellStyle name="Comma 4 3 5 10" xfId="8848" xr:uid="{4FF8EC39-DA9C-4AC0-983D-AD5EEC0143AD}"/>
    <cellStyle name="Comma 4 3 5 2" xfId="689" xr:uid="{00000000-0005-0000-0000-0000B3090000}"/>
    <cellStyle name="Comma 4 3 5 2 2" xfId="2960" xr:uid="{00000000-0005-0000-0000-0000B4090000}"/>
    <cellStyle name="Comma 4 3 5 2 2 2" xfId="7183" xr:uid="{00000000-0005-0000-0000-0000B5090000}"/>
    <cellStyle name="Comma 4 3 5 2 2 2 2" xfId="15625" xr:uid="{0DAC5B3C-4A39-492B-9203-8CB909EFE6AD}"/>
    <cellStyle name="Comma 4 3 5 2 2 3" xfId="11407" xr:uid="{CB3D801E-4234-4074-B335-F98B07E51A44}"/>
    <cellStyle name="Comma 4 3 5 2 3" xfId="5038" xr:uid="{00000000-0005-0000-0000-0000B6090000}"/>
    <cellStyle name="Comma 4 3 5 2 3 2" xfId="13480" xr:uid="{74F4DE34-3E13-4DD3-9F1C-106DCB6C65A3}"/>
    <cellStyle name="Comma 4 3 5 2 4" xfId="9262" xr:uid="{13677FA1-2861-45E5-8055-1BF6601E7AF0}"/>
    <cellStyle name="Comma 4 3 5 3" xfId="1142" xr:uid="{00000000-0005-0000-0000-0000B7090000}"/>
    <cellStyle name="Comma 4 3 5 3 2" xfId="3373" xr:uid="{00000000-0005-0000-0000-0000B8090000}"/>
    <cellStyle name="Comma 4 3 5 3 2 2" xfId="7596" xr:uid="{00000000-0005-0000-0000-0000B9090000}"/>
    <cellStyle name="Comma 4 3 5 3 2 2 2" xfId="16038" xr:uid="{EAF85291-2D3D-4B02-9C26-4BE9C776092B}"/>
    <cellStyle name="Comma 4 3 5 3 2 3" xfId="11820" xr:uid="{7548AFEC-31E3-4C23-AFBE-3169C618912D}"/>
    <cellStyle name="Comma 4 3 5 3 3" xfId="5451" xr:uid="{00000000-0005-0000-0000-0000BA090000}"/>
    <cellStyle name="Comma 4 3 5 3 3 2" xfId="13893" xr:uid="{2FD1C481-E59D-4D78-A988-E023D0C7D000}"/>
    <cellStyle name="Comma 4 3 5 3 4" xfId="9675" xr:uid="{CB00AA9A-7613-4B62-B555-C97C5E8B0DAC}"/>
    <cellStyle name="Comma 4 3 5 4" xfId="1556" xr:uid="{00000000-0005-0000-0000-0000BB090000}"/>
    <cellStyle name="Comma 4 3 5 4 2" xfId="3786" xr:uid="{00000000-0005-0000-0000-0000BC090000}"/>
    <cellStyle name="Comma 4 3 5 4 2 2" xfId="8009" xr:uid="{00000000-0005-0000-0000-0000BD090000}"/>
    <cellStyle name="Comma 4 3 5 4 2 2 2" xfId="16451" xr:uid="{055760FA-1890-40BA-A26F-7D3A671CFF46}"/>
    <cellStyle name="Comma 4 3 5 4 2 3" xfId="12233" xr:uid="{1755B53D-46A2-4635-A22E-7B63151904B4}"/>
    <cellStyle name="Comma 4 3 5 4 3" xfId="5864" xr:uid="{00000000-0005-0000-0000-0000BE090000}"/>
    <cellStyle name="Comma 4 3 5 4 3 2" xfId="14306" xr:uid="{775DEF37-4BC6-4521-A236-8BD9524F8437}"/>
    <cellStyle name="Comma 4 3 5 4 4" xfId="10088" xr:uid="{4B160B13-8448-499D-8F96-8FD2D7C056C1}"/>
    <cellStyle name="Comma 4 3 5 5" xfId="1970" xr:uid="{00000000-0005-0000-0000-0000BF090000}"/>
    <cellStyle name="Comma 4 3 5 5 2" xfId="4199" xr:uid="{00000000-0005-0000-0000-0000C0090000}"/>
    <cellStyle name="Comma 4 3 5 5 2 2" xfId="8422" xr:uid="{00000000-0005-0000-0000-0000C1090000}"/>
    <cellStyle name="Comma 4 3 5 5 2 2 2" xfId="16864" xr:uid="{740D2C3E-1413-4088-A633-884551220CCA}"/>
    <cellStyle name="Comma 4 3 5 5 2 3" xfId="12646" xr:uid="{5AA009FA-CD72-43DC-B390-8619ECD9C7EF}"/>
    <cellStyle name="Comma 4 3 5 5 3" xfId="6277" xr:uid="{00000000-0005-0000-0000-0000C2090000}"/>
    <cellStyle name="Comma 4 3 5 5 3 2" xfId="14719" xr:uid="{B28EF6D4-3317-44AF-88C2-64DD14B3806A}"/>
    <cellStyle name="Comma 4 3 5 5 4" xfId="10501" xr:uid="{DBF0AA8B-F89A-4D48-B195-70C1AAE6EDD1}"/>
    <cellStyle name="Comma 4 3 5 6" xfId="2405" xr:uid="{00000000-0005-0000-0000-0000C3090000}"/>
    <cellStyle name="Comma 4 3 5 6 2" xfId="6690" xr:uid="{00000000-0005-0000-0000-0000C4090000}"/>
    <cellStyle name="Comma 4 3 5 6 2 2" xfId="15132" xr:uid="{735895D9-1BF8-408A-B76E-F2FF7F886F61}"/>
    <cellStyle name="Comma 4 3 5 6 3" xfId="10914" xr:uid="{F99EF213-37FC-41F0-8879-A71AC400A743}"/>
    <cellStyle name="Comma 4 3 5 7" xfId="2701" xr:uid="{00000000-0005-0000-0000-0000C5090000}"/>
    <cellStyle name="Comma 4 3 5 8" xfId="2783" xr:uid="{00000000-0005-0000-0000-0000C6090000}"/>
    <cellStyle name="Comma 4 3 5 8 2" xfId="7007" xr:uid="{00000000-0005-0000-0000-0000C7090000}"/>
    <cellStyle name="Comma 4 3 5 8 2 2" xfId="15449" xr:uid="{4F6748E0-B0E1-4CE7-9802-5AF8292AF708}"/>
    <cellStyle name="Comma 4 3 5 8 3" xfId="11231" xr:uid="{C3901508-760F-4A54-A608-27A140262E69}"/>
    <cellStyle name="Comma 4 3 5 9" xfId="4624" xr:uid="{00000000-0005-0000-0000-0000C8090000}"/>
    <cellStyle name="Comma 4 3 5 9 2" xfId="13066" xr:uid="{783CA31F-4E76-4583-B94A-C4F46F041C0A}"/>
    <cellStyle name="Comma 4 4" xfId="153" xr:uid="{00000000-0005-0000-0000-0000C9090000}"/>
    <cellStyle name="Comma 4 4 10" xfId="2784" xr:uid="{00000000-0005-0000-0000-0000CA090000}"/>
    <cellStyle name="Comma 4 4 10 2" xfId="7008" xr:uid="{00000000-0005-0000-0000-0000CB090000}"/>
    <cellStyle name="Comma 4 4 10 2 2" xfId="15450" xr:uid="{CAE0988B-D75E-4352-857A-30E3204898C5}"/>
    <cellStyle name="Comma 4 4 10 3" xfId="11232" xr:uid="{9000F8B7-00AC-479F-967C-D36494C2E94A}"/>
    <cellStyle name="Comma 4 4 11" xfId="4625" xr:uid="{00000000-0005-0000-0000-0000CC090000}"/>
    <cellStyle name="Comma 4 4 11 2" xfId="13067" xr:uid="{442386C7-89D7-4261-A68B-C27DB0757372}"/>
    <cellStyle name="Comma 4 4 12" xfId="8849" xr:uid="{F999A741-7152-499B-863C-63B3A350CB7A}"/>
    <cellStyle name="Comma 4 4 2" xfId="154" xr:uid="{00000000-0005-0000-0000-0000CD090000}"/>
    <cellStyle name="Comma 4 4 2 10" xfId="4626" xr:uid="{00000000-0005-0000-0000-0000CE090000}"/>
    <cellStyle name="Comma 4 4 2 10 2" xfId="13068" xr:uid="{518CA1EC-7506-4EF2-A7F3-F0A784A8854C}"/>
    <cellStyle name="Comma 4 4 2 11" xfId="8850" xr:uid="{7A192D60-7C76-4F12-99F9-0E459FA90DDE}"/>
    <cellStyle name="Comma 4 4 2 2" xfId="155" xr:uid="{00000000-0005-0000-0000-0000CF090000}"/>
    <cellStyle name="Comma 4 4 2 2 10" xfId="8851" xr:uid="{B211B2BD-6BB9-4DB1-9BB2-A8B2E65E49CF}"/>
    <cellStyle name="Comma 4 4 2 2 2" xfId="692" xr:uid="{00000000-0005-0000-0000-0000D0090000}"/>
    <cellStyle name="Comma 4 4 2 2 2 2" xfId="2963" xr:uid="{00000000-0005-0000-0000-0000D1090000}"/>
    <cellStyle name="Comma 4 4 2 2 2 2 2" xfId="7186" xr:uid="{00000000-0005-0000-0000-0000D2090000}"/>
    <cellStyle name="Comma 4 4 2 2 2 2 2 2" xfId="15628" xr:uid="{5BD13904-45A2-4461-95E1-B0272CF07A34}"/>
    <cellStyle name="Comma 4 4 2 2 2 2 3" xfId="11410" xr:uid="{262FB57F-F1D6-4C7D-B5CD-6335C4FA1667}"/>
    <cellStyle name="Comma 4 4 2 2 2 3" xfId="5041" xr:uid="{00000000-0005-0000-0000-0000D3090000}"/>
    <cellStyle name="Comma 4 4 2 2 2 3 2" xfId="13483" xr:uid="{4BFC3A29-E820-4171-974A-AE4F4AB2E4BA}"/>
    <cellStyle name="Comma 4 4 2 2 2 4" xfId="9265" xr:uid="{77C5B328-C61F-4D84-982B-ECC03E72CD48}"/>
    <cellStyle name="Comma 4 4 2 2 3" xfId="1145" xr:uid="{00000000-0005-0000-0000-0000D4090000}"/>
    <cellStyle name="Comma 4 4 2 2 3 2" xfId="3376" xr:uid="{00000000-0005-0000-0000-0000D5090000}"/>
    <cellStyle name="Comma 4 4 2 2 3 2 2" xfId="7599" xr:uid="{00000000-0005-0000-0000-0000D6090000}"/>
    <cellStyle name="Comma 4 4 2 2 3 2 2 2" xfId="16041" xr:uid="{A7D06E1F-F7AD-4ED7-90EE-FC0FA167978E}"/>
    <cellStyle name="Comma 4 4 2 2 3 2 3" xfId="11823" xr:uid="{558654CC-2C7C-4558-8BE8-4980C90C28FA}"/>
    <cellStyle name="Comma 4 4 2 2 3 3" xfId="5454" xr:uid="{00000000-0005-0000-0000-0000D7090000}"/>
    <cellStyle name="Comma 4 4 2 2 3 3 2" xfId="13896" xr:uid="{5A7BAE9A-7370-4ABB-A42F-3CAB4D75941B}"/>
    <cellStyle name="Comma 4 4 2 2 3 4" xfId="9678" xr:uid="{0A3042F0-F749-4BEF-8A1D-3E9658FD0C04}"/>
    <cellStyle name="Comma 4 4 2 2 4" xfId="1559" xr:uid="{00000000-0005-0000-0000-0000D8090000}"/>
    <cellStyle name="Comma 4 4 2 2 4 2" xfId="3789" xr:uid="{00000000-0005-0000-0000-0000D9090000}"/>
    <cellStyle name="Comma 4 4 2 2 4 2 2" xfId="8012" xr:uid="{00000000-0005-0000-0000-0000DA090000}"/>
    <cellStyle name="Comma 4 4 2 2 4 2 2 2" xfId="16454" xr:uid="{A251A17B-DF41-4FE3-BD51-87EA4E480201}"/>
    <cellStyle name="Comma 4 4 2 2 4 2 3" xfId="12236" xr:uid="{65729DE5-47D5-4B4C-9E57-A98C4CD0953B}"/>
    <cellStyle name="Comma 4 4 2 2 4 3" xfId="5867" xr:uid="{00000000-0005-0000-0000-0000DB090000}"/>
    <cellStyle name="Comma 4 4 2 2 4 3 2" xfId="14309" xr:uid="{B9E9F405-4392-4D9D-9890-367E2499CB0D}"/>
    <cellStyle name="Comma 4 4 2 2 4 4" xfId="10091" xr:uid="{B033AFD2-FFEC-4989-8BE9-B1183902D716}"/>
    <cellStyle name="Comma 4 4 2 2 5" xfId="1973" xr:uid="{00000000-0005-0000-0000-0000DC090000}"/>
    <cellStyle name="Comma 4 4 2 2 5 2" xfId="4202" xr:uid="{00000000-0005-0000-0000-0000DD090000}"/>
    <cellStyle name="Comma 4 4 2 2 5 2 2" xfId="8425" xr:uid="{00000000-0005-0000-0000-0000DE090000}"/>
    <cellStyle name="Comma 4 4 2 2 5 2 2 2" xfId="16867" xr:uid="{E38CE9DD-120C-45EA-A4A1-89EA6DD6EB96}"/>
    <cellStyle name="Comma 4 4 2 2 5 2 3" xfId="12649" xr:uid="{22991196-5D92-4088-9451-14E4EA1E87EC}"/>
    <cellStyle name="Comma 4 4 2 2 5 3" xfId="6280" xr:uid="{00000000-0005-0000-0000-0000DF090000}"/>
    <cellStyle name="Comma 4 4 2 2 5 3 2" xfId="14722" xr:uid="{3A24212C-4972-43ED-832B-EF24D7CA06FF}"/>
    <cellStyle name="Comma 4 4 2 2 5 4" xfId="10504" xr:uid="{E230A3D6-BE9D-40F9-A9D9-209DB02D9086}"/>
    <cellStyle name="Comma 4 4 2 2 6" xfId="2408" xr:uid="{00000000-0005-0000-0000-0000E0090000}"/>
    <cellStyle name="Comma 4 4 2 2 6 2" xfId="6693" xr:uid="{00000000-0005-0000-0000-0000E1090000}"/>
    <cellStyle name="Comma 4 4 2 2 6 2 2" xfId="15135" xr:uid="{C4945AA4-9B88-474A-9D49-A0183C497350}"/>
    <cellStyle name="Comma 4 4 2 2 6 3" xfId="10917" xr:uid="{B1777402-5D4D-4648-80A9-4173A98C156E}"/>
    <cellStyle name="Comma 4 4 2 2 7" xfId="2704" xr:uid="{00000000-0005-0000-0000-0000E2090000}"/>
    <cellStyle name="Comma 4 4 2 2 8" xfId="2786" xr:uid="{00000000-0005-0000-0000-0000E3090000}"/>
    <cellStyle name="Comma 4 4 2 2 8 2" xfId="7010" xr:uid="{00000000-0005-0000-0000-0000E4090000}"/>
    <cellStyle name="Comma 4 4 2 2 8 2 2" xfId="15452" xr:uid="{39AD4BBF-EEBB-4A42-9B0A-71C144D40DF2}"/>
    <cellStyle name="Comma 4 4 2 2 8 3" xfId="11234" xr:uid="{83192CC2-4BFD-4A64-A7ED-218E1334E757}"/>
    <cellStyle name="Comma 4 4 2 2 9" xfId="4627" xr:uid="{00000000-0005-0000-0000-0000E5090000}"/>
    <cellStyle name="Comma 4 4 2 2 9 2" xfId="13069" xr:uid="{0C921CBB-074B-48BE-BAFA-98C59310A44C}"/>
    <cellStyle name="Comma 4 4 2 3" xfId="691" xr:uid="{00000000-0005-0000-0000-0000E6090000}"/>
    <cellStyle name="Comma 4 4 2 3 2" xfId="2962" xr:uid="{00000000-0005-0000-0000-0000E7090000}"/>
    <cellStyle name="Comma 4 4 2 3 2 2" xfId="7185" xr:uid="{00000000-0005-0000-0000-0000E8090000}"/>
    <cellStyle name="Comma 4 4 2 3 2 2 2" xfId="15627" xr:uid="{E6D07D22-55D7-467A-8624-434D42C61B17}"/>
    <cellStyle name="Comma 4 4 2 3 2 3" xfId="11409" xr:uid="{D68A1C01-5112-4E62-A04A-EAE163992EE4}"/>
    <cellStyle name="Comma 4 4 2 3 3" xfId="5040" xr:uid="{00000000-0005-0000-0000-0000E9090000}"/>
    <cellStyle name="Comma 4 4 2 3 3 2" xfId="13482" xr:uid="{436D3044-ED1F-4F79-BDC5-46615BD1632D}"/>
    <cellStyle name="Comma 4 4 2 3 4" xfId="9264" xr:uid="{DA5E1A90-E6CB-4408-AFDE-2B06822E0BCB}"/>
    <cellStyle name="Comma 4 4 2 4" xfId="1144" xr:uid="{00000000-0005-0000-0000-0000EA090000}"/>
    <cellStyle name="Comma 4 4 2 4 2" xfId="3375" xr:uid="{00000000-0005-0000-0000-0000EB090000}"/>
    <cellStyle name="Comma 4 4 2 4 2 2" xfId="7598" xr:uid="{00000000-0005-0000-0000-0000EC090000}"/>
    <cellStyle name="Comma 4 4 2 4 2 2 2" xfId="16040" xr:uid="{1EB6592B-0751-4C5F-9496-CF39C23F668B}"/>
    <cellStyle name="Comma 4 4 2 4 2 3" xfId="11822" xr:uid="{282419BC-C973-4F87-BCF3-02B018874F10}"/>
    <cellStyle name="Comma 4 4 2 4 3" xfId="5453" xr:uid="{00000000-0005-0000-0000-0000ED090000}"/>
    <cellStyle name="Comma 4 4 2 4 3 2" xfId="13895" xr:uid="{A9364C50-6DD4-4AD7-837A-550CFBDDAFF0}"/>
    <cellStyle name="Comma 4 4 2 4 4" xfId="9677" xr:uid="{FC09F2FB-CAD5-45A8-BD81-1CE16A926C30}"/>
    <cellStyle name="Comma 4 4 2 5" xfId="1558" xr:uid="{00000000-0005-0000-0000-0000EE090000}"/>
    <cellStyle name="Comma 4 4 2 5 2" xfId="3788" xr:uid="{00000000-0005-0000-0000-0000EF090000}"/>
    <cellStyle name="Comma 4 4 2 5 2 2" xfId="8011" xr:uid="{00000000-0005-0000-0000-0000F0090000}"/>
    <cellStyle name="Comma 4 4 2 5 2 2 2" xfId="16453" xr:uid="{5D8E057E-97E6-4843-AE7E-BEB83315CEFC}"/>
    <cellStyle name="Comma 4 4 2 5 2 3" xfId="12235" xr:uid="{9004F42D-7384-4F6A-9C58-31226D096D98}"/>
    <cellStyle name="Comma 4 4 2 5 3" xfId="5866" xr:uid="{00000000-0005-0000-0000-0000F1090000}"/>
    <cellStyle name="Comma 4 4 2 5 3 2" xfId="14308" xr:uid="{DD4A4E8D-D634-4117-8E28-09E42C318FEC}"/>
    <cellStyle name="Comma 4 4 2 5 4" xfId="10090" xr:uid="{7EC7FC53-CDC5-42E3-B0ED-B590695B12B6}"/>
    <cellStyle name="Comma 4 4 2 6" xfId="1972" xr:uid="{00000000-0005-0000-0000-0000F2090000}"/>
    <cellStyle name="Comma 4 4 2 6 2" xfId="4201" xr:uid="{00000000-0005-0000-0000-0000F3090000}"/>
    <cellStyle name="Comma 4 4 2 6 2 2" xfId="8424" xr:uid="{00000000-0005-0000-0000-0000F4090000}"/>
    <cellStyle name="Comma 4 4 2 6 2 2 2" xfId="16866" xr:uid="{CF16FCF8-3080-484B-8F2E-D3D84BAE5520}"/>
    <cellStyle name="Comma 4 4 2 6 2 3" xfId="12648" xr:uid="{5AD869F9-C6EC-4AAE-BD22-1112EB6EF939}"/>
    <cellStyle name="Comma 4 4 2 6 3" xfId="6279" xr:uid="{00000000-0005-0000-0000-0000F5090000}"/>
    <cellStyle name="Comma 4 4 2 6 3 2" xfId="14721" xr:uid="{85F9AA32-7C58-46C6-A5FD-5868588CD225}"/>
    <cellStyle name="Comma 4 4 2 6 4" xfId="10503" xr:uid="{68AA86D7-049A-40D9-B421-9BC19F1A19D9}"/>
    <cellStyle name="Comma 4 4 2 7" xfId="2407" xr:uid="{00000000-0005-0000-0000-0000F6090000}"/>
    <cellStyle name="Comma 4 4 2 7 2" xfId="6692" xr:uid="{00000000-0005-0000-0000-0000F7090000}"/>
    <cellStyle name="Comma 4 4 2 7 2 2" xfId="15134" xr:uid="{E5E78A4E-EC5A-45BA-88BD-FB98B184FEB8}"/>
    <cellStyle name="Comma 4 4 2 7 3" xfId="10916" xr:uid="{ADC676C3-BC86-4696-93A6-0007DC2F1782}"/>
    <cellStyle name="Comma 4 4 2 8" xfId="2703" xr:uid="{00000000-0005-0000-0000-0000F8090000}"/>
    <cellStyle name="Comma 4 4 2 9" xfId="2785" xr:uid="{00000000-0005-0000-0000-0000F9090000}"/>
    <cellStyle name="Comma 4 4 2 9 2" xfId="7009" xr:uid="{00000000-0005-0000-0000-0000FA090000}"/>
    <cellStyle name="Comma 4 4 2 9 2 2" xfId="15451" xr:uid="{481D36BB-A2B7-4FF8-BD73-5C923E24699E}"/>
    <cellStyle name="Comma 4 4 2 9 3" xfId="11233" xr:uid="{5F184999-CC18-41E7-BFC0-63E7990C442F}"/>
    <cellStyle name="Comma 4 4 3" xfId="156" xr:uid="{00000000-0005-0000-0000-0000FB090000}"/>
    <cellStyle name="Comma 4 4 3 10" xfId="8852" xr:uid="{C5776476-73AF-412D-AC81-8074FAEE09AB}"/>
    <cellStyle name="Comma 4 4 3 2" xfId="693" xr:uid="{00000000-0005-0000-0000-0000FC090000}"/>
    <cellStyle name="Comma 4 4 3 2 2" xfId="2964" xr:uid="{00000000-0005-0000-0000-0000FD090000}"/>
    <cellStyle name="Comma 4 4 3 2 2 2" xfId="7187" xr:uid="{00000000-0005-0000-0000-0000FE090000}"/>
    <cellStyle name="Comma 4 4 3 2 2 2 2" xfId="15629" xr:uid="{C93ADCF1-2E86-4818-93D3-E066157E2760}"/>
    <cellStyle name="Comma 4 4 3 2 2 3" xfId="11411" xr:uid="{2B23EE30-C402-4893-9437-DD1D57B41A62}"/>
    <cellStyle name="Comma 4 4 3 2 3" xfId="5042" xr:uid="{00000000-0005-0000-0000-0000FF090000}"/>
    <cellStyle name="Comma 4 4 3 2 3 2" xfId="13484" xr:uid="{A7EA52D0-D62E-40F6-A811-4DB35CDCCE0E}"/>
    <cellStyle name="Comma 4 4 3 2 4" xfId="9266" xr:uid="{CE40D10B-AEC2-4A28-8873-38002E08C02A}"/>
    <cellStyle name="Comma 4 4 3 3" xfId="1146" xr:uid="{00000000-0005-0000-0000-0000000A0000}"/>
    <cellStyle name="Comma 4 4 3 3 2" xfId="3377" xr:uid="{00000000-0005-0000-0000-0000010A0000}"/>
    <cellStyle name="Comma 4 4 3 3 2 2" xfId="7600" xr:uid="{00000000-0005-0000-0000-0000020A0000}"/>
    <cellStyle name="Comma 4 4 3 3 2 2 2" xfId="16042" xr:uid="{89273A45-1029-4645-822E-3E960E1EA0E1}"/>
    <cellStyle name="Comma 4 4 3 3 2 3" xfId="11824" xr:uid="{9C924CF9-1A36-43F1-B313-108D30D0F785}"/>
    <cellStyle name="Comma 4 4 3 3 3" xfId="5455" xr:uid="{00000000-0005-0000-0000-0000030A0000}"/>
    <cellStyle name="Comma 4 4 3 3 3 2" xfId="13897" xr:uid="{81102727-7D5E-4756-A896-C27845AAC24A}"/>
    <cellStyle name="Comma 4 4 3 3 4" xfId="9679" xr:uid="{D6C2FC04-B3F2-40A0-AA48-98E1D20BA69E}"/>
    <cellStyle name="Comma 4 4 3 4" xfId="1560" xr:uid="{00000000-0005-0000-0000-0000040A0000}"/>
    <cellStyle name="Comma 4 4 3 4 2" xfId="3790" xr:uid="{00000000-0005-0000-0000-0000050A0000}"/>
    <cellStyle name="Comma 4 4 3 4 2 2" xfId="8013" xr:uid="{00000000-0005-0000-0000-0000060A0000}"/>
    <cellStyle name="Comma 4 4 3 4 2 2 2" xfId="16455" xr:uid="{AA2D8D9D-276F-4AE7-8D49-C64DF959F7A8}"/>
    <cellStyle name="Comma 4 4 3 4 2 3" xfId="12237" xr:uid="{99814E0E-8FCA-4DAD-B145-E2B75FBF6BAA}"/>
    <cellStyle name="Comma 4 4 3 4 3" xfId="5868" xr:uid="{00000000-0005-0000-0000-0000070A0000}"/>
    <cellStyle name="Comma 4 4 3 4 3 2" xfId="14310" xr:uid="{1500C96D-268C-4EAD-A66F-31E8F7E6DF86}"/>
    <cellStyle name="Comma 4 4 3 4 4" xfId="10092" xr:uid="{07CA0021-CD18-4422-B7AF-8AC30A7A725F}"/>
    <cellStyle name="Comma 4 4 3 5" xfId="1974" xr:uid="{00000000-0005-0000-0000-0000080A0000}"/>
    <cellStyle name="Comma 4 4 3 5 2" xfId="4203" xr:uid="{00000000-0005-0000-0000-0000090A0000}"/>
    <cellStyle name="Comma 4 4 3 5 2 2" xfId="8426" xr:uid="{00000000-0005-0000-0000-00000A0A0000}"/>
    <cellStyle name="Comma 4 4 3 5 2 2 2" xfId="16868" xr:uid="{DD7CC340-32B3-446C-B34A-D756A4716BA7}"/>
    <cellStyle name="Comma 4 4 3 5 2 3" xfId="12650" xr:uid="{7F8EE3EC-A5D6-46C4-B467-45D03B430231}"/>
    <cellStyle name="Comma 4 4 3 5 3" xfId="6281" xr:uid="{00000000-0005-0000-0000-00000B0A0000}"/>
    <cellStyle name="Comma 4 4 3 5 3 2" xfId="14723" xr:uid="{4EFAA8EE-A2D5-44A4-8E90-BAC658B405AD}"/>
    <cellStyle name="Comma 4 4 3 5 4" xfId="10505" xr:uid="{77F04697-FD16-4172-8BA3-13EBFBB04CD3}"/>
    <cellStyle name="Comma 4 4 3 6" xfId="2409" xr:uid="{00000000-0005-0000-0000-00000C0A0000}"/>
    <cellStyle name="Comma 4 4 3 6 2" xfId="6694" xr:uid="{00000000-0005-0000-0000-00000D0A0000}"/>
    <cellStyle name="Comma 4 4 3 6 2 2" xfId="15136" xr:uid="{73B9B0EC-023F-4634-A55F-44DD4C3FAD92}"/>
    <cellStyle name="Comma 4 4 3 6 3" xfId="10918" xr:uid="{A24D2B4E-76FF-4ACD-AE59-9258B78DF1C2}"/>
    <cellStyle name="Comma 4 4 3 7" xfId="2705" xr:uid="{00000000-0005-0000-0000-00000E0A0000}"/>
    <cellStyle name="Comma 4 4 3 8" xfId="2787" xr:uid="{00000000-0005-0000-0000-00000F0A0000}"/>
    <cellStyle name="Comma 4 4 3 8 2" xfId="7011" xr:uid="{00000000-0005-0000-0000-0000100A0000}"/>
    <cellStyle name="Comma 4 4 3 8 2 2" xfId="15453" xr:uid="{CD0EFB5A-3F34-4129-8100-DA6004990432}"/>
    <cellStyle name="Comma 4 4 3 8 3" xfId="11235" xr:uid="{59EE5718-F899-4AFE-AB4E-D63A5D1060C7}"/>
    <cellStyle name="Comma 4 4 3 9" xfId="4628" xr:uid="{00000000-0005-0000-0000-0000110A0000}"/>
    <cellStyle name="Comma 4 4 3 9 2" xfId="13070" xr:uid="{CC1B75E1-EA1D-4747-AF50-9B4914FEECB2}"/>
    <cellStyle name="Comma 4 4 4" xfId="690" xr:uid="{00000000-0005-0000-0000-0000120A0000}"/>
    <cellStyle name="Comma 4 4 4 2" xfId="2961" xr:uid="{00000000-0005-0000-0000-0000130A0000}"/>
    <cellStyle name="Comma 4 4 4 2 2" xfId="7184" xr:uid="{00000000-0005-0000-0000-0000140A0000}"/>
    <cellStyle name="Comma 4 4 4 2 2 2" xfId="15626" xr:uid="{438B8527-2326-4D6D-BA00-65B85C0D861C}"/>
    <cellStyle name="Comma 4 4 4 2 3" xfId="11408" xr:uid="{92BD0133-0732-4470-BEF8-EB6F50C2CF48}"/>
    <cellStyle name="Comma 4 4 4 3" xfId="5039" xr:uid="{00000000-0005-0000-0000-0000150A0000}"/>
    <cellStyle name="Comma 4 4 4 3 2" xfId="13481" xr:uid="{B44A6629-BF89-4D8E-9DF5-7053B5866125}"/>
    <cellStyle name="Comma 4 4 4 4" xfId="9263" xr:uid="{A8037F6A-5369-42D1-9805-C615389DF37F}"/>
    <cellStyle name="Comma 4 4 5" xfId="1143" xr:uid="{00000000-0005-0000-0000-0000160A0000}"/>
    <cellStyle name="Comma 4 4 5 2" xfId="3374" xr:uid="{00000000-0005-0000-0000-0000170A0000}"/>
    <cellStyle name="Comma 4 4 5 2 2" xfId="7597" xr:uid="{00000000-0005-0000-0000-0000180A0000}"/>
    <cellStyle name="Comma 4 4 5 2 2 2" xfId="16039" xr:uid="{A9B39F3B-5307-49A2-9E81-B2EE3D55048C}"/>
    <cellStyle name="Comma 4 4 5 2 3" xfId="11821" xr:uid="{23E71769-777B-4FC4-B3EA-A01D88BD3182}"/>
    <cellStyle name="Comma 4 4 5 3" xfId="5452" xr:uid="{00000000-0005-0000-0000-0000190A0000}"/>
    <cellStyle name="Comma 4 4 5 3 2" xfId="13894" xr:uid="{801F570D-2481-4D76-9107-F8B6D6B9336E}"/>
    <cellStyle name="Comma 4 4 5 4" xfId="9676" xr:uid="{59DC4BA7-A7BD-4DA1-92D4-2E815A1E5BD7}"/>
    <cellStyle name="Comma 4 4 6" xfId="1557" xr:uid="{00000000-0005-0000-0000-00001A0A0000}"/>
    <cellStyle name="Comma 4 4 6 2" xfId="3787" xr:uid="{00000000-0005-0000-0000-00001B0A0000}"/>
    <cellStyle name="Comma 4 4 6 2 2" xfId="8010" xr:uid="{00000000-0005-0000-0000-00001C0A0000}"/>
    <cellStyle name="Comma 4 4 6 2 2 2" xfId="16452" xr:uid="{1CBA2232-14A0-4F36-B334-B4380900D347}"/>
    <cellStyle name="Comma 4 4 6 2 3" xfId="12234" xr:uid="{D299AAE4-53A5-45D3-9865-60A1A28861BC}"/>
    <cellStyle name="Comma 4 4 6 3" xfId="5865" xr:uid="{00000000-0005-0000-0000-00001D0A0000}"/>
    <cellStyle name="Comma 4 4 6 3 2" xfId="14307" xr:uid="{5B8CA6C3-C31F-4F03-BD38-3B201759E3E2}"/>
    <cellStyle name="Comma 4 4 6 4" xfId="10089" xr:uid="{8C3E269D-31C8-4159-ABDF-13FC1D92D02E}"/>
    <cellStyle name="Comma 4 4 7" xfId="1971" xr:uid="{00000000-0005-0000-0000-00001E0A0000}"/>
    <cellStyle name="Comma 4 4 7 2" xfId="4200" xr:uid="{00000000-0005-0000-0000-00001F0A0000}"/>
    <cellStyle name="Comma 4 4 7 2 2" xfId="8423" xr:uid="{00000000-0005-0000-0000-0000200A0000}"/>
    <cellStyle name="Comma 4 4 7 2 2 2" xfId="16865" xr:uid="{B55CF449-DD52-475F-B297-0183E164C6E8}"/>
    <cellStyle name="Comma 4 4 7 2 3" xfId="12647" xr:uid="{57B389EC-ED70-40C4-93C2-2DEBD0609F00}"/>
    <cellStyle name="Comma 4 4 7 3" xfId="6278" xr:uid="{00000000-0005-0000-0000-0000210A0000}"/>
    <cellStyle name="Comma 4 4 7 3 2" xfId="14720" xr:uid="{C3F7FD87-6159-4162-83F0-7A1F3AD1AA1D}"/>
    <cellStyle name="Comma 4 4 7 4" xfId="10502" xr:uid="{961B7DA9-0970-490D-9A2E-177E453E7C26}"/>
    <cellStyle name="Comma 4 4 8" xfId="2406" xr:uid="{00000000-0005-0000-0000-0000220A0000}"/>
    <cellStyle name="Comma 4 4 8 2" xfId="6691" xr:uid="{00000000-0005-0000-0000-0000230A0000}"/>
    <cellStyle name="Comma 4 4 8 2 2" xfId="15133" xr:uid="{4EEF49FC-A341-4E4A-A592-E18E0AEE8E24}"/>
    <cellStyle name="Comma 4 4 8 3" xfId="10915" xr:uid="{B6534764-A435-4C10-976B-8F1F7EE7137C}"/>
    <cellStyle name="Comma 4 4 9" xfId="2702" xr:uid="{00000000-0005-0000-0000-0000240A0000}"/>
    <cellStyle name="Comma 4 5" xfId="157" xr:uid="{00000000-0005-0000-0000-0000250A0000}"/>
    <cellStyle name="Comma 4 5 10" xfId="4629" xr:uid="{00000000-0005-0000-0000-0000260A0000}"/>
    <cellStyle name="Comma 4 5 10 2" xfId="13071" xr:uid="{D6C53778-EA8E-4DE6-8E06-98675BE578C4}"/>
    <cellStyle name="Comma 4 5 11" xfId="8853" xr:uid="{9F14A9C3-B5B8-4962-87E8-5DF81EBCE47D}"/>
    <cellStyle name="Comma 4 5 2" xfId="158" xr:uid="{00000000-0005-0000-0000-0000270A0000}"/>
    <cellStyle name="Comma 4 5 2 10" xfId="8854" xr:uid="{4C622C04-7A46-40C9-90FD-FE66B20F29B8}"/>
    <cellStyle name="Comma 4 5 2 2" xfId="695" xr:uid="{00000000-0005-0000-0000-0000280A0000}"/>
    <cellStyle name="Comma 4 5 2 2 2" xfId="2966" xr:uid="{00000000-0005-0000-0000-0000290A0000}"/>
    <cellStyle name="Comma 4 5 2 2 2 2" xfId="7189" xr:uid="{00000000-0005-0000-0000-00002A0A0000}"/>
    <cellStyle name="Comma 4 5 2 2 2 2 2" xfId="15631" xr:uid="{3BE69100-B709-4ED3-A8BF-798DD531975B}"/>
    <cellStyle name="Comma 4 5 2 2 2 3" xfId="11413" xr:uid="{E10A400B-A2A7-4A18-912C-66565E64B8FD}"/>
    <cellStyle name="Comma 4 5 2 2 3" xfId="5044" xr:uid="{00000000-0005-0000-0000-00002B0A0000}"/>
    <cellStyle name="Comma 4 5 2 2 3 2" xfId="13486" xr:uid="{49F5860B-8357-485E-A2F7-6038B4500510}"/>
    <cellStyle name="Comma 4 5 2 2 4" xfId="9268" xr:uid="{5B6C9299-08F2-4A80-854E-C0FF7E90297C}"/>
    <cellStyle name="Comma 4 5 2 3" xfId="1148" xr:uid="{00000000-0005-0000-0000-00002C0A0000}"/>
    <cellStyle name="Comma 4 5 2 3 2" xfId="3379" xr:uid="{00000000-0005-0000-0000-00002D0A0000}"/>
    <cellStyle name="Comma 4 5 2 3 2 2" xfId="7602" xr:uid="{00000000-0005-0000-0000-00002E0A0000}"/>
    <cellStyle name="Comma 4 5 2 3 2 2 2" xfId="16044" xr:uid="{18D17F07-09E4-4A4C-8739-6163BBA6615D}"/>
    <cellStyle name="Comma 4 5 2 3 2 3" xfId="11826" xr:uid="{1FAA87BC-A1ED-49ED-BFB7-FF4F7B9D9596}"/>
    <cellStyle name="Comma 4 5 2 3 3" xfId="5457" xr:uid="{00000000-0005-0000-0000-00002F0A0000}"/>
    <cellStyle name="Comma 4 5 2 3 3 2" xfId="13899" xr:uid="{0837DA52-3C22-404F-8FC4-21B541E60553}"/>
    <cellStyle name="Comma 4 5 2 3 4" xfId="9681" xr:uid="{00D598BF-8BA1-4C7F-B0E4-BA3B685F729D}"/>
    <cellStyle name="Comma 4 5 2 4" xfId="1562" xr:uid="{00000000-0005-0000-0000-0000300A0000}"/>
    <cellStyle name="Comma 4 5 2 4 2" xfId="3792" xr:uid="{00000000-0005-0000-0000-0000310A0000}"/>
    <cellStyle name="Comma 4 5 2 4 2 2" xfId="8015" xr:uid="{00000000-0005-0000-0000-0000320A0000}"/>
    <cellStyle name="Comma 4 5 2 4 2 2 2" xfId="16457" xr:uid="{A0E5B78B-7D6F-4983-B235-D4790F35BFF1}"/>
    <cellStyle name="Comma 4 5 2 4 2 3" xfId="12239" xr:uid="{01C37F03-010D-440C-A766-E2B6524726E3}"/>
    <cellStyle name="Comma 4 5 2 4 3" xfId="5870" xr:uid="{00000000-0005-0000-0000-0000330A0000}"/>
    <cellStyle name="Comma 4 5 2 4 3 2" xfId="14312" xr:uid="{90E1381E-5B91-464E-BD4C-5A3A00D371E4}"/>
    <cellStyle name="Comma 4 5 2 4 4" xfId="10094" xr:uid="{B9CEA07F-EDBA-4347-B84A-1C9065176E49}"/>
    <cellStyle name="Comma 4 5 2 5" xfId="1976" xr:uid="{00000000-0005-0000-0000-0000340A0000}"/>
    <cellStyle name="Comma 4 5 2 5 2" xfId="4205" xr:uid="{00000000-0005-0000-0000-0000350A0000}"/>
    <cellStyle name="Comma 4 5 2 5 2 2" xfId="8428" xr:uid="{00000000-0005-0000-0000-0000360A0000}"/>
    <cellStyle name="Comma 4 5 2 5 2 2 2" xfId="16870" xr:uid="{F3BF57CE-0802-4FEC-9180-D4FBAC7BFF3D}"/>
    <cellStyle name="Comma 4 5 2 5 2 3" xfId="12652" xr:uid="{C0AE2502-9629-4056-BF14-816123CB277C}"/>
    <cellStyle name="Comma 4 5 2 5 3" xfId="6283" xr:uid="{00000000-0005-0000-0000-0000370A0000}"/>
    <cellStyle name="Comma 4 5 2 5 3 2" xfId="14725" xr:uid="{E1D66EBB-0FF7-4B49-B477-6D4FE00FE231}"/>
    <cellStyle name="Comma 4 5 2 5 4" xfId="10507" xr:uid="{B65C4051-5108-4CF7-9A8C-24DDC01BF53A}"/>
    <cellStyle name="Comma 4 5 2 6" xfId="2411" xr:uid="{00000000-0005-0000-0000-0000380A0000}"/>
    <cellStyle name="Comma 4 5 2 6 2" xfId="6696" xr:uid="{00000000-0005-0000-0000-0000390A0000}"/>
    <cellStyle name="Comma 4 5 2 6 2 2" xfId="15138" xr:uid="{613666EF-336B-43A7-B943-203DD3667D24}"/>
    <cellStyle name="Comma 4 5 2 6 3" xfId="10920" xr:uid="{40AF4B62-8491-4A4C-8EB9-7E904B9A1108}"/>
    <cellStyle name="Comma 4 5 2 7" xfId="2707" xr:uid="{00000000-0005-0000-0000-00003A0A0000}"/>
    <cellStyle name="Comma 4 5 2 8" xfId="2789" xr:uid="{00000000-0005-0000-0000-00003B0A0000}"/>
    <cellStyle name="Comma 4 5 2 8 2" xfId="7013" xr:uid="{00000000-0005-0000-0000-00003C0A0000}"/>
    <cellStyle name="Comma 4 5 2 8 2 2" xfId="15455" xr:uid="{F551C267-009D-4B14-83B1-F8BA8D8DA3C2}"/>
    <cellStyle name="Comma 4 5 2 8 3" xfId="11237" xr:uid="{2A065FBF-FB9F-491A-83A2-B3DF6426C8F6}"/>
    <cellStyle name="Comma 4 5 2 9" xfId="4630" xr:uid="{00000000-0005-0000-0000-00003D0A0000}"/>
    <cellStyle name="Comma 4 5 2 9 2" xfId="13072" xr:uid="{BEDF3250-EE7F-4D89-9D40-C1C403C04B0B}"/>
    <cellStyle name="Comma 4 5 3" xfId="694" xr:uid="{00000000-0005-0000-0000-00003E0A0000}"/>
    <cellStyle name="Comma 4 5 3 2" xfId="2965" xr:uid="{00000000-0005-0000-0000-00003F0A0000}"/>
    <cellStyle name="Comma 4 5 3 2 2" xfId="7188" xr:uid="{00000000-0005-0000-0000-0000400A0000}"/>
    <cellStyle name="Comma 4 5 3 2 2 2" xfId="15630" xr:uid="{7AEA5D9F-07A7-4C33-BF1E-2CB4972AFD1D}"/>
    <cellStyle name="Comma 4 5 3 2 3" xfId="11412" xr:uid="{A823B218-2FDE-457A-87BB-6D3A7C12786A}"/>
    <cellStyle name="Comma 4 5 3 3" xfId="5043" xr:uid="{00000000-0005-0000-0000-0000410A0000}"/>
    <cellStyle name="Comma 4 5 3 3 2" xfId="13485" xr:uid="{2E140002-503F-4B2F-A408-D18BD94937B1}"/>
    <cellStyle name="Comma 4 5 3 4" xfId="9267" xr:uid="{8F097B55-E437-42F4-8422-1F0C5637093A}"/>
    <cellStyle name="Comma 4 5 4" xfId="1147" xr:uid="{00000000-0005-0000-0000-0000420A0000}"/>
    <cellStyle name="Comma 4 5 4 2" xfId="3378" xr:uid="{00000000-0005-0000-0000-0000430A0000}"/>
    <cellStyle name="Comma 4 5 4 2 2" xfId="7601" xr:uid="{00000000-0005-0000-0000-0000440A0000}"/>
    <cellStyle name="Comma 4 5 4 2 2 2" xfId="16043" xr:uid="{7AF65D7E-683F-4FE9-A7CC-DA9BEFD9B1F8}"/>
    <cellStyle name="Comma 4 5 4 2 3" xfId="11825" xr:uid="{9505783D-9973-4A77-ADCC-20A88D50C19E}"/>
    <cellStyle name="Comma 4 5 4 3" xfId="5456" xr:uid="{00000000-0005-0000-0000-0000450A0000}"/>
    <cellStyle name="Comma 4 5 4 3 2" xfId="13898" xr:uid="{D588128F-9095-4F9D-A9D6-00692FDE1217}"/>
    <cellStyle name="Comma 4 5 4 4" xfId="9680" xr:uid="{90B54E5D-E274-46A0-B7E8-C3BDEE611642}"/>
    <cellStyle name="Comma 4 5 5" xfId="1561" xr:uid="{00000000-0005-0000-0000-0000460A0000}"/>
    <cellStyle name="Comma 4 5 5 2" xfId="3791" xr:uid="{00000000-0005-0000-0000-0000470A0000}"/>
    <cellStyle name="Comma 4 5 5 2 2" xfId="8014" xr:uid="{00000000-0005-0000-0000-0000480A0000}"/>
    <cellStyle name="Comma 4 5 5 2 2 2" xfId="16456" xr:uid="{C888AB62-B66D-4FE8-80AE-708317051B8A}"/>
    <cellStyle name="Comma 4 5 5 2 3" xfId="12238" xr:uid="{1346F019-82B6-4F26-9FDD-BD70E54F106C}"/>
    <cellStyle name="Comma 4 5 5 3" xfId="5869" xr:uid="{00000000-0005-0000-0000-0000490A0000}"/>
    <cellStyle name="Comma 4 5 5 3 2" xfId="14311" xr:uid="{5F1B313B-C3EC-4ECA-810E-7E1D2AECB593}"/>
    <cellStyle name="Comma 4 5 5 4" xfId="10093" xr:uid="{03777E94-9917-45E3-AC08-37EA6B089840}"/>
    <cellStyle name="Comma 4 5 6" xfId="1975" xr:uid="{00000000-0005-0000-0000-00004A0A0000}"/>
    <cellStyle name="Comma 4 5 6 2" xfId="4204" xr:uid="{00000000-0005-0000-0000-00004B0A0000}"/>
    <cellStyle name="Comma 4 5 6 2 2" xfId="8427" xr:uid="{00000000-0005-0000-0000-00004C0A0000}"/>
    <cellStyle name="Comma 4 5 6 2 2 2" xfId="16869" xr:uid="{7DB1EDB1-061D-4CED-B570-B499C77822DC}"/>
    <cellStyle name="Comma 4 5 6 2 3" xfId="12651" xr:uid="{4583B19E-7ACB-4344-8C6E-3DE0FE3267ED}"/>
    <cellStyle name="Comma 4 5 6 3" xfId="6282" xr:uid="{00000000-0005-0000-0000-00004D0A0000}"/>
    <cellStyle name="Comma 4 5 6 3 2" xfId="14724" xr:uid="{CA0C6B81-B2C5-40E1-87B1-53FE09DEF229}"/>
    <cellStyle name="Comma 4 5 6 4" xfId="10506" xr:uid="{3A3C50CD-C91F-40EC-B8FE-157A58F663F1}"/>
    <cellStyle name="Comma 4 5 7" xfId="2410" xr:uid="{00000000-0005-0000-0000-00004E0A0000}"/>
    <cellStyle name="Comma 4 5 7 2" xfId="6695" xr:uid="{00000000-0005-0000-0000-00004F0A0000}"/>
    <cellStyle name="Comma 4 5 7 2 2" xfId="15137" xr:uid="{C3D7136C-D072-47BC-8647-7012E713E5BB}"/>
    <cellStyle name="Comma 4 5 7 3" xfId="10919" xr:uid="{B162FB0E-12EC-438F-9736-9F42BED78F9A}"/>
    <cellStyle name="Comma 4 5 8" xfId="2706" xr:uid="{00000000-0005-0000-0000-0000500A0000}"/>
    <cellStyle name="Comma 4 5 9" xfId="2788" xr:uid="{00000000-0005-0000-0000-0000510A0000}"/>
    <cellStyle name="Comma 4 5 9 2" xfId="7012" xr:uid="{00000000-0005-0000-0000-0000520A0000}"/>
    <cellStyle name="Comma 4 5 9 2 2" xfId="15454" xr:uid="{0D496A64-06D5-4C00-8423-D9ABE1DDC9F2}"/>
    <cellStyle name="Comma 4 5 9 3" xfId="11236" xr:uid="{47F6FA5B-0141-4F2F-84EC-BD9B9E2C3950}"/>
    <cellStyle name="Comma 4 6" xfId="159" xr:uid="{00000000-0005-0000-0000-0000530A0000}"/>
    <cellStyle name="Comma 4 6 10" xfId="8855" xr:uid="{8C0BD5CD-14F2-4E24-8849-C888FE8FD47E}"/>
    <cellStyle name="Comma 4 6 2" xfId="696" xr:uid="{00000000-0005-0000-0000-0000540A0000}"/>
    <cellStyle name="Comma 4 6 2 2" xfId="2967" xr:uid="{00000000-0005-0000-0000-0000550A0000}"/>
    <cellStyle name="Comma 4 6 2 2 2" xfId="7190" xr:uid="{00000000-0005-0000-0000-0000560A0000}"/>
    <cellStyle name="Comma 4 6 2 2 2 2" xfId="15632" xr:uid="{7D806952-D0FC-47CB-8703-1368184D3EFD}"/>
    <cellStyle name="Comma 4 6 2 2 3" xfId="11414" xr:uid="{FF57579D-CB04-43EA-8E8E-6D143635EA3E}"/>
    <cellStyle name="Comma 4 6 2 3" xfId="5045" xr:uid="{00000000-0005-0000-0000-0000570A0000}"/>
    <cellStyle name="Comma 4 6 2 3 2" xfId="13487" xr:uid="{A04B62AD-F03E-413F-A724-85BA65B8DCC5}"/>
    <cellStyle name="Comma 4 6 2 4" xfId="9269" xr:uid="{37A9C18A-5D36-4C58-A1B3-AC74C6A39C5E}"/>
    <cellStyle name="Comma 4 6 3" xfId="1149" xr:uid="{00000000-0005-0000-0000-0000580A0000}"/>
    <cellStyle name="Comma 4 6 3 2" xfId="3380" xr:uid="{00000000-0005-0000-0000-0000590A0000}"/>
    <cellStyle name="Comma 4 6 3 2 2" xfId="7603" xr:uid="{00000000-0005-0000-0000-00005A0A0000}"/>
    <cellStyle name="Comma 4 6 3 2 2 2" xfId="16045" xr:uid="{BC2945EB-010F-4174-8F62-735E3B954236}"/>
    <cellStyle name="Comma 4 6 3 2 3" xfId="11827" xr:uid="{23416AE7-EEF3-4115-A742-A175E1897316}"/>
    <cellStyle name="Comma 4 6 3 3" xfId="5458" xr:uid="{00000000-0005-0000-0000-00005B0A0000}"/>
    <cellStyle name="Comma 4 6 3 3 2" xfId="13900" xr:uid="{C5852B76-320E-48EB-AE43-E9ABFD56D85D}"/>
    <cellStyle name="Comma 4 6 3 4" xfId="9682" xr:uid="{A8F002D3-D664-46D0-8797-166D4FDFCDE3}"/>
    <cellStyle name="Comma 4 6 4" xfId="1563" xr:uid="{00000000-0005-0000-0000-00005C0A0000}"/>
    <cellStyle name="Comma 4 6 4 2" xfId="3793" xr:uid="{00000000-0005-0000-0000-00005D0A0000}"/>
    <cellStyle name="Comma 4 6 4 2 2" xfId="8016" xr:uid="{00000000-0005-0000-0000-00005E0A0000}"/>
    <cellStyle name="Comma 4 6 4 2 2 2" xfId="16458" xr:uid="{7881B176-C708-4383-8057-B394868E7FC1}"/>
    <cellStyle name="Comma 4 6 4 2 3" xfId="12240" xr:uid="{B6E24A8D-BDB2-4D13-80D5-BD0F406F3C18}"/>
    <cellStyle name="Comma 4 6 4 3" xfId="5871" xr:uid="{00000000-0005-0000-0000-00005F0A0000}"/>
    <cellStyle name="Comma 4 6 4 3 2" xfId="14313" xr:uid="{E72FF852-E2D0-4153-A4EA-60012DE2AFAA}"/>
    <cellStyle name="Comma 4 6 4 4" xfId="10095" xr:uid="{FC525A27-33F5-48A5-97E2-14136D2A32EC}"/>
    <cellStyle name="Comma 4 6 5" xfId="1977" xr:uid="{00000000-0005-0000-0000-0000600A0000}"/>
    <cellStyle name="Comma 4 6 5 2" xfId="4206" xr:uid="{00000000-0005-0000-0000-0000610A0000}"/>
    <cellStyle name="Comma 4 6 5 2 2" xfId="8429" xr:uid="{00000000-0005-0000-0000-0000620A0000}"/>
    <cellStyle name="Comma 4 6 5 2 2 2" xfId="16871" xr:uid="{6A886EC8-BA47-46C8-B579-B7FB14B4F062}"/>
    <cellStyle name="Comma 4 6 5 2 3" xfId="12653" xr:uid="{5ABD1142-1736-476F-ACA0-C72EDF17CAEC}"/>
    <cellStyle name="Comma 4 6 5 3" xfId="6284" xr:uid="{00000000-0005-0000-0000-0000630A0000}"/>
    <cellStyle name="Comma 4 6 5 3 2" xfId="14726" xr:uid="{E755E270-7DA1-4706-9C30-170C6246804F}"/>
    <cellStyle name="Comma 4 6 5 4" xfId="10508" xr:uid="{83088784-1013-4337-9991-1B6621AA1FE5}"/>
    <cellStyle name="Comma 4 6 6" xfId="2412" xr:uid="{00000000-0005-0000-0000-0000640A0000}"/>
    <cellStyle name="Comma 4 6 6 2" xfId="6697" xr:uid="{00000000-0005-0000-0000-0000650A0000}"/>
    <cellStyle name="Comma 4 6 6 2 2" xfId="15139" xr:uid="{C75960C4-C77E-47B6-AC00-B4E72F6F9A55}"/>
    <cellStyle name="Comma 4 6 6 3" xfId="10921" xr:uid="{06274493-DB18-43A4-898E-C616232F8B25}"/>
    <cellStyle name="Comma 4 6 7" xfId="2708" xr:uid="{00000000-0005-0000-0000-0000660A0000}"/>
    <cellStyle name="Comma 4 6 8" xfId="2790" xr:uid="{00000000-0005-0000-0000-0000670A0000}"/>
    <cellStyle name="Comma 4 6 8 2" xfId="7014" xr:uid="{00000000-0005-0000-0000-0000680A0000}"/>
    <cellStyle name="Comma 4 6 8 2 2" xfId="15456" xr:uid="{78EAE1DE-4451-4C98-BE2A-FB6CC173A797}"/>
    <cellStyle name="Comma 4 6 8 3" xfId="11238" xr:uid="{DF52D7AD-E803-46D2-A69C-F41E555522DF}"/>
    <cellStyle name="Comma 4 6 9" xfId="4631" xr:uid="{00000000-0005-0000-0000-0000690A0000}"/>
    <cellStyle name="Comma 4 6 9 2" xfId="13073" xr:uid="{CF304D30-5906-4CEE-A97A-5CD3C4018612}"/>
    <cellStyle name="Comma 4 7" xfId="160" xr:uid="{00000000-0005-0000-0000-00006A0A0000}"/>
    <cellStyle name="Comma 4 7 10" xfId="8856" xr:uid="{46746749-3964-4165-AB7E-D57502D61E0D}"/>
    <cellStyle name="Comma 4 7 2" xfId="697" xr:uid="{00000000-0005-0000-0000-00006B0A0000}"/>
    <cellStyle name="Comma 4 7 2 2" xfId="2968" xr:uid="{00000000-0005-0000-0000-00006C0A0000}"/>
    <cellStyle name="Comma 4 7 2 2 2" xfId="7191" xr:uid="{00000000-0005-0000-0000-00006D0A0000}"/>
    <cellStyle name="Comma 4 7 2 2 2 2" xfId="15633" xr:uid="{A8B0C46C-C2D0-49E0-9EC5-20B0AECEF7B0}"/>
    <cellStyle name="Comma 4 7 2 2 3" xfId="11415" xr:uid="{EDB2A4BD-FF25-4939-98FE-F406BC677086}"/>
    <cellStyle name="Comma 4 7 2 3" xfId="5046" xr:uid="{00000000-0005-0000-0000-00006E0A0000}"/>
    <cellStyle name="Comma 4 7 2 3 2" xfId="13488" xr:uid="{BB1ED604-C7C0-47AF-9B36-E660678D67B5}"/>
    <cellStyle name="Comma 4 7 2 4" xfId="9270" xr:uid="{1E3745A7-F7DB-43C7-B179-EF0DF06016BD}"/>
    <cellStyle name="Comma 4 7 3" xfId="1150" xr:uid="{00000000-0005-0000-0000-00006F0A0000}"/>
    <cellStyle name="Comma 4 7 3 2" xfId="3381" xr:uid="{00000000-0005-0000-0000-0000700A0000}"/>
    <cellStyle name="Comma 4 7 3 2 2" xfId="7604" xr:uid="{00000000-0005-0000-0000-0000710A0000}"/>
    <cellStyle name="Comma 4 7 3 2 2 2" xfId="16046" xr:uid="{0DCA6D9F-5E6B-4CC2-B2B3-A90F50AA67F6}"/>
    <cellStyle name="Comma 4 7 3 2 3" xfId="11828" xr:uid="{2586A66E-9609-4314-84CA-401F4893EE44}"/>
    <cellStyle name="Comma 4 7 3 3" xfId="5459" xr:uid="{00000000-0005-0000-0000-0000720A0000}"/>
    <cellStyle name="Comma 4 7 3 3 2" xfId="13901" xr:uid="{A16DB2DD-4821-496F-938A-27F19A32CD5A}"/>
    <cellStyle name="Comma 4 7 3 4" xfId="9683" xr:uid="{0F8C6F5A-7209-4915-AEE5-7C462C033783}"/>
    <cellStyle name="Comma 4 7 4" xfId="1564" xr:uid="{00000000-0005-0000-0000-0000730A0000}"/>
    <cellStyle name="Comma 4 7 4 2" xfId="3794" xr:uid="{00000000-0005-0000-0000-0000740A0000}"/>
    <cellStyle name="Comma 4 7 4 2 2" xfId="8017" xr:uid="{00000000-0005-0000-0000-0000750A0000}"/>
    <cellStyle name="Comma 4 7 4 2 2 2" xfId="16459" xr:uid="{E3EA384A-BBB6-498A-B6FB-D97F9020EF73}"/>
    <cellStyle name="Comma 4 7 4 2 3" xfId="12241" xr:uid="{3E748840-E4B5-4A4D-8C48-3ADC02A93611}"/>
    <cellStyle name="Comma 4 7 4 3" xfId="5872" xr:uid="{00000000-0005-0000-0000-0000760A0000}"/>
    <cellStyle name="Comma 4 7 4 3 2" xfId="14314" xr:uid="{24076B93-7870-4086-A2F4-B035EE3509F6}"/>
    <cellStyle name="Comma 4 7 4 4" xfId="10096" xr:uid="{4273251B-5A8F-40A3-855D-59C22B6DAF48}"/>
    <cellStyle name="Comma 4 7 5" xfId="1978" xr:uid="{00000000-0005-0000-0000-0000770A0000}"/>
    <cellStyle name="Comma 4 7 5 2" xfId="4207" xr:uid="{00000000-0005-0000-0000-0000780A0000}"/>
    <cellStyle name="Comma 4 7 5 2 2" xfId="8430" xr:uid="{00000000-0005-0000-0000-0000790A0000}"/>
    <cellStyle name="Comma 4 7 5 2 2 2" xfId="16872" xr:uid="{F54CCC5D-2853-4C86-B254-81513642DB01}"/>
    <cellStyle name="Comma 4 7 5 2 3" xfId="12654" xr:uid="{0CA13ACA-6773-4003-8CD3-FD9AD887B7A9}"/>
    <cellStyle name="Comma 4 7 5 3" xfId="6285" xr:uid="{00000000-0005-0000-0000-00007A0A0000}"/>
    <cellStyle name="Comma 4 7 5 3 2" xfId="14727" xr:uid="{E6F413A3-8948-4A9D-9329-AE712123A6C5}"/>
    <cellStyle name="Comma 4 7 5 4" xfId="10509" xr:uid="{D327E0A9-91E2-41AF-B98E-C9420D818023}"/>
    <cellStyle name="Comma 4 7 6" xfId="2413" xr:uid="{00000000-0005-0000-0000-00007B0A0000}"/>
    <cellStyle name="Comma 4 7 6 2" xfId="6698" xr:uid="{00000000-0005-0000-0000-00007C0A0000}"/>
    <cellStyle name="Comma 4 7 6 2 2" xfId="15140" xr:uid="{98A675EF-FFB6-4DA7-9037-AE82FBE2A59B}"/>
    <cellStyle name="Comma 4 7 6 3" xfId="10922" xr:uid="{D18CE89D-D239-4BAC-B0A7-8C1EAB21A786}"/>
    <cellStyle name="Comma 4 7 7" xfId="2709" xr:uid="{00000000-0005-0000-0000-00007D0A0000}"/>
    <cellStyle name="Comma 4 7 8" xfId="2791" xr:uid="{00000000-0005-0000-0000-00007E0A0000}"/>
    <cellStyle name="Comma 4 7 8 2" xfId="7015" xr:uid="{00000000-0005-0000-0000-00007F0A0000}"/>
    <cellStyle name="Comma 4 7 8 2 2" xfId="15457" xr:uid="{5C968F36-5C59-4916-B8E4-ED14386E853D}"/>
    <cellStyle name="Comma 4 7 8 3" xfId="11239" xr:uid="{C6B55D58-2D52-4A59-8B82-914F997A04C4}"/>
    <cellStyle name="Comma 4 7 9" xfId="4632" xr:uid="{00000000-0005-0000-0000-0000800A0000}"/>
    <cellStyle name="Comma 4 7 9 2" xfId="13074" xr:uid="{A73E3B6B-B00A-4C01-9DCA-21A1C7E41056}"/>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omma 7 2" xfId="12942" xr:uid="{1D41EDC6-F34E-4B83-99D4-984155AEF8C1}"/>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2 2" xfId="17159" xr:uid="{24926FE3-F0BA-47C3-9B0E-53A7A51BF3C8}"/>
    <cellStyle name="Currency 14 3" xfId="8720" xr:uid="{729B09A7-2394-4D7C-912C-1471FB3455A3}"/>
    <cellStyle name="Currency 14 3 2" xfId="8724" xr:uid="{1945FB0F-31EC-4D98-B64C-BAFBADA341A1}"/>
    <cellStyle name="Currency 14 3 2 2" xfId="8727" xr:uid="{03BA8DEE-11D2-406B-B26D-8EE163916FB0}"/>
    <cellStyle name="Currency 14 3 2 3" xfId="17165" xr:uid="{A929C32B-ECF8-4D96-8479-D89F905D1A56}"/>
    <cellStyle name="Currency 14 3 3" xfId="17162" xr:uid="{D241E7E0-587B-4DE8-880F-93DBD745A053}"/>
    <cellStyle name="Currency 14 4" xfId="12945" xr:uid="{CE6D384F-D7CE-4D36-9283-23FCDBF0E83E}"/>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0 2 2" xfId="15458" xr:uid="{956120CF-DE6B-452E-8EDC-E158E0B0A350}"/>
    <cellStyle name="Currency 3 2 2 10 3" xfId="11240" xr:uid="{B2CBDDF5-B274-4C7D-A3F6-B164A6E5E57A}"/>
    <cellStyle name="Currency 3 2 2 11" xfId="4633" xr:uid="{00000000-0005-0000-0000-0000A50A0000}"/>
    <cellStyle name="Currency 3 2 2 11 2" xfId="13075" xr:uid="{A29B7184-B5F5-4F91-93FB-F2CA47B7B617}"/>
    <cellStyle name="Currency 3 2 2 12" xfId="8857" xr:uid="{1FC99865-DB75-46F6-94A4-A88853D607AB}"/>
    <cellStyle name="Currency 3 2 2 2" xfId="179" xr:uid="{00000000-0005-0000-0000-0000A60A0000}"/>
    <cellStyle name="Currency 3 2 2 2 10" xfId="4634" xr:uid="{00000000-0005-0000-0000-0000A70A0000}"/>
    <cellStyle name="Currency 3 2 2 2 10 2" xfId="13076" xr:uid="{D2301966-68A8-43BE-92F2-6090E343259E}"/>
    <cellStyle name="Currency 3 2 2 2 11" xfId="8858" xr:uid="{CD760A28-777C-426D-AE23-7669135F3AFD}"/>
    <cellStyle name="Currency 3 2 2 2 2" xfId="180" xr:uid="{00000000-0005-0000-0000-0000A80A0000}"/>
    <cellStyle name="Currency 3 2 2 2 2 10" xfId="8859" xr:uid="{EDFE2529-2C40-4576-93CF-309CA9940513}"/>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2 2 2" xfId="15636" xr:uid="{FD9E089E-C79B-45D7-8995-0CA5086FD37A}"/>
    <cellStyle name="Currency 3 2 2 2 2 2 2 3" xfId="11418" xr:uid="{3EFC6C3F-6BA1-44EF-81F8-ABEA58ADE037}"/>
    <cellStyle name="Currency 3 2 2 2 2 2 3" xfId="5049" xr:uid="{00000000-0005-0000-0000-0000AC0A0000}"/>
    <cellStyle name="Currency 3 2 2 2 2 2 3 2" xfId="13491" xr:uid="{BC03CEA5-0021-4B0E-B7DC-D59EBB92E62D}"/>
    <cellStyle name="Currency 3 2 2 2 2 2 4" xfId="9273" xr:uid="{BDFF8461-79BC-446F-A964-76FD835D5D09}"/>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2 2 2" xfId="16049" xr:uid="{C7F844DC-9B8E-4704-84F8-7D1CDDA22F93}"/>
    <cellStyle name="Currency 3 2 2 2 2 3 2 3" xfId="11831" xr:uid="{51F0B2C4-2B22-48CE-BA25-C3A59E9AEB52}"/>
    <cellStyle name="Currency 3 2 2 2 2 3 3" xfId="5462" xr:uid="{00000000-0005-0000-0000-0000B00A0000}"/>
    <cellStyle name="Currency 3 2 2 2 2 3 3 2" xfId="13904" xr:uid="{4B57E791-0C0B-46D7-8E8A-002DA54C0008}"/>
    <cellStyle name="Currency 3 2 2 2 2 3 4" xfId="9686" xr:uid="{296D5726-9E41-4045-BF81-2739A3F74895}"/>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2 2 2" xfId="16462" xr:uid="{C2665D17-93A7-4EEA-9068-98B2438FA7BB}"/>
    <cellStyle name="Currency 3 2 2 2 2 4 2 3" xfId="12244" xr:uid="{0668C763-4B0F-4976-93C8-017B64FB7FB7}"/>
    <cellStyle name="Currency 3 2 2 2 2 4 3" xfId="5875" xr:uid="{00000000-0005-0000-0000-0000B40A0000}"/>
    <cellStyle name="Currency 3 2 2 2 2 4 3 2" xfId="14317" xr:uid="{4B35EDA5-C0DB-4177-BCCE-BC8C00D3875B}"/>
    <cellStyle name="Currency 3 2 2 2 2 4 4" xfId="10099" xr:uid="{76F86574-3724-4BA1-B960-C9908A63EAD1}"/>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2 2 2" xfId="16875" xr:uid="{51AA2440-0E9D-4E96-B603-C89DEAA1E170}"/>
    <cellStyle name="Currency 3 2 2 2 2 5 2 3" xfId="12657" xr:uid="{7F943708-B737-4928-A194-79CCE45BD936}"/>
    <cellStyle name="Currency 3 2 2 2 2 5 3" xfId="6288" xr:uid="{00000000-0005-0000-0000-0000B80A0000}"/>
    <cellStyle name="Currency 3 2 2 2 2 5 3 2" xfId="14730" xr:uid="{312C6B17-42F3-447A-965A-63C03FEEBFA3}"/>
    <cellStyle name="Currency 3 2 2 2 2 5 4" xfId="10512" xr:uid="{58359BC7-1F2A-4D8A-9542-102711209EF6}"/>
    <cellStyle name="Currency 3 2 2 2 2 6" xfId="2416" xr:uid="{00000000-0005-0000-0000-0000B90A0000}"/>
    <cellStyle name="Currency 3 2 2 2 2 6 2" xfId="6701" xr:uid="{00000000-0005-0000-0000-0000BA0A0000}"/>
    <cellStyle name="Currency 3 2 2 2 2 6 2 2" xfId="15143" xr:uid="{88290D3D-DD9A-44C4-BA63-4683B4CC307E}"/>
    <cellStyle name="Currency 3 2 2 2 2 6 3" xfId="10925" xr:uid="{A4833C20-2359-4143-A0FB-F07D19A2C93E}"/>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8 2 2" xfId="15460" xr:uid="{5EEC0AA5-CB68-443B-934D-11362A17AB4B}"/>
    <cellStyle name="Currency 3 2 2 2 2 8 3" xfId="11242" xr:uid="{6D34672E-4F46-4F9D-B960-99118A59882E}"/>
    <cellStyle name="Currency 3 2 2 2 2 9" xfId="4635" xr:uid="{00000000-0005-0000-0000-0000BE0A0000}"/>
    <cellStyle name="Currency 3 2 2 2 2 9 2" xfId="13077" xr:uid="{AEA1A55C-6C15-4176-B441-870FDFCD2C3A}"/>
    <cellStyle name="Currency 3 2 2 2 3" xfId="709" xr:uid="{00000000-0005-0000-0000-0000BF0A0000}"/>
    <cellStyle name="Currency 3 2 2 2 3 2" xfId="2970" xr:uid="{00000000-0005-0000-0000-0000C00A0000}"/>
    <cellStyle name="Currency 3 2 2 2 3 2 2" xfId="7193" xr:uid="{00000000-0005-0000-0000-0000C10A0000}"/>
    <cellStyle name="Currency 3 2 2 2 3 2 2 2" xfId="15635" xr:uid="{EA282F91-EADB-4949-9044-4F0A80260262}"/>
    <cellStyle name="Currency 3 2 2 2 3 2 3" xfId="11417" xr:uid="{AA7E3A25-4B93-4682-A7D0-B4B487A0C2BF}"/>
    <cellStyle name="Currency 3 2 2 2 3 3" xfId="5048" xr:uid="{00000000-0005-0000-0000-0000C20A0000}"/>
    <cellStyle name="Currency 3 2 2 2 3 3 2" xfId="13490" xr:uid="{38BB947D-ED5A-42E1-B576-F0D7B0E773EA}"/>
    <cellStyle name="Currency 3 2 2 2 3 4" xfId="9272" xr:uid="{618F7DAC-A582-471C-A78F-20BB74F98863}"/>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2 2 2" xfId="16048" xr:uid="{F6D2BD53-EAF9-48C1-87D0-EB81A3FECC02}"/>
    <cellStyle name="Currency 3 2 2 2 4 2 3" xfId="11830" xr:uid="{FCB6602E-E822-44BF-9E26-1B9053A577E0}"/>
    <cellStyle name="Currency 3 2 2 2 4 3" xfId="5461" xr:uid="{00000000-0005-0000-0000-0000C60A0000}"/>
    <cellStyle name="Currency 3 2 2 2 4 3 2" xfId="13903" xr:uid="{8A90B4FF-B7AF-4F70-A248-C6008986976A}"/>
    <cellStyle name="Currency 3 2 2 2 4 4" xfId="9685" xr:uid="{9BC4B8C9-CA91-47F4-A0CC-9C58A8B635F7}"/>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2 2 2" xfId="16461" xr:uid="{CF8FAD53-8316-43AF-AD0C-0210F4E8F2B1}"/>
    <cellStyle name="Currency 3 2 2 2 5 2 3" xfId="12243" xr:uid="{D4FD9969-2AB7-4F43-92FE-9D1B22C45B91}"/>
    <cellStyle name="Currency 3 2 2 2 5 3" xfId="5874" xr:uid="{00000000-0005-0000-0000-0000CA0A0000}"/>
    <cellStyle name="Currency 3 2 2 2 5 3 2" xfId="14316" xr:uid="{942DEBF9-BE05-4F23-900E-38C7901F2C3C}"/>
    <cellStyle name="Currency 3 2 2 2 5 4" xfId="10098" xr:uid="{5315D7F1-7DF9-4287-8BDB-C988C266AF2B}"/>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2 2 2" xfId="16874" xr:uid="{DA238C66-3471-4501-9A13-71719B3982C9}"/>
    <cellStyle name="Currency 3 2 2 2 6 2 3" xfId="12656" xr:uid="{5B7F45ED-3526-49B1-BBFF-0EE3E0C718E3}"/>
    <cellStyle name="Currency 3 2 2 2 6 3" xfId="6287" xr:uid="{00000000-0005-0000-0000-0000CE0A0000}"/>
    <cellStyle name="Currency 3 2 2 2 6 3 2" xfId="14729" xr:uid="{F1F3C3C7-DB6A-45D7-8D8C-86CE1086B39D}"/>
    <cellStyle name="Currency 3 2 2 2 6 4" xfId="10511" xr:uid="{F452A3B1-8A52-41D5-AFAF-21F4BC54ABDC}"/>
    <cellStyle name="Currency 3 2 2 2 7" xfId="2415" xr:uid="{00000000-0005-0000-0000-0000CF0A0000}"/>
    <cellStyle name="Currency 3 2 2 2 7 2" xfId="6700" xr:uid="{00000000-0005-0000-0000-0000D00A0000}"/>
    <cellStyle name="Currency 3 2 2 2 7 2 2" xfId="15142" xr:uid="{8414B54E-D4DF-4064-8C02-399F6EDAD53D}"/>
    <cellStyle name="Currency 3 2 2 2 7 3" xfId="10924" xr:uid="{14382428-1662-4720-B76B-9E1551646F6A}"/>
    <cellStyle name="Currency 3 2 2 2 8" xfId="2712" xr:uid="{00000000-0005-0000-0000-0000D10A0000}"/>
    <cellStyle name="Currency 3 2 2 2 9" xfId="2793" xr:uid="{00000000-0005-0000-0000-0000D20A0000}"/>
    <cellStyle name="Currency 3 2 2 2 9 2" xfId="7017" xr:uid="{00000000-0005-0000-0000-0000D30A0000}"/>
    <cellStyle name="Currency 3 2 2 2 9 2 2" xfId="15459" xr:uid="{8BDC46B1-BB70-4414-88D7-D7219CE5618C}"/>
    <cellStyle name="Currency 3 2 2 2 9 3" xfId="11241" xr:uid="{32A4DCAA-CCB6-4122-A393-79CDA8897646}"/>
    <cellStyle name="Currency 3 2 2 3" xfId="181" xr:uid="{00000000-0005-0000-0000-0000D40A0000}"/>
    <cellStyle name="Currency 3 2 2 3 10" xfId="8860" xr:uid="{A9EFB02C-EA0E-4163-AF69-57D0328C10F9}"/>
    <cellStyle name="Currency 3 2 2 3 2" xfId="711" xr:uid="{00000000-0005-0000-0000-0000D50A0000}"/>
    <cellStyle name="Currency 3 2 2 3 2 2" xfId="2972" xr:uid="{00000000-0005-0000-0000-0000D60A0000}"/>
    <cellStyle name="Currency 3 2 2 3 2 2 2" xfId="7195" xr:uid="{00000000-0005-0000-0000-0000D70A0000}"/>
    <cellStyle name="Currency 3 2 2 3 2 2 2 2" xfId="15637" xr:uid="{7CEA41C3-EAB9-489F-BA24-5C5091E028DD}"/>
    <cellStyle name="Currency 3 2 2 3 2 2 3" xfId="11419" xr:uid="{5F5D5D8A-4313-4228-8DD9-2F6CC160D825}"/>
    <cellStyle name="Currency 3 2 2 3 2 3" xfId="5050" xr:uid="{00000000-0005-0000-0000-0000D80A0000}"/>
    <cellStyle name="Currency 3 2 2 3 2 3 2" xfId="13492" xr:uid="{050951F0-B5EE-4579-8947-6808BB89CA04}"/>
    <cellStyle name="Currency 3 2 2 3 2 4" xfId="9274" xr:uid="{A30E8FF2-733F-442C-94C8-9BCD3D30B1AE}"/>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2 2 2" xfId="16050" xr:uid="{618D1973-3F7D-4F94-A49A-AF046D7E23A5}"/>
    <cellStyle name="Currency 3 2 2 3 3 2 3" xfId="11832" xr:uid="{AB9A6B47-17D8-48D8-9E2D-C690841EF982}"/>
    <cellStyle name="Currency 3 2 2 3 3 3" xfId="5463" xr:uid="{00000000-0005-0000-0000-0000DC0A0000}"/>
    <cellStyle name="Currency 3 2 2 3 3 3 2" xfId="13905" xr:uid="{D3469864-2114-4528-B5BB-64350AB0A746}"/>
    <cellStyle name="Currency 3 2 2 3 3 4" xfId="9687" xr:uid="{D4450EDC-5103-4403-AE21-86FA1A94DAD8}"/>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2 2 2" xfId="16463" xr:uid="{044F43AF-4705-4781-B81B-2536B725A210}"/>
    <cellStyle name="Currency 3 2 2 3 4 2 3" xfId="12245" xr:uid="{104A6CC6-CCA1-4C80-9A07-98E07287D2BD}"/>
    <cellStyle name="Currency 3 2 2 3 4 3" xfId="5876" xr:uid="{00000000-0005-0000-0000-0000E00A0000}"/>
    <cellStyle name="Currency 3 2 2 3 4 3 2" xfId="14318" xr:uid="{D3F2DC68-08BA-46A8-99F2-22FABA11B289}"/>
    <cellStyle name="Currency 3 2 2 3 4 4" xfId="10100" xr:uid="{6A172CC4-6874-4611-B83C-B32E8CB2D518}"/>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2 2 2" xfId="16876" xr:uid="{5E29B6C7-7977-4875-807B-5A46E72A4B0B}"/>
    <cellStyle name="Currency 3 2 2 3 5 2 3" xfId="12658" xr:uid="{CA5CB0CB-4DD2-44E8-B8E5-39F707CE50A6}"/>
    <cellStyle name="Currency 3 2 2 3 5 3" xfId="6289" xr:uid="{00000000-0005-0000-0000-0000E40A0000}"/>
    <cellStyle name="Currency 3 2 2 3 5 3 2" xfId="14731" xr:uid="{ABB005D3-9DC9-4337-922F-418A9ABD2873}"/>
    <cellStyle name="Currency 3 2 2 3 5 4" xfId="10513" xr:uid="{44491E89-3A3D-44D4-AD2F-9011C547262E}"/>
    <cellStyle name="Currency 3 2 2 3 6" xfId="2417" xr:uid="{00000000-0005-0000-0000-0000E50A0000}"/>
    <cellStyle name="Currency 3 2 2 3 6 2" xfId="6702" xr:uid="{00000000-0005-0000-0000-0000E60A0000}"/>
    <cellStyle name="Currency 3 2 2 3 6 2 2" xfId="15144" xr:uid="{3A5DE544-8514-477D-B734-F1008AF54272}"/>
    <cellStyle name="Currency 3 2 2 3 6 3" xfId="10926" xr:uid="{4E8366EB-3821-4493-9299-EE259B6656A1}"/>
    <cellStyle name="Currency 3 2 2 3 7" xfId="2714" xr:uid="{00000000-0005-0000-0000-0000E70A0000}"/>
    <cellStyle name="Currency 3 2 2 3 8" xfId="2795" xr:uid="{00000000-0005-0000-0000-0000E80A0000}"/>
    <cellStyle name="Currency 3 2 2 3 8 2" xfId="7019" xr:uid="{00000000-0005-0000-0000-0000E90A0000}"/>
    <cellStyle name="Currency 3 2 2 3 8 2 2" xfId="15461" xr:uid="{42EF242F-8822-4E60-98E7-5107D1179F7E}"/>
    <cellStyle name="Currency 3 2 2 3 8 3" xfId="11243" xr:uid="{FA50C017-BC4B-4783-B207-1E645C6D11E5}"/>
    <cellStyle name="Currency 3 2 2 3 9" xfId="4636" xr:uid="{00000000-0005-0000-0000-0000EA0A0000}"/>
    <cellStyle name="Currency 3 2 2 3 9 2" xfId="13078" xr:uid="{7C32D6D1-53F6-4A23-B8D1-83BCF3ACE286}"/>
    <cellStyle name="Currency 3 2 2 4" xfId="708" xr:uid="{00000000-0005-0000-0000-0000EB0A0000}"/>
    <cellStyle name="Currency 3 2 2 4 2" xfId="2969" xr:uid="{00000000-0005-0000-0000-0000EC0A0000}"/>
    <cellStyle name="Currency 3 2 2 4 2 2" xfId="7192" xr:uid="{00000000-0005-0000-0000-0000ED0A0000}"/>
    <cellStyle name="Currency 3 2 2 4 2 2 2" xfId="15634" xr:uid="{0BF2C004-61D4-4DC8-A9ED-AA489B32A1A8}"/>
    <cellStyle name="Currency 3 2 2 4 2 3" xfId="11416" xr:uid="{513B21A2-4FD0-4C4C-9AEC-EF6504574F45}"/>
    <cellStyle name="Currency 3 2 2 4 3" xfId="5047" xr:uid="{00000000-0005-0000-0000-0000EE0A0000}"/>
    <cellStyle name="Currency 3 2 2 4 3 2" xfId="13489" xr:uid="{937BAA09-296A-4C6F-89BC-A9DAD9BA75FF}"/>
    <cellStyle name="Currency 3 2 2 4 4" xfId="9271" xr:uid="{287AE642-CDCA-45C9-B1A0-47A880566CDD}"/>
    <cellStyle name="Currency 3 2 2 5" xfId="1151" xr:uid="{00000000-0005-0000-0000-0000EF0A0000}"/>
    <cellStyle name="Currency 3 2 2 5 2" xfId="3382" xr:uid="{00000000-0005-0000-0000-0000F00A0000}"/>
    <cellStyle name="Currency 3 2 2 5 2 2" xfId="7605" xr:uid="{00000000-0005-0000-0000-0000F10A0000}"/>
    <cellStyle name="Currency 3 2 2 5 2 2 2" xfId="16047" xr:uid="{60395682-DEAF-473E-A4B6-E95226C2A2F8}"/>
    <cellStyle name="Currency 3 2 2 5 2 3" xfId="11829" xr:uid="{5A9D222C-34F0-4A9B-BC85-4260445CDAD2}"/>
    <cellStyle name="Currency 3 2 2 5 3" xfId="5460" xr:uid="{00000000-0005-0000-0000-0000F20A0000}"/>
    <cellStyle name="Currency 3 2 2 5 3 2" xfId="13902" xr:uid="{70F53016-ADFD-4FB7-B13E-2A346832BB5F}"/>
    <cellStyle name="Currency 3 2 2 5 4" xfId="9684" xr:uid="{DF59083D-1A04-40FC-A36F-3533841F6861}"/>
    <cellStyle name="Currency 3 2 2 6" xfId="1565" xr:uid="{00000000-0005-0000-0000-0000F30A0000}"/>
    <cellStyle name="Currency 3 2 2 6 2" xfId="3795" xr:uid="{00000000-0005-0000-0000-0000F40A0000}"/>
    <cellStyle name="Currency 3 2 2 6 2 2" xfId="8018" xr:uid="{00000000-0005-0000-0000-0000F50A0000}"/>
    <cellStyle name="Currency 3 2 2 6 2 2 2" xfId="16460" xr:uid="{5EB998DC-2281-4F5D-BD01-70692030189A}"/>
    <cellStyle name="Currency 3 2 2 6 2 3" xfId="12242" xr:uid="{4A8301AB-E62E-41FC-A63A-E2FB630C49D5}"/>
    <cellStyle name="Currency 3 2 2 6 3" xfId="5873" xr:uid="{00000000-0005-0000-0000-0000F60A0000}"/>
    <cellStyle name="Currency 3 2 2 6 3 2" xfId="14315" xr:uid="{BB75B14D-F2DE-4841-996A-359788252E86}"/>
    <cellStyle name="Currency 3 2 2 6 4" xfId="10097" xr:uid="{5116579F-5636-4A8C-B5CF-D94F1D05B34F}"/>
    <cellStyle name="Currency 3 2 2 7" xfId="1979" xr:uid="{00000000-0005-0000-0000-0000F70A0000}"/>
    <cellStyle name="Currency 3 2 2 7 2" xfId="4208" xr:uid="{00000000-0005-0000-0000-0000F80A0000}"/>
    <cellStyle name="Currency 3 2 2 7 2 2" xfId="8431" xr:uid="{00000000-0005-0000-0000-0000F90A0000}"/>
    <cellStyle name="Currency 3 2 2 7 2 2 2" xfId="16873" xr:uid="{C77C32ED-9592-43F4-83E4-DBCB7550EB2B}"/>
    <cellStyle name="Currency 3 2 2 7 2 3" xfId="12655" xr:uid="{B273AE82-5E9A-48DE-B3FC-16CFCF882E49}"/>
    <cellStyle name="Currency 3 2 2 7 3" xfId="6286" xr:uid="{00000000-0005-0000-0000-0000FA0A0000}"/>
    <cellStyle name="Currency 3 2 2 7 3 2" xfId="14728" xr:uid="{DD7EBDB9-2912-4C3D-8C4D-28E72008BAA3}"/>
    <cellStyle name="Currency 3 2 2 7 4" xfId="10510" xr:uid="{608DC54F-654E-4456-8124-A100E937F507}"/>
    <cellStyle name="Currency 3 2 2 8" xfId="2414" xr:uid="{00000000-0005-0000-0000-0000FB0A0000}"/>
    <cellStyle name="Currency 3 2 2 8 2" xfId="6699" xr:uid="{00000000-0005-0000-0000-0000FC0A0000}"/>
    <cellStyle name="Currency 3 2 2 8 2 2" xfId="15141" xr:uid="{1CFD91E6-DD45-459D-B056-5F64C3EEBAAC}"/>
    <cellStyle name="Currency 3 2 2 8 3" xfId="10923" xr:uid="{3B70A650-42EB-4C1A-A28C-47F8048E3ABC}"/>
    <cellStyle name="Currency 3 2 2 9" xfId="2711" xr:uid="{00000000-0005-0000-0000-0000FD0A0000}"/>
    <cellStyle name="Currency 3 2 3" xfId="182" xr:uid="{00000000-0005-0000-0000-0000FE0A0000}"/>
    <cellStyle name="Currency 3 2 3 10" xfId="4637" xr:uid="{00000000-0005-0000-0000-0000FF0A0000}"/>
    <cellStyle name="Currency 3 2 3 10 2" xfId="13079" xr:uid="{9C468DBB-A83E-4894-B60E-9DA8C03552C5}"/>
    <cellStyle name="Currency 3 2 3 11" xfId="8861" xr:uid="{B7FF8914-6ECE-422B-9AA3-010091583A21}"/>
    <cellStyle name="Currency 3 2 3 2" xfId="183" xr:uid="{00000000-0005-0000-0000-0000000B0000}"/>
    <cellStyle name="Currency 3 2 3 2 10" xfId="8862" xr:uid="{D17CA4E7-A300-4845-80F7-3B6E2E766C14}"/>
    <cellStyle name="Currency 3 2 3 2 2" xfId="713" xr:uid="{00000000-0005-0000-0000-0000010B0000}"/>
    <cellStyle name="Currency 3 2 3 2 2 2" xfId="2974" xr:uid="{00000000-0005-0000-0000-0000020B0000}"/>
    <cellStyle name="Currency 3 2 3 2 2 2 2" xfId="7197" xr:uid="{00000000-0005-0000-0000-0000030B0000}"/>
    <cellStyle name="Currency 3 2 3 2 2 2 2 2" xfId="15639" xr:uid="{4E96DE44-3CD3-4873-8B90-4E7E7B99250C}"/>
    <cellStyle name="Currency 3 2 3 2 2 2 3" xfId="11421" xr:uid="{9472B1CD-2953-49C0-8825-444CDA0E7E04}"/>
    <cellStyle name="Currency 3 2 3 2 2 3" xfId="5052" xr:uid="{00000000-0005-0000-0000-0000040B0000}"/>
    <cellStyle name="Currency 3 2 3 2 2 3 2" xfId="13494" xr:uid="{9637A608-DD6B-43E2-AB1F-FD91FA2FFC50}"/>
    <cellStyle name="Currency 3 2 3 2 2 4" xfId="9276" xr:uid="{913F9F67-850B-4A96-AB8A-230F2DF00F9C}"/>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2 2 2" xfId="16052" xr:uid="{27B933C6-DE60-495D-95C7-12A6FB534D8E}"/>
    <cellStyle name="Currency 3 2 3 2 3 2 3" xfId="11834" xr:uid="{56F3A714-D16C-439C-806B-977A7E48A9B3}"/>
    <cellStyle name="Currency 3 2 3 2 3 3" xfId="5465" xr:uid="{00000000-0005-0000-0000-0000080B0000}"/>
    <cellStyle name="Currency 3 2 3 2 3 3 2" xfId="13907" xr:uid="{1606D962-E96D-46E1-ABB2-9DEC87205B80}"/>
    <cellStyle name="Currency 3 2 3 2 3 4" xfId="9689" xr:uid="{2485474E-2826-46F9-9C57-E8BA4BA09047}"/>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2 2 2" xfId="16465" xr:uid="{3AB51BE5-E0F7-4B28-85F3-7F9DE3338BE2}"/>
    <cellStyle name="Currency 3 2 3 2 4 2 3" xfId="12247" xr:uid="{63736CB7-B5EB-4176-A3C3-F8850FF074D9}"/>
    <cellStyle name="Currency 3 2 3 2 4 3" xfId="5878" xr:uid="{00000000-0005-0000-0000-00000C0B0000}"/>
    <cellStyle name="Currency 3 2 3 2 4 3 2" xfId="14320" xr:uid="{71FB7077-5E73-4E39-B186-D15F840A91D3}"/>
    <cellStyle name="Currency 3 2 3 2 4 4" xfId="10102" xr:uid="{58F8FADE-BBBE-41AC-AC8C-80A5AD350F87}"/>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2 2 2" xfId="16878" xr:uid="{EE32CCFD-8B72-4E57-9D45-93DFDEF584A0}"/>
    <cellStyle name="Currency 3 2 3 2 5 2 3" xfId="12660" xr:uid="{263CDD6E-F9C1-4D5E-A73D-86764E7A4F13}"/>
    <cellStyle name="Currency 3 2 3 2 5 3" xfId="6291" xr:uid="{00000000-0005-0000-0000-0000100B0000}"/>
    <cellStyle name="Currency 3 2 3 2 5 3 2" xfId="14733" xr:uid="{B72E4562-EF60-420C-92BF-75DB6CC06F27}"/>
    <cellStyle name="Currency 3 2 3 2 5 4" xfId="10515" xr:uid="{A1644203-EDA9-44CA-9D7E-3B5F55DF9FBC}"/>
    <cellStyle name="Currency 3 2 3 2 6" xfId="2419" xr:uid="{00000000-0005-0000-0000-0000110B0000}"/>
    <cellStyle name="Currency 3 2 3 2 6 2" xfId="6704" xr:uid="{00000000-0005-0000-0000-0000120B0000}"/>
    <cellStyle name="Currency 3 2 3 2 6 2 2" xfId="15146" xr:uid="{BB1671FB-8A8F-43B7-85FB-F3939F673042}"/>
    <cellStyle name="Currency 3 2 3 2 6 3" xfId="10928" xr:uid="{51C1BAE2-66ED-4436-BFB4-9AE3917ED074}"/>
    <cellStyle name="Currency 3 2 3 2 7" xfId="2716" xr:uid="{00000000-0005-0000-0000-0000130B0000}"/>
    <cellStyle name="Currency 3 2 3 2 8" xfId="2797" xr:uid="{00000000-0005-0000-0000-0000140B0000}"/>
    <cellStyle name="Currency 3 2 3 2 8 2" xfId="7021" xr:uid="{00000000-0005-0000-0000-0000150B0000}"/>
    <cellStyle name="Currency 3 2 3 2 8 2 2" xfId="15463" xr:uid="{46FA55ED-8AAE-4A5C-ACDC-AA5EC0316746}"/>
    <cellStyle name="Currency 3 2 3 2 8 3" xfId="11245" xr:uid="{F01958A6-6743-4E95-895F-B551E73C8664}"/>
    <cellStyle name="Currency 3 2 3 2 9" xfId="4638" xr:uid="{00000000-0005-0000-0000-0000160B0000}"/>
    <cellStyle name="Currency 3 2 3 2 9 2" xfId="13080" xr:uid="{0769D484-3AC1-4E69-BB7C-5F28918DECE3}"/>
    <cellStyle name="Currency 3 2 3 3" xfId="712" xr:uid="{00000000-0005-0000-0000-0000170B0000}"/>
    <cellStyle name="Currency 3 2 3 3 2" xfId="2973" xr:uid="{00000000-0005-0000-0000-0000180B0000}"/>
    <cellStyle name="Currency 3 2 3 3 2 2" xfId="7196" xr:uid="{00000000-0005-0000-0000-0000190B0000}"/>
    <cellStyle name="Currency 3 2 3 3 2 2 2" xfId="15638" xr:uid="{76F2EF31-AACE-4ED3-B3D0-2AAF63D46C83}"/>
    <cellStyle name="Currency 3 2 3 3 2 3" xfId="11420" xr:uid="{2E153D7F-7457-4CA7-9D14-9927A5FF49A2}"/>
    <cellStyle name="Currency 3 2 3 3 3" xfId="5051" xr:uid="{00000000-0005-0000-0000-00001A0B0000}"/>
    <cellStyle name="Currency 3 2 3 3 3 2" xfId="13493" xr:uid="{515123C7-3FD3-48A4-B2EE-5B8E7DDA1634}"/>
    <cellStyle name="Currency 3 2 3 3 4" xfId="9275" xr:uid="{7F4122D7-A13A-447B-A069-0A804BB94534}"/>
    <cellStyle name="Currency 3 2 3 4" xfId="1155" xr:uid="{00000000-0005-0000-0000-00001B0B0000}"/>
    <cellStyle name="Currency 3 2 3 4 2" xfId="3386" xr:uid="{00000000-0005-0000-0000-00001C0B0000}"/>
    <cellStyle name="Currency 3 2 3 4 2 2" xfId="7609" xr:uid="{00000000-0005-0000-0000-00001D0B0000}"/>
    <cellStyle name="Currency 3 2 3 4 2 2 2" xfId="16051" xr:uid="{291AA1B7-6803-4A98-B30C-79EA34C5190E}"/>
    <cellStyle name="Currency 3 2 3 4 2 3" xfId="11833" xr:uid="{2231B49B-8339-4311-9CAC-93A070229042}"/>
    <cellStyle name="Currency 3 2 3 4 3" xfId="5464" xr:uid="{00000000-0005-0000-0000-00001E0B0000}"/>
    <cellStyle name="Currency 3 2 3 4 3 2" xfId="13906" xr:uid="{99E28133-ADF2-4E5F-9E4B-5383E16B9216}"/>
    <cellStyle name="Currency 3 2 3 4 4" xfId="9688" xr:uid="{5BFCCC0D-5F2B-459B-AB3C-9E751419F0A8}"/>
    <cellStyle name="Currency 3 2 3 5" xfId="1569" xr:uid="{00000000-0005-0000-0000-00001F0B0000}"/>
    <cellStyle name="Currency 3 2 3 5 2" xfId="3799" xr:uid="{00000000-0005-0000-0000-0000200B0000}"/>
    <cellStyle name="Currency 3 2 3 5 2 2" xfId="8022" xr:uid="{00000000-0005-0000-0000-0000210B0000}"/>
    <cellStyle name="Currency 3 2 3 5 2 2 2" xfId="16464" xr:uid="{B82CADBE-56AF-4B9C-96EE-9A7522DC88CF}"/>
    <cellStyle name="Currency 3 2 3 5 2 3" xfId="12246" xr:uid="{5A59D6E9-DFBA-4A2B-BBB3-C30C4E97E770}"/>
    <cellStyle name="Currency 3 2 3 5 3" xfId="5877" xr:uid="{00000000-0005-0000-0000-0000220B0000}"/>
    <cellStyle name="Currency 3 2 3 5 3 2" xfId="14319" xr:uid="{3D75BC22-4CAB-4A3E-89C2-56718F2AC504}"/>
    <cellStyle name="Currency 3 2 3 5 4" xfId="10101" xr:uid="{024EBF46-D08D-4385-BA57-6FCEECD90BC9}"/>
    <cellStyle name="Currency 3 2 3 6" xfId="1983" xr:uid="{00000000-0005-0000-0000-0000230B0000}"/>
    <cellStyle name="Currency 3 2 3 6 2" xfId="4212" xr:uid="{00000000-0005-0000-0000-0000240B0000}"/>
    <cellStyle name="Currency 3 2 3 6 2 2" xfId="8435" xr:uid="{00000000-0005-0000-0000-0000250B0000}"/>
    <cellStyle name="Currency 3 2 3 6 2 2 2" xfId="16877" xr:uid="{FE63315D-A8DA-401F-8634-44275CF46B0A}"/>
    <cellStyle name="Currency 3 2 3 6 2 3" xfId="12659" xr:uid="{DD363B65-0628-4797-9A3F-EDC933887AC6}"/>
    <cellStyle name="Currency 3 2 3 6 3" xfId="6290" xr:uid="{00000000-0005-0000-0000-0000260B0000}"/>
    <cellStyle name="Currency 3 2 3 6 3 2" xfId="14732" xr:uid="{F9E5B1F7-3CC9-483A-AAA1-9B03497330AA}"/>
    <cellStyle name="Currency 3 2 3 6 4" xfId="10514" xr:uid="{E75B7264-BB5E-4280-B246-19882A128112}"/>
    <cellStyle name="Currency 3 2 3 7" xfId="2418" xr:uid="{00000000-0005-0000-0000-0000270B0000}"/>
    <cellStyle name="Currency 3 2 3 7 2" xfId="6703" xr:uid="{00000000-0005-0000-0000-0000280B0000}"/>
    <cellStyle name="Currency 3 2 3 7 2 2" xfId="15145" xr:uid="{4DF64AC3-48FA-4343-920B-3BAD0DB6A912}"/>
    <cellStyle name="Currency 3 2 3 7 3" xfId="10927" xr:uid="{6A376362-E6B0-460D-ADAF-3BB6D1A15DC1}"/>
    <cellStyle name="Currency 3 2 3 8" xfId="2715" xr:uid="{00000000-0005-0000-0000-0000290B0000}"/>
    <cellStyle name="Currency 3 2 3 9" xfId="2796" xr:uid="{00000000-0005-0000-0000-00002A0B0000}"/>
    <cellStyle name="Currency 3 2 3 9 2" xfId="7020" xr:uid="{00000000-0005-0000-0000-00002B0B0000}"/>
    <cellStyle name="Currency 3 2 3 9 2 2" xfId="15462" xr:uid="{9065996E-EEF8-47CC-B7A1-5E14942B2BB3}"/>
    <cellStyle name="Currency 3 2 3 9 3" xfId="11244" xr:uid="{0E93B54E-6217-4ADB-8C97-1053403D27CD}"/>
    <cellStyle name="Currency 3 2 4" xfId="184" xr:uid="{00000000-0005-0000-0000-00002C0B0000}"/>
    <cellStyle name="Currency 3 2 4 10" xfId="8863" xr:uid="{2D6A6E50-C755-43DB-8529-66184DEEB58A}"/>
    <cellStyle name="Currency 3 2 4 2" xfId="714" xr:uid="{00000000-0005-0000-0000-00002D0B0000}"/>
    <cellStyle name="Currency 3 2 4 2 2" xfId="2975" xr:uid="{00000000-0005-0000-0000-00002E0B0000}"/>
    <cellStyle name="Currency 3 2 4 2 2 2" xfId="7198" xr:uid="{00000000-0005-0000-0000-00002F0B0000}"/>
    <cellStyle name="Currency 3 2 4 2 2 2 2" xfId="15640" xr:uid="{5F59B8B7-D976-453A-AD3D-3CF18B87E23C}"/>
    <cellStyle name="Currency 3 2 4 2 2 3" xfId="11422" xr:uid="{D109010B-9C53-42BD-BC5B-9CBE801123D7}"/>
    <cellStyle name="Currency 3 2 4 2 3" xfId="5053" xr:uid="{00000000-0005-0000-0000-0000300B0000}"/>
    <cellStyle name="Currency 3 2 4 2 3 2" xfId="13495" xr:uid="{F040CAF4-AC43-4686-963F-FA1E1D1639E8}"/>
    <cellStyle name="Currency 3 2 4 2 4" xfId="9277" xr:uid="{0C7999B4-621C-4A8F-8BA3-9570EC63E70C}"/>
    <cellStyle name="Currency 3 2 4 3" xfId="1157" xr:uid="{00000000-0005-0000-0000-0000310B0000}"/>
    <cellStyle name="Currency 3 2 4 3 2" xfId="3388" xr:uid="{00000000-0005-0000-0000-0000320B0000}"/>
    <cellStyle name="Currency 3 2 4 3 2 2" xfId="7611" xr:uid="{00000000-0005-0000-0000-0000330B0000}"/>
    <cellStyle name="Currency 3 2 4 3 2 2 2" xfId="16053" xr:uid="{82B2F78F-B725-4816-AF75-DD0D0F0E731C}"/>
    <cellStyle name="Currency 3 2 4 3 2 3" xfId="11835" xr:uid="{C4FEDC25-C634-4CBB-9999-CAF1E869828F}"/>
    <cellStyle name="Currency 3 2 4 3 3" xfId="5466" xr:uid="{00000000-0005-0000-0000-0000340B0000}"/>
    <cellStyle name="Currency 3 2 4 3 3 2" xfId="13908" xr:uid="{6F05514C-7F85-40B7-99C4-D097EEC4C96D}"/>
    <cellStyle name="Currency 3 2 4 3 4" xfId="9690" xr:uid="{D4772CA7-F431-4F6C-95D6-0096151A9695}"/>
    <cellStyle name="Currency 3 2 4 4" xfId="1571" xr:uid="{00000000-0005-0000-0000-0000350B0000}"/>
    <cellStyle name="Currency 3 2 4 4 2" xfId="3801" xr:uid="{00000000-0005-0000-0000-0000360B0000}"/>
    <cellStyle name="Currency 3 2 4 4 2 2" xfId="8024" xr:uid="{00000000-0005-0000-0000-0000370B0000}"/>
    <cellStyle name="Currency 3 2 4 4 2 2 2" xfId="16466" xr:uid="{24A46363-A7D1-4182-AB22-6F4CCF63134E}"/>
    <cellStyle name="Currency 3 2 4 4 2 3" xfId="12248" xr:uid="{3E487B3B-C6A2-4C11-998B-E9A033036B48}"/>
    <cellStyle name="Currency 3 2 4 4 3" xfId="5879" xr:uid="{00000000-0005-0000-0000-0000380B0000}"/>
    <cellStyle name="Currency 3 2 4 4 3 2" xfId="14321" xr:uid="{A71CFDFD-FEB1-42C2-AC59-755ED0AE36B3}"/>
    <cellStyle name="Currency 3 2 4 4 4" xfId="10103" xr:uid="{C8B02B14-C1C3-4013-AFC4-797CD08E63DA}"/>
    <cellStyle name="Currency 3 2 4 5" xfId="1985" xr:uid="{00000000-0005-0000-0000-0000390B0000}"/>
    <cellStyle name="Currency 3 2 4 5 2" xfId="4214" xr:uid="{00000000-0005-0000-0000-00003A0B0000}"/>
    <cellStyle name="Currency 3 2 4 5 2 2" xfId="8437" xr:uid="{00000000-0005-0000-0000-00003B0B0000}"/>
    <cellStyle name="Currency 3 2 4 5 2 2 2" xfId="16879" xr:uid="{CC9D23E4-1D87-4419-8F79-0116F385DC32}"/>
    <cellStyle name="Currency 3 2 4 5 2 3" xfId="12661" xr:uid="{3E98B5F7-E54D-4339-8962-765AAFB15537}"/>
    <cellStyle name="Currency 3 2 4 5 3" xfId="6292" xr:uid="{00000000-0005-0000-0000-00003C0B0000}"/>
    <cellStyle name="Currency 3 2 4 5 3 2" xfId="14734" xr:uid="{65406CC9-57C1-4D09-8BD4-063A593F3372}"/>
    <cellStyle name="Currency 3 2 4 5 4" xfId="10516" xr:uid="{D7141F7B-94D7-4765-8A6D-477366A59792}"/>
    <cellStyle name="Currency 3 2 4 6" xfId="2420" xr:uid="{00000000-0005-0000-0000-00003D0B0000}"/>
    <cellStyle name="Currency 3 2 4 6 2" xfId="6705" xr:uid="{00000000-0005-0000-0000-00003E0B0000}"/>
    <cellStyle name="Currency 3 2 4 6 2 2" xfId="15147" xr:uid="{75362972-BEF0-4353-BF7F-2BC2010472DC}"/>
    <cellStyle name="Currency 3 2 4 6 3" xfId="10929" xr:uid="{348BC0E3-325A-4BF1-BD25-F9BC3C513372}"/>
    <cellStyle name="Currency 3 2 4 7" xfId="2717" xr:uid="{00000000-0005-0000-0000-00003F0B0000}"/>
    <cellStyle name="Currency 3 2 4 8" xfId="2798" xr:uid="{00000000-0005-0000-0000-0000400B0000}"/>
    <cellStyle name="Currency 3 2 4 8 2" xfId="7022" xr:uid="{00000000-0005-0000-0000-0000410B0000}"/>
    <cellStyle name="Currency 3 2 4 8 2 2" xfId="15464" xr:uid="{8AB5C3BD-3BDA-4C2E-802D-C5F21BF5AD4F}"/>
    <cellStyle name="Currency 3 2 4 8 3" xfId="11246" xr:uid="{58DD6B76-6F36-4037-8077-AC6CAF091342}"/>
    <cellStyle name="Currency 3 2 4 9" xfId="4639" xr:uid="{00000000-0005-0000-0000-0000420B0000}"/>
    <cellStyle name="Currency 3 2 4 9 2" xfId="13081" xr:uid="{57606FD0-A0AA-4DC1-8AA1-6DBB501864E6}"/>
    <cellStyle name="Currency 3 2 5" xfId="185" xr:uid="{00000000-0005-0000-0000-0000430B0000}"/>
    <cellStyle name="Currency 3 2 5 10" xfId="8864" xr:uid="{7FF17A46-3587-4409-88F5-F0F31AF46AE5}"/>
    <cellStyle name="Currency 3 2 5 2" xfId="715" xr:uid="{00000000-0005-0000-0000-0000440B0000}"/>
    <cellStyle name="Currency 3 2 5 2 2" xfId="2976" xr:uid="{00000000-0005-0000-0000-0000450B0000}"/>
    <cellStyle name="Currency 3 2 5 2 2 2" xfId="7199" xr:uid="{00000000-0005-0000-0000-0000460B0000}"/>
    <cellStyle name="Currency 3 2 5 2 2 2 2" xfId="15641" xr:uid="{804B820A-1C64-47B2-A506-0D93BD52C2FD}"/>
    <cellStyle name="Currency 3 2 5 2 2 3" xfId="11423" xr:uid="{D264DCEC-389C-454C-9173-87728C7A6756}"/>
    <cellStyle name="Currency 3 2 5 2 3" xfId="5054" xr:uid="{00000000-0005-0000-0000-0000470B0000}"/>
    <cellStyle name="Currency 3 2 5 2 3 2" xfId="13496" xr:uid="{61E8BB12-F39A-49F4-97DC-2508E8572BD3}"/>
    <cellStyle name="Currency 3 2 5 2 4" xfId="9278" xr:uid="{4D92523E-6D47-47F0-B1DB-62B62D8E471E}"/>
    <cellStyle name="Currency 3 2 5 3" xfId="1158" xr:uid="{00000000-0005-0000-0000-0000480B0000}"/>
    <cellStyle name="Currency 3 2 5 3 2" xfId="3389" xr:uid="{00000000-0005-0000-0000-0000490B0000}"/>
    <cellStyle name="Currency 3 2 5 3 2 2" xfId="7612" xr:uid="{00000000-0005-0000-0000-00004A0B0000}"/>
    <cellStyle name="Currency 3 2 5 3 2 2 2" xfId="16054" xr:uid="{A5DF7E5D-6837-4C8D-87C6-1CA43A241759}"/>
    <cellStyle name="Currency 3 2 5 3 2 3" xfId="11836" xr:uid="{1F3CB0D1-F0C9-4848-AC16-F84B38196A8C}"/>
    <cellStyle name="Currency 3 2 5 3 3" xfId="5467" xr:uid="{00000000-0005-0000-0000-00004B0B0000}"/>
    <cellStyle name="Currency 3 2 5 3 3 2" xfId="13909" xr:uid="{D206CE1E-FA3B-4B19-A550-062BDCB98E0F}"/>
    <cellStyle name="Currency 3 2 5 3 4" xfId="9691" xr:uid="{824B06E8-B4BF-44FA-B882-F805DF2884D8}"/>
    <cellStyle name="Currency 3 2 5 4" xfId="1572" xr:uid="{00000000-0005-0000-0000-00004C0B0000}"/>
    <cellStyle name="Currency 3 2 5 4 2" xfId="3802" xr:uid="{00000000-0005-0000-0000-00004D0B0000}"/>
    <cellStyle name="Currency 3 2 5 4 2 2" xfId="8025" xr:uid="{00000000-0005-0000-0000-00004E0B0000}"/>
    <cellStyle name="Currency 3 2 5 4 2 2 2" xfId="16467" xr:uid="{52B77557-2588-4228-8617-5A9C05CFC66C}"/>
    <cellStyle name="Currency 3 2 5 4 2 3" xfId="12249" xr:uid="{9937C6C6-AC56-4D7A-BFAA-89092118E44D}"/>
    <cellStyle name="Currency 3 2 5 4 3" xfId="5880" xr:uid="{00000000-0005-0000-0000-00004F0B0000}"/>
    <cellStyle name="Currency 3 2 5 4 3 2" xfId="14322" xr:uid="{BDFDA863-7956-43B2-BA60-938CF943EBD6}"/>
    <cellStyle name="Currency 3 2 5 4 4" xfId="10104" xr:uid="{7DC582CC-5C02-4C31-B483-3A44D4FB48AE}"/>
    <cellStyle name="Currency 3 2 5 5" xfId="1986" xr:uid="{00000000-0005-0000-0000-0000500B0000}"/>
    <cellStyle name="Currency 3 2 5 5 2" xfId="4215" xr:uid="{00000000-0005-0000-0000-0000510B0000}"/>
    <cellStyle name="Currency 3 2 5 5 2 2" xfId="8438" xr:uid="{00000000-0005-0000-0000-0000520B0000}"/>
    <cellStyle name="Currency 3 2 5 5 2 2 2" xfId="16880" xr:uid="{CBD51995-5DE8-4952-8520-A0C7D4C08E70}"/>
    <cellStyle name="Currency 3 2 5 5 2 3" xfId="12662" xr:uid="{50715BB3-B30B-46CB-9AE4-F96A2532B6EA}"/>
    <cellStyle name="Currency 3 2 5 5 3" xfId="6293" xr:uid="{00000000-0005-0000-0000-0000530B0000}"/>
    <cellStyle name="Currency 3 2 5 5 3 2" xfId="14735" xr:uid="{13D3C2C5-EB14-420A-9191-31AD1A15065B}"/>
    <cellStyle name="Currency 3 2 5 5 4" xfId="10517" xr:uid="{A59637EC-2DEC-4B0C-AB77-E619B1AB8F60}"/>
    <cellStyle name="Currency 3 2 5 6" xfId="2421" xr:uid="{00000000-0005-0000-0000-0000540B0000}"/>
    <cellStyle name="Currency 3 2 5 6 2" xfId="6706" xr:uid="{00000000-0005-0000-0000-0000550B0000}"/>
    <cellStyle name="Currency 3 2 5 6 2 2" xfId="15148" xr:uid="{C7C16873-649A-4B16-8F10-C8A0C576F06E}"/>
    <cellStyle name="Currency 3 2 5 6 3" xfId="10930" xr:uid="{36CBE1DD-FA69-448D-A8C6-E26ACC8F09C9}"/>
    <cellStyle name="Currency 3 2 5 7" xfId="2718" xr:uid="{00000000-0005-0000-0000-0000560B0000}"/>
    <cellStyle name="Currency 3 2 5 8" xfId="2799" xr:uid="{00000000-0005-0000-0000-0000570B0000}"/>
    <cellStyle name="Currency 3 2 5 8 2" xfId="7023" xr:uid="{00000000-0005-0000-0000-0000580B0000}"/>
    <cellStyle name="Currency 3 2 5 8 2 2" xfId="15465" xr:uid="{BD5941CF-1B20-47EC-95CC-5FF541879F81}"/>
    <cellStyle name="Currency 3 2 5 8 3" xfId="11247" xr:uid="{4DDECF4E-2FAC-487F-9630-1D4A4562CD67}"/>
    <cellStyle name="Currency 3 2 5 9" xfId="4640" xr:uid="{00000000-0005-0000-0000-0000590B0000}"/>
    <cellStyle name="Currency 3 2 5 9 2" xfId="13082" xr:uid="{0E9AA8E0-7D4D-4A9D-A192-B02ABF16AF81}"/>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0 2 2" xfId="15466" xr:uid="{1DA6B08C-ACFB-4E23-897A-2F6F04998FB4}"/>
    <cellStyle name="Currency 5 2 2 2 10 3" xfId="11248" xr:uid="{A15FDD82-CA2D-42E4-89D2-12309313A616}"/>
    <cellStyle name="Currency 5 2 2 2 11" xfId="4641" xr:uid="{00000000-0005-0000-0000-00006C0B0000}"/>
    <cellStyle name="Currency 5 2 2 2 11 2" xfId="13083" xr:uid="{D32A8E71-8B58-41A5-AF2A-78CDF3D7231A}"/>
    <cellStyle name="Currency 5 2 2 2 12" xfId="8865" xr:uid="{AD6A5F23-C27F-4A61-82AF-10937089C5C2}"/>
    <cellStyle name="Currency 5 2 2 2 2" xfId="197" xr:uid="{00000000-0005-0000-0000-00006D0B0000}"/>
    <cellStyle name="Currency 5 2 2 2 2 10" xfId="4642" xr:uid="{00000000-0005-0000-0000-00006E0B0000}"/>
    <cellStyle name="Currency 5 2 2 2 2 10 2" xfId="13084" xr:uid="{BE9FD50F-7C6E-4687-AAF6-4A1565A29AFE}"/>
    <cellStyle name="Currency 5 2 2 2 2 11" xfId="8866" xr:uid="{1CCACEF1-ABD8-4B7C-95E1-BF2CD738E1BC}"/>
    <cellStyle name="Currency 5 2 2 2 2 2" xfId="198" xr:uid="{00000000-0005-0000-0000-00006F0B0000}"/>
    <cellStyle name="Currency 5 2 2 2 2 2 10" xfId="8867" xr:uid="{8FA6B5A8-05F8-420E-AD96-42D1F496902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2 2 2" xfId="15644" xr:uid="{9F0AEBEC-2389-422B-BF71-75E9162434F4}"/>
    <cellStyle name="Currency 5 2 2 2 2 2 2 2 3" xfId="11426" xr:uid="{D90B5BEE-A4D0-4A56-81CC-971D05544DAA}"/>
    <cellStyle name="Currency 5 2 2 2 2 2 2 3" xfId="5057" xr:uid="{00000000-0005-0000-0000-0000730B0000}"/>
    <cellStyle name="Currency 5 2 2 2 2 2 2 3 2" xfId="13499" xr:uid="{3A7FF322-D477-4CD2-B75D-3FF60A3F4772}"/>
    <cellStyle name="Currency 5 2 2 2 2 2 2 4" xfId="9281" xr:uid="{F535320F-D6D7-4DE2-A578-497E6ACD4A4C}"/>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2 2 2" xfId="16057" xr:uid="{F9461100-BCDB-4410-94D9-0D2ACECF0889}"/>
    <cellStyle name="Currency 5 2 2 2 2 2 3 2 3" xfId="11839" xr:uid="{99624D49-5B81-4800-A79C-141D161E8F99}"/>
    <cellStyle name="Currency 5 2 2 2 2 2 3 3" xfId="5470" xr:uid="{00000000-0005-0000-0000-0000770B0000}"/>
    <cellStyle name="Currency 5 2 2 2 2 2 3 3 2" xfId="13912" xr:uid="{E59EAD77-F569-4AC8-8635-4D48BE8E4A19}"/>
    <cellStyle name="Currency 5 2 2 2 2 2 3 4" xfId="9694" xr:uid="{E5E2A3FD-BB89-49C5-A206-37E50A164B83}"/>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2 2 2" xfId="16470" xr:uid="{1F38DDC0-2570-4427-98CD-1487B53EBD1D}"/>
    <cellStyle name="Currency 5 2 2 2 2 2 4 2 3" xfId="12252" xr:uid="{00A5B810-A2D9-4B51-8A71-C1911006C793}"/>
    <cellStyle name="Currency 5 2 2 2 2 2 4 3" xfId="5883" xr:uid="{00000000-0005-0000-0000-00007B0B0000}"/>
    <cellStyle name="Currency 5 2 2 2 2 2 4 3 2" xfId="14325" xr:uid="{A5199F6F-00F8-420C-86EC-3A66B7F563F3}"/>
    <cellStyle name="Currency 5 2 2 2 2 2 4 4" xfId="10107" xr:uid="{3A73A967-90E3-4DFB-A5E6-D4FA40420EB9}"/>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2 2 2" xfId="16883" xr:uid="{BFC662C7-EF9C-443D-8B67-F90BCDF0FC4D}"/>
    <cellStyle name="Currency 5 2 2 2 2 2 5 2 3" xfId="12665" xr:uid="{A14219AF-F4F8-4F59-9883-F81C316797BA}"/>
    <cellStyle name="Currency 5 2 2 2 2 2 5 3" xfId="6296" xr:uid="{00000000-0005-0000-0000-00007F0B0000}"/>
    <cellStyle name="Currency 5 2 2 2 2 2 5 3 2" xfId="14738" xr:uid="{45F880FB-AB65-4D87-9A49-1E0EA37B8E4E}"/>
    <cellStyle name="Currency 5 2 2 2 2 2 5 4" xfId="10520" xr:uid="{70553A31-2209-427A-8B0D-A4BF624A8650}"/>
    <cellStyle name="Currency 5 2 2 2 2 2 6" xfId="2424" xr:uid="{00000000-0005-0000-0000-0000800B0000}"/>
    <cellStyle name="Currency 5 2 2 2 2 2 6 2" xfId="6709" xr:uid="{00000000-0005-0000-0000-0000810B0000}"/>
    <cellStyle name="Currency 5 2 2 2 2 2 6 2 2" xfId="15151" xr:uid="{DF3475F6-63AE-4CCA-9661-DE75C3F2AA95}"/>
    <cellStyle name="Currency 5 2 2 2 2 2 6 3" xfId="10933" xr:uid="{6380DC16-768F-442D-919F-7D64F545A109}"/>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8 2 2" xfId="15468" xr:uid="{9A71FF16-D441-4903-AA73-6696D9C31420}"/>
    <cellStyle name="Currency 5 2 2 2 2 2 8 3" xfId="11250" xr:uid="{6D7C5879-21D5-4D33-8FBF-526FC845DF6B}"/>
    <cellStyle name="Currency 5 2 2 2 2 2 9" xfId="4643" xr:uid="{00000000-0005-0000-0000-0000850B0000}"/>
    <cellStyle name="Currency 5 2 2 2 2 2 9 2" xfId="13085" xr:uid="{28119130-33D1-4685-97F3-EA677CEF1A08}"/>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2 2 2" xfId="15643" xr:uid="{C6E300FA-1533-4BF7-9682-A34BE82D31D8}"/>
    <cellStyle name="Currency 5 2 2 2 2 3 2 3" xfId="11425" xr:uid="{0587606B-971E-433C-81E6-30EFB2C1A586}"/>
    <cellStyle name="Currency 5 2 2 2 2 3 3" xfId="5056" xr:uid="{00000000-0005-0000-0000-0000890B0000}"/>
    <cellStyle name="Currency 5 2 2 2 2 3 3 2" xfId="13498" xr:uid="{9B28D259-B5EC-4F27-B335-AB4BEC83CF59}"/>
    <cellStyle name="Currency 5 2 2 2 2 3 4" xfId="9280" xr:uid="{6C8C0839-F457-4702-9298-7006BC33564A}"/>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2 2 2" xfId="16056" xr:uid="{A5495AB0-F9B2-4FA9-B66E-FCA294DB57F2}"/>
    <cellStyle name="Currency 5 2 2 2 2 4 2 3" xfId="11838" xr:uid="{2EAF4EBB-D964-4EAA-8643-26A7F86C45E8}"/>
    <cellStyle name="Currency 5 2 2 2 2 4 3" xfId="5469" xr:uid="{00000000-0005-0000-0000-00008D0B0000}"/>
    <cellStyle name="Currency 5 2 2 2 2 4 3 2" xfId="13911" xr:uid="{C3B5792C-72D9-4071-B9F9-8137765C89E4}"/>
    <cellStyle name="Currency 5 2 2 2 2 4 4" xfId="9693" xr:uid="{E986236E-7C0F-4831-8FA8-1ED1DD96368B}"/>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2 2 2" xfId="16469" xr:uid="{52E5BBD5-3D3F-4255-95A9-1080E4C2A252}"/>
    <cellStyle name="Currency 5 2 2 2 2 5 2 3" xfId="12251" xr:uid="{5D8C29E8-BA61-4CE5-9F5E-E8A164124014}"/>
    <cellStyle name="Currency 5 2 2 2 2 5 3" xfId="5882" xr:uid="{00000000-0005-0000-0000-0000910B0000}"/>
    <cellStyle name="Currency 5 2 2 2 2 5 3 2" xfId="14324" xr:uid="{7D212BB2-EA8B-4B94-A346-E78BB889F203}"/>
    <cellStyle name="Currency 5 2 2 2 2 5 4" xfId="10106" xr:uid="{C32AB15A-61B3-495B-9157-C2DE915F639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2 2 2" xfId="16882" xr:uid="{81644D5A-929C-4467-99E5-1EDBF06A1349}"/>
    <cellStyle name="Currency 5 2 2 2 2 6 2 3" xfId="12664" xr:uid="{16331C1B-7C95-4AC5-B966-2602497E9857}"/>
    <cellStyle name="Currency 5 2 2 2 2 6 3" xfId="6295" xr:uid="{00000000-0005-0000-0000-0000950B0000}"/>
    <cellStyle name="Currency 5 2 2 2 2 6 3 2" xfId="14737" xr:uid="{BC2B2BD8-343D-4127-AB6D-05E016FA4CA7}"/>
    <cellStyle name="Currency 5 2 2 2 2 6 4" xfId="10519" xr:uid="{7D4C4C0D-52D1-4375-9E95-D4BC5B2000F7}"/>
    <cellStyle name="Currency 5 2 2 2 2 7" xfId="2423" xr:uid="{00000000-0005-0000-0000-0000960B0000}"/>
    <cellStyle name="Currency 5 2 2 2 2 7 2" xfId="6708" xr:uid="{00000000-0005-0000-0000-0000970B0000}"/>
    <cellStyle name="Currency 5 2 2 2 2 7 2 2" xfId="15150" xr:uid="{BA9956A9-FD93-447A-AF13-BE73623A902A}"/>
    <cellStyle name="Currency 5 2 2 2 2 7 3" xfId="10932" xr:uid="{CEDA03EF-2C4D-44F7-9E4A-1E809793E5F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2 9 2 2" xfId="15467" xr:uid="{D2944925-9E41-4AFA-B73F-41BB38E50084}"/>
    <cellStyle name="Currency 5 2 2 2 2 9 3" xfId="11249" xr:uid="{E0958BCD-CACF-4A0B-9D8D-81C2D5A0B591}"/>
    <cellStyle name="Currency 5 2 2 2 3" xfId="199" xr:uid="{00000000-0005-0000-0000-00009B0B0000}"/>
    <cellStyle name="Currency 5 2 2 2 3 10" xfId="8868" xr:uid="{562E52B6-3B81-4917-AB6D-7D7B0CF3077D}"/>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2 2 2" xfId="15645" xr:uid="{47B119BC-0546-4CC2-A62E-95408E3461B9}"/>
    <cellStyle name="Currency 5 2 2 2 3 2 2 3" xfId="11427" xr:uid="{73CA8710-00D3-49A6-93EC-E92C515CB251}"/>
    <cellStyle name="Currency 5 2 2 2 3 2 3" xfId="5058" xr:uid="{00000000-0005-0000-0000-00009F0B0000}"/>
    <cellStyle name="Currency 5 2 2 2 3 2 3 2" xfId="13500" xr:uid="{7ECD555F-74EC-47BC-9140-891013A1EAD9}"/>
    <cellStyle name="Currency 5 2 2 2 3 2 4" xfId="9282" xr:uid="{CB3F69F6-113C-44CE-AE77-80F898DEB2F7}"/>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2 2 2" xfId="16058" xr:uid="{DBBB7D87-2718-42E8-AFC7-1B4533567DEF}"/>
    <cellStyle name="Currency 5 2 2 2 3 3 2 3" xfId="11840" xr:uid="{EFAE888C-1590-4F92-9C5C-F3329057C466}"/>
    <cellStyle name="Currency 5 2 2 2 3 3 3" xfId="5471" xr:uid="{00000000-0005-0000-0000-0000A30B0000}"/>
    <cellStyle name="Currency 5 2 2 2 3 3 3 2" xfId="13913" xr:uid="{CC18B6D3-7CE2-4D28-9DE5-B31867FF0859}"/>
    <cellStyle name="Currency 5 2 2 2 3 3 4" xfId="9695" xr:uid="{9A4891F6-9E09-4265-837F-18AAB896CFDE}"/>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2 2 2" xfId="16471" xr:uid="{110BCF02-4B68-45AE-A366-601FB70C5711}"/>
    <cellStyle name="Currency 5 2 2 2 3 4 2 3" xfId="12253" xr:uid="{79DD66DA-4A3E-485D-B9A9-9C6F46D7332B}"/>
    <cellStyle name="Currency 5 2 2 2 3 4 3" xfId="5884" xr:uid="{00000000-0005-0000-0000-0000A70B0000}"/>
    <cellStyle name="Currency 5 2 2 2 3 4 3 2" xfId="14326" xr:uid="{C0E2B0A6-3A49-4BDC-B515-9DBA8466AB4F}"/>
    <cellStyle name="Currency 5 2 2 2 3 4 4" xfId="10108" xr:uid="{BB193586-DAD2-471A-B8C1-4E8694FB936C}"/>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2 2 2" xfId="16884" xr:uid="{1C2B0870-75CD-4B41-B492-1E485486FA2E}"/>
    <cellStyle name="Currency 5 2 2 2 3 5 2 3" xfId="12666" xr:uid="{C9CA9D42-7E0C-41E3-9BDE-C6964D8622B9}"/>
    <cellStyle name="Currency 5 2 2 2 3 5 3" xfId="6297" xr:uid="{00000000-0005-0000-0000-0000AB0B0000}"/>
    <cellStyle name="Currency 5 2 2 2 3 5 3 2" xfId="14739" xr:uid="{AF46F570-FB5E-4D33-9E69-A32E24705F3E}"/>
    <cellStyle name="Currency 5 2 2 2 3 5 4" xfId="10521" xr:uid="{51EB110C-317E-4A97-BFC9-7323305D2A39}"/>
    <cellStyle name="Currency 5 2 2 2 3 6" xfId="2425" xr:uid="{00000000-0005-0000-0000-0000AC0B0000}"/>
    <cellStyle name="Currency 5 2 2 2 3 6 2" xfId="6710" xr:uid="{00000000-0005-0000-0000-0000AD0B0000}"/>
    <cellStyle name="Currency 5 2 2 2 3 6 2 2" xfId="15152" xr:uid="{32177EB6-F50C-4C23-B286-DEC2D7175097}"/>
    <cellStyle name="Currency 5 2 2 2 3 6 3" xfId="10934" xr:uid="{D60B9B15-215B-44BE-82BF-F5458873781C}"/>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8 2 2" xfId="15469" xr:uid="{E2911CA8-DECC-4B2E-AC54-72738BA6ACCE}"/>
    <cellStyle name="Currency 5 2 2 2 3 8 3" xfId="11251" xr:uid="{C587358A-E592-431B-BB45-3F42B52D97B2}"/>
    <cellStyle name="Currency 5 2 2 2 3 9" xfId="4644" xr:uid="{00000000-0005-0000-0000-0000B10B0000}"/>
    <cellStyle name="Currency 5 2 2 2 3 9 2" xfId="13086" xr:uid="{F911B374-E578-455F-B669-28BFF9CA8ABC}"/>
    <cellStyle name="Currency 5 2 2 2 4" xfId="723" xr:uid="{00000000-0005-0000-0000-0000B20B0000}"/>
    <cellStyle name="Currency 5 2 2 2 4 2" xfId="2977" xr:uid="{00000000-0005-0000-0000-0000B30B0000}"/>
    <cellStyle name="Currency 5 2 2 2 4 2 2" xfId="7200" xr:uid="{00000000-0005-0000-0000-0000B40B0000}"/>
    <cellStyle name="Currency 5 2 2 2 4 2 2 2" xfId="15642" xr:uid="{054C378C-71A4-4537-8301-AE6E0FFC0FE8}"/>
    <cellStyle name="Currency 5 2 2 2 4 2 3" xfId="11424" xr:uid="{775809C2-38E2-4EC9-838E-A366AC513A43}"/>
    <cellStyle name="Currency 5 2 2 2 4 3" xfId="5055" xr:uid="{00000000-0005-0000-0000-0000B50B0000}"/>
    <cellStyle name="Currency 5 2 2 2 4 3 2" xfId="13497" xr:uid="{741439CA-B151-4F7D-96C2-8B763B1A21F0}"/>
    <cellStyle name="Currency 5 2 2 2 4 4" xfId="9279" xr:uid="{17481F81-FD94-4488-AF77-166A8D7A26BC}"/>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2 2 2" xfId="16055" xr:uid="{5B2CF8EE-2243-41EA-879B-D26E93A5FD95}"/>
    <cellStyle name="Currency 5 2 2 2 5 2 3" xfId="11837" xr:uid="{83F2498B-349A-4DBF-9813-BDAB363865DF}"/>
    <cellStyle name="Currency 5 2 2 2 5 3" xfId="5468" xr:uid="{00000000-0005-0000-0000-0000B90B0000}"/>
    <cellStyle name="Currency 5 2 2 2 5 3 2" xfId="13910" xr:uid="{4ADCD428-5587-4693-9895-DA7F3DD232F2}"/>
    <cellStyle name="Currency 5 2 2 2 5 4" xfId="9692" xr:uid="{4AAE54E1-5CAC-48B8-83D4-3DD692A4B52E}"/>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2 2 2" xfId="16468" xr:uid="{33C1125D-7A7A-4555-910B-0C0A4FCF7BDF}"/>
    <cellStyle name="Currency 5 2 2 2 6 2 3" xfId="12250" xr:uid="{F399C3EA-85C6-4A3B-B17D-4A13E184C79A}"/>
    <cellStyle name="Currency 5 2 2 2 6 3" xfId="5881" xr:uid="{00000000-0005-0000-0000-0000BD0B0000}"/>
    <cellStyle name="Currency 5 2 2 2 6 3 2" xfId="14323" xr:uid="{E3D56187-4B56-4408-B766-64D2179ABA93}"/>
    <cellStyle name="Currency 5 2 2 2 6 4" xfId="10105" xr:uid="{8F5363AF-924B-4D00-A415-0C2A6241D35A}"/>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2 2 2" xfId="16881" xr:uid="{EAA06E51-C6D3-4472-8AF8-3EF5A317D922}"/>
    <cellStyle name="Currency 5 2 2 2 7 2 3" xfId="12663" xr:uid="{8AD30BEA-EA6C-4FA5-86A8-0AB90D46CF42}"/>
    <cellStyle name="Currency 5 2 2 2 7 3" xfId="6294" xr:uid="{00000000-0005-0000-0000-0000C10B0000}"/>
    <cellStyle name="Currency 5 2 2 2 7 3 2" xfId="14736" xr:uid="{449A2F03-80C7-4B4E-889B-0979C0EC7048}"/>
    <cellStyle name="Currency 5 2 2 2 7 4" xfId="10518" xr:uid="{5F9872A0-814E-4048-A21E-7C93244C73D1}"/>
    <cellStyle name="Currency 5 2 2 2 8" xfId="2422" xr:uid="{00000000-0005-0000-0000-0000C20B0000}"/>
    <cellStyle name="Currency 5 2 2 2 8 2" xfId="6707" xr:uid="{00000000-0005-0000-0000-0000C30B0000}"/>
    <cellStyle name="Currency 5 2 2 2 8 2 2" xfId="15149" xr:uid="{127A3E1F-9DFB-42C3-B6F8-8D4FFE53F809}"/>
    <cellStyle name="Currency 5 2 2 2 8 3" xfId="10931" xr:uid="{6643FF84-E40D-4F46-96EB-24FD6AEC6B9E}"/>
    <cellStyle name="Currency 5 2 2 2 9" xfId="2719" xr:uid="{00000000-0005-0000-0000-0000C40B0000}"/>
    <cellStyle name="Currency 5 2 2 3" xfId="200" xr:uid="{00000000-0005-0000-0000-0000C50B0000}"/>
    <cellStyle name="Currency 5 2 2 3 10" xfId="4645" xr:uid="{00000000-0005-0000-0000-0000C60B0000}"/>
    <cellStyle name="Currency 5 2 2 3 10 2" xfId="13087" xr:uid="{D070A1E8-0FD9-4AEC-93D2-D36A56DA7321}"/>
    <cellStyle name="Currency 5 2 2 3 11" xfId="8869" xr:uid="{331D5C5D-8CFC-46BD-A10B-A45C205654FF}"/>
    <cellStyle name="Currency 5 2 2 3 2" xfId="201" xr:uid="{00000000-0005-0000-0000-0000C70B0000}"/>
    <cellStyle name="Currency 5 2 2 3 2 10" xfId="8870" xr:uid="{D11CD5F2-E2BE-4F95-A04F-407BC8F132D8}"/>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2 2 2" xfId="15647" xr:uid="{AB13981B-9664-4A04-891C-10279A6339B6}"/>
    <cellStyle name="Currency 5 2 2 3 2 2 2 3" xfId="11429" xr:uid="{D7255B7F-9F4B-48A0-800B-F9C1CECC258A}"/>
    <cellStyle name="Currency 5 2 2 3 2 2 3" xfId="5060" xr:uid="{00000000-0005-0000-0000-0000CB0B0000}"/>
    <cellStyle name="Currency 5 2 2 3 2 2 3 2" xfId="13502" xr:uid="{06147C1A-6BA8-4659-9FE1-01098041FDEE}"/>
    <cellStyle name="Currency 5 2 2 3 2 2 4" xfId="9284" xr:uid="{06EB244C-AF4B-4D73-B518-96AA90D55255}"/>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2 2 2" xfId="16060" xr:uid="{29BF7F74-49D7-4E8A-A664-3AD653CD2259}"/>
    <cellStyle name="Currency 5 2 2 3 2 3 2 3" xfId="11842" xr:uid="{73F2B380-2F92-4E76-8766-1C850E1D7E3C}"/>
    <cellStyle name="Currency 5 2 2 3 2 3 3" xfId="5473" xr:uid="{00000000-0005-0000-0000-0000CF0B0000}"/>
    <cellStyle name="Currency 5 2 2 3 2 3 3 2" xfId="13915" xr:uid="{22746508-5B3E-470C-805B-DA9D9028301B}"/>
    <cellStyle name="Currency 5 2 2 3 2 3 4" xfId="9697" xr:uid="{BACEC4FA-6C5A-4792-8EB0-775DF22573FD}"/>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2 2 2" xfId="16473" xr:uid="{FA18034B-6204-4A99-B589-1B49D9E4F1A3}"/>
    <cellStyle name="Currency 5 2 2 3 2 4 2 3" xfId="12255" xr:uid="{765ACFC0-E438-46AB-A4F6-362E641CF98F}"/>
    <cellStyle name="Currency 5 2 2 3 2 4 3" xfId="5886" xr:uid="{00000000-0005-0000-0000-0000D30B0000}"/>
    <cellStyle name="Currency 5 2 2 3 2 4 3 2" xfId="14328" xr:uid="{D6296CFD-DD8B-4BFE-8D3F-1F1061C66038}"/>
    <cellStyle name="Currency 5 2 2 3 2 4 4" xfId="10110" xr:uid="{CC19F2BC-35E6-45E3-852A-EDFA666BE0D4}"/>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2 2 2" xfId="16886" xr:uid="{E1B6E155-24BB-4F5C-AF25-C9977EF6B5C0}"/>
    <cellStyle name="Currency 5 2 2 3 2 5 2 3" xfId="12668" xr:uid="{DF1F68E2-63C4-418A-BF4D-4BD3E099BCE7}"/>
    <cellStyle name="Currency 5 2 2 3 2 5 3" xfId="6299" xr:uid="{00000000-0005-0000-0000-0000D70B0000}"/>
    <cellStyle name="Currency 5 2 2 3 2 5 3 2" xfId="14741" xr:uid="{F9541204-F462-44DC-BAC5-81B4DB5CA9A5}"/>
    <cellStyle name="Currency 5 2 2 3 2 5 4" xfId="10523" xr:uid="{42EFDC85-2043-469C-B614-D6ADC1B1D205}"/>
    <cellStyle name="Currency 5 2 2 3 2 6" xfId="2427" xr:uid="{00000000-0005-0000-0000-0000D80B0000}"/>
    <cellStyle name="Currency 5 2 2 3 2 6 2" xfId="6712" xr:uid="{00000000-0005-0000-0000-0000D90B0000}"/>
    <cellStyle name="Currency 5 2 2 3 2 6 2 2" xfId="15154" xr:uid="{AF80C609-7595-4491-9646-8E7DC9435F18}"/>
    <cellStyle name="Currency 5 2 2 3 2 6 3" xfId="10936" xr:uid="{1D42EEF3-3132-47C3-B797-C1A8C90F12CE}"/>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8 2 2" xfId="15471" xr:uid="{4506BB8B-B9A3-4D62-8545-71A3A85EAA92}"/>
    <cellStyle name="Currency 5 2 2 3 2 8 3" xfId="11253" xr:uid="{2DA8E018-22F0-404C-83AF-768994D65DE4}"/>
    <cellStyle name="Currency 5 2 2 3 2 9" xfId="4646" xr:uid="{00000000-0005-0000-0000-0000DD0B0000}"/>
    <cellStyle name="Currency 5 2 2 3 2 9 2" xfId="13088" xr:uid="{5F16A094-ABB4-46FF-BE54-75A66C710392}"/>
    <cellStyle name="Currency 5 2 2 3 3" xfId="727" xr:uid="{00000000-0005-0000-0000-0000DE0B0000}"/>
    <cellStyle name="Currency 5 2 2 3 3 2" xfId="2981" xr:uid="{00000000-0005-0000-0000-0000DF0B0000}"/>
    <cellStyle name="Currency 5 2 2 3 3 2 2" xfId="7204" xr:uid="{00000000-0005-0000-0000-0000E00B0000}"/>
    <cellStyle name="Currency 5 2 2 3 3 2 2 2" xfId="15646" xr:uid="{6C1A9FD1-0DBA-449A-BF12-BB36119860D2}"/>
    <cellStyle name="Currency 5 2 2 3 3 2 3" xfId="11428" xr:uid="{6683EDEA-62F7-4BAF-864E-78D08473B263}"/>
    <cellStyle name="Currency 5 2 2 3 3 3" xfId="5059" xr:uid="{00000000-0005-0000-0000-0000E10B0000}"/>
    <cellStyle name="Currency 5 2 2 3 3 3 2" xfId="13501" xr:uid="{3CAE5294-FA84-44FD-98AC-03E627CC1777}"/>
    <cellStyle name="Currency 5 2 2 3 3 4" xfId="9283" xr:uid="{1FAB4025-CCAE-42ED-A4F0-30F4A9DE1911}"/>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2 2 2" xfId="16059" xr:uid="{0E2AE1F5-AB64-45EA-975E-AE10241FBB27}"/>
    <cellStyle name="Currency 5 2 2 3 4 2 3" xfId="11841" xr:uid="{322B3198-49B0-4CEB-971B-1690CCF13A37}"/>
    <cellStyle name="Currency 5 2 2 3 4 3" xfId="5472" xr:uid="{00000000-0005-0000-0000-0000E50B0000}"/>
    <cellStyle name="Currency 5 2 2 3 4 3 2" xfId="13914" xr:uid="{E1B31930-6741-4AC4-BE68-74C9A294DF44}"/>
    <cellStyle name="Currency 5 2 2 3 4 4" xfId="9696" xr:uid="{13D71B9B-9535-481A-9470-32B6DD819D78}"/>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2 2 2" xfId="16472" xr:uid="{195AEE07-2524-4FAD-9D50-95116D33E8E5}"/>
    <cellStyle name="Currency 5 2 2 3 5 2 3" xfId="12254" xr:uid="{0223B819-D6C2-4A6D-A53B-341D2CF912A2}"/>
    <cellStyle name="Currency 5 2 2 3 5 3" xfId="5885" xr:uid="{00000000-0005-0000-0000-0000E90B0000}"/>
    <cellStyle name="Currency 5 2 2 3 5 3 2" xfId="14327" xr:uid="{947B807C-D1A8-4C35-9008-B6855C50BAAF}"/>
    <cellStyle name="Currency 5 2 2 3 5 4" xfId="10109" xr:uid="{A1E3EC35-FC7F-4C41-824D-D0A7CE1EA8F8}"/>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2 2 2" xfId="16885" xr:uid="{CDA3883D-93C8-4B2E-BA0B-0D28F3F1AE9A}"/>
    <cellStyle name="Currency 5 2 2 3 6 2 3" xfId="12667" xr:uid="{7156CFF1-7309-4D64-A455-A579D9B2301D}"/>
    <cellStyle name="Currency 5 2 2 3 6 3" xfId="6298" xr:uid="{00000000-0005-0000-0000-0000ED0B0000}"/>
    <cellStyle name="Currency 5 2 2 3 6 3 2" xfId="14740" xr:uid="{0A40EE2A-D22E-4A6B-8DE6-E1B55A617356}"/>
    <cellStyle name="Currency 5 2 2 3 6 4" xfId="10522" xr:uid="{B0DF9EF6-4680-4139-AC3C-0EF14F273862}"/>
    <cellStyle name="Currency 5 2 2 3 7" xfId="2426" xr:uid="{00000000-0005-0000-0000-0000EE0B0000}"/>
    <cellStyle name="Currency 5 2 2 3 7 2" xfId="6711" xr:uid="{00000000-0005-0000-0000-0000EF0B0000}"/>
    <cellStyle name="Currency 5 2 2 3 7 2 2" xfId="15153" xr:uid="{0EDAECF0-31CD-4F0E-AE47-622972D2D179}"/>
    <cellStyle name="Currency 5 2 2 3 7 3" xfId="10935" xr:uid="{B950F371-2A0A-48B5-9DC2-FFECF2176149}"/>
    <cellStyle name="Currency 5 2 2 3 8" xfId="2723" xr:uid="{00000000-0005-0000-0000-0000F00B0000}"/>
    <cellStyle name="Currency 5 2 2 3 9" xfId="2804" xr:uid="{00000000-0005-0000-0000-0000F10B0000}"/>
    <cellStyle name="Currency 5 2 2 3 9 2" xfId="7028" xr:uid="{00000000-0005-0000-0000-0000F20B0000}"/>
    <cellStyle name="Currency 5 2 2 3 9 2 2" xfId="15470" xr:uid="{578D3F40-8CF6-4660-892D-589F6C4999C2}"/>
    <cellStyle name="Currency 5 2 2 3 9 3" xfId="11252" xr:uid="{02EF8A2D-11D7-4D94-8628-981EB2BC366D}"/>
    <cellStyle name="Currency 5 2 2 4" xfId="202" xr:uid="{00000000-0005-0000-0000-0000F30B0000}"/>
    <cellStyle name="Currency 5 2 2 4 10" xfId="8871" xr:uid="{DAAC179B-AAF4-4E98-8EAE-A9CD277884EA}"/>
    <cellStyle name="Currency 5 2 2 4 2" xfId="729" xr:uid="{00000000-0005-0000-0000-0000F40B0000}"/>
    <cellStyle name="Currency 5 2 2 4 2 2" xfId="2983" xr:uid="{00000000-0005-0000-0000-0000F50B0000}"/>
    <cellStyle name="Currency 5 2 2 4 2 2 2" xfId="7206" xr:uid="{00000000-0005-0000-0000-0000F60B0000}"/>
    <cellStyle name="Currency 5 2 2 4 2 2 2 2" xfId="15648" xr:uid="{B3415890-89EA-4E82-A173-D8389F34D5A7}"/>
    <cellStyle name="Currency 5 2 2 4 2 2 3" xfId="11430" xr:uid="{4B81193C-4480-4380-8A6E-1B3E8BCB754F}"/>
    <cellStyle name="Currency 5 2 2 4 2 3" xfId="5061" xr:uid="{00000000-0005-0000-0000-0000F70B0000}"/>
    <cellStyle name="Currency 5 2 2 4 2 3 2" xfId="13503" xr:uid="{4725C9C3-92A6-4B26-9D85-2ABC7C2FD1E5}"/>
    <cellStyle name="Currency 5 2 2 4 2 4" xfId="9285" xr:uid="{51E190FB-5AA2-4DA1-AA95-754B3E34657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2 2 2" xfId="16061" xr:uid="{852D1A7C-11F8-47DF-9E22-A022DBAC7D7F}"/>
    <cellStyle name="Currency 5 2 2 4 3 2 3" xfId="11843" xr:uid="{B2ABF89A-712F-4B58-ABAB-622B740CD50B}"/>
    <cellStyle name="Currency 5 2 2 4 3 3" xfId="5474" xr:uid="{00000000-0005-0000-0000-0000FB0B0000}"/>
    <cellStyle name="Currency 5 2 2 4 3 3 2" xfId="13916" xr:uid="{7AA7AE3F-A4DD-4A64-9325-F6568BC73A91}"/>
    <cellStyle name="Currency 5 2 2 4 3 4" xfId="9698" xr:uid="{CD8AFC56-2EE4-4434-9DA7-44B927859732}"/>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2 2 2" xfId="16474" xr:uid="{32682333-87AC-489A-8E95-5018CA34973F}"/>
    <cellStyle name="Currency 5 2 2 4 4 2 3" xfId="12256" xr:uid="{19A73D8C-87A7-4FF5-B7AC-62C7063544EB}"/>
    <cellStyle name="Currency 5 2 2 4 4 3" xfId="5887" xr:uid="{00000000-0005-0000-0000-0000FF0B0000}"/>
    <cellStyle name="Currency 5 2 2 4 4 3 2" xfId="14329" xr:uid="{97A9ED1C-75CE-4D98-826D-86E17EF67964}"/>
    <cellStyle name="Currency 5 2 2 4 4 4" xfId="10111" xr:uid="{433F178F-80AC-4BF4-9A13-A83E30FC5A7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2 2 2" xfId="16887" xr:uid="{CEC32435-447E-4CBC-9292-88774BEA4EF6}"/>
    <cellStyle name="Currency 5 2 2 4 5 2 3" xfId="12669" xr:uid="{FC45F0A6-99BD-4BB1-8B2B-688207FC1FD0}"/>
    <cellStyle name="Currency 5 2 2 4 5 3" xfId="6300" xr:uid="{00000000-0005-0000-0000-0000030C0000}"/>
    <cellStyle name="Currency 5 2 2 4 5 3 2" xfId="14742" xr:uid="{D79800DE-35EA-491C-8E0A-E36BD314BE2E}"/>
    <cellStyle name="Currency 5 2 2 4 5 4" xfId="10524" xr:uid="{51A30403-61D4-4C64-BBD9-B07F7EC17A75}"/>
    <cellStyle name="Currency 5 2 2 4 6" xfId="2428" xr:uid="{00000000-0005-0000-0000-0000040C0000}"/>
    <cellStyle name="Currency 5 2 2 4 6 2" xfId="6713" xr:uid="{00000000-0005-0000-0000-0000050C0000}"/>
    <cellStyle name="Currency 5 2 2 4 6 2 2" xfId="15155" xr:uid="{8F4FBAAA-A142-41D7-AD8C-D60EC87F07F8}"/>
    <cellStyle name="Currency 5 2 2 4 6 3" xfId="10937" xr:uid="{8C5356C5-7B28-492E-9848-293200D9BDDB}"/>
    <cellStyle name="Currency 5 2 2 4 7" xfId="2725" xr:uid="{00000000-0005-0000-0000-0000060C0000}"/>
    <cellStyle name="Currency 5 2 2 4 8" xfId="2806" xr:uid="{00000000-0005-0000-0000-0000070C0000}"/>
    <cellStyle name="Currency 5 2 2 4 8 2" xfId="7030" xr:uid="{00000000-0005-0000-0000-0000080C0000}"/>
    <cellStyle name="Currency 5 2 2 4 8 2 2" xfId="15472" xr:uid="{2943CF18-8EDB-4E1D-A00A-F3E25F377715}"/>
    <cellStyle name="Currency 5 2 2 4 8 3" xfId="11254" xr:uid="{F3C7F3CF-EAF9-4943-9CB1-EFE26485E0E3}"/>
    <cellStyle name="Currency 5 2 2 4 9" xfId="4647" xr:uid="{00000000-0005-0000-0000-0000090C0000}"/>
    <cellStyle name="Currency 5 2 2 4 9 2" xfId="13089" xr:uid="{F5974A6D-A21D-429B-B1D8-A9D98A5CF724}"/>
    <cellStyle name="Currency 5 2 2 5" xfId="203" xr:uid="{00000000-0005-0000-0000-00000A0C0000}"/>
    <cellStyle name="Currency 5 2 2 5 10" xfId="8872" xr:uid="{63C11AB9-5125-43C9-8351-481590BAAFC6}"/>
    <cellStyle name="Currency 5 2 2 5 2" xfId="730" xr:uid="{00000000-0005-0000-0000-00000B0C0000}"/>
    <cellStyle name="Currency 5 2 2 5 2 2" xfId="2984" xr:uid="{00000000-0005-0000-0000-00000C0C0000}"/>
    <cellStyle name="Currency 5 2 2 5 2 2 2" xfId="7207" xr:uid="{00000000-0005-0000-0000-00000D0C0000}"/>
    <cellStyle name="Currency 5 2 2 5 2 2 2 2" xfId="15649" xr:uid="{3A3A5F75-B739-41FA-9248-ED1D3766C1CA}"/>
    <cellStyle name="Currency 5 2 2 5 2 2 3" xfId="11431" xr:uid="{5687A610-9726-4011-A467-394D2F98B3D1}"/>
    <cellStyle name="Currency 5 2 2 5 2 3" xfId="5062" xr:uid="{00000000-0005-0000-0000-00000E0C0000}"/>
    <cellStyle name="Currency 5 2 2 5 2 3 2" xfId="13504" xr:uid="{A03B1D97-CC52-432F-8D82-478F05A0A79F}"/>
    <cellStyle name="Currency 5 2 2 5 2 4" xfId="9286" xr:uid="{E1395DFA-A551-48E8-A073-03176DEFBA91}"/>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2 2 2" xfId="16062" xr:uid="{EEE73FB0-257F-4B5E-8D7F-AA5E9154B8CC}"/>
    <cellStyle name="Currency 5 2 2 5 3 2 3" xfId="11844" xr:uid="{55340DBB-CD6A-4775-B6DA-A88DFE3148BF}"/>
    <cellStyle name="Currency 5 2 2 5 3 3" xfId="5475" xr:uid="{00000000-0005-0000-0000-0000120C0000}"/>
    <cellStyle name="Currency 5 2 2 5 3 3 2" xfId="13917" xr:uid="{D02A4E57-250F-430E-88B4-D95C3E6A672D}"/>
    <cellStyle name="Currency 5 2 2 5 3 4" xfId="9699" xr:uid="{9B9CD376-0948-47DD-83C2-36156D2BE171}"/>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2 2 2" xfId="16475" xr:uid="{E315D545-5C8B-403F-B6E7-3D6EBCEABE22}"/>
    <cellStyle name="Currency 5 2 2 5 4 2 3" xfId="12257" xr:uid="{84CA6E53-04CD-4E06-8106-EA0717852C6E}"/>
    <cellStyle name="Currency 5 2 2 5 4 3" xfId="5888" xr:uid="{00000000-0005-0000-0000-0000160C0000}"/>
    <cellStyle name="Currency 5 2 2 5 4 3 2" xfId="14330" xr:uid="{B5EE74E3-68AF-46A6-BEB9-5239D23BFBEC}"/>
    <cellStyle name="Currency 5 2 2 5 4 4" xfId="10112" xr:uid="{8FE0821D-9257-4F57-8594-8807DC9B2C74}"/>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2 2 2" xfId="16888" xr:uid="{13B8AD43-279C-444B-9D93-5B7D1DB71542}"/>
    <cellStyle name="Currency 5 2 2 5 5 2 3" xfId="12670" xr:uid="{6091B1C1-3200-4CEB-9B77-93E1FF4FA8A4}"/>
    <cellStyle name="Currency 5 2 2 5 5 3" xfId="6301" xr:uid="{00000000-0005-0000-0000-00001A0C0000}"/>
    <cellStyle name="Currency 5 2 2 5 5 3 2" xfId="14743" xr:uid="{4349FDF4-4294-413F-A0EE-01CC15FC2DD5}"/>
    <cellStyle name="Currency 5 2 2 5 5 4" xfId="10525" xr:uid="{D59B5FA3-DC50-48D3-AF10-9F4136C9C9EF}"/>
    <cellStyle name="Currency 5 2 2 5 6" xfId="2429" xr:uid="{00000000-0005-0000-0000-00001B0C0000}"/>
    <cellStyle name="Currency 5 2 2 5 6 2" xfId="6714" xr:uid="{00000000-0005-0000-0000-00001C0C0000}"/>
    <cellStyle name="Currency 5 2 2 5 6 2 2" xfId="15156" xr:uid="{1FB3749D-15CB-475A-B7CF-323B1EA758C4}"/>
    <cellStyle name="Currency 5 2 2 5 6 3" xfId="10938" xr:uid="{265042AE-949C-4E96-B683-F8B9C9522886}"/>
    <cellStyle name="Currency 5 2 2 5 7" xfId="2726" xr:uid="{00000000-0005-0000-0000-00001D0C0000}"/>
    <cellStyle name="Currency 5 2 2 5 8" xfId="2807" xr:uid="{00000000-0005-0000-0000-00001E0C0000}"/>
    <cellStyle name="Currency 5 2 2 5 8 2" xfId="7031" xr:uid="{00000000-0005-0000-0000-00001F0C0000}"/>
    <cellStyle name="Currency 5 2 2 5 8 2 2" xfId="15473" xr:uid="{304F5964-92A3-4CB3-A012-5C163A9BBBDE}"/>
    <cellStyle name="Currency 5 2 2 5 8 3" xfId="11255" xr:uid="{B82C12F2-A50D-4471-823B-34BB8C04DC1C}"/>
    <cellStyle name="Currency 5 2 2 5 9" xfId="4648" xr:uid="{00000000-0005-0000-0000-0000200C0000}"/>
    <cellStyle name="Currency 5 2 2 5 9 2" xfId="13090" xr:uid="{D0B03E43-0EC4-437E-88CA-D3413FAF248F}"/>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10 2" xfId="13091" xr:uid="{A4A73AAE-79B7-4BC3-9069-08F7C47F9718}"/>
    <cellStyle name="Currency 5 2 4 11" xfId="8873" xr:uid="{96EF150D-0F3B-488B-B696-DB6584959F04}"/>
    <cellStyle name="Currency 5 2 4 2" xfId="206" xr:uid="{00000000-0005-0000-0000-0000250C0000}"/>
    <cellStyle name="Currency 5 2 4 2 10" xfId="8874" xr:uid="{E5040F9A-39AF-417E-BEBD-52F77C83186F}"/>
    <cellStyle name="Currency 5 2 4 2 2" xfId="733" xr:uid="{00000000-0005-0000-0000-0000260C0000}"/>
    <cellStyle name="Currency 5 2 4 2 2 2" xfId="2986" xr:uid="{00000000-0005-0000-0000-0000270C0000}"/>
    <cellStyle name="Currency 5 2 4 2 2 2 2" xfId="7209" xr:uid="{00000000-0005-0000-0000-0000280C0000}"/>
    <cellStyle name="Currency 5 2 4 2 2 2 2 2" xfId="15651" xr:uid="{CE44957B-E451-443D-821B-BF2C38C36493}"/>
    <cellStyle name="Currency 5 2 4 2 2 2 3" xfId="11433" xr:uid="{CDD9CA55-EEB4-4F22-B2F8-11E8F35C4C9C}"/>
    <cellStyle name="Currency 5 2 4 2 2 3" xfId="5064" xr:uid="{00000000-0005-0000-0000-0000290C0000}"/>
    <cellStyle name="Currency 5 2 4 2 2 3 2" xfId="13506" xr:uid="{67DC01E7-CD8F-4244-AD50-D94727F1EB73}"/>
    <cellStyle name="Currency 5 2 4 2 2 4" xfId="9288" xr:uid="{6636EDEA-D041-40A1-9F24-DEC744985EE8}"/>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2 2 2" xfId="16064" xr:uid="{CAF60FAB-858C-485F-B8D8-4EF0111ECB84}"/>
    <cellStyle name="Currency 5 2 4 2 3 2 3" xfId="11846" xr:uid="{9DD5460F-CB73-45B9-9AE2-7660495E58AE}"/>
    <cellStyle name="Currency 5 2 4 2 3 3" xfId="5477" xr:uid="{00000000-0005-0000-0000-00002D0C0000}"/>
    <cellStyle name="Currency 5 2 4 2 3 3 2" xfId="13919" xr:uid="{74EEC855-DFDC-4012-8C7B-4C85719934EC}"/>
    <cellStyle name="Currency 5 2 4 2 3 4" xfId="9701" xr:uid="{F42EC9BE-AAAB-4DF9-86C4-66BABFD19E23}"/>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2 2 2" xfId="16477" xr:uid="{20DCD159-C9B9-414B-A122-1644418176F8}"/>
    <cellStyle name="Currency 5 2 4 2 4 2 3" xfId="12259" xr:uid="{AFCA1716-1412-42F3-8FE8-DDE3082DF0DA}"/>
    <cellStyle name="Currency 5 2 4 2 4 3" xfId="5890" xr:uid="{00000000-0005-0000-0000-0000310C0000}"/>
    <cellStyle name="Currency 5 2 4 2 4 3 2" xfId="14332" xr:uid="{B0632BD9-1B20-4B59-8E16-E0B2389AD80A}"/>
    <cellStyle name="Currency 5 2 4 2 4 4" xfId="10114" xr:uid="{838E3956-7F33-4C1B-91D0-2B826E7B0901}"/>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2 2 2" xfId="16890" xr:uid="{8029314D-D3A2-4013-8BDD-8A37393F685C}"/>
    <cellStyle name="Currency 5 2 4 2 5 2 3" xfId="12672" xr:uid="{0C9664C2-89C5-468A-99E8-7CD33AACCCC1}"/>
    <cellStyle name="Currency 5 2 4 2 5 3" xfId="6303" xr:uid="{00000000-0005-0000-0000-0000350C0000}"/>
    <cellStyle name="Currency 5 2 4 2 5 3 2" xfId="14745" xr:uid="{25E22DBE-2951-4C2B-A66B-4E33C1F1FA0F}"/>
    <cellStyle name="Currency 5 2 4 2 5 4" xfId="10527" xr:uid="{0DBD5F4C-6101-4D64-AE34-6562412C05C4}"/>
    <cellStyle name="Currency 5 2 4 2 6" xfId="2431" xr:uid="{00000000-0005-0000-0000-0000360C0000}"/>
    <cellStyle name="Currency 5 2 4 2 6 2" xfId="6716" xr:uid="{00000000-0005-0000-0000-0000370C0000}"/>
    <cellStyle name="Currency 5 2 4 2 6 2 2" xfId="15158" xr:uid="{447CF89E-6F5D-4AF0-BA23-CA4FE2677E1D}"/>
    <cellStyle name="Currency 5 2 4 2 6 3" xfId="10940" xr:uid="{54049D58-94C9-4CF0-BA86-CA3E8790F807}"/>
    <cellStyle name="Currency 5 2 4 2 7" xfId="2728" xr:uid="{00000000-0005-0000-0000-0000380C0000}"/>
    <cellStyle name="Currency 5 2 4 2 8" xfId="2809" xr:uid="{00000000-0005-0000-0000-0000390C0000}"/>
    <cellStyle name="Currency 5 2 4 2 8 2" xfId="7033" xr:uid="{00000000-0005-0000-0000-00003A0C0000}"/>
    <cellStyle name="Currency 5 2 4 2 8 2 2" xfId="15475" xr:uid="{9C6EA4F2-6391-451A-8D24-7F209773FB49}"/>
    <cellStyle name="Currency 5 2 4 2 8 3" xfId="11257" xr:uid="{53A791CB-8FEB-4757-8693-EB0224BDD9F5}"/>
    <cellStyle name="Currency 5 2 4 2 9" xfId="4650" xr:uid="{00000000-0005-0000-0000-00003B0C0000}"/>
    <cellStyle name="Currency 5 2 4 2 9 2" xfId="13092" xr:uid="{FEDC6538-25DC-4371-9E22-84C9247D7433}"/>
    <cellStyle name="Currency 5 2 4 3" xfId="732" xr:uid="{00000000-0005-0000-0000-00003C0C0000}"/>
    <cellStyle name="Currency 5 2 4 3 2" xfId="2985" xr:uid="{00000000-0005-0000-0000-00003D0C0000}"/>
    <cellStyle name="Currency 5 2 4 3 2 2" xfId="7208" xr:uid="{00000000-0005-0000-0000-00003E0C0000}"/>
    <cellStyle name="Currency 5 2 4 3 2 2 2" xfId="15650" xr:uid="{A279AE7D-0F1E-4CEA-B2EB-49847FBC1618}"/>
    <cellStyle name="Currency 5 2 4 3 2 3" xfId="11432" xr:uid="{676DEFA0-D588-40BC-A148-152D52C20379}"/>
    <cellStyle name="Currency 5 2 4 3 3" xfId="5063" xr:uid="{00000000-0005-0000-0000-00003F0C0000}"/>
    <cellStyle name="Currency 5 2 4 3 3 2" xfId="13505" xr:uid="{C40AC31E-812F-41D4-8358-263F7E9E0AF5}"/>
    <cellStyle name="Currency 5 2 4 3 4" xfId="9287" xr:uid="{EDE72EF4-D1C2-4BD3-AD69-9F031647C572}"/>
    <cellStyle name="Currency 5 2 4 4" xfId="1167" xr:uid="{00000000-0005-0000-0000-0000400C0000}"/>
    <cellStyle name="Currency 5 2 4 4 2" xfId="3398" xr:uid="{00000000-0005-0000-0000-0000410C0000}"/>
    <cellStyle name="Currency 5 2 4 4 2 2" xfId="7621" xr:uid="{00000000-0005-0000-0000-0000420C0000}"/>
    <cellStyle name="Currency 5 2 4 4 2 2 2" xfId="16063" xr:uid="{4A4D8783-137C-485A-AEFC-E5B709CA17CB}"/>
    <cellStyle name="Currency 5 2 4 4 2 3" xfId="11845" xr:uid="{C4ECA2F7-9EB8-49B5-A21E-47CE9339E5B3}"/>
    <cellStyle name="Currency 5 2 4 4 3" xfId="5476" xr:uid="{00000000-0005-0000-0000-0000430C0000}"/>
    <cellStyle name="Currency 5 2 4 4 3 2" xfId="13918" xr:uid="{8D6FBBF4-0253-444E-A86C-599788A8CDA1}"/>
    <cellStyle name="Currency 5 2 4 4 4" xfId="9700" xr:uid="{B4CBAD1D-6AD0-4EF6-9C85-FBD77594EF0B}"/>
    <cellStyle name="Currency 5 2 4 5" xfId="1581" xr:uid="{00000000-0005-0000-0000-0000440C0000}"/>
    <cellStyle name="Currency 5 2 4 5 2" xfId="3811" xr:uid="{00000000-0005-0000-0000-0000450C0000}"/>
    <cellStyle name="Currency 5 2 4 5 2 2" xfId="8034" xr:uid="{00000000-0005-0000-0000-0000460C0000}"/>
    <cellStyle name="Currency 5 2 4 5 2 2 2" xfId="16476" xr:uid="{35E8E2B3-3088-44BD-BB14-A04EEEC70AE8}"/>
    <cellStyle name="Currency 5 2 4 5 2 3" xfId="12258" xr:uid="{3E48F894-3EB3-4859-BF71-6900E296F3C2}"/>
    <cellStyle name="Currency 5 2 4 5 3" xfId="5889" xr:uid="{00000000-0005-0000-0000-0000470C0000}"/>
    <cellStyle name="Currency 5 2 4 5 3 2" xfId="14331" xr:uid="{B9DE43BC-ACD3-498A-B30D-50B369428057}"/>
    <cellStyle name="Currency 5 2 4 5 4" xfId="10113" xr:uid="{35D449D4-FD6B-4E23-B502-D66624ED4DE6}"/>
    <cellStyle name="Currency 5 2 4 6" xfId="1995" xr:uid="{00000000-0005-0000-0000-0000480C0000}"/>
    <cellStyle name="Currency 5 2 4 6 2" xfId="4224" xr:uid="{00000000-0005-0000-0000-0000490C0000}"/>
    <cellStyle name="Currency 5 2 4 6 2 2" xfId="8447" xr:uid="{00000000-0005-0000-0000-00004A0C0000}"/>
    <cellStyle name="Currency 5 2 4 6 2 2 2" xfId="16889" xr:uid="{CD90B5A1-AF0F-402B-98F3-5D719E21CAAA}"/>
    <cellStyle name="Currency 5 2 4 6 2 3" xfId="12671" xr:uid="{8292C42A-7B8A-4E97-B071-C92BAF77A48E}"/>
    <cellStyle name="Currency 5 2 4 6 3" xfId="6302" xr:uid="{00000000-0005-0000-0000-00004B0C0000}"/>
    <cellStyle name="Currency 5 2 4 6 3 2" xfId="14744" xr:uid="{2D9FC2D6-E756-4A5A-B579-D73F7367609B}"/>
    <cellStyle name="Currency 5 2 4 6 4" xfId="10526" xr:uid="{6A4CB8C9-3D28-41F7-8831-7E417D48C7EF}"/>
    <cellStyle name="Currency 5 2 4 7" xfId="2430" xr:uid="{00000000-0005-0000-0000-00004C0C0000}"/>
    <cellStyle name="Currency 5 2 4 7 2" xfId="6715" xr:uid="{00000000-0005-0000-0000-00004D0C0000}"/>
    <cellStyle name="Currency 5 2 4 7 2 2" xfId="15157" xr:uid="{9CA6C54A-9FB4-476A-8E08-6A2C9CBAB0EB}"/>
    <cellStyle name="Currency 5 2 4 7 3" xfId="10939" xr:uid="{1FAC8D8E-4182-47FE-9A52-1E057C1E0627}"/>
    <cellStyle name="Currency 5 2 4 8" xfId="2727" xr:uid="{00000000-0005-0000-0000-00004E0C0000}"/>
    <cellStyle name="Currency 5 2 4 9" xfId="2808" xr:uid="{00000000-0005-0000-0000-00004F0C0000}"/>
    <cellStyle name="Currency 5 2 4 9 2" xfId="7032" xr:uid="{00000000-0005-0000-0000-0000500C0000}"/>
    <cellStyle name="Currency 5 2 4 9 2 2" xfId="15474" xr:uid="{1DFF53B0-DE55-4F3A-A7F2-D00FFDA29A06}"/>
    <cellStyle name="Currency 5 2 4 9 3" xfId="11256" xr:uid="{26820769-FDB0-467E-92BC-D59207FECE01}"/>
    <cellStyle name="Currency 5 2 5" xfId="207" xr:uid="{00000000-0005-0000-0000-0000510C0000}"/>
    <cellStyle name="Currency 5 2 5 10" xfId="8875" xr:uid="{1229A085-97B1-4C58-90CF-3F91ECBE88C2}"/>
    <cellStyle name="Currency 5 2 5 2" xfId="734" xr:uid="{00000000-0005-0000-0000-0000520C0000}"/>
    <cellStyle name="Currency 5 2 5 2 2" xfId="2987" xr:uid="{00000000-0005-0000-0000-0000530C0000}"/>
    <cellStyle name="Currency 5 2 5 2 2 2" xfId="7210" xr:uid="{00000000-0005-0000-0000-0000540C0000}"/>
    <cellStyle name="Currency 5 2 5 2 2 2 2" xfId="15652" xr:uid="{AEE50A05-AACD-4794-9F31-3FB02511B9AE}"/>
    <cellStyle name="Currency 5 2 5 2 2 3" xfId="11434" xr:uid="{79BE47F3-620F-4067-A7E4-DC9B406183AE}"/>
    <cellStyle name="Currency 5 2 5 2 3" xfId="5065" xr:uid="{00000000-0005-0000-0000-0000550C0000}"/>
    <cellStyle name="Currency 5 2 5 2 3 2" xfId="13507" xr:uid="{CFE711BE-12B4-4FF8-8396-0D2081729462}"/>
    <cellStyle name="Currency 5 2 5 2 4" xfId="9289" xr:uid="{C4E607DD-D022-4292-87D1-93BA227D10D2}"/>
    <cellStyle name="Currency 5 2 5 3" xfId="1169" xr:uid="{00000000-0005-0000-0000-0000560C0000}"/>
    <cellStyle name="Currency 5 2 5 3 2" xfId="3400" xr:uid="{00000000-0005-0000-0000-0000570C0000}"/>
    <cellStyle name="Currency 5 2 5 3 2 2" xfId="7623" xr:uid="{00000000-0005-0000-0000-0000580C0000}"/>
    <cellStyle name="Currency 5 2 5 3 2 2 2" xfId="16065" xr:uid="{7EC9DC14-31BA-43D1-AF56-3B48A686CF41}"/>
    <cellStyle name="Currency 5 2 5 3 2 3" xfId="11847" xr:uid="{C9E80CFE-018E-407B-981B-C2E522DB2F0D}"/>
    <cellStyle name="Currency 5 2 5 3 3" xfId="5478" xr:uid="{00000000-0005-0000-0000-0000590C0000}"/>
    <cellStyle name="Currency 5 2 5 3 3 2" xfId="13920" xr:uid="{592F421B-3D41-46AA-9806-229D4CFD33C7}"/>
    <cellStyle name="Currency 5 2 5 3 4" xfId="9702" xr:uid="{ECA31110-357A-448B-8330-3DE7EB6AF4E9}"/>
    <cellStyle name="Currency 5 2 5 4" xfId="1583" xr:uid="{00000000-0005-0000-0000-00005A0C0000}"/>
    <cellStyle name="Currency 5 2 5 4 2" xfId="3813" xr:uid="{00000000-0005-0000-0000-00005B0C0000}"/>
    <cellStyle name="Currency 5 2 5 4 2 2" xfId="8036" xr:uid="{00000000-0005-0000-0000-00005C0C0000}"/>
    <cellStyle name="Currency 5 2 5 4 2 2 2" xfId="16478" xr:uid="{79CEE944-1A29-4621-8B31-E537EF3F4993}"/>
    <cellStyle name="Currency 5 2 5 4 2 3" xfId="12260" xr:uid="{3F8C02C1-948F-470D-B5EE-638A7B243CD7}"/>
    <cellStyle name="Currency 5 2 5 4 3" xfId="5891" xr:uid="{00000000-0005-0000-0000-00005D0C0000}"/>
    <cellStyle name="Currency 5 2 5 4 3 2" xfId="14333" xr:uid="{EFDA61F2-6138-4883-9914-9B661A6D51B7}"/>
    <cellStyle name="Currency 5 2 5 4 4" xfId="10115" xr:uid="{FEDB7F2D-12FB-4E84-9010-E1535263E0F0}"/>
    <cellStyle name="Currency 5 2 5 5" xfId="1997" xr:uid="{00000000-0005-0000-0000-00005E0C0000}"/>
    <cellStyle name="Currency 5 2 5 5 2" xfId="4226" xr:uid="{00000000-0005-0000-0000-00005F0C0000}"/>
    <cellStyle name="Currency 5 2 5 5 2 2" xfId="8449" xr:uid="{00000000-0005-0000-0000-0000600C0000}"/>
    <cellStyle name="Currency 5 2 5 5 2 2 2" xfId="16891" xr:uid="{68C8947A-F13C-4648-9D4E-2E0450FEF48D}"/>
    <cellStyle name="Currency 5 2 5 5 2 3" xfId="12673" xr:uid="{C15E6CFA-C9EB-4178-AF54-9A6FCAEB95E9}"/>
    <cellStyle name="Currency 5 2 5 5 3" xfId="6304" xr:uid="{00000000-0005-0000-0000-0000610C0000}"/>
    <cellStyle name="Currency 5 2 5 5 3 2" xfId="14746" xr:uid="{EB0E23CB-AF50-4229-A78D-AE8F0F72BDFE}"/>
    <cellStyle name="Currency 5 2 5 5 4" xfId="10528" xr:uid="{B42E11DE-224E-4620-AF71-7272FE26CA87}"/>
    <cellStyle name="Currency 5 2 5 6" xfId="2432" xr:uid="{00000000-0005-0000-0000-0000620C0000}"/>
    <cellStyle name="Currency 5 2 5 6 2" xfId="6717" xr:uid="{00000000-0005-0000-0000-0000630C0000}"/>
    <cellStyle name="Currency 5 2 5 6 2 2" xfId="15159" xr:uid="{A0FE6520-2D49-476B-A001-AD41951075DD}"/>
    <cellStyle name="Currency 5 2 5 6 3" xfId="10941" xr:uid="{BC1ED918-4CAF-4C4B-9846-5B0239A11CA9}"/>
    <cellStyle name="Currency 5 2 5 7" xfId="2729" xr:uid="{00000000-0005-0000-0000-0000640C0000}"/>
    <cellStyle name="Currency 5 2 5 8" xfId="2810" xr:uid="{00000000-0005-0000-0000-0000650C0000}"/>
    <cellStyle name="Currency 5 2 5 8 2" xfId="7034" xr:uid="{00000000-0005-0000-0000-0000660C0000}"/>
    <cellStyle name="Currency 5 2 5 8 2 2" xfId="15476" xr:uid="{C24DE351-D30A-4F0C-BA1A-D11BAAEC52AC}"/>
    <cellStyle name="Currency 5 2 5 8 3" xfId="11258" xr:uid="{D020F752-A8DF-4714-A40A-F9034C50A8C4}"/>
    <cellStyle name="Currency 5 2 5 9" xfId="4651" xr:uid="{00000000-0005-0000-0000-0000670C0000}"/>
    <cellStyle name="Currency 5 2 5 9 2" xfId="13093" xr:uid="{38CF8F27-F241-412B-A05E-31EBFCA1DC32}"/>
    <cellStyle name="Currency 5 2 6" xfId="208" xr:uid="{00000000-0005-0000-0000-0000680C0000}"/>
    <cellStyle name="Currency 5 2 6 10" xfId="8876" xr:uid="{62E6447C-ECF9-4757-A233-633AC76CE1A2}"/>
    <cellStyle name="Currency 5 2 6 2" xfId="735" xr:uid="{00000000-0005-0000-0000-0000690C0000}"/>
    <cellStyle name="Currency 5 2 6 2 2" xfId="2988" xr:uid="{00000000-0005-0000-0000-00006A0C0000}"/>
    <cellStyle name="Currency 5 2 6 2 2 2" xfId="7211" xr:uid="{00000000-0005-0000-0000-00006B0C0000}"/>
    <cellStyle name="Currency 5 2 6 2 2 2 2" xfId="15653" xr:uid="{8A7FFEA9-D908-4602-A3F7-2D801C404791}"/>
    <cellStyle name="Currency 5 2 6 2 2 3" xfId="11435" xr:uid="{104AA389-68FE-4F8A-8683-7FE8CEFCCF86}"/>
    <cellStyle name="Currency 5 2 6 2 3" xfId="5066" xr:uid="{00000000-0005-0000-0000-00006C0C0000}"/>
    <cellStyle name="Currency 5 2 6 2 3 2" xfId="13508" xr:uid="{35ED666F-3D5B-4FC4-9727-4459624A9F1F}"/>
    <cellStyle name="Currency 5 2 6 2 4" xfId="9290" xr:uid="{F54B5004-69AC-40F8-9844-0E6313E77466}"/>
    <cellStyle name="Currency 5 2 6 3" xfId="1170" xr:uid="{00000000-0005-0000-0000-00006D0C0000}"/>
    <cellStyle name="Currency 5 2 6 3 2" xfId="3401" xr:uid="{00000000-0005-0000-0000-00006E0C0000}"/>
    <cellStyle name="Currency 5 2 6 3 2 2" xfId="7624" xr:uid="{00000000-0005-0000-0000-00006F0C0000}"/>
    <cellStyle name="Currency 5 2 6 3 2 2 2" xfId="16066" xr:uid="{933085CD-95C5-46AF-B44C-AD09B865B0CC}"/>
    <cellStyle name="Currency 5 2 6 3 2 3" xfId="11848" xr:uid="{5535E761-E6F4-45DE-868C-D8CFE9B96C3B}"/>
    <cellStyle name="Currency 5 2 6 3 3" xfId="5479" xr:uid="{00000000-0005-0000-0000-0000700C0000}"/>
    <cellStyle name="Currency 5 2 6 3 3 2" xfId="13921" xr:uid="{63E2EF83-F21B-49CF-99B1-064BFEDFE8C1}"/>
    <cellStyle name="Currency 5 2 6 3 4" xfId="9703" xr:uid="{F86E70DB-C816-4478-AF4D-261C60F57C0B}"/>
    <cellStyle name="Currency 5 2 6 4" xfId="1584" xr:uid="{00000000-0005-0000-0000-0000710C0000}"/>
    <cellStyle name="Currency 5 2 6 4 2" xfId="3814" xr:uid="{00000000-0005-0000-0000-0000720C0000}"/>
    <cellStyle name="Currency 5 2 6 4 2 2" xfId="8037" xr:uid="{00000000-0005-0000-0000-0000730C0000}"/>
    <cellStyle name="Currency 5 2 6 4 2 2 2" xfId="16479" xr:uid="{239AAFD8-AAEA-40D3-8693-6FA5E14D5C1C}"/>
    <cellStyle name="Currency 5 2 6 4 2 3" xfId="12261" xr:uid="{7F0BEFC0-9CC1-451B-A110-4854F91BBD35}"/>
    <cellStyle name="Currency 5 2 6 4 3" xfId="5892" xr:uid="{00000000-0005-0000-0000-0000740C0000}"/>
    <cellStyle name="Currency 5 2 6 4 3 2" xfId="14334" xr:uid="{AD69AC40-7E7E-400A-B281-0220EC3D2FC1}"/>
    <cellStyle name="Currency 5 2 6 4 4" xfId="10116" xr:uid="{0C07D54D-72C9-47B4-AD98-2D7068F72C76}"/>
    <cellStyle name="Currency 5 2 6 5" xfId="1998" xr:uid="{00000000-0005-0000-0000-0000750C0000}"/>
    <cellStyle name="Currency 5 2 6 5 2" xfId="4227" xr:uid="{00000000-0005-0000-0000-0000760C0000}"/>
    <cellStyle name="Currency 5 2 6 5 2 2" xfId="8450" xr:uid="{00000000-0005-0000-0000-0000770C0000}"/>
    <cellStyle name="Currency 5 2 6 5 2 2 2" xfId="16892" xr:uid="{C5F23203-7435-4C5A-A326-9D746685C88C}"/>
    <cellStyle name="Currency 5 2 6 5 2 3" xfId="12674" xr:uid="{7C237DDA-459E-4A00-A2AC-F849C4386A99}"/>
    <cellStyle name="Currency 5 2 6 5 3" xfId="6305" xr:uid="{00000000-0005-0000-0000-0000780C0000}"/>
    <cellStyle name="Currency 5 2 6 5 3 2" xfId="14747" xr:uid="{3525FF38-CEE0-4873-AD0F-B0AD097A37C7}"/>
    <cellStyle name="Currency 5 2 6 5 4" xfId="10529" xr:uid="{D51AB375-E955-432B-86CA-2D7E1B849267}"/>
    <cellStyle name="Currency 5 2 6 6" xfId="2433" xr:uid="{00000000-0005-0000-0000-0000790C0000}"/>
    <cellStyle name="Currency 5 2 6 6 2" xfId="6718" xr:uid="{00000000-0005-0000-0000-00007A0C0000}"/>
    <cellStyle name="Currency 5 2 6 6 2 2" xfId="15160" xr:uid="{28926659-1584-4A2B-9577-DE7CCCA450A9}"/>
    <cellStyle name="Currency 5 2 6 6 3" xfId="10942" xr:uid="{AD10847C-039D-4E55-804E-56BF891C43DF}"/>
    <cellStyle name="Currency 5 2 6 7" xfId="2730" xr:uid="{00000000-0005-0000-0000-00007B0C0000}"/>
    <cellStyle name="Currency 5 2 6 8" xfId="2811" xr:uid="{00000000-0005-0000-0000-00007C0C0000}"/>
    <cellStyle name="Currency 5 2 6 8 2" xfId="7035" xr:uid="{00000000-0005-0000-0000-00007D0C0000}"/>
    <cellStyle name="Currency 5 2 6 8 2 2" xfId="15477" xr:uid="{65DB1B7D-7C44-4DFB-9B79-B0CAE81067C4}"/>
    <cellStyle name="Currency 5 2 6 8 3" xfId="11259" xr:uid="{3966646C-0AE3-47AE-8142-CD8A712F7C3C}"/>
    <cellStyle name="Currency 5 2 6 9" xfId="4652" xr:uid="{00000000-0005-0000-0000-00007E0C0000}"/>
    <cellStyle name="Currency 5 2 6 9 2" xfId="13094" xr:uid="{BE09220F-493F-45CB-9B3D-2EA79401E149}"/>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0 2 2" xfId="15478" xr:uid="{9C4BB3B2-EA2B-48B5-8157-D269A21AA08E}"/>
    <cellStyle name="Currency 5 3 2 10 3" xfId="11260" xr:uid="{8237824E-1806-4DAC-AF48-829A68DD5853}"/>
    <cellStyle name="Currency 5 3 2 11" xfId="4653" xr:uid="{00000000-0005-0000-0000-0000840C0000}"/>
    <cellStyle name="Currency 5 3 2 11 2" xfId="13095" xr:uid="{E7ABD8CA-5ECA-437F-AF11-0C65F5347E6F}"/>
    <cellStyle name="Currency 5 3 2 12" xfId="8877" xr:uid="{A16E2E8F-9F0B-4C4B-960B-C7067CC0D275}"/>
    <cellStyle name="Currency 5 3 2 2" xfId="211" xr:uid="{00000000-0005-0000-0000-0000850C0000}"/>
    <cellStyle name="Currency 5 3 2 2 10" xfId="4654" xr:uid="{00000000-0005-0000-0000-0000860C0000}"/>
    <cellStyle name="Currency 5 3 2 2 10 2" xfId="13096" xr:uid="{01FA9CC4-A11C-46F7-B772-B6EBF4144EEC}"/>
    <cellStyle name="Currency 5 3 2 2 11" xfId="8878" xr:uid="{483F9E79-EEBC-4F08-8247-3F7A61658819}"/>
    <cellStyle name="Currency 5 3 2 2 2" xfId="212" xr:uid="{00000000-0005-0000-0000-0000870C0000}"/>
    <cellStyle name="Currency 5 3 2 2 2 10" xfId="8879" xr:uid="{40B5CCEE-CEFB-47C7-8867-AF11F5963587}"/>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2 2 2" xfId="15656" xr:uid="{E2A66377-C6AE-47A7-ABA0-D88C603B10DB}"/>
    <cellStyle name="Currency 5 3 2 2 2 2 2 3" xfId="11438" xr:uid="{E734A10A-72F8-4941-9E30-CADF5FCD62F3}"/>
    <cellStyle name="Currency 5 3 2 2 2 2 3" xfId="5069" xr:uid="{00000000-0005-0000-0000-00008B0C0000}"/>
    <cellStyle name="Currency 5 3 2 2 2 2 3 2" xfId="13511" xr:uid="{44DB28EA-B1EC-44AB-956B-A20B510E0CE7}"/>
    <cellStyle name="Currency 5 3 2 2 2 2 4" xfId="9293" xr:uid="{65221D21-FF63-4B2C-A2F9-11BEBF052A92}"/>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2 2 2" xfId="16069" xr:uid="{2C3A8594-A9E5-4675-85A4-12620390BD25}"/>
    <cellStyle name="Currency 5 3 2 2 2 3 2 3" xfId="11851" xr:uid="{1170E9FD-7F26-44F0-928E-03CB86DA0CBB}"/>
    <cellStyle name="Currency 5 3 2 2 2 3 3" xfId="5482" xr:uid="{00000000-0005-0000-0000-00008F0C0000}"/>
    <cellStyle name="Currency 5 3 2 2 2 3 3 2" xfId="13924" xr:uid="{831D0847-FAC2-4B06-82AB-EF6068250010}"/>
    <cellStyle name="Currency 5 3 2 2 2 3 4" xfId="9706" xr:uid="{B3225CB5-CBB5-463A-B1FC-242C6AB530A4}"/>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2 2 2" xfId="16482" xr:uid="{D93F994C-328A-4424-AB02-1786876393ED}"/>
    <cellStyle name="Currency 5 3 2 2 2 4 2 3" xfId="12264" xr:uid="{C8053172-04AB-4B1B-A501-52C01A3AE7D2}"/>
    <cellStyle name="Currency 5 3 2 2 2 4 3" xfId="5895" xr:uid="{00000000-0005-0000-0000-0000930C0000}"/>
    <cellStyle name="Currency 5 3 2 2 2 4 3 2" xfId="14337" xr:uid="{C2E1421B-8BA9-4D09-B920-29FD35F24BEE}"/>
    <cellStyle name="Currency 5 3 2 2 2 4 4" xfId="10119" xr:uid="{8B9983B4-5E5E-46AE-B33A-840D57EB0208}"/>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2 2 2" xfId="16895" xr:uid="{B84B4840-1650-4AFB-96BE-7B2A07751B3A}"/>
    <cellStyle name="Currency 5 3 2 2 2 5 2 3" xfId="12677" xr:uid="{A69EA522-C7CD-44C5-92DA-B7B7AB22EEB3}"/>
    <cellStyle name="Currency 5 3 2 2 2 5 3" xfId="6308" xr:uid="{00000000-0005-0000-0000-0000970C0000}"/>
    <cellStyle name="Currency 5 3 2 2 2 5 3 2" xfId="14750" xr:uid="{580A34C6-B0AA-496C-8CDE-406330624765}"/>
    <cellStyle name="Currency 5 3 2 2 2 5 4" xfId="10532" xr:uid="{5C601CF3-DDCF-422D-89E0-9C0D972295E6}"/>
    <cellStyle name="Currency 5 3 2 2 2 6" xfId="2436" xr:uid="{00000000-0005-0000-0000-0000980C0000}"/>
    <cellStyle name="Currency 5 3 2 2 2 6 2" xfId="6721" xr:uid="{00000000-0005-0000-0000-0000990C0000}"/>
    <cellStyle name="Currency 5 3 2 2 2 6 2 2" xfId="15163" xr:uid="{2966F422-2B27-4F8C-8451-B151848E34A4}"/>
    <cellStyle name="Currency 5 3 2 2 2 6 3" xfId="10945" xr:uid="{97B06A40-1587-4AF9-8827-CFD83CD505DB}"/>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8 2 2" xfId="15480" xr:uid="{94F83714-34B1-4EA3-8E72-44473FADD792}"/>
    <cellStyle name="Currency 5 3 2 2 2 8 3" xfId="11262" xr:uid="{89684CA2-370E-4916-86FD-A5EAE73FF07A}"/>
    <cellStyle name="Currency 5 3 2 2 2 9" xfId="4655" xr:uid="{00000000-0005-0000-0000-00009D0C0000}"/>
    <cellStyle name="Currency 5 3 2 2 2 9 2" xfId="13097" xr:uid="{EF7E14A4-4CF1-4E4F-BE71-8A5CDAE7F067}"/>
    <cellStyle name="Currency 5 3 2 2 3" xfId="737" xr:uid="{00000000-0005-0000-0000-00009E0C0000}"/>
    <cellStyle name="Currency 5 3 2 2 3 2" xfId="2990" xr:uid="{00000000-0005-0000-0000-00009F0C0000}"/>
    <cellStyle name="Currency 5 3 2 2 3 2 2" xfId="7213" xr:uid="{00000000-0005-0000-0000-0000A00C0000}"/>
    <cellStyle name="Currency 5 3 2 2 3 2 2 2" xfId="15655" xr:uid="{17054AF8-7CD3-42AA-A5EA-9DEADD5CB764}"/>
    <cellStyle name="Currency 5 3 2 2 3 2 3" xfId="11437" xr:uid="{DB71E4FA-C3A1-436A-A7F8-3CCA97D32B22}"/>
    <cellStyle name="Currency 5 3 2 2 3 3" xfId="5068" xr:uid="{00000000-0005-0000-0000-0000A10C0000}"/>
    <cellStyle name="Currency 5 3 2 2 3 3 2" xfId="13510" xr:uid="{04E334C9-3AC3-4F9F-937D-AC2ABB5CEAED}"/>
    <cellStyle name="Currency 5 3 2 2 3 4" xfId="9292" xr:uid="{1DDEF79A-1F90-4371-9253-A87D7AFEB555}"/>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2 2 2" xfId="16068" xr:uid="{3885BE15-0E9B-4136-BA91-5A12243FD05D}"/>
    <cellStyle name="Currency 5 3 2 2 4 2 3" xfId="11850" xr:uid="{75E4998A-B6F1-4713-96FA-6F3962C86528}"/>
    <cellStyle name="Currency 5 3 2 2 4 3" xfId="5481" xr:uid="{00000000-0005-0000-0000-0000A50C0000}"/>
    <cellStyle name="Currency 5 3 2 2 4 3 2" xfId="13923" xr:uid="{870F7CDB-5366-4838-B151-68EBE16AD535}"/>
    <cellStyle name="Currency 5 3 2 2 4 4" xfId="9705" xr:uid="{301891C8-02D1-44C0-B082-8112FF1B5D83}"/>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2 2 2" xfId="16481" xr:uid="{D471D63E-C9E5-4996-9BD7-94A06149AB0C}"/>
    <cellStyle name="Currency 5 3 2 2 5 2 3" xfId="12263" xr:uid="{456FB8F3-9D3C-4072-AB9F-D43DAF8F6E78}"/>
    <cellStyle name="Currency 5 3 2 2 5 3" xfId="5894" xr:uid="{00000000-0005-0000-0000-0000A90C0000}"/>
    <cellStyle name="Currency 5 3 2 2 5 3 2" xfId="14336" xr:uid="{A017D269-D2CA-44F1-AEF5-50C6A0E39B74}"/>
    <cellStyle name="Currency 5 3 2 2 5 4" xfId="10118" xr:uid="{845013BD-6709-4554-82A2-7951CA7EF6E3}"/>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2 2 2" xfId="16894" xr:uid="{8006BEDD-B563-4BEA-804E-D94D30435F87}"/>
    <cellStyle name="Currency 5 3 2 2 6 2 3" xfId="12676" xr:uid="{4D3FB612-BFD6-4A96-B139-6AA2059B319E}"/>
    <cellStyle name="Currency 5 3 2 2 6 3" xfId="6307" xr:uid="{00000000-0005-0000-0000-0000AD0C0000}"/>
    <cellStyle name="Currency 5 3 2 2 6 3 2" xfId="14749" xr:uid="{8C86E5A7-1343-433C-B9C7-89EC3F9F14E5}"/>
    <cellStyle name="Currency 5 3 2 2 6 4" xfId="10531" xr:uid="{E3F58AFA-DA6F-4FDC-9128-057901B75099}"/>
    <cellStyle name="Currency 5 3 2 2 7" xfId="2435" xr:uid="{00000000-0005-0000-0000-0000AE0C0000}"/>
    <cellStyle name="Currency 5 3 2 2 7 2" xfId="6720" xr:uid="{00000000-0005-0000-0000-0000AF0C0000}"/>
    <cellStyle name="Currency 5 3 2 2 7 2 2" xfId="15162" xr:uid="{E1F63E9B-ED95-4905-A996-3653DD556851}"/>
    <cellStyle name="Currency 5 3 2 2 7 3" xfId="10944" xr:uid="{2069FE05-1C6F-4684-9877-C0335085552C}"/>
    <cellStyle name="Currency 5 3 2 2 8" xfId="2732" xr:uid="{00000000-0005-0000-0000-0000B00C0000}"/>
    <cellStyle name="Currency 5 3 2 2 9" xfId="2813" xr:uid="{00000000-0005-0000-0000-0000B10C0000}"/>
    <cellStyle name="Currency 5 3 2 2 9 2" xfId="7037" xr:uid="{00000000-0005-0000-0000-0000B20C0000}"/>
    <cellStyle name="Currency 5 3 2 2 9 2 2" xfId="15479" xr:uid="{0ABC0CDD-B517-4388-8680-876C7C966FCF}"/>
    <cellStyle name="Currency 5 3 2 2 9 3" xfId="11261" xr:uid="{604DF250-BF2F-417D-B15C-99E6B21D450E}"/>
    <cellStyle name="Currency 5 3 2 3" xfId="213" xr:uid="{00000000-0005-0000-0000-0000B30C0000}"/>
    <cellStyle name="Currency 5 3 2 3 10" xfId="8880" xr:uid="{D6146F63-904C-44E0-B9A9-4050B55EFEF6}"/>
    <cellStyle name="Currency 5 3 2 3 2" xfId="739" xr:uid="{00000000-0005-0000-0000-0000B40C0000}"/>
    <cellStyle name="Currency 5 3 2 3 2 2" xfId="2992" xr:uid="{00000000-0005-0000-0000-0000B50C0000}"/>
    <cellStyle name="Currency 5 3 2 3 2 2 2" xfId="7215" xr:uid="{00000000-0005-0000-0000-0000B60C0000}"/>
    <cellStyle name="Currency 5 3 2 3 2 2 2 2" xfId="15657" xr:uid="{A2249EC1-F5A8-4278-AB4C-29FA77AB0C3D}"/>
    <cellStyle name="Currency 5 3 2 3 2 2 3" xfId="11439" xr:uid="{BC16DE05-BCE3-4ADB-850D-E8CA7D56A19B}"/>
    <cellStyle name="Currency 5 3 2 3 2 3" xfId="5070" xr:uid="{00000000-0005-0000-0000-0000B70C0000}"/>
    <cellStyle name="Currency 5 3 2 3 2 3 2" xfId="13512" xr:uid="{6E68967C-B7AC-49D3-B682-9B09788D9DDA}"/>
    <cellStyle name="Currency 5 3 2 3 2 4" xfId="9294" xr:uid="{EDA6ED54-74B7-4604-81A1-10EB6F9BC756}"/>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2 2 2" xfId="16070" xr:uid="{AEB969FD-CF64-43BD-BB87-D8E63F215C4E}"/>
    <cellStyle name="Currency 5 3 2 3 3 2 3" xfId="11852" xr:uid="{AAF892D5-7904-4F80-86A3-3A8C56C407C6}"/>
    <cellStyle name="Currency 5 3 2 3 3 3" xfId="5483" xr:uid="{00000000-0005-0000-0000-0000BB0C0000}"/>
    <cellStyle name="Currency 5 3 2 3 3 3 2" xfId="13925" xr:uid="{BBEDABCC-CAC3-4481-ABBE-3D4193994155}"/>
    <cellStyle name="Currency 5 3 2 3 3 4" xfId="9707" xr:uid="{736741F7-B2ED-497C-8E27-194BACF5C4F1}"/>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2 2 2" xfId="16483" xr:uid="{A95BE17F-2D0E-47E7-A700-FE9748E1DB1C}"/>
    <cellStyle name="Currency 5 3 2 3 4 2 3" xfId="12265" xr:uid="{A99A1F36-0D9B-4491-B113-B35DBDDA71BE}"/>
    <cellStyle name="Currency 5 3 2 3 4 3" xfId="5896" xr:uid="{00000000-0005-0000-0000-0000BF0C0000}"/>
    <cellStyle name="Currency 5 3 2 3 4 3 2" xfId="14338" xr:uid="{04B5074B-6F3C-45FC-BDD5-257B3D6E6560}"/>
    <cellStyle name="Currency 5 3 2 3 4 4" xfId="10120" xr:uid="{0E9FC755-74CE-4C52-ACB9-4E674C379147}"/>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2 2 2" xfId="16896" xr:uid="{2D08DDA3-263F-4E56-889D-7942DA113A31}"/>
    <cellStyle name="Currency 5 3 2 3 5 2 3" xfId="12678" xr:uid="{E76B008A-07D7-4F01-A74D-108A24F027DF}"/>
    <cellStyle name="Currency 5 3 2 3 5 3" xfId="6309" xr:uid="{00000000-0005-0000-0000-0000C30C0000}"/>
    <cellStyle name="Currency 5 3 2 3 5 3 2" xfId="14751" xr:uid="{56D53A35-BD21-44B0-BE4D-C1A39A5A2A9A}"/>
    <cellStyle name="Currency 5 3 2 3 5 4" xfId="10533" xr:uid="{00654B43-777C-4D51-A374-C0EA10C04DC0}"/>
    <cellStyle name="Currency 5 3 2 3 6" xfId="2437" xr:uid="{00000000-0005-0000-0000-0000C40C0000}"/>
    <cellStyle name="Currency 5 3 2 3 6 2" xfId="6722" xr:uid="{00000000-0005-0000-0000-0000C50C0000}"/>
    <cellStyle name="Currency 5 3 2 3 6 2 2" xfId="15164" xr:uid="{B1885D56-381E-4550-B82B-D44B8B15197F}"/>
    <cellStyle name="Currency 5 3 2 3 6 3" xfId="10946" xr:uid="{91DD2E5D-6238-4BF5-A882-AE55C5D7DDF7}"/>
    <cellStyle name="Currency 5 3 2 3 7" xfId="2734" xr:uid="{00000000-0005-0000-0000-0000C60C0000}"/>
    <cellStyle name="Currency 5 3 2 3 8" xfId="2815" xr:uid="{00000000-0005-0000-0000-0000C70C0000}"/>
    <cellStyle name="Currency 5 3 2 3 8 2" xfId="7039" xr:uid="{00000000-0005-0000-0000-0000C80C0000}"/>
    <cellStyle name="Currency 5 3 2 3 8 2 2" xfId="15481" xr:uid="{2462A47C-95DE-4BFF-B9EE-BDA94C90227C}"/>
    <cellStyle name="Currency 5 3 2 3 8 3" xfId="11263" xr:uid="{99AD4BCB-D3C9-4960-B082-8ED068E8D911}"/>
    <cellStyle name="Currency 5 3 2 3 9" xfId="4656" xr:uid="{00000000-0005-0000-0000-0000C90C0000}"/>
    <cellStyle name="Currency 5 3 2 3 9 2" xfId="13098" xr:uid="{3BB9D01D-06B6-4C25-B36A-389C61862118}"/>
    <cellStyle name="Currency 5 3 2 4" xfId="736" xr:uid="{00000000-0005-0000-0000-0000CA0C0000}"/>
    <cellStyle name="Currency 5 3 2 4 2" xfId="2989" xr:uid="{00000000-0005-0000-0000-0000CB0C0000}"/>
    <cellStyle name="Currency 5 3 2 4 2 2" xfId="7212" xr:uid="{00000000-0005-0000-0000-0000CC0C0000}"/>
    <cellStyle name="Currency 5 3 2 4 2 2 2" xfId="15654" xr:uid="{E191B413-424E-45E9-8A5F-969C4E364F20}"/>
    <cellStyle name="Currency 5 3 2 4 2 3" xfId="11436" xr:uid="{849892B3-13C8-46E9-8731-5B9F692EF3C7}"/>
    <cellStyle name="Currency 5 3 2 4 3" xfId="5067" xr:uid="{00000000-0005-0000-0000-0000CD0C0000}"/>
    <cellStyle name="Currency 5 3 2 4 3 2" xfId="13509" xr:uid="{916F1199-A309-48DF-9040-F642C49D17C8}"/>
    <cellStyle name="Currency 5 3 2 4 4" xfId="9291" xr:uid="{831C2C18-2997-4EC6-AD7D-25C9DDE119D7}"/>
    <cellStyle name="Currency 5 3 2 5" xfId="1171" xr:uid="{00000000-0005-0000-0000-0000CE0C0000}"/>
    <cellStyle name="Currency 5 3 2 5 2" xfId="3402" xr:uid="{00000000-0005-0000-0000-0000CF0C0000}"/>
    <cellStyle name="Currency 5 3 2 5 2 2" xfId="7625" xr:uid="{00000000-0005-0000-0000-0000D00C0000}"/>
    <cellStyle name="Currency 5 3 2 5 2 2 2" xfId="16067" xr:uid="{D52C8B51-60E0-4068-8787-CFD410D8E171}"/>
    <cellStyle name="Currency 5 3 2 5 2 3" xfId="11849" xr:uid="{CF0545B9-7731-4136-9EAD-42FAF90E7004}"/>
    <cellStyle name="Currency 5 3 2 5 3" xfId="5480" xr:uid="{00000000-0005-0000-0000-0000D10C0000}"/>
    <cellStyle name="Currency 5 3 2 5 3 2" xfId="13922" xr:uid="{F0789DEE-3D76-41E4-97FD-B0860038A435}"/>
    <cellStyle name="Currency 5 3 2 5 4" xfId="9704" xr:uid="{3D418D13-989E-48C5-A954-1632F7F9E7CD}"/>
    <cellStyle name="Currency 5 3 2 6" xfId="1585" xr:uid="{00000000-0005-0000-0000-0000D20C0000}"/>
    <cellStyle name="Currency 5 3 2 6 2" xfId="3815" xr:uid="{00000000-0005-0000-0000-0000D30C0000}"/>
    <cellStyle name="Currency 5 3 2 6 2 2" xfId="8038" xr:uid="{00000000-0005-0000-0000-0000D40C0000}"/>
    <cellStyle name="Currency 5 3 2 6 2 2 2" xfId="16480" xr:uid="{C63E1D1B-D1B6-4415-A54D-323A4F2F10A3}"/>
    <cellStyle name="Currency 5 3 2 6 2 3" xfId="12262" xr:uid="{A022C579-6964-4F82-A0F1-800895897E32}"/>
    <cellStyle name="Currency 5 3 2 6 3" xfId="5893" xr:uid="{00000000-0005-0000-0000-0000D50C0000}"/>
    <cellStyle name="Currency 5 3 2 6 3 2" xfId="14335" xr:uid="{415714A0-007B-483B-9DA2-BB567AF39C1C}"/>
    <cellStyle name="Currency 5 3 2 6 4" xfId="10117" xr:uid="{F843A6E7-6E34-4BEE-A6C4-3A06A9B959EC}"/>
    <cellStyle name="Currency 5 3 2 7" xfId="1999" xr:uid="{00000000-0005-0000-0000-0000D60C0000}"/>
    <cellStyle name="Currency 5 3 2 7 2" xfId="4228" xr:uid="{00000000-0005-0000-0000-0000D70C0000}"/>
    <cellStyle name="Currency 5 3 2 7 2 2" xfId="8451" xr:uid="{00000000-0005-0000-0000-0000D80C0000}"/>
    <cellStyle name="Currency 5 3 2 7 2 2 2" xfId="16893" xr:uid="{DB3AC535-A60D-429D-ACA9-A5D19BA6EB61}"/>
    <cellStyle name="Currency 5 3 2 7 2 3" xfId="12675" xr:uid="{557EC851-51DD-44C5-8894-0AD72CEC3E0F}"/>
    <cellStyle name="Currency 5 3 2 7 3" xfId="6306" xr:uid="{00000000-0005-0000-0000-0000D90C0000}"/>
    <cellStyle name="Currency 5 3 2 7 3 2" xfId="14748" xr:uid="{D64A0CAC-8B56-47FC-B732-EC3C39A64B80}"/>
    <cellStyle name="Currency 5 3 2 7 4" xfId="10530" xr:uid="{73A0B3F4-3FEA-4268-8A2B-32E90C2383FF}"/>
    <cellStyle name="Currency 5 3 2 8" xfId="2434" xr:uid="{00000000-0005-0000-0000-0000DA0C0000}"/>
    <cellStyle name="Currency 5 3 2 8 2" xfId="6719" xr:uid="{00000000-0005-0000-0000-0000DB0C0000}"/>
    <cellStyle name="Currency 5 3 2 8 2 2" xfId="15161" xr:uid="{1E9368D6-F754-42A9-BD2F-2552624B9928}"/>
    <cellStyle name="Currency 5 3 2 8 3" xfId="10943" xr:uid="{397B0472-C5F3-41D2-9EAF-4D1BC5FF5647}"/>
    <cellStyle name="Currency 5 3 2 9" xfId="2731" xr:uid="{00000000-0005-0000-0000-0000DC0C0000}"/>
    <cellStyle name="Currency 5 3 3" xfId="214" xr:uid="{00000000-0005-0000-0000-0000DD0C0000}"/>
    <cellStyle name="Currency 5 3 3 10" xfId="4657" xr:uid="{00000000-0005-0000-0000-0000DE0C0000}"/>
    <cellStyle name="Currency 5 3 3 10 2" xfId="13099" xr:uid="{FC5E922F-47EA-4B1B-8FD3-FAF045DF3D3B}"/>
    <cellStyle name="Currency 5 3 3 11" xfId="8881" xr:uid="{573F00DB-F6F7-4149-B452-D9AAC6F6D7F7}"/>
    <cellStyle name="Currency 5 3 3 2" xfId="215" xr:uid="{00000000-0005-0000-0000-0000DF0C0000}"/>
    <cellStyle name="Currency 5 3 3 2 10" xfId="8882" xr:uid="{72E6FE0B-BA16-45BF-B85A-881912ED851E}"/>
    <cellStyle name="Currency 5 3 3 2 2" xfId="741" xr:uid="{00000000-0005-0000-0000-0000E00C0000}"/>
    <cellStyle name="Currency 5 3 3 2 2 2" xfId="2994" xr:uid="{00000000-0005-0000-0000-0000E10C0000}"/>
    <cellStyle name="Currency 5 3 3 2 2 2 2" xfId="7217" xr:uid="{00000000-0005-0000-0000-0000E20C0000}"/>
    <cellStyle name="Currency 5 3 3 2 2 2 2 2" xfId="15659" xr:uid="{B6B4FDE9-B30C-44FF-96C7-FD37CB726B18}"/>
    <cellStyle name="Currency 5 3 3 2 2 2 3" xfId="11441" xr:uid="{0D6F4608-1C5A-4E4A-BAF1-C23BAC4120D9}"/>
    <cellStyle name="Currency 5 3 3 2 2 3" xfId="5072" xr:uid="{00000000-0005-0000-0000-0000E30C0000}"/>
    <cellStyle name="Currency 5 3 3 2 2 3 2" xfId="13514" xr:uid="{BDE314FA-5064-40DB-BDF0-84EC0F4AB69A}"/>
    <cellStyle name="Currency 5 3 3 2 2 4" xfId="9296" xr:uid="{C85BD9C8-E3CE-46E2-A6B9-4F2051C334CE}"/>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2 2 2" xfId="16072" xr:uid="{1975B574-5ED6-4CA0-8310-D3BACB485F5B}"/>
    <cellStyle name="Currency 5 3 3 2 3 2 3" xfId="11854" xr:uid="{8CDD44EE-66B7-4B1E-9731-3F2483776E37}"/>
    <cellStyle name="Currency 5 3 3 2 3 3" xfId="5485" xr:uid="{00000000-0005-0000-0000-0000E70C0000}"/>
    <cellStyle name="Currency 5 3 3 2 3 3 2" xfId="13927" xr:uid="{94874CF2-551D-42BA-B07E-CB043D4CF4B0}"/>
    <cellStyle name="Currency 5 3 3 2 3 4" xfId="9709" xr:uid="{9D714554-776F-407C-8917-D0C13AA4DAED}"/>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2 2 2" xfId="16485" xr:uid="{2250CD46-3DFF-4540-996B-F2BB1993B5D7}"/>
    <cellStyle name="Currency 5 3 3 2 4 2 3" xfId="12267" xr:uid="{8D89CCE6-3989-4601-9DE8-38245347C178}"/>
    <cellStyle name="Currency 5 3 3 2 4 3" xfId="5898" xr:uid="{00000000-0005-0000-0000-0000EB0C0000}"/>
    <cellStyle name="Currency 5 3 3 2 4 3 2" xfId="14340" xr:uid="{3B558098-A902-4061-976B-53D3A7CB7FC5}"/>
    <cellStyle name="Currency 5 3 3 2 4 4" xfId="10122" xr:uid="{6DED43C5-600D-4105-8A47-C850BB9A767A}"/>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2 2 2" xfId="16898" xr:uid="{520E9CEB-C49D-46E8-9826-E5B274A9972E}"/>
    <cellStyle name="Currency 5 3 3 2 5 2 3" xfId="12680" xr:uid="{E7CBC8E2-9590-42BE-9413-6D02E6E70334}"/>
    <cellStyle name="Currency 5 3 3 2 5 3" xfId="6311" xr:uid="{00000000-0005-0000-0000-0000EF0C0000}"/>
    <cellStyle name="Currency 5 3 3 2 5 3 2" xfId="14753" xr:uid="{A6E60207-2EC6-4D31-B3A3-BD5332DB1008}"/>
    <cellStyle name="Currency 5 3 3 2 5 4" xfId="10535" xr:uid="{C8B7DDF2-1303-407B-BD44-252244A18113}"/>
    <cellStyle name="Currency 5 3 3 2 6" xfId="2439" xr:uid="{00000000-0005-0000-0000-0000F00C0000}"/>
    <cellStyle name="Currency 5 3 3 2 6 2" xfId="6724" xr:uid="{00000000-0005-0000-0000-0000F10C0000}"/>
    <cellStyle name="Currency 5 3 3 2 6 2 2" xfId="15166" xr:uid="{66637038-5045-463F-9E08-DC4828FB737B}"/>
    <cellStyle name="Currency 5 3 3 2 6 3" xfId="10948" xr:uid="{97CDF8F9-283E-45F7-BBCB-C4B2B9222C6B}"/>
    <cellStyle name="Currency 5 3 3 2 7" xfId="2736" xr:uid="{00000000-0005-0000-0000-0000F20C0000}"/>
    <cellStyle name="Currency 5 3 3 2 8" xfId="2817" xr:uid="{00000000-0005-0000-0000-0000F30C0000}"/>
    <cellStyle name="Currency 5 3 3 2 8 2" xfId="7041" xr:uid="{00000000-0005-0000-0000-0000F40C0000}"/>
    <cellStyle name="Currency 5 3 3 2 8 2 2" xfId="15483" xr:uid="{4D0882DA-EBB9-4991-89EE-1A5646AC78DF}"/>
    <cellStyle name="Currency 5 3 3 2 8 3" xfId="11265" xr:uid="{1E92015D-1AEC-4833-8FE1-5AE204B56FBE}"/>
    <cellStyle name="Currency 5 3 3 2 9" xfId="4658" xr:uid="{00000000-0005-0000-0000-0000F50C0000}"/>
    <cellStyle name="Currency 5 3 3 2 9 2" xfId="13100" xr:uid="{10C55D77-AAF1-433C-99FF-AFB847B9F3D3}"/>
    <cellStyle name="Currency 5 3 3 3" xfId="740" xr:uid="{00000000-0005-0000-0000-0000F60C0000}"/>
    <cellStyle name="Currency 5 3 3 3 2" xfId="2993" xr:uid="{00000000-0005-0000-0000-0000F70C0000}"/>
    <cellStyle name="Currency 5 3 3 3 2 2" xfId="7216" xr:uid="{00000000-0005-0000-0000-0000F80C0000}"/>
    <cellStyle name="Currency 5 3 3 3 2 2 2" xfId="15658" xr:uid="{5A7A31BF-1AF2-41E6-9FE9-ED4E9F5BF723}"/>
    <cellStyle name="Currency 5 3 3 3 2 3" xfId="11440" xr:uid="{0AAF9304-E540-4985-BBED-46BD098CC8EB}"/>
    <cellStyle name="Currency 5 3 3 3 3" xfId="5071" xr:uid="{00000000-0005-0000-0000-0000F90C0000}"/>
    <cellStyle name="Currency 5 3 3 3 3 2" xfId="13513" xr:uid="{D93ACF0C-835C-4CDE-8984-12CE46F83903}"/>
    <cellStyle name="Currency 5 3 3 3 4" xfId="9295" xr:uid="{F00FDA6A-3724-42A6-BFAC-AC9950904A43}"/>
    <cellStyle name="Currency 5 3 3 4" xfId="1175" xr:uid="{00000000-0005-0000-0000-0000FA0C0000}"/>
    <cellStyle name="Currency 5 3 3 4 2" xfId="3406" xr:uid="{00000000-0005-0000-0000-0000FB0C0000}"/>
    <cellStyle name="Currency 5 3 3 4 2 2" xfId="7629" xr:uid="{00000000-0005-0000-0000-0000FC0C0000}"/>
    <cellStyle name="Currency 5 3 3 4 2 2 2" xfId="16071" xr:uid="{D6CCCD04-46EC-44A7-8BED-CEDD3FB79BBF}"/>
    <cellStyle name="Currency 5 3 3 4 2 3" xfId="11853" xr:uid="{B9E907C8-A6E8-4C1C-BC46-9A48FB5EC015}"/>
    <cellStyle name="Currency 5 3 3 4 3" xfId="5484" xr:uid="{00000000-0005-0000-0000-0000FD0C0000}"/>
    <cellStyle name="Currency 5 3 3 4 3 2" xfId="13926" xr:uid="{2ADE9E86-0FF5-4A02-8198-F9BE14009F19}"/>
    <cellStyle name="Currency 5 3 3 4 4" xfId="9708" xr:uid="{EDB1E74A-F6B0-4CA4-B5C0-71981D46D3C1}"/>
    <cellStyle name="Currency 5 3 3 5" xfId="1589" xr:uid="{00000000-0005-0000-0000-0000FE0C0000}"/>
    <cellStyle name="Currency 5 3 3 5 2" xfId="3819" xr:uid="{00000000-0005-0000-0000-0000FF0C0000}"/>
    <cellStyle name="Currency 5 3 3 5 2 2" xfId="8042" xr:uid="{00000000-0005-0000-0000-0000000D0000}"/>
    <cellStyle name="Currency 5 3 3 5 2 2 2" xfId="16484" xr:uid="{6584A7D4-3FD1-4F22-9B24-A880174A5E98}"/>
    <cellStyle name="Currency 5 3 3 5 2 3" xfId="12266" xr:uid="{047BD213-CDCD-4D2E-87E7-F16E786BB121}"/>
    <cellStyle name="Currency 5 3 3 5 3" xfId="5897" xr:uid="{00000000-0005-0000-0000-0000010D0000}"/>
    <cellStyle name="Currency 5 3 3 5 3 2" xfId="14339" xr:uid="{F60FE056-F395-45DD-8BE9-B6628F9007FD}"/>
    <cellStyle name="Currency 5 3 3 5 4" xfId="10121" xr:uid="{D40745AF-21CB-44EE-A631-7558DAF9FEF7}"/>
    <cellStyle name="Currency 5 3 3 6" xfId="2003" xr:uid="{00000000-0005-0000-0000-0000020D0000}"/>
    <cellStyle name="Currency 5 3 3 6 2" xfId="4232" xr:uid="{00000000-0005-0000-0000-0000030D0000}"/>
    <cellStyle name="Currency 5 3 3 6 2 2" xfId="8455" xr:uid="{00000000-0005-0000-0000-0000040D0000}"/>
    <cellStyle name="Currency 5 3 3 6 2 2 2" xfId="16897" xr:uid="{2C3149F6-CAAD-472A-A764-9C0A44446837}"/>
    <cellStyle name="Currency 5 3 3 6 2 3" xfId="12679" xr:uid="{EB07013E-B217-413B-AE02-2E60F05B12BC}"/>
    <cellStyle name="Currency 5 3 3 6 3" xfId="6310" xr:uid="{00000000-0005-0000-0000-0000050D0000}"/>
    <cellStyle name="Currency 5 3 3 6 3 2" xfId="14752" xr:uid="{CC7204B1-27CE-4514-90CD-807AA754F719}"/>
    <cellStyle name="Currency 5 3 3 6 4" xfId="10534" xr:uid="{333B6FB7-7D95-435F-B4CE-426B666EE5D7}"/>
    <cellStyle name="Currency 5 3 3 7" xfId="2438" xr:uid="{00000000-0005-0000-0000-0000060D0000}"/>
    <cellStyle name="Currency 5 3 3 7 2" xfId="6723" xr:uid="{00000000-0005-0000-0000-0000070D0000}"/>
    <cellStyle name="Currency 5 3 3 7 2 2" xfId="15165" xr:uid="{09531445-EF1B-4FBF-80DD-3EED5AEF72E8}"/>
    <cellStyle name="Currency 5 3 3 7 3" xfId="10947" xr:uid="{0350B639-9F42-4E51-AFCA-F74816F67C85}"/>
    <cellStyle name="Currency 5 3 3 8" xfId="2735" xr:uid="{00000000-0005-0000-0000-0000080D0000}"/>
    <cellStyle name="Currency 5 3 3 9" xfId="2816" xr:uid="{00000000-0005-0000-0000-0000090D0000}"/>
    <cellStyle name="Currency 5 3 3 9 2" xfId="7040" xr:uid="{00000000-0005-0000-0000-00000A0D0000}"/>
    <cellStyle name="Currency 5 3 3 9 2 2" xfId="15482" xr:uid="{41595AA4-71CC-4074-8BFD-1938321DD423}"/>
    <cellStyle name="Currency 5 3 3 9 3" xfId="11264" xr:uid="{57FA31EB-096F-472F-BD73-24166F45857C}"/>
    <cellStyle name="Currency 5 3 4" xfId="216" xr:uid="{00000000-0005-0000-0000-00000B0D0000}"/>
    <cellStyle name="Currency 5 3 4 10" xfId="8883" xr:uid="{C29A4231-CA13-421D-A16B-2451C06B58F8}"/>
    <cellStyle name="Currency 5 3 4 2" xfId="742" xr:uid="{00000000-0005-0000-0000-00000C0D0000}"/>
    <cellStyle name="Currency 5 3 4 2 2" xfId="2995" xr:uid="{00000000-0005-0000-0000-00000D0D0000}"/>
    <cellStyle name="Currency 5 3 4 2 2 2" xfId="7218" xr:uid="{00000000-0005-0000-0000-00000E0D0000}"/>
    <cellStyle name="Currency 5 3 4 2 2 2 2" xfId="15660" xr:uid="{673D405E-8F86-4BF0-97EE-177072A6B985}"/>
    <cellStyle name="Currency 5 3 4 2 2 3" xfId="11442" xr:uid="{53472B72-2055-4EF1-9A7A-D6388EC08AED}"/>
    <cellStyle name="Currency 5 3 4 2 3" xfId="5073" xr:uid="{00000000-0005-0000-0000-00000F0D0000}"/>
    <cellStyle name="Currency 5 3 4 2 3 2" xfId="13515" xr:uid="{0FD7885A-A725-49A7-9085-4BACC01356E7}"/>
    <cellStyle name="Currency 5 3 4 2 4" xfId="9297" xr:uid="{A685FE6F-4525-4A94-87F4-93437DB1A8A2}"/>
    <cellStyle name="Currency 5 3 4 3" xfId="1177" xr:uid="{00000000-0005-0000-0000-0000100D0000}"/>
    <cellStyle name="Currency 5 3 4 3 2" xfId="3408" xr:uid="{00000000-0005-0000-0000-0000110D0000}"/>
    <cellStyle name="Currency 5 3 4 3 2 2" xfId="7631" xr:uid="{00000000-0005-0000-0000-0000120D0000}"/>
    <cellStyle name="Currency 5 3 4 3 2 2 2" xfId="16073" xr:uid="{5B30F3C1-BD6E-496C-93EF-27D09BE57F7D}"/>
    <cellStyle name="Currency 5 3 4 3 2 3" xfId="11855" xr:uid="{F619A28E-6793-48D1-9829-637324E26BA6}"/>
    <cellStyle name="Currency 5 3 4 3 3" xfId="5486" xr:uid="{00000000-0005-0000-0000-0000130D0000}"/>
    <cellStyle name="Currency 5 3 4 3 3 2" xfId="13928" xr:uid="{13A3E797-EF45-4372-AEE6-00C40201A751}"/>
    <cellStyle name="Currency 5 3 4 3 4" xfId="9710" xr:uid="{9F752410-E53C-4064-B574-A9BE8BF7158E}"/>
    <cellStyle name="Currency 5 3 4 4" xfId="1591" xr:uid="{00000000-0005-0000-0000-0000140D0000}"/>
    <cellStyle name="Currency 5 3 4 4 2" xfId="3821" xr:uid="{00000000-0005-0000-0000-0000150D0000}"/>
    <cellStyle name="Currency 5 3 4 4 2 2" xfId="8044" xr:uid="{00000000-0005-0000-0000-0000160D0000}"/>
    <cellStyle name="Currency 5 3 4 4 2 2 2" xfId="16486" xr:uid="{F7FFD32B-FE7E-44A5-B38C-9C22A11BAAB1}"/>
    <cellStyle name="Currency 5 3 4 4 2 3" xfId="12268" xr:uid="{4B931426-1F09-4515-8C2C-9807DE3C3AB3}"/>
    <cellStyle name="Currency 5 3 4 4 3" xfId="5899" xr:uid="{00000000-0005-0000-0000-0000170D0000}"/>
    <cellStyle name="Currency 5 3 4 4 3 2" xfId="14341" xr:uid="{6473D6CB-2F90-4545-9560-55F9FE7B6F0F}"/>
    <cellStyle name="Currency 5 3 4 4 4" xfId="10123" xr:uid="{332A0E44-474A-4CFC-9434-666692221172}"/>
    <cellStyle name="Currency 5 3 4 5" xfId="2005" xr:uid="{00000000-0005-0000-0000-0000180D0000}"/>
    <cellStyle name="Currency 5 3 4 5 2" xfId="4234" xr:uid="{00000000-0005-0000-0000-0000190D0000}"/>
    <cellStyle name="Currency 5 3 4 5 2 2" xfId="8457" xr:uid="{00000000-0005-0000-0000-00001A0D0000}"/>
    <cellStyle name="Currency 5 3 4 5 2 2 2" xfId="16899" xr:uid="{1175B647-16F2-4534-A5E0-254600D6AC18}"/>
    <cellStyle name="Currency 5 3 4 5 2 3" xfId="12681" xr:uid="{8EE06983-3FB6-4FCF-8DD7-CFED588FE577}"/>
    <cellStyle name="Currency 5 3 4 5 3" xfId="6312" xr:uid="{00000000-0005-0000-0000-00001B0D0000}"/>
    <cellStyle name="Currency 5 3 4 5 3 2" xfId="14754" xr:uid="{FC6EA91D-B56E-4B27-AA56-A2F638E90C2C}"/>
    <cellStyle name="Currency 5 3 4 5 4" xfId="10536" xr:uid="{94761280-5BB5-4543-970B-01BB322D64F7}"/>
    <cellStyle name="Currency 5 3 4 6" xfId="2440" xr:uid="{00000000-0005-0000-0000-00001C0D0000}"/>
    <cellStyle name="Currency 5 3 4 6 2" xfId="6725" xr:uid="{00000000-0005-0000-0000-00001D0D0000}"/>
    <cellStyle name="Currency 5 3 4 6 2 2" xfId="15167" xr:uid="{7762FBD6-E0EC-4A45-9B19-535FE998AEDE}"/>
    <cellStyle name="Currency 5 3 4 6 3" xfId="10949" xr:uid="{8739A36D-5B9E-4851-B919-436779C8477F}"/>
    <cellStyle name="Currency 5 3 4 7" xfId="2737" xr:uid="{00000000-0005-0000-0000-00001E0D0000}"/>
    <cellStyle name="Currency 5 3 4 8" xfId="2818" xr:uid="{00000000-0005-0000-0000-00001F0D0000}"/>
    <cellStyle name="Currency 5 3 4 8 2" xfId="7042" xr:uid="{00000000-0005-0000-0000-0000200D0000}"/>
    <cellStyle name="Currency 5 3 4 8 2 2" xfId="15484" xr:uid="{DBD22158-3BA9-498C-BD95-56BA0FEE6863}"/>
    <cellStyle name="Currency 5 3 4 8 3" xfId="11266" xr:uid="{5F60C1AA-17FF-4102-9F53-63CC871B5112}"/>
    <cellStyle name="Currency 5 3 4 9" xfId="4659" xr:uid="{00000000-0005-0000-0000-0000210D0000}"/>
    <cellStyle name="Currency 5 3 4 9 2" xfId="13101" xr:uid="{E7F93347-5EBC-43B9-A81F-BC746B27412E}"/>
    <cellStyle name="Currency 5 3 5" xfId="217" xr:uid="{00000000-0005-0000-0000-0000220D0000}"/>
    <cellStyle name="Currency 5 3 5 10" xfId="8884" xr:uid="{5703BFDC-8D53-4B00-AAEA-D4B1BBF42361}"/>
    <cellStyle name="Currency 5 3 5 2" xfId="743" xr:uid="{00000000-0005-0000-0000-0000230D0000}"/>
    <cellStyle name="Currency 5 3 5 2 2" xfId="2996" xr:uid="{00000000-0005-0000-0000-0000240D0000}"/>
    <cellStyle name="Currency 5 3 5 2 2 2" xfId="7219" xr:uid="{00000000-0005-0000-0000-0000250D0000}"/>
    <cellStyle name="Currency 5 3 5 2 2 2 2" xfId="15661" xr:uid="{5BA11A1D-240E-4556-AD60-DD1E22AA228D}"/>
    <cellStyle name="Currency 5 3 5 2 2 3" xfId="11443" xr:uid="{67494F11-A050-4EFE-B4EB-8A4646A93AEE}"/>
    <cellStyle name="Currency 5 3 5 2 3" xfId="5074" xr:uid="{00000000-0005-0000-0000-0000260D0000}"/>
    <cellStyle name="Currency 5 3 5 2 3 2" xfId="13516" xr:uid="{E227F3C3-9CDE-419C-AA79-7512278C87C7}"/>
    <cellStyle name="Currency 5 3 5 2 4" xfId="9298" xr:uid="{0FD1E2CE-5D15-48F3-9EF5-4A3B5C2BA887}"/>
    <cellStyle name="Currency 5 3 5 3" xfId="1178" xr:uid="{00000000-0005-0000-0000-0000270D0000}"/>
    <cellStyle name="Currency 5 3 5 3 2" xfId="3409" xr:uid="{00000000-0005-0000-0000-0000280D0000}"/>
    <cellStyle name="Currency 5 3 5 3 2 2" xfId="7632" xr:uid="{00000000-0005-0000-0000-0000290D0000}"/>
    <cellStyle name="Currency 5 3 5 3 2 2 2" xfId="16074" xr:uid="{3D72FE36-7A79-4B68-8064-0E726EFD5152}"/>
    <cellStyle name="Currency 5 3 5 3 2 3" xfId="11856" xr:uid="{F790E8A7-1B76-42E1-B467-58C9B7D1A93D}"/>
    <cellStyle name="Currency 5 3 5 3 3" xfId="5487" xr:uid="{00000000-0005-0000-0000-00002A0D0000}"/>
    <cellStyle name="Currency 5 3 5 3 3 2" xfId="13929" xr:uid="{13F80783-6BE0-42CF-8A1E-BB7836E14B94}"/>
    <cellStyle name="Currency 5 3 5 3 4" xfId="9711" xr:uid="{273DA2BF-7EF1-4DB5-9C1F-5EF66BE90C39}"/>
    <cellStyle name="Currency 5 3 5 4" xfId="1592" xr:uid="{00000000-0005-0000-0000-00002B0D0000}"/>
    <cellStyle name="Currency 5 3 5 4 2" xfId="3822" xr:uid="{00000000-0005-0000-0000-00002C0D0000}"/>
    <cellStyle name="Currency 5 3 5 4 2 2" xfId="8045" xr:uid="{00000000-0005-0000-0000-00002D0D0000}"/>
    <cellStyle name="Currency 5 3 5 4 2 2 2" xfId="16487" xr:uid="{0990C447-9208-4439-B823-37E3555E4565}"/>
    <cellStyle name="Currency 5 3 5 4 2 3" xfId="12269" xr:uid="{187F4F94-E9C5-403C-9D58-C459BDF2B1AA}"/>
    <cellStyle name="Currency 5 3 5 4 3" xfId="5900" xr:uid="{00000000-0005-0000-0000-00002E0D0000}"/>
    <cellStyle name="Currency 5 3 5 4 3 2" xfId="14342" xr:uid="{E84F2246-A259-4EA8-9E2C-B46E23161686}"/>
    <cellStyle name="Currency 5 3 5 4 4" xfId="10124" xr:uid="{EFFF4903-4A51-45AC-9AB7-4849DF608E53}"/>
    <cellStyle name="Currency 5 3 5 5" xfId="2006" xr:uid="{00000000-0005-0000-0000-00002F0D0000}"/>
    <cellStyle name="Currency 5 3 5 5 2" xfId="4235" xr:uid="{00000000-0005-0000-0000-0000300D0000}"/>
    <cellStyle name="Currency 5 3 5 5 2 2" xfId="8458" xr:uid="{00000000-0005-0000-0000-0000310D0000}"/>
    <cellStyle name="Currency 5 3 5 5 2 2 2" xfId="16900" xr:uid="{A309BE7A-9A3E-45BE-86FB-1F7D26437CA0}"/>
    <cellStyle name="Currency 5 3 5 5 2 3" xfId="12682" xr:uid="{12596553-9413-4ACC-88ED-4DF9BD91D30D}"/>
    <cellStyle name="Currency 5 3 5 5 3" xfId="6313" xr:uid="{00000000-0005-0000-0000-0000320D0000}"/>
    <cellStyle name="Currency 5 3 5 5 3 2" xfId="14755" xr:uid="{B9F661F0-EED9-4873-983B-95C8BC1F67A4}"/>
    <cellStyle name="Currency 5 3 5 5 4" xfId="10537" xr:uid="{2533229E-F394-4F53-A32E-8BA5DFFE6B40}"/>
    <cellStyle name="Currency 5 3 5 6" xfId="2441" xr:uid="{00000000-0005-0000-0000-0000330D0000}"/>
    <cellStyle name="Currency 5 3 5 6 2" xfId="6726" xr:uid="{00000000-0005-0000-0000-0000340D0000}"/>
    <cellStyle name="Currency 5 3 5 6 2 2" xfId="15168" xr:uid="{C67E4A5E-055C-4739-9007-CA6674BD146C}"/>
    <cellStyle name="Currency 5 3 5 6 3" xfId="10950" xr:uid="{FC39E75A-99FA-4B22-93AC-E7551C3C7DC2}"/>
    <cellStyle name="Currency 5 3 5 7" xfId="2738" xr:uid="{00000000-0005-0000-0000-0000350D0000}"/>
    <cellStyle name="Currency 5 3 5 8" xfId="2819" xr:uid="{00000000-0005-0000-0000-0000360D0000}"/>
    <cellStyle name="Currency 5 3 5 8 2" xfId="7043" xr:uid="{00000000-0005-0000-0000-0000370D0000}"/>
    <cellStyle name="Currency 5 3 5 8 2 2" xfId="15485" xr:uid="{EC388485-1A4F-4BC0-A8BE-4C82F5CB95C4}"/>
    <cellStyle name="Currency 5 3 5 8 3" xfId="11267" xr:uid="{66DCE550-A4FD-412A-8260-CD804F28DC40}"/>
    <cellStyle name="Currency 5 3 5 9" xfId="4660" xr:uid="{00000000-0005-0000-0000-0000380D0000}"/>
    <cellStyle name="Currency 5 3 5 9 2" xfId="13102" xr:uid="{B9DADDFE-2E56-47D0-AA40-37188F139CED}"/>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10 2" xfId="13103" xr:uid="{380A7797-3AC9-45AD-BA36-8198DB95F842}"/>
    <cellStyle name="Currency 5 5 11" xfId="8885" xr:uid="{0F16816A-B88C-4B40-8D18-B61D26E0E31C}"/>
    <cellStyle name="Currency 5 5 2" xfId="220" xr:uid="{00000000-0005-0000-0000-00003D0D0000}"/>
    <cellStyle name="Currency 5 5 2 10" xfId="8886" xr:uid="{33B3FEB7-FB3B-4C51-9AFC-8A300F32AAAE}"/>
    <cellStyle name="Currency 5 5 2 2" xfId="746" xr:uid="{00000000-0005-0000-0000-00003E0D0000}"/>
    <cellStyle name="Currency 5 5 2 2 2" xfId="2998" xr:uid="{00000000-0005-0000-0000-00003F0D0000}"/>
    <cellStyle name="Currency 5 5 2 2 2 2" xfId="7221" xr:uid="{00000000-0005-0000-0000-0000400D0000}"/>
    <cellStyle name="Currency 5 5 2 2 2 2 2" xfId="15663" xr:uid="{4D398739-062C-4D1F-9CDE-DD7907A3A9C8}"/>
    <cellStyle name="Currency 5 5 2 2 2 3" xfId="11445" xr:uid="{5F365350-5444-4F70-98CC-52F82A6B7387}"/>
    <cellStyle name="Currency 5 5 2 2 3" xfId="5076" xr:uid="{00000000-0005-0000-0000-0000410D0000}"/>
    <cellStyle name="Currency 5 5 2 2 3 2" xfId="13518" xr:uid="{7425FA96-7245-4311-A0A1-94608256075F}"/>
    <cellStyle name="Currency 5 5 2 2 4" xfId="9300" xr:uid="{86293DF5-D6E6-46F3-B3FA-9FE3AA190276}"/>
    <cellStyle name="Currency 5 5 2 3" xfId="1180" xr:uid="{00000000-0005-0000-0000-0000420D0000}"/>
    <cellStyle name="Currency 5 5 2 3 2" xfId="3411" xr:uid="{00000000-0005-0000-0000-0000430D0000}"/>
    <cellStyle name="Currency 5 5 2 3 2 2" xfId="7634" xr:uid="{00000000-0005-0000-0000-0000440D0000}"/>
    <cellStyle name="Currency 5 5 2 3 2 2 2" xfId="16076" xr:uid="{B3384BBA-FDA9-40EA-8E89-A1A820AD6418}"/>
    <cellStyle name="Currency 5 5 2 3 2 3" xfId="11858" xr:uid="{5C031928-8D2C-4F97-B1CA-B095F1FC102C}"/>
    <cellStyle name="Currency 5 5 2 3 3" xfId="5489" xr:uid="{00000000-0005-0000-0000-0000450D0000}"/>
    <cellStyle name="Currency 5 5 2 3 3 2" xfId="13931" xr:uid="{B8552D57-F222-4AC2-8D64-008DB32DD277}"/>
    <cellStyle name="Currency 5 5 2 3 4" xfId="9713" xr:uid="{7978C0CD-A13E-4086-9966-00C3A5AFCD49}"/>
    <cellStyle name="Currency 5 5 2 4" xfId="1594" xr:uid="{00000000-0005-0000-0000-0000460D0000}"/>
    <cellStyle name="Currency 5 5 2 4 2" xfId="3824" xr:uid="{00000000-0005-0000-0000-0000470D0000}"/>
    <cellStyle name="Currency 5 5 2 4 2 2" xfId="8047" xr:uid="{00000000-0005-0000-0000-0000480D0000}"/>
    <cellStyle name="Currency 5 5 2 4 2 2 2" xfId="16489" xr:uid="{788074C9-8AED-40BB-97FF-7D60B80FD739}"/>
    <cellStyle name="Currency 5 5 2 4 2 3" xfId="12271" xr:uid="{B45658DA-4B50-4632-9363-1C8B380FEB49}"/>
    <cellStyle name="Currency 5 5 2 4 3" xfId="5902" xr:uid="{00000000-0005-0000-0000-0000490D0000}"/>
    <cellStyle name="Currency 5 5 2 4 3 2" xfId="14344" xr:uid="{3CA3105A-418A-4E8C-8715-492DC97A31C1}"/>
    <cellStyle name="Currency 5 5 2 4 4" xfId="10126" xr:uid="{4836DEE1-BD9A-48A8-AD1C-458FC4C1E642}"/>
    <cellStyle name="Currency 5 5 2 5" xfId="2008" xr:uid="{00000000-0005-0000-0000-00004A0D0000}"/>
    <cellStyle name="Currency 5 5 2 5 2" xfId="4237" xr:uid="{00000000-0005-0000-0000-00004B0D0000}"/>
    <cellStyle name="Currency 5 5 2 5 2 2" xfId="8460" xr:uid="{00000000-0005-0000-0000-00004C0D0000}"/>
    <cellStyle name="Currency 5 5 2 5 2 2 2" xfId="16902" xr:uid="{3DA03979-DCBC-4D80-8EF7-11D296F472A7}"/>
    <cellStyle name="Currency 5 5 2 5 2 3" xfId="12684" xr:uid="{93F56449-A85E-4D71-9E8E-863108E0C1E2}"/>
    <cellStyle name="Currency 5 5 2 5 3" xfId="6315" xr:uid="{00000000-0005-0000-0000-00004D0D0000}"/>
    <cellStyle name="Currency 5 5 2 5 3 2" xfId="14757" xr:uid="{05388D7B-FE0D-40EB-A8A5-0E4431E76E48}"/>
    <cellStyle name="Currency 5 5 2 5 4" xfId="10539" xr:uid="{3E50E63E-E2D0-41A5-80A5-2E600950FC60}"/>
    <cellStyle name="Currency 5 5 2 6" xfId="2443" xr:uid="{00000000-0005-0000-0000-00004E0D0000}"/>
    <cellStyle name="Currency 5 5 2 6 2" xfId="6728" xr:uid="{00000000-0005-0000-0000-00004F0D0000}"/>
    <cellStyle name="Currency 5 5 2 6 2 2" xfId="15170" xr:uid="{EEE2C683-586F-4FA5-8911-3BC11610BFCD}"/>
    <cellStyle name="Currency 5 5 2 6 3" xfId="10952" xr:uid="{6DC33EED-B0D3-4AA7-8C9D-EE31BEEEFC14}"/>
    <cellStyle name="Currency 5 5 2 7" xfId="2740" xr:uid="{00000000-0005-0000-0000-0000500D0000}"/>
    <cellStyle name="Currency 5 5 2 8" xfId="2821" xr:uid="{00000000-0005-0000-0000-0000510D0000}"/>
    <cellStyle name="Currency 5 5 2 8 2" xfId="7045" xr:uid="{00000000-0005-0000-0000-0000520D0000}"/>
    <cellStyle name="Currency 5 5 2 8 2 2" xfId="15487" xr:uid="{97E8B8DF-25DD-4FBF-8D42-B99E1A824E83}"/>
    <cellStyle name="Currency 5 5 2 8 3" xfId="11269" xr:uid="{F5E462B0-846E-4EB4-AD04-E467D9186738}"/>
    <cellStyle name="Currency 5 5 2 9" xfId="4662" xr:uid="{00000000-0005-0000-0000-0000530D0000}"/>
    <cellStyle name="Currency 5 5 2 9 2" xfId="13104" xr:uid="{324DBD34-045B-465D-AC93-83930AF84BD0}"/>
    <cellStyle name="Currency 5 5 3" xfId="745" xr:uid="{00000000-0005-0000-0000-0000540D0000}"/>
    <cellStyle name="Currency 5 5 3 2" xfId="2997" xr:uid="{00000000-0005-0000-0000-0000550D0000}"/>
    <cellStyle name="Currency 5 5 3 2 2" xfId="7220" xr:uid="{00000000-0005-0000-0000-0000560D0000}"/>
    <cellStyle name="Currency 5 5 3 2 2 2" xfId="15662" xr:uid="{398223D8-1236-41BE-BE40-4A44136270E1}"/>
    <cellStyle name="Currency 5 5 3 2 3" xfId="11444" xr:uid="{08DBA313-C77B-4E2D-844A-E5FD776FBA88}"/>
    <cellStyle name="Currency 5 5 3 3" xfId="5075" xr:uid="{00000000-0005-0000-0000-0000570D0000}"/>
    <cellStyle name="Currency 5 5 3 3 2" xfId="13517" xr:uid="{564202E5-139F-404A-B37D-C877C8F595F0}"/>
    <cellStyle name="Currency 5 5 3 4" xfId="9299" xr:uid="{1354F043-3FDE-4A2A-96E7-2DF05DA0D397}"/>
    <cellStyle name="Currency 5 5 4" xfId="1179" xr:uid="{00000000-0005-0000-0000-0000580D0000}"/>
    <cellStyle name="Currency 5 5 4 2" xfId="3410" xr:uid="{00000000-0005-0000-0000-0000590D0000}"/>
    <cellStyle name="Currency 5 5 4 2 2" xfId="7633" xr:uid="{00000000-0005-0000-0000-00005A0D0000}"/>
    <cellStyle name="Currency 5 5 4 2 2 2" xfId="16075" xr:uid="{E6BCFED1-C1D4-430C-8BFF-41F7C91EAAC2}"/>
    <cellStyle name="Currency 5 5 4 2 3" xfId="11857" xr:uid="{7194E8CF-F577-4868-8815-1A757E00153F}"/>
    <cellStyle name="Currency 5 5 4 3" xfId="5488" xr:uid="{00000000-0005-0000-0000-00005B0D0000}"/>
    <cellStyle name="Currency 5 5 4 3 2" xfId="13930" xr:uid="{824E2733-2BA7-4DB6-B22E-2028E5A96D8F}"/>
    <cellStyle name="Currency 5 5 4 4" xfId="9712" xr:uid="{C7E426D3-02C6-4C15-9F20-986B781A2F47}"/>
    <cellStyle name="Currency 5 5 5" xfId="1593" xr:uid="{00000000-0005-0000-0000-00005C0D0000}"/>
    <cellStyle name="Currency 5 5 5 2" xfId="3823" xr:uid="{00000000-0005-0000-0000-00005D0D0000}"/>
    <cellStyle name="Currency 5 5 5 2 2" xfId="8046" xr:uid="{00000000-0005-0000-0000-00005E0D0000}"/>
    <cellStyle name="Currency 5 5 5 2 2 2" xfId="16488" xr:uid="{D512DF11-9396-4D88-82FF-68BB4765AD21}"/>
    <cellStyle name="Currency 5 5 5 2 3" xfId="12270" xr:uid="{D31965DB-03C1-4F68-A163-7F4A869E5594}"/>
    <cellStyle name="Currency 5 5 5 3" xfId="5901" xr:uid="{00000000-0005-0000-0000-00005F0D0000}"/>
    <cellStyle name="Currency 5 5 5 3 2" xfId="14343" xr:uid="{8B7F5EE8-DC44-4D5B-9DBC-C62EF4B0998A}"/>
    <cellStyle name="Currency 5 5 5 4" xfId="10125" xr:uid="{88F5622F-B316-40B0-A3D3-CE73906C2A5C}"/>
    <cellStyle name="Currency 5 5 6" xfId="2007" xr:uid="{00000000-0005-0000-0000-0000600D0000}"/>
    <cellStyle name="Currency 5 5 6 2" xfId="4236" xr:uid="{00000000-0005-0000-0000-0000610D0000}"/>
    <cellStyle name="Currency 5 5 6 2 2" xfId="8459" xr:uid="{00000000-0005-0000-0000-0000620D0000}"/>
    <cellStyle name="Currency 5 5 6 2 2 2" xfId="16901" xr:uid="{B738D16F-B470-415C-BAAB-F1A20F50BCA4}"/>
    <cellStyle name="Currency 5 5 6 2 3" xfId="12683" xr:uid="{AF3187D7-FAD4-431B-85A7-C6FEEB0F05A4}"/>
    <cellStyle name="Currency 5 5 6 3" xfId="6314" xr:uid="{00000000-0005-0000-0000-0000630D0000}"/>
    <cellStyle name="Currency 5 5 6 3 2" xfId="14756" xr:uid="{002B5603-3229-49A5-8554-CAB47C133C80}"/>
    <cellStyle name="Currency 5 5 6 4" xfId="10538" xr:uid="{C820D0A4-75F6-4B53-8D21-83D679AB1E85}"/>
    <cellStyle name="Currency 5 5 7" xfId="2442" xr:uid="{00000000-0005-0000-0000-0000640D0000}"/>
    <cellStyle name="Currency 5 5 7 2" xfId="6727" xr:uid="{00000000-0005-0000-0000-0000650D0000}"/>
    <cellStyle name="Currency 5 5 7 2 2" xfId="15169" xr:uid="{97F9F8D0-1C77-4059-B05C-5DAB7708F0A8}"/>
    <cellStyle name="Currency 5 5 7 3" xfId="10951" xr:uid="{0DDED3CD-5BBC-4D98-989D-660945AFF143}"/>
    <cellStyle name="Currency 5 5 8" xfId="2739" xr:uid="{00000000-0005-0000-0000-0000660D0000}"/>
    <cellStyle name="Currency 5 5 9" xfId="2820" xr:uid="{00000000-0005-0000-0000-0000670D0000}"/>
    <cellStyle name="Currency 5 5 9 2" xfId="7044" xr:uid="{00000000-0005-0000-0000-0000680D0000}"/>
    <cellStyle name="Currency 5 5 9 2 2" xfId="15486" xr:uid="{27E3EB9A-4FEB-4CF8-990F-3B64003DA3FB}"/>
    <cellStyle name="Currency 5 5 9 3" xfId="11268" xr:uid="{144C3623-0B66-4561-9B69-89200BDCE26E}"/>
    <cellStyle name="Currency 5 6" xfId="221" xr:uid="{00000000-0005-0000-0000-0000690D0000}"/>
    <cellStyle name="Currency 5 6 10" xfId="8887" xr:uid="{C4C5D159-D6BA-4B47-9D23-563F1E583A4D}"/>
    <cellStyle name="Currency 5 6 2" xfId="747" xr:uid="{00000000-0005-0000-0000-00006A0D0000}"/>
    <cellStyle name="Currency 5 6 2 2" xfId="2999" xr:uid="{00000000-0005-0000-0000-00006B0D0000}"/>
    <cellStyle name="Currency 5 6 2 2 2" xfId="7222" xr:uid="{00000000-0005-0000-0000-00006C0D0000}"/>
    <cellStyle name="Currency 5 6 2 2 2 2" xfId="15664" xr:uid="{8860E85F-1F7A-43C7-98E3-C54237AF710B}"/>
    <cellStyle name="Currency 5 6 2 2 3" xfId="11446" xr:uid="{9C2AE57E-0A5C-4B7F-A993-B7FF8DCABCAB}"/>
    <cellStyle name="Currency 5 6 2 3" xfId="5077" xr:uid="{00000000-0005-0000-0000-00006D0D0000}"/>
    <cellStyle name="Currency 5 6 2 3 2" xfId="13519" xr:uid="{035884ED-3405-4E11-A337-C3D324DC692B}"/>
    <cellStyle name="Currency 5 6 2 4" xfId="9301" xr:uid="{0B3F0F21-9752-4264-BA36-91ACD042603E}"/>
    <cellStyle name="Currency 5 6 3" xfId="1181" xr:uid="{00000000-0005-0000-0000-00006E0D0000}"/>
    <cellStyle name="Currency 5 6 3 2" xfId="3412" xr:uid="{00000000-0005-0000-0000-00006F0D0000}"/>
    <cellStyle name="Currency 5 6 3 2 2" xfId="7635" xr:uid="{00000000-0005-0000-0000-0000700D0000}"/>
    <cellStyle name="Currency 5 6 3 2 2 2" xfId="16077" xr:uid="{34CC42DA-0FB1-4C66-8F20-A5B54ECCF1FF}"/>
    <cellStyle name="Currency 5 6 3 2 3" xfId="11859" xr:uid="{85624587-380E-43AE-9DDF-A03FD56AD1BB}"/>
    <cellStyle name="Currency 5 6 3 3" xfId="5490" xr:uid="{00000000-0005-0000-0000-0000710D0000}"/>
    <cellStyle name="Currency 5 6 3 3 2" xfId="13932" xr:uid="{9B849908-C952-4B92-8E19-40A412A04AD2}"/>
    <cellStyle name="Currency 5 6 3 4" xfId="9714" xr:uid="{0E3E1400-0545-479E-9205-97280A32E889}"/>
    <cellStyle name="Currency 5 6 4" xfId="1595" xr:uid="{00000000-0005-0000-0000-0000720D0000}"/>
    <cellStyle name="Currency 5 6 4 2" xfId="3825" xr:uid="{00000000-0005-0000-0000-0000730D0000}"/>
    <cellStyle name="Currency 5 6 4 2 2" xfId="8048" xr:uid="{00000000-0005-0000-0000-0000740D0000}"/>
    <cellStyle name="Currency 5 6 4 2 2 2" xfId="16490" xr:uid="{A1C8C818-5233-410A-88B9-2D80F75E8F4A}"/>
    <cellStyle name="Currency 5 6 4 2 3" xfId="12272" xr:uid="{CA565E3C-C88C-424A-9FAB-DDA8B2024A89}"/>
    <cellStyle name="Currency 5 6 4 3" xfId="5903" xr:uid="{00000000-0005-0000-0000-0000750D0000}"/>
    <cellStyle name="Currency 5 6 4 3 2" xfId="14345" xr:uid="{EFF90C93-CF70-4779-8B12-9AC79369FB7D}"/>
    <cellStyle name="Currency 5 6 4 4" xfId="10127" xr:uid="{61358824-2C9A-436B-BBC7-DA0937CA5C08}"/>
    <cellStyle name="Currency 5 6 5" xfId="2009" xr:uid="{00000000-0005-0000-0000-0000760D0000}"/>
    <cellStyle name="Currency 5 6 5 2" xfId="4238" xr:uid="{00000000-0005-0000-0000-0000770D0000}"/>
    <cellStyle name="Currency 5 6 5 2 2" xfId="8461" xr:uid="{00000000-0005-0000-0000-0000780D0000}"/>
    <cellStyle name="Currency 5 6 5 2 2 2" xfId="16903" xr:uid="{A5CD665F-E2AD-43FB-86CF-889B15823808}"/>
    <cellStyle name="Currency 5 6 5 2 3" xfId="12685" xr:uid="{BE83FBFF-FF69-495C-A186-E84D94825C2B}"/>
    <cellStyle name="Currency 5 6 5 3" xfId="6316" xr:uid="{00000000-0005-0000-0000-0000790D0000}"/>
    <cellStyle name="Currency 5 6 5 3 2" xfId="14758" xr:uid="{1FD7AFB7-2623-490E-8831-32683F5D3AE2}"/>
    <cellStyle name="Currency 5 6 5 4" xfId="10540" xr:uid="{95934C86-BF60-4E8D-A917-C0DFFE44665F}"/>
    <cellStyle name="Currency 5 6 6" xfId="2444" xr:uid="{00000000-0005-0000-0000-00007A0D0000}"/>
    <cellStyle name="Currency 5 6 6 2" xfId="6729" xr:uid="{00000000-0005-0000-0000-00007B0D0000}"/>
    <cellStyle name="Currency 5 6 6 2 2" xfId="15171" xr:uid="{DD3A31D1-FB82-4422-9B11-F25DE9E954D5}"/>
    <cellStyle name="Currency 5 6 6 3" xfId="10953" xr:uid="{7F35E33D-2774-4638-BF53-0AA48FE5178F}"/>
    <cellStyle name="Currency 5 6 7" xfId="2741" xr:uid="{00000000-0005-0000-0000-00007C0D0000}"/>
    <cellStyle name="Currency 5 6 8" xfId="2822" xr:uid="{00000000-0005-0000-0000-00007D0D0000}"/>
    <cellStyle name="Currency 5 6 8 2" xfId="7046" xr:uid="{00000000-0005-0000-0000-00007E0D0000}"/>
    <cellStyle name="Currency 5 6 8 2 2" xfId="15488" xr:uid="{6CF88AAC-0E01-4D61-842D-9C199F008DE0}"/>
    <cellStyle name="Currency 5 6 8 3" xfId="11270" xr:uid="{7A2BB1FB-34FD-4737-B875-5797FE1C1C65}"/>
    <cellStyle name="Currency 5 6 9" xfId="4663" xr:uid="{00000000-0005-0000-0000-00007F0D0000}"/>
    <cellStyle name="Currency 5 6 9 2" xfId="13105" xr:uid="{7A69BA76-DDC8-43E3-A449-3FFAADC02597}"/>
    <cellStyle name="Currency 5 7" xfId="222" xr:uid="{00000000-0005-0000-0000-0000800D0000}"/>
    <cellStyle name="Currency 5 7 10" xfId="8888" xr:uid="{2E175E0B-58E3-4877-852F-810700E721A2}"/>
    <cellStyle name="Currency 5 7 2" xfId="748" xr:uid="{00000000-0005-0000-0000-0000810D0000}"/>
    <cellStyle name="Currency 5 7 2 2" xfId="3000" xr:uid="{00000000-0005-0000-0000-0000820D0000}"/>
    <cellStyle name="Currency 5 7 2 2 2" xfId="7223" xr:uid="{00000000-0005-0000-0000-0000830D0000}"/>
    <cellStyle name="Currency 5 7 2 2 2 2" xfId="15665" xr:uid="{7BFD4B6B-6F80-4E57-94B6-3290ACE952CA}"/>
    <cellStyle name="Currency 5 7 2 2 3" xfId="11447" xr:uid="{52BED38A-B9C7-41ED-BD83-FBEB4004E0AE}"/>
    <cellStyle name="Currency 5 7 2 3" xfId="5078" xr:uid="{00000000-0005-0000-0000-0000840D0000}"/>
    <cellStyle name="Currency 5 7 2 3 2" xfId="13520" xr:uid="{5435D5AD-F679-44D6-B304-58279B61ABD1}"/>
    <cellStyle name="Currency 5 7 2 4" xfId="9302" xr:uid="{A75617CA-B3F8-4FDB-A35E-D192250FDDCE}"/>
    <cellStyle name="Currency 5 7 3" xfId="1182" xr:uid="{00000000-0005-0000-0000-0000850D0000}"/>
    <cellStyle name="Currency 5 7 3 2" xfId="3413" xr:uid="{00000000-0005-0000-0000-0000860D0000}"/>
    <cellStyle name="Currency 5 7 3 2 2" xfId="7636" xr:uid="{00000000-0005-0000-0000-0000870D0000}"/>
    <cellStyle name="Currency 5 7 3 2 2 2" xfId="16078" xr:uid="{4CB6B079-8395-4DA1-BE68-D929482A5AA8}"/>
    <cellStyle name="Currency 5 7 3 2 3" xfId="11860" xr:uid="{EAB61972-85D4-4DF5-B18A-8A561BCFAD47}"/>
    <cellStyle name="Currency 5 7 3 3" xfId="5491" xr:uid="{00000000-0005-0000-0000-0000880D0000}"/>
    <cellStyle name="Currency 5 7 3 3 2" xfId="13933" xr:uid="{8E79A6B0-181C-4ADA-9022-A0F76ACC83B9}"/>
    <cellStyle name="Currency 5 7 3 4" xfId="9715" xr:uid="{0BF283B1-D5FE-4F80-A4F2-1418C9269851}"/>
    <cellStyle name="Currency 5 7 4" xfId="1596" xr:uid="{00000000-0005-0000-0000-0000890D0000}"/>
    <cellStyle name="Currency 5 7 4 2" xfId="3826" xr:uid="{00000000-0005-0000-0000-00008A0D0000}"/>
    <cellStyle name="Currency 5 7 4 2 2" xfId="8049" xr:uid="{00000000-0005-0000-0000-00008B0D0000}"/>
    <cellStyle name="Currency 5 7 4 2 2 2" xfId="16491" xr:uid="{F796CDC7-72BC-43EE-8F2C-2D27084CADB7}"/>
    <cellStyle name="Currency 5 7 4 2 3" xfId="12273" xr:uid="{D5F7CF10-B57B-48F5-AA7F-5721BEBF2E21}"/>
    <cellStyle name="Currency 5 7 4 3" xfId="5904" xr:uid="{00000000-0005-0000-0000-00008C0D0000}"/>
    <cellStyle name="Currency 5 7 4 3 2" xfId="14346" xr:uid="{8DBBAE21-1CF6-4D83-8F3F-F9AC8968E731}"/>
    <cellStyle name="Currency 5 7 4 4" xfId="10128" xr:uid="{B9400CB0-0D8D-4E33-8C2E-C937A38A392F}"/>
    <cellStyle name="Currency 5 7 5" xfId="2010" xr:uid="{00000000-0005-0000-0000-00008D0D0000}"/>
    <cellStyle name="Currency 5 7 5 2" xfId="4239" xr:uid="{00000000-0005-0000-0000-00008E0D0000}"/>
    <cellStyle name="Currency 5 7 5 2 2" xfId="8462" xr:uid="{00000000-0005-0000-0000-00008F0D0000}"/>
    <cellStyle name="Currency 5 7 5 2 2 2" xfId="16904" xr:uid="{53133F0C-667A-4510-B4D7-D03ACE197027}"/>
    <cellStyle name="Currency 5 7 5 2 3" xfId="12686" xr:uid="{E97B1A27-D95F-47FC-BD87-F33E6FAC297E}"/>
    <cellStyle name="Currency 5 7 5 3" xfId="6317" xr:uid="{00000000-0005-0000-0000-0000900D0000}"/>
    <cellStyle name="Currency 5 7 5 3 2" xfId="14759" xr:uid="{5F267C0E-A89D-4926-BFB7-0A56D2C1A111}"/>
    <cellStyle name="Currency 5 7 5 4" xfId="10541" xr:uid="{56180DD2-E197-4C13-8DEE-6AF6514E6E52}"/>
    <cellStyle name="Currency 5 7 6" xfId="2445" xr:uid="{00000000-0005-0000-0000-0000910D0000}"/>
    <cellStyle name="Currency 5 7 6 2" xfId="6730" xr:uid="{00000000-0005-0000-0000-0000920D0000}"/>
    <cellStyle name="Currency 5 7 6 2 2" xfId="15172" xr:uid="{597FFC67-7D4C-4498-AFD3-31A676591807}"/>
    <cellStyle name="Currency 5 7 6 3" xfId="10954" xr:uid="{B4019623-041D-4BD8-9C9A-BB640C15B1B8}"/>
    <cellStyle name="Currency 5 7 7" xfId="2742" xr:uid="{00000000-0005-0000-0000-0000930D0000}"/>
    <cellStyle name="Currency 5 7 8" xfId="2823" xr:uid="{00000000-0005-0000-0000-0000940D0000}"/>
    <cellStyle name="Currency 5 7 8 2" xfId="7047" xr:uid="{00000000-0005-0000-0000-0000950D0000}"/>
    <cellStyle name="Currency 5 7 8 2 2" xfId="15489" xr:uid="{C918BB88-BC4C-47ED-B7D2-624509449396}"/>
    <cellStyle name="Currency 5 7 8 3" xfId="11271" xr:uid="{7EC5EE9A-CEE2-486E-A82E-133419628B9F}"/>
    <cellStyle name="Currency 5 7 9" xfId="4664" xr:uid="{00000000-0005-0000-0000-0000960D0000}"/>
    <cellStyle name="Currency 5 7 9 2" xfId="13106" xr:uid="{89FCC1C0-F0C0-4E9F-8A32-C3A04906C8B4}"/>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0 2 2" xfId="15173" xr:uid="{D058EA97-8656-43A2-9F74-85CC14975137}"/>
    <cellStyle name="Normal 12 10 3" xfId="10955" xr:uid="{558869B6-FF08-4558-A566-5B0261B1F881}"/>
    <cellStyle name="Normal 12 11" xfId="4665" xr:uid="{00000000-0005-0000-0000-0000CC0D0000}"/>
    <cellStyle name="Normal 12 11 2" xfId="13107" xr:uid="{A19A36E6-8A37-4A78-B8E1-B87F459BB3A9}"/>
    <cellStyle name="Normal 12 12" xfId="8889" xr:uid="{A4D065BF-BCF3-472D-BD1B-138646B26642}"/>
    <cellStyle name="Normal 12 2" xfId="260" xr:uid="{00000000-0005-0000-0000-0000CD0D0000}"/>
    <cellStyle name="Normal 12 2 10" xfId="8890" xr:uid="{89726DAF-5256-4649-A73A-2854243ED8D7}"/>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2 2 2" xfId="15669" xr:uid="{6A78AC5D-87D8-4792-9E4C-2373B081F49D}"/>
    <cellStyle name="Normal 12 2 2 2 2 2 3" xfId="11451" xr:uid="{3762CC2C-FE96-429B-819D-DF601F646B8D}"/>
    <cellStyle name="Normal 12 2 2 2 2 3" xfId="5082" xr:uid="{00000000-0005-0000-0000-0000D30D0000}"/>
    <cellStyle name="Normal 12 2 2 2 2 3 2" xfId="13524" xr:uid="{7231A9F0-E37E-4B84-B9B6-96B410D01735}"/>
    <cellStyle name="Normal 12 2 2 2 2 4" xfId="9306" xr:uid="{D13B3340-278B-4AD7-B2D1-554EA517BCD5}"/>
    <cellStyle name="Normal 12 2 2 2 3" xfId="1186" xr:uid="{00000000-0005-0000-0000-0000D40D0000}"/>
    <cellStyle name="Normal 12 2 2 2 3 2" xfId="3417" xr:uid="{00000000-0005-0000-0000-0000D50D0000}"/>
    <cellStyle name="Normal 12 2 2 2 3 2 2" xfId="7640" xr:uid="{00000000-0005-0000-0000-0000D60D0000}"/>
    <cellStyle name="Normal 12 2 2 2 3 2 2 2" xfId="16082" xr:uid="{00E8BAD3-EF37-4ACC-AF59-4A2D171AD872}"/>
    <cellStyle name="Normal 12 2 2 2 3 2 3" xfId="11864" xr:uid="{63F5632D-594C-4676-AF92-5FB36F75A24C}"/>
    <cellStyle name="Normal 12 2 2 2 3 3" xfId="5495" xr:uid="{00000000-0005-0000-0000-0000D70D0000}"/>
    <cellStyle name="Normal 12 2 2 2 3 3 2" xfId="13937" xr:uid="{A8988ACC-59B7-4EDC-95AD-87DDFF8A00A0}"/>
    <cellStyle name="Normal 12 2 2 2 3 4" xfId="9719" xr:uid="{7D9A44DB-93F9-40A9-A307-9EAD6AB49A61}"/>
    <cellStyle name="Normal 12 2 2 2 4" xfId="1600" xr:uid="{00000000-0005-0000-0000-0000D80D0000}"/>
    <cellStyle name="Normal 12 2 2 2 4 2" xfId="3830" xr:uid="{00000000-0005-0000-0000-0000D90D0000}"/>
    <cellStyle name="Normal 12 2 2 2 4 2 2" xfId="8053" xr:uid="{00000000-0005-0000-0000-0000DA0D0000}"/>
    <cellStyle name="Normal 12 2 2 2 4 2 2 2" xfId="16495" xr:uid="{E3D372B0-DB7A-4F52-B6BE-5E85D36F27CA}"/>
    <cellStyle name="Normal 12 2 2 2 4 2 3" xfId="12277" xr:uid="{E72A61F8-0C89-4386-B06E-3F865FB95D31}"/>
    <cellStyle name="Normal 12 2 2 2 4 3" xfId="5908" xr:uid="{00000000-0005-0000-0000-0000DB0D0000}"/>
    <cellStyle name="Normal 12 2 2 2 4 3 2" xfId="14350" xr:uid="{278E3FB7-85B6-40BD-8539-4F09037FA84A}"/>
    <cellStyle name="Normal 12 2 2 2 4 4" xfId="10132" xr:uid="{569C6648-8DFF-46CF-96A8-1A53994F2CDB}"/>
    <cellStyle name="Normal 12 2 2 2 5" xfId="2014" xr:uid="{00000000-0005-0000-0000-0000DC0D0000}"/>
    <cellStyle name="Normal 12 2 2 2 5 2" xfId="4243" xr:uid="{00000000-0005-0000-0000-0000DD0D0000}"/>
    <cellStyle name="Normal 12 2 2 2 5 2 2" xfId="8466" xr:uid="{00000000-0005-0000-0000-0000DE0D0000}"/>
    <cellStyle name="Normal 12 2 2 2 5 2 2 2" xfId="16908" xr:uid="{BAF70317-D0CE-4208-9F37-DFEFEE238560}"/>
    <cellStyle name="Normal 12 2 2 2 5 2 3" xfId="12690" xr:uid="{46873828-A00A-4BAD-8091-FA8E8E73B794}"/>
    <cellStyle name="Normal 12 2 2 2 5 3" xfId="6321" xr:uid="{00000000-0005-0000-0000-0000DF0D0000}"/>
    <cellStyle name="Normal 12 2 2 2 5 3 2" xfId="14763" xr:uid="{B4C37F11-ED76-4F8D-917F-A97D069BCD3A}"/>
    <cellStyle name="Normal 12 2 2 2 5 4" xfId="10545" xr:uid="{4C5C9D19-6810-44D1-99A8-67759D731A3B}"/>
    <cellStyle name="Normal 12 2 2 2 6" xfId="2450" xr:uid="{00000000-0005-0000-0000-0000E00D0000}"/>
    <cellStyle name="Normal 12 2 2 2 6 2" xfId="6734" xr:uid="{00000000-0005-0000-0000-0000E10D0000}"/>
    <cellStyle name="Normal 12 2 2 2 6 2 2" xfId="15176" xr:uid="{CD494E97-283F-4034-A4FB-96C0787AE61F}"/>
    <cellStyle name="Normal 12 2 2 2 6 3" xfId="10958" xr:uid="{D439674E-BCD2-4324-AFE6-BCD8C2692D7C}"/>
    <cellStyle name="Normal 12 2 2 2 7" xfId="4668" xr:uid="{00000000-0005-0000-0000-0000E20D0000}"/>
    <cellStyle name="Normal 12 2 2 2 7 2" xfId="13110" xr:uid="{07C39FEB-3E68-41A4-B7B3-A0BCB33AD9DE}"/>
    <cellStyle name="Normal 12 2 2 2 8" xfId="8892" xr:uid="{63EDD199-CA36-45F5-8BD0-7199684715AD}"/>
    <cellStyle name="Normal 12 2 2 3" xfId="762" xr:uid="{00000000-0005-0000-0000-0000E30D0000}"/>
    <cellStyle name="Normal 12 2 2 3 2" xfId="3003" xr:uid="{00000000-0005-0000-0000-0000E40D0000}"/>
    <cellStyle name="Normal 12 2 2 3 2 2" xfId="7226" xr:uid="{00000000-0005-0000-0000-0000E50D0000}"/>
    <cellStyle name="Normal 12 2 2 3 2 2 2" xfId="15668" xr:uid="{E60A3B6C-2689-444C-A779-AEE16B400F12}"/>
    <cellStyle name="Normal 12 2 2 3 2 3" xfId="11450" xr:uid="{9DB80640-A65D-44DC-9B49-6DD8F267C554}"/>
    <cellStyle name="Normal 12 2 2 3 3" xfId="5081" xr:uid="{00000000-0005-0000-0000-0000E60D0000}"/>
    <cellStyle name="Normal 12 2 2 3 3 2" xfId="13523" xr:uid="{CD544256-0311-4358-A50C-A22A750A75FA}"/>
    <cellStyle name="Normal 12 2 2 3 4" xfId="9305" xr:uid="{B88F9968-0633-4BB9-8160-8EEB3DD059F1}"/>
    <cellStyle name="Normal 12 2 2 4" xfId="1185" xr:uid="{00000000-0005-0000-0000-0000E70D0000}"/>
    <cellStyle name="Normal 12 2 2 4 2" xfId="3416" xr:uid="{00000000-0005-0000-0000-0000E80D0000}"/>
    <cellStyle name="Normal 12 2 2 4 2 2" xfId="7639" xr:uid="{00000000-0005-0000-0000-0000E90D0000}"/>
    <cellStyle name="Normal 12 2 2 4 2 2 2" xfId="16081" xr:uid="{5A161964-157A-4E5F-A170-7E099B8547F4}"/>
    <cellStyle name="Normal 12 2 2 4 2 3" xfId="11863" xr:uid="{A4670D79-A3E2-434B-B6F0-9621717038BA}"/>
    <cellStyle name="Normal 12 2 2 4 3" xfId="5494" xr:uid="{00000000-0005-0000-0000-0000EA0D0000}"/>
    <cellStyle name="Normal 12 2 2 4 3 2" xfId="13936" xr:uid="{C5ED3008-F171-4CCB-A360-C8E2B661F7A9}"/>
    <cellStyle name="Normal 12 2 2 4 4" xfId="9718" xr:uid="{67A45E0B-017F-43AB-B056-E581B210831E}"/>
    <cellStyle name="Normal 12 2 2 5" xfId="1599" xr:uid="{00000000-0005-0000-0000-0000EB0D0000}"/>
    <cellStyle name="Normal 12 2 2 5 2" xfId="3829" xr:uid="{00000000-0005-0000-0000-0000EC0D0000}"/>
    <cellStyle name="Normal 12 2 2 5 2 2" xfId="8052" xr:uid="{00000000-0005-0000-0000-0000ED0D0000}"/>
    <cellStyle name="Normal 12 2 2 5 2 2 2" xfId="16494" xr:uid="{66B4D575-19A7-4D6F-AB22-B96DC6F2C0E5}"/>
    <cellStyle name="Normal 12 2 2 5 2 3" xfId="12276" xr:uid="{D4470723-1330-4A69-9285-4727E880B51D}"/>
    <cellStyle name="Normal 12 2 2 5 3" xfId="5907" xr:uid="{00000000-0005-0000-0000-0000EE0D0000}"/>
    <cellStyle name="Normal 12 2 2 5 3 2" xfId="14349" xr:uid="{EA9F3353-7C02-46A1-977E-22C0A05E885D}"/>
    <cellStyle name="Normal 12 2 2 5 4" xfId="10131" xr:uid="{5E1DA69C-5E5F-403C-8E4C-80D7BE3A1F15}"/>
    <cellStyle name="Normal 12 2 2 6" xfId="2013" xr:uid="{00000000-0005-0000-0000-0000EF0D0000}"/>
    <cellStyle name="Normal 12 2 2 6 2" xfId="4242" xr:uid="{00000000-0005-0000-0000-0000F00D0000}"/>
    <cellStyle name="Normal 12 2 2 6 2 2" xfId="8465" xr:uid="{00000000-0005-0000-0000-0000F10D0000}"/>
    <cellStyle name="Normal 12 2 2 6 2 2 2" xfId="16907" xr:uid="{C9F30E36-BBC7-470A-9665-3C6B433DB7B8}"/>
    <cellStyle name="Normal 12 2 2 6 2 3" xfId="12689" xr:uid="{B53C1F5D-1E54-4C39-8E1A-AFB080D9E13E}"/>
    <cellStyle name="Normal 12 2 2 6 3" xfId="6320" xr:uid="{00000000-0005-0000-0000-0000F20D0000}"/>
    <cellStyle name="Normal 12 2 2 6 3 2" xfId="14762" xr:uid="{69835D79-E133-47BE-8AD4-FAD47E62762E}"/>
    <cellStyle name="Normal 12 2 2 6 4" xfId="10544" xr:uid="{B72670DB-534B-44F7-A73C-BDE3D6CBD355}"/>
    <cellStyle name="Normal 12 2 2 7" xfId="2449" xr:uid="{00000000-0005-0000-0000-0000F30D0000}"/>
    <cellStyle name="Normal 12 2 2 7 2" xfId="6733" xr:uid="{00000000-0005-0000-0000-0000F40D0000}"/>
    <cellStyle name="Normal 12 2 2 7 2 2" xfId="15175" xr:uid="{29951017-3DF8-4D68-9B62-C8A757C7838E}"/>
    <cellStyle name="Normal 12 2 2 7 3" xfId="10957" xr:uid="{1AB598CA-092C-44DF-B59D-F995F0BB7910}"/>
    <cellStyle name="Normal 12 2 2 8" xfId="4667" xr:uid="{00000000-0005-0000-0000-0000F50D0000}"/>
    <cellStyle name="Normal 12 2 2 8 2" xfId="13109" xr:uid="{222FEFFE-28B0-4DE5-963B-7A0FC8D683BD}"/>
    <cellStyle name="Normal 12 2 2 9" xfId="8891" xr:uid="{70B95E06-64A4-498B-B09C-0D3E31965FED}"/>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2 2 2" xfId="15670" xr:uid="{2BA1E5A3-5F05-4C85-8991-E4E350133349}"/>
    <cellStyle name="Normal 12 2 3 2 2 3" xfId="11452" xr:uid="{F2410F4E-4942-4359-A419-D7821D4FAF80}"/>
    <cellStyle name="Normal 12 2 3 2 3" xfId="5083" xr:uid="{00000000-0005-0000-0000-0000FA0D0000}"/>
    <cellStyle name="Normal 12 2 3 2 3 2" xfId="13525" xr:uid="{4BA00657-98C7-4F52-A082-AA61D8EA1DB2}"/>
    <cellStyle name="Normal 12 2 3 2 4" xfId="9307" xr:uid="{71441E22-BC95-4CDD-9003-0DA2237741E3}"/>
    <cellStyle name="Normal 12 2 3 3" xfId="1187" xr:uid="{00000000-0005-0000-0000-0000FB0D0000}"/>
    <cellStyle name="Normal 12 2 3 3 2" xfId="3418" xr:uid="{00000000-0005-0000-0000-0000FC0D0000}"/>
    <cellStyle name="Normal 12 2 3 3 2 2" xfId="7641" xr:uid="{00000000-0005-0000-0000-0000FD0D0000}"/>
    <cellStyle name="Normal 12 2 3 3 2 2 2" xfId="16083" xr:uid="{C5FAB4A0-5D67-4168-9026-969F2BF7C0A7}"/>
    <cellStyle name="Normal 12 2 3 3 2 3" xfId="11865" xr:uid="{578BD561-ECF9-49E8-959C-CAD8777E350B}"/>
    <cellStyle name="Normal 12 2 3 3 3" xfId="5496" xr:uid="{00000000-0005-0000-0000-0000FE0D0000}"/>
    <cellStyle name="Normal 12 2 3 3 3 2" xfId="13938" xr:uid="{ECF5FF4B-5CC3-448D-8BAB-968BB7BC8F42}"/>
    <cellStyle name="Normal 12 2 3 3 4" xfId="9720" xr:uid="{DBCE5FA5-B5E1-4D0E-9A55-8C7652AF36B7}"/>
    <cellStyle name="Normal 12 2 3 4" xfId="1601" xr:uid="{00000000-0005-0000-0000-0000FF0D0000}"/>
    <cellStyle name="Normal 12 2 3 4 2" xfId="3831" xr:uid="{00000000-0005-0000-0000-0000000E0000}"/>
    <cellStyle name="Normal 12 2 3 4 2 2" xfId="8054" xr:uid="{00000000-0005-0000-0000-0000010E0000}"/>
    <cellStyle name="Normal 12 2 3 4 2 2 2" xfId="16496" xr:uid="{67DF922A-CFE6-47E9-A3E0-02D9ED813252}"/>
    <cellStyle name="Normal 12 2 3 4 2 3" xfId="12278" xr:uid="{24066F47-13F0-4557-9EE8-ABF0CCEE2FEC}"/>
    <cellStyle name="Normal 12 2 3 4 3" xfId="5909" xr:uid="{00000000-0005-0000-0000-0000020E0000}"/>
    <cellStyle name="Normal 12 2 3 4 3 2" xfId="14351" xr:uid="{2B1251C6-F80D-4AA9-A092-17D272734472}"/>
    <cellStyle name="Normal 12 2 3 4 4" xfId="10133" xr:uid="{65BF9FE4-17DB-46F4-B168-E8C2A51AB65C}"/>
    <cellStyle name="Normal 12 2 3 5" xfId="2015" xr:uid="{00000000-0005-0000-0000-0000030E0000}"/>
    <cellStyle name="Normal 12 2 3 5 2" xfId="4244" xr:uid="{00000000-0005-0000-0000-0000040E0000}"/>
    <cellStyle name="Normal 12 2 3 5 2 2" xfId="8467" xr:uid="{00000000-0005-0000-0000-0000050E0000}"/>
    <cellStyle name="Normal 12 2 3 5 2 2 2" xfId="16909" xr:uid="{E850A50A-F8DE-4506-92DA-13144D417804}"/>
    <cellStyle name="Normal 12 2 3 5 2 3" xfId="12691" xr:uid="{15CAC3A8-0001-49CC-BEEB-4D2B41EAE64B}"/>
    <cellStyle name="Normal 12 2 3 5 3" xfId="6322" xr:uid="{00000000-0005-0000-0000-0000060E0000}"/>
    <cellStyle name="Normal 12 2 3 5 3 2" xfId="14764" xr:uid="{096B777E-7AFB-48BD-BC77-CB8F421E8A7B}"/>
    <cellStyle name="Normal 12 2 3 5 4" xfId="10546" xr:uid="{FF6A5B97-6FD1-4EEA-97B4-E9AF36FC2072}"/>
    <cellStyle name="Normal 12 2 3 6" xfId="2451" xr:uid="{00000000-0005-0000-0000-0000070E0000}"/>
    <cellStyle name="Normal 12 2 3 6 2" xfId="6735" xr:uid="{00000000-0005-0000-0000-0000080E0000}"/>
    <cellStyle name="Normal 12 2 3 6 2 2" xfId="15177" xr:uid="{710B6175-B2E3-4817-8FE1-E61C48915713}"/>
    <cellStyle name="Normal 12 2 3 6 3" xfId="10959" xr:uid="{D8265BC8-76B2-4D33-AFDE-F4E738DC5AD8}"/>
    <cellStyle name="Normal 12 2 3 7" xfId="4669" xr:uid="{00000000-0005-0000-0000-0000090E0000}"/>
    <cellStyle name="Normal 12 2 3 7 2" xfId="13111" xr:uid="{EA441A5E-E01A-4BAB-90FC-AEB3DC00140B}"/>
    <cellStyle name="Normal 12 2 3 8" xfId="8893" xr:uid="{571118D2-5409-414D-89CA-3D2C91901DFB}"/>
    <cellStyle name="Normal 12 2 4" xfId="761" xr:uid="{00000000-0005-0000-0000-00000A0E0000}"/>
    <cellStyle name="Normal 12 2 4 2" xfId="3002" xr:uid="{00000000-0005-0000-0000-00000B0E0000}"/>
    <cellStyle name="Normal 12 2 4 2 2" xfId="7225" xr:uid="{00000000-0005-0000-0000-00000C0E0000}"/>
    <cellStyle name="Normal 12 2 4 2 2 2" xfId="15667" xr:uid="{30BEC9C4-1993-47B6-91AA-AC72EE857473}"/>
    <cellStyle name="Normal 12 2 4 2 3" xfId="11449" xr:uid="{CB1284DE-FEEE-471A-8C03-B995AA85AED3}"/>
    <cellStyle name="Normal 12 2 4 3" xfId="5080" xr:uid="{00000000-0005-0000-0000-00000D0E0000}"/>
    <cellStyle name="Normal 12 2 4 3 2" xfId="13522" xr:uid="{E07BBC76-B6EC-4923-996A-8E82E656C12F}"/>
    <cellStyle name="Normal 12 2 4 4" xfId="9304" xr:uid="{A9C03C78-BAE4-4DA9-9248-773814BD8371}"/>
    <cellStyle name="Normal 12 2 5" xfId="1184" xr:uid="{00000000-0005-0000-0000-00000E0E0000}"/>
    <cellStyle name="Normal 12 2 5 2" xfId="3415" xr:uid="{00000000-0005-0000-0000-00000F0E0000}"/>
    <cellStyle name="Normal 12 2 5 2 2" xfId="7638" xr:uid="{00000000-0005-0000-0000-0000100E0000}"/>
    <cellStyle name="Normal 12 2 5 2 2 2" xfId="16080" xr:uid="{CC1AB263-BD86-4D12-A79F-398A8CD2D88F}"/>
    <cellStyle name="Normal 12 2 5 2 3" xfId="11862" xr:uid="{3216C233-970D-4CCE-8233-D197ADF4AF21}"/>
    <cellStyle name="Normal 12 2 5 3" xfId="5493" xr:uid="{00000000-0005-0000-0000-0000110E0000}"/>
    <cellStyle name="Normal 12 2 5 3 2" xfId="13935" xr:uid="{FE667A29-D3E8-4CA3-8903-2B7814E2142F}"/>
    <cellStyle name="Normal 12 2 5 4" xfId="9717" xr:uid="{487492FF-E184-4261-8A40-FB03190BE751}"/>
    <cellStyle name="Normal 12 2 6" xfId="1598" xr:uid="{00000000-0005-0000-0000-0000120E0000}"/>
    <cellStyle name="Normal 12 2 6 2" xfId="3828" xr:uid="{00000000-0005-0000-0000-0000130E0000}"/>
    <cellStyle name="Normal 12 2 6 2 2" xfId="8051" xr:uid="{00000000-0005-0000-0000-0000140E0000}"/>
    <cellStyle name="Normal 12 2 6 2 2 2" xfId="16493" xr:uid="{D52DAD1E-AB38-4893-AF23-0C389966DD5C}"/>
    <cellStyle name="Normal 12 2 6 2 3" xfId="12275" xr:uid="{7B1ED475-5B83-480B-939E-A040D8EFB352}"/>
    <cellStyle name="Normal 12 2 6 3" xfId="5906" xr:uid="{00000000-0005-0000-0000-0000150E0000}"/>
    <cellStyle name="Normal 12 2 6 3 2" xfId="14348" xr:uid="{2F9CE34A-677B-4032-98DB-4953367CF6B1}"/>
    <cellStyle name="Normal 12 2 6 4" xfId="10130" xr:uid="{698A7117-FFC2-4F81-BC3B-3D67D4CDA175}"/>
    <cellStyle name="Normal 12 2 7" xfId="2012" xr:uid="{00000000-0005-0000-0000-0000160E0000}"/>
    <cellStyle name="Normal 12 2 7 2" xfId="4241" xr:uid="{00000000-0005-0000-0000-0000170E0000}"/>
    <cellStyle name="Normal 12 2 7 2 2" xfId="8464" xr:uid="{00000000-0005-0000-0000-0000180E0000}"/>
    <cellStyle name="Normal 12 2 7 2 2 2" xfId="16906" xr:uid="{F5C4B1FB-4276-4261-BD36-F48A9AB32E1F}"/>
    <cellStyle name="Normal 12 2 7 2 3" xfId="12688" xr:uid="{D877401A-4614-483E-8B42-F25F1685530C}"/>
    <cellStyle name="Normal 12 2 7 3" xfId="6319" xr:uid="{00000000-0005-0000-0000-0000190E0000}"/>
    <cellStyle name="Normal 12 2 7 3 2" xfId="14761" xr:uid="{04F5375B-410A-471B-B68E-F4F891CC64F8}"/>
    <cellStyle name="Normal 12 2 7 4" xfId="10543" xr:uid="{4EED1039-C842-4D4A-887A-E57EB5902DB7}"/>
    <cellStyle name="Normal 12 2 8" xfId="2448" xr:uid="{00000000-0005-0000-0000-00001A0E0000}"/>
    <cellStyle name="Normal 12 2 8 2" xfId="6732" xr:uid="{00000000-0005-0000-0000-00001B0E0000}"/>
    <cellStyle name="Normal 12 2 8 2 2" xfId="15174" xr:uid="{82E2A0CA-E7E0-4BAE-8581-BB5C2FB01CAD}"/>
    <cellStyle name="Normal 12 2 8 3" xfId="10956" xr:uid="{24C70166-F1C3-4643-94C9-56374A91CC35}"/>
    <cellStyle name="Normal 12 2 9" xfId="4666" xr:uid="{00000000-0005-0000-0000-00001C0E0000}"/>
    <cellStyle name="Normal 12 2 9 2" xfId="13108" xr:uid="{09AA6E91-81DE-4AFF-B52E-867EFD595789}"/>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2 2 2" xfId="15672" xr:uid="{01982DE1-629E-4CFD-A87D-3D7287FBCB72}"/>
    <cellStyle name="Normal 12 3 2 2 2 3" xfId="11454" xr:uid="{73CDBE18-6B80-46D7-9352-B6AA95D47726}"/>
    <cellStyle name="Normal 12 3 2 2 3" xfId="5085" xr:uid="{00000000-0005-0000-0000-0000220E0000}"/>
    <cellStyle name="Normal 12 3 2 2 3 2" xfId="13527" xr:uid="{798E17F3-A511-4367-8414-06728892A3E5}"/>
    <cellStyle name="Normal 12 3 2 2 4" xfId="9309" xr:uid="{0AA8BFA3-CC67-4901-A87C-4DC8EB2AD008}"/>
    <cellStyle name="Normal 12 3 2 3" xfId="1189" xr:uid="{00000000-0005-0000-0000-0000230E0000}"/>
    <cellStyle name="Normal 12 3 2 3 2" xfId="3420" xr:uid="{00000000-0005-0000-0000-0000240E0000}"/>
    <cellStyle name="Normal 12 3 2 3 2 2" xfId="7643" xr:uid="{00000000-0005-0000-0000-0000250E0000}"/>
    <cellStyle name="Normal 12 3 2 3 2 2 2" xfId="16085" xr:uid="{CDCFB17F-49DA-42B3-9A04-79A7E97BAFAA}"/>
    <cellStyle name="Normal 12 3 2 3 2 3" xfId="11867" xr:uid="{F560851E-21B0-438A-BDA2-7E024B3CF40A}"/>
    <cellStyle name="Normal 12 3 2 3 3" xfId="5498" xr:uid="{00000000-0005-0000-0000-0000260E0000}"/>
    <cellStyle name="Normal 12 3 2 3 3 2" xfId="13940" xr:uid="{67D0D065-6F85-45CF-B8C9-87BD561FC06B}"/>
    <cellStyle name="Normal 12 3 2 3 4" xfId="9722" xr:uid="{EC2BE853-CCCA-4DDE-BFFA-F1A972B27384}"/>
    <cellStyle name="Normal 12 3 2 4" xfId="1603" xr:uid="{00000000-0005-0000-0000-0000270E0000}"/>
    <cellStyle name="Normal 12 3 2 4 2" xfId="3833" xr:uid="{00000000-0005-0000-0000-0000280E0000}"/>
    <cellStyle name="Normal 12 3 2 4 2 2" xfId="8056" xr:uid="{00000000-0005-0000-0000-0000290E0000}"/>
    <cellStyle name="Normal 12 3 2 4 2 2 2" xfId="16498" xr:uid="{252A79EA-A319-4303-865B-AD2268A603CF}"/>
    <cellStyle name="Normal 12 3 2 4 2 3" xfId="12280" xr:uid="{4BF5F9B9-296C-4925-BAF3-E9696B76C108}"/>
    <cellStyle name="Normal 12 3 2 4 3" xfId="5911" xr:uid="{00000000-0005-0000-0000-00002A0E0000}"/>
    <cellStyle name="Normal 12 3 2 4 3 2" xfId="14353" xr:uid="{C04BF635-F27E-43E2-80CE-E285D76BD850}"/>
    <cellStyle name="Normal 12 3 2 4 4" xfId="10135" xr:uid="{C3D2F81C-9F7A-4FF6-844C-085394395655}"/>
    <cellStyle name="Normal 12 3 2 5" xfId="2017" xr:uid="{00000000-0005-0000-0000-00002B0E0000}"/>
    <cellStyle name="Normal 12 3 2 5 2" xfId="4246" xr:uid="{00000000-0005-0000-0000-00002C0E0000}"/>
    <cellStyle name="Normal 12 3 2 5 2 2" xfId="8469" xr:uid="{00000000-0005-0000-0000-00002D0E0000}"/>
    <cellStyle name="Normal 12 3 2 5 2 2 2" xfId="16911" xr:uid="{7B0A7B99-0A9D-4AB7-A69E-09B6797A05D2}"/>
    <cellStyle name="Normal 12 3 2 5 2 3" xfId="12693" xr:uid="{E4EC7114-B4F0-4ABA-BA80-5C651593BB39}"/>
    <cellStyle name="Normal 12 3 2 5 3" xfId="6324" xr:uid="{00000000-0005-0000-0000-00002E0E0000}"/>
    <cellStyle name="Normal 12 3 2 5 3 2" xfId="14766" xr:uid="{7AC030A5-7D7E-4DFD-B6EB-DE4AC75439DA}"/>
    <cellStyle name="Normal 12 3 2 5 4" xfId="10548" xr:uid="{7DD7A118-6D3C-4D63-AC34-D391C2A4B712}"/>
    <cellStyle name="Normal 12 3 2 6" xfId="2453" xr:uid="{00000000-0005-0000-0000-00002F0E0000}"/>
    <cellStyle name="Normal 12 3 2 6 2" xfId="6737" xr:uid="{00000000-0005-0000-0000-0000300E0000}"/>
    <cellStyle name="Normal 12 3 2 6 2 2" xfId="15179" xr:uid="{19C838C4-ACD8-4CC3-A0B6-CA86562B3778}"/>
    <cellStyle name="Normal 12 3 2 6 3" xfId="10961" xr:uid="{0363D6ED-338E-4D55-9760-C8F649B9DD3B}"/>
    <cellStyle name="Normal 12 3 2 7" xfId="4671" xr:uid="{00000000-0005-0000-0000-0000310E0000}"/>
    <cellStyle name="Normal 12 3 2 7 2" xfId="13113" xr:uid="{39001F2B-0136-457A-9CAC-8A52F06BA9B5}"/>
    <cellStyle name="Normal 12 3 2 8" xfId="8895" xr:uid="{89494DDF-CEB4-4F31-AD70-48850E6D0A15}"/>
    <cellStyle name="Normal 12 3 3" xfId="765" xr:uid="{00000000-0005-0000-0000-0000320E0000}"/>
    <cellStyle name="Normal 12 3 3 2" xfId="3006" xr:uid="{00000000-0005-0000-0000-0000330E0000}"/>
    <cellStyle name="Normal 12 3 3 2 2" xfId="7229" xr:uid="{00000000-0005-0000-0000-0000340E0000}"/>
    <cellStyle name="Normal 12 3 3 2 2 2" xfId="15671" xr:uid="{9D216AA4-D06E-45F4-8AD6-B7A460710B31}"/>
    <cellStyle name="Normal 12 3 3 2 3" xfId="11453" xr:uid="{A6D61E45-1347-422A-9480-122761AF0A14}"/>
    <cellStyle name="Normal 12 3 3 3" xfId="5084" xr:uid="{00000000-0005-0000-0000-0000350E0000}"/>
    <cellStyle name="Normal 12 3 3 3 2" xfId="13526" xr:uid="{EF547DE1-B15B-4F1F-90A1-4504AF9A9512}"/>
    <cellStyle name="Normal 12 3 3 4" xfId="9308" xr:uid="{6F2C88EC-A203-445A-A8A4-77E99E652904}"/>
    <cellStyle name="Normal 12 3 4" xfId="1188" xr:uid="{00000000-0005-0000-0000-0000360E0000}"/>
    <cellStyle name="Normal 12 3 4 2" xfId="3419" xr:uid="{00000000-0005-0000-0000-0000370E0000}"/>
    <cellStyle name="Normal 12 3 4 2 2" xfId="7642" xr:uid="{00000000-0005-0000-0000-0000380E0000}"/>
    <cellStyle name="Normal 12 3 4 2 2 2" xfId="16084" xr:uid="{54F09109-811C-48E8-B0E6-485C77C8B6F8}"/>
    <cellStyle name="Normal 12 3 4 2 3" xfId="11866" xr:uid="{7CF8412B-5396-4506-B534-CF05BB7EAE23}"/>
    <cellStyle name="Normal 12 3 4 3" xfId="5497" xr:uid="{00000000-0005-0000-0000-0000390E0000}"/>
    <cellStyle name="Normal 12 3 4 3 2" xfId="13939" xr:uid="{9CF93C2F-D641-410A-96A2-707E976B530F}"/>
    <cellStyle name="Normal 12 3 4 4" xfId="9721" xr:uid="{4BCA5D99-907D-4894-AC9D-E1248B5065A4}"/>
    <cellStyle name="Normal 12 3 5" xfId="1602" xr:uid="{00000000-0005-0000-0000-00003A0E0000}"/>
    <cellStyle name="Normal 12 3 5 2" xfId="3832" xr:uid="{00000000-0005-0000-0000-00003B0E0000}"/>
    <cellStyle name="Normal 12 3 5 2 2" xfId="8055" xr:uid="{00000000-0005-0000-0000-00003C0E0000}"/>
    <cellStyle name="Normal 12 3 5 2 2 2" xfId="16497" xr:uid="{7D9AC904-E589-42BD-AEE6-6DAE56B3498F}"/>
    <cellStyle name="Normal 12 3 5 2 3" xfId="12279" xr:uid="{7C9A1E19-77A2-456F-AAAC-D3C101E456AB}"/>
    <cellStyle name="Normal 12 3 5 3" xfId="5910" xr:uid="{00000000-0005-0000-0000-00003D0E0000}"/>
    <cellStyle name="Normal 12 3 5 3 2" xfId="14352" xr:uid="{2E37CE0F-9050-42A9-AA45-3A2521649787}"/>
    <cellStyle name="Normal 12 3 5 4" xfId="10134" xr:uid="{0E7F9F97-45C9-44D6-B36C-8E23233A6CB3}"/>
    <cellStyle name="Normal 12 3 6" xfId="2016" xr:uid="{00000000-0005-0000-0000-00003E0E0000}"/>
    <cellStyle name="Normal 12 3 6 2" xfId="4245" xr:uid="{00000000-0005-0000-0000-00003F0E0000}"/>
    <cellStyle name="Normal 12 3 6 2 2" xfId="8468" xr:uid="{00000000-0005-0000-0000-0000400E0000}"/>
    <cellStyle name="Normal 12 3 6 2 2 2" xfId="16910" xr:uid="{35E0AF1C-3B78-4D03-9DB0-4552A9BD6F14}"/>
    <cellStyle name="Normal 12 3 6 2 3" xfId="12692" xr:uid="{1DC3EB28-25FC-45B4-AC79-09B433362367}"/>
    <cellStyle name="Normal 12 3 6 3" xfId="6323" xr:uid="{00000000-0005-0000-0000-0000410E0000}"/>
    <cellStyle name="Normal 12 3 6 3 2" xfId="14765" xr:uid="{AC624A3D-A5F3-4B99-9FA1-C2F337541040}"/>
    <cellStyle name="Normal 12 3 6 4" xfId="10547" xr:uid="{379FA223-ACB3-4C0E-8D18-918FE86A2C22}"/>
    <cellStyle name="Normal 12 3 7" xfId="2452" xr:uid="{00000000-0005-0000-0000-0000420E0000}"/>
    <cellStyle name="Normal 12 3 7 2" xfId="6736" xr:uid="{00000000-0005-0000-0000-0000430E0000}"/>
    <cellStyle name="Normal 12 3 7 2 2" xfId="15178" xr:uid="{6397E232-15B7-4616-B9F2-AAA78D599CBF}"/>
    <cellStyle name="Normal 12 3 7 3" xfId="10960" xr:uid="{A2912E31-B994-4EA2-8796-E1F17F5305F8}"/>
    <cellStyle name="Normal 12 3 8" xfId="4670" xr:uid="{00000000-0005-0000-0000-0000440E0000}"/>
    <cellStyle name="Normal 12 3 8 2" xfId="13112" xr:uid="{5F45FB5F-16D8-474F-B99C-836284D5DED9}"/>
    <cellStyle name="Normal 12 3 9" xfId="8894" xr:uid="{439CDC88-7C7F-4549-AD8E-E7A3F0BF9228}"/>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2 2 2" xfId="15673" xr:uid="{6B7315DD-DD97-47CA-ACF4-0ACBD832461A}"/>
    <cellStyle name="Normal 12 4 2 2 3" xfId="11455" xr:uid="{96F44D7B-2035-43B5-92EA-5B0548006F86}"/>
    <cellStyle name="Normal 12 4 2 3" xfId="5086" xr:uid="{00000000-0005-0000-0000-0000490E0000}"/>
    <cellStyle name="Normal 12 4 2 3 2" xfId="13528" xr:uid="{91A254F6-D11C-4D2F-9AB6-D5155211FA0D}"/>
    <cellStyle name="Normal 12 4 2 4" xfId="9310" xr:uid="{CF5AB898-E280-4005-AEA1-472F5ECE3A9F}"/>
    <cellStyle name="Normal 12 4 3" xfId="1190" xr:uid="{00000000-0005-0000-0000-00004A0E0000}"/>
    <cellStyle name="Normal 12 4 3 2" xfId="3421" xr:uid="{00000000-0005-0000-0000-00004B0E0000}"/>
    <cellStyle name="Normal 12 4 3 2 2" xfId="7644" xr:uid="{00000000-0005-0000-0000-00004C0E0000}"/>
    <cellStyle name="Normal 12 4 3 2 2 2" xfId="16086" xr:uid="{C498BB8E-E98E-4DA3-80F6-AA10816C6200}"/>
    <cellStyle name="Normal 12 4 3 2 3" xfId="11868" xr:uid="{5F0E07A9-56F7-472D-BB9A-B8DF48647076}"/>
    <cellStyle name="Normal 12 4 3 3" xfId="5499" xr:uid="{00000000-0005-0000-0000-00004D0E0000}"/>
    <cellStyle name="Normal 12 4 3 3 2" xfId="13941" xr:uid="{FDA6D37E-82B0-4A14-BE71-400B6C84968B}"/>
    <cellStyle name="Normal 12 4 3 4" xfId="9723" xr:uid="{63DBA6B8-7779-4FAC-BBB8-FD4556DD80F2}"/>
    <cellStyle name="Normal 12 4 4" xfId="1604" xr:uid="{00000000-0005-0000-0000-00004E0E0000}"/>
    <cellStyle name="Normal 12 4 4 2" xfId="3834" xr:uid="{00000000-0005-0000-0000-00004F0E0000}"/>
    <cellStyle name="Normal 12 4 4 2 2" xfId="8057" xr:uid="{00000000-0005-0000-0000-0000500E0000}"/>
    <cellStyle name="Normal 12 4 4 2 2 2" xfId="16499" xr:uid="{7B6C952F-349B-4128-A488-39E9D40991DF}"/>
    <cellStyle name="Normal 12 4 4 2 3" xfId="12281" xr:uid="{406257A4-D29B-4776-8D6A-D5BFE8DB5B64}"/>
    <cellStyle name="Normal 12 4 4 3" xfId="5912" xr:uid="{00000000-0005-0000-0000-0000510E0000}"/>
    <cellStyle name="Normal 12 4 4 3 2" xfId="14354" xr:uid="{794A1D27-19E1-41FF-88E3-CB958ED5D758}"/>
    <cellStyle name="Normal 12 4 4 4" xfId="10136" xr:uid="{A673436B-1CBC-4A83-9C74-0CBE31C63178}"/>
    <cellStyle name="Normal 12 4 5" xfId="2018" xr:uid="{00000000-0005-0000-0000-0000520E0000}"/>
    <cellStyle name="Normal 12 4 5 2" xfId="4247" xr:uid="{00000000-0005-0000-0000-0000530E0000}"/>
    <cellStyle name="Normal 12 4 5 2 2" xfId="8470" xr:uid="{00000000-0005-0000-0000-0000540E0000}"/>
    <cellStyle name="Normal 12 4 5 2 2 2" xfId="16912" xr:uid="{8003EA80-0A69-464D-ABF0-1A461ACC41CA}"/>
    <cellStyle name="Normal 12 4 5 2 3" xfId="12694" xr:uid="{E81B53D0-23B4-4752-A4BD-C3E4BA9566AD}"/>
    <cellStyle name="Normal 12 4 5 3" xfId="6325" xr:uid="{00000000-0005-0000-0000-0000550E0000}"/>
    <cellStyle name="Normal 12 4 5 3 2" xfId="14767" xr:uid="{D9684E43-69B6-4FF3-A755-CC909B191C17}"/>
    <cellStyle name="Normal 12 4 5 4" xfId="10549" xr:uid="{3F2EDA3D-D2E5-4D8D-AF22-E94A989B5FEF}"/>
    <cellStyle name="Normal 12 4 6" xfId="2454" xr:uid="{00000000-0005-0000-0000-0000560E0000}"/>
    <cellStyle name="Normal 12 4 6 2" xfId="6738" xr:uid="{00000000-0005-0000-0000-0000570E0000}"/>
    <cellStyle name="Normal 12 4 6 2 2" xfId="15180" xr:uid="{C96EA14A-5D88-423B-8C5A-74DD9D28520F}"/>
    <cellStyle name="Normal 12 4 6 3" xfId="10962" xr:uid="{920F2CA9-040A-49E8-83F1-F5B44EFE636D}"/>
    <cellStyle name="Normal 12 4 7" xfId="4672" xr:uid="{00000000-0005-0000-0000-0000580E0000}"/>
    <cellStyle name="Normal 12 4 7 2" xfId="13114" xr:uid="{0E2B8E21-9F9A-4A2D-B605-D7A3AC3ED981}"/>
    <cellStyle name="Normal 12 4 8" xfId="8896" xr:uid="{83879E75-E73A-4B8F-A35D-B8D565CB0B4A}"/>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2 2 2" xfId="15666" xr:uid="{AF91F959-F73F-4977-8ABF-D25060648A84}"/>
    <cellStyle name="Normal 12 6 2 3" xfId="11448" xr:uid="{1AED69F9-1C6C-4B28-A519-5C744B49BAC5}"/>
    <cellStyle name="Normal 12 6 3" xfId="5079" xr:uid="{00000000-0005-0000-0000-00005D0E0000}"/>
    <cellStyle name="Normal 12 6 3 2" xfId="13521" xr:uid="{1B8F8182-9791-439A-9F47-30F782EC6F81}"/>
    <cellStyle name="Normal 12 6 4" xfId="9303" xr:uid="{DD647658-11F2-4285-989E-1FFD0E16CABC}"/>
    <cellStyle name="Normal 12 7" xfId="1183" xr:uid="{00000000-0005-0000-0000-00005E0E0000}"/>
    <cellStyle name="Normal 12 7 2" xfId="3414" xr:uid="{00000000-0005-0000-0000-00005F0E0000}"/>
    <cellStyle name="Normal 12 7 2 2" xfId="7637" xr:uid="{00000000-0005-0000-0000-0000600E0000}"/>
    <cellStyle name="Normal 12 7 2 2 2" xfId="16079" xr:uid="{5710DDDD-40A7-4443-A5B5-56E8A492268A}"/>
    <cellStyle name="Normal 12 7 2 3" xfId="11861" xr:uid="{AC9577FF-4D02-494F-B08B-4124EB415164}"/>
    <cellStyle name="Normal 12 7 3" xfId="5492" xr:uid="{00000000-0005-0000-0000-0000610E0000}"/>
    <cellStyle name="Normal 12 7 3 2" xfId="13934" xr:uid="{4F079C37-7352-42AF-BA7F-3DC29B8A7F52}"/>
    <cellStyle name="Normal 12 7 4" xfId="9716" xr:uid="{2D40F8A3-E205-48B1-AFD8-E03439658ED2}"/>
    <cellStyle name="Normal 12 8" xfId="1597" xr:uid="{00000000-0005-0000-0000-0000620E0000}"/>
    <cellStyle name="Normal 12 8 2" xfId="3827" xr:uid="{00000000-0005-0000-0000-0000630E0000}"/>
    <cellStyle name="Normal 12 8 2 2" xfId="8050" xr:uid="{00000000-0005-0000-0000-0000640E0000}"/>
    <cellStyle name="Normal 12 8 2 2 2" xfId="16492" xr:uid="{90EEA85F-3C40-45D7-BFDF-9D1827AC6F70}"/>
    <cellStyle name="Normal 12 8 2 3" xfId="12274" xr:uid="{324FBF9F-8870-43E3-9991-D83B8B7FA71D}"/>
    <cellStyle name="Normal 12 8 3" xfId="5905" xr:uid="{00000000-0005-0000-0000-0000650E0000}"/>
    <cellStyle name="Normal 12 8 3 2" xfId="14347" xr:uid="{B03C939D-3548-43B6-8F06-AF3DA6CF762D}"/>
    <cellStyle name="Normal 12 8 4" xfId="10129" xr:uid="{FFA30F58-7008-488C-B172-A5D1936D46C5}"/>
    <cellStyle name="Normal 12 9" xfId="2011" xr:uid="{00000000-0005-0000-0000-0000660E0000}"/>
    <cellStyle name="Normal 12 9 2" xfId="4240" xr:uid="{00000000-0005-0000-0000-0000670E0000}"/>
    <cellStyle name="Normal 12 9 2 2" xfId="8463" xr:uid="{00000000-0005-0000-0000-0000680E0000}"/>
    <cellStyle name="Normal 12 9 2 2 2" xfId="16905" xr:uid="{5E8BC458-39F0-4AF4-89F5-A67AF8B145AF}"/>
    <cellStyle name="Normal 12 9 2 3" xfId="12687" xr:uid="{BCC06DD3-B962-4929-B349-9028215467A1}"/>
    <cellStyle name="Normal 12 9 3" xfId="6318" xr:uid="{00000000-0005-0000-0000-0000690E0000}"/>
    <cellStyle name="Normal 12 9 3 2" xfId="14760" xr:uid="{FA10DAF2-8BD6-4E05-87D2-FF9435D3AA9D}"/>
    <cellStyle name="Normal 12 9 4" xfId="10542" xr:uid="{1910FA84-D9DC-4032-9980-3CFE0C33EEB7}"/>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2 2 2" xfId="15674" xr:uid="{E5E01706-EC44-406F-8B40-DB9C0E7DA9E0}"/>
    <cellStyle name="Normal 14 2 2 3" xfId="11456" xr:uid="{6199F48B-6E70-4DA1-899E-05ABBB4D8FA9}"/>
    <cellStyle name="Normal 14 2 3" xfId="5087" xr:uid="{00000000-0005-0000-0000-0000700E0000}"/>
    <cellStyle name="Normal 14 2 3 2" xfId="13529" xr:uid="{6F1DF873-26D5-41BE-AD6F-03947090F757}"/>
    <cellStyle name="Normal 14 2 4" xfId="9311" xr:uid="{8F6D27BF-02BD-4E4C-96A1-9838114C7666}"/>
    <cellStyle name="Normal 14 3" xfId="1191" xr:uid="{00000000-0005-0000-0000-0000710E0000}"/>
    <cellStyle name="Normal 14 3 2" xfId="3422" xr:uid="{00000000-0005-0000-0000-0000720E0000}"/>
    <cellStyle name="Normal 14 3 2 2" xfId="7645" xr:uid="{00000000-0005-0000-0000-0000730E0000}"/>
    <cellStyle name="Normal 14 3 2 2 2" xfId="16087" xr:uid="{6E5A4089-7EFB-44D0-94F0-61452F799096}"/>
    <cellStyle name="Normal 14 3 2 3" xfId="11869" xr:uid="{A5C1A608-E190-48A9-A300-595131E08F85}"/>
    <cellStyle name="Normal 14 3 3" xfId="5500" xr:uid="{00000000-0005-0000-0000-0000740E0000}"/>
    <cellStyle name="Normal 14 3 3 2" xfId="13942" xr:uid="{6F759F15-A5E1-4A6F-B954-CFD5E85D0E22}"/>
    <cellStyle name="Normal 14 3 4" xfId="9724" xr:uid="{36AF8E49-FAF3-4D97-B292-1C850EC8D40B}"/>
    <cellStyle name="Normal 14 4" xfId="1605" xr:uid="{00000000-0005-0000-0000-0000750E0000}"/>
    <cellStyle name="Normal 14 4 2" xfId="3835" xr:uid="{00000000-0005-0000-0000-0000760E0000}"/>
    <cellStyle name="Normal 14 4 2 2" xfId="8058" xr:uid="{00000000-0005-0000-0000-0000770E0000}"/>
    <cellStyle name="Normal 14 4 2 2 2" xfId="16500" xr:uid="{10340744-8DA5-45F7-B88C-38A4B5FD848D}"/>
    <cellStyle name="Normal 14 4 2 3" xfId="12282" xr:uid="{44BABA7F-D69B-4C2E-99D9-B3F9A82F36E0}"/>
    <cellStyle name="Normal 14 4 3" xfId="5913" xr:uid="{00000000-0005-0000-0000-0000780E0000}"/>
    <cellStyle name="Normal 14 4 3 2" xfId="14355" xr:uid="{F94DD4CC-EE62-4C43-BEA5-AD4EAED5FAFC}"/>
    <cellStyle name="Normal 14 4 4" xfId="10137" xr:uid="{0D7F1803-D75E-4D57-813A-B5645301FA22}"/>
    <cellStyle name="Normal 14 5" xfId="2019" xr:uid="{00000000-0005-0000-0000-0000790E0000}"/>
    <cellStyle name="Normal 14 5 2" xfId="4248" xr:uid="{00000000-0005-0000-0000-00007A0E0000}"/>
    <cellStyle name="Normal 14 5 2 2" xfId="8471" xr:uid="{00000000-0005-0000-0000-00007B0E0000}"/>
    <cellStyle name="Normal 14 5 2 2 2" xfId="16913" xr:uid="{4395BC15-AF5F-4B99-9E54-791245E53296}"/>
    <cellStyle name="Normal 14 5 2 3" xfId="12695" xr:uid="{4B47E0A4-F124-48BA-9418-06AA12AC7357}"/>
    <cellStyle name="Normal 14 5 3" xfId="6326" xr:uid="{00000000-0005-0000-0000-00007C0E0000}"/>
    <cellStyle name="Normal 14 5 3 2" xfId="14768" xr:uid="{31E595FD-3DF8-4B66-9613-ADBEE33AB910}"/>
    <cellStyle name="Normal 14 5 4" xfId="10550" xr:uid="{419281F4-C424-4E98-9F04-D4B3EC93389D}"/>
    <cellStyle name="Normal 14 6" xfId="2455" xr:uid="{00000000-0005-0000-0000-00007D0E0000}"/>
    <cellStyle name="Normal 14 6 2" xfId="6739" xr:uid="{00000000-0005-0000-0000-00007E0E0000}"/>
    <cellStyle name="Normal 14 6 2 2" xfId="15181" xr:uid="{6703C2A4-FB6B-49DA-986C-74D557D30B92}"/>
    <cellStyle name="Normal 14 6 3" xfId="10963" xr:uid="{B4E0CF91-B674-455C-AF76-E07095A5925F}"/>
    <cellStyle name="Normal 14 7" xfId="4673" xr:uid="{00000000-0005-0000-0000-00007F0E0000}"/>
    <cellStyle name="Normal 14 7 2" xfId="13115" xr:uid="{BA6DDAB0-97DA-4B7B-BA84-F2527F864452}"/>
    <cellStyle name="Normal 14 8" xfId="8897" xr:uid="{4C827D4C-D6F3-43ED-A498-9EEDB2A2FA6D}"/>
    <cellStyle name="Normal 15" xfId="4496" xr:uid="{00000000-0005-0000-0000-0000800E0000}"/>
    <cellStyle name="Normal 15 2" xfId="12941" xr:uid="{090DEB97-2B5A-4E0B-AD6C-74C0578343AE}"/>
    <cellStyle name="Normal 16" xfId="4500" xr:uid="{00000000-0005-0000-0000-0000810E0000}"/>
    <cellStyle name="Normal 16 2" xfId="8716" xr:uid="{00000000-0005-0000-0000-0000820E0000}"/>
    <cellStyle name="Normal 16 2 2" xfId="17158" xr:uid="{977D3F54-40B9-45FE-AFC2-795B95515ADA}"/>
    <cellStyle name="Normal 16 3" xfId="8719" xr:uid="{3DE1BEEB-61FA-4094-B10F-9E0444F68763}"/>
    <cellStyle name="Normal 16 3 2" xfId="8723" xr:uid="{FE0BC069-4698-40B2-814D-8E09719245E9}"/>
    <cellStyle name="Normal 16 3 2 2" xfId="8726" xr:uid="{D3E9609F-293A-4CFC-B194-1FF2F92D621D}"/>
    <cellStyle name="Normal 16 3 2 3" xfId="17164" xr:uid="{CDF76975-DAB0-4AB8-9049-F406DC25648C}"/>
    <cellStyle name="Normal 16 3 3" xfId="17161" xr:uid="{3292CD83-D9A5-4AE5-A60C-2194DB043897}"/>
    <cellStyle name="Normal 16 4" xfId="12944" xr:uid="{95A0E80A-BE93-4AE2-B197-1986F9982469}"/>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2 2 2" xfId="16914" xr:uid="{4179E980-4D04-4B02-9BCC-1A54030FE089}"/>
    <cellStyle name="Normal 2 4 2 10 2 3" xfId="12696" xr:uid="{45B07344-47BA-4830-8F82-4136C1132C33}"/>
    <cellStyle name="Normal 2 4 2 10 3" xfId="6327" xr:uid="{00000000-0005-0000-0000-0000910E0000}"/>
    <cellStyle name="Normal 2 4 2 10 3 2" xfId="14769" xr:uid="{4E50085B-03E7-4A7B-966C-B799FD862B3C}"/>
    <cellStyle name="Normal 2 4 2 10 4" xfId="10551" xr:uid="{FCBD1129-441A-4A14-A681-7ABE80B1E9D9}"/>
    <cellStyle name="Normal 2 4 2 11" xfId="2456" xr:uid="{00000000-0005-0000-0000-0000920E0000}"/>
    <cellStyle name="Normal 2 4 2 11 2" xfId="6740" xr:uid="{00000000-0005-0000-0000-0000930E0000}"/>
    <cellStyle name="Normal 2 4 2 11 2 2" xfId="15182" xr:uid="{705CADA6-B262-4154-B19E-B3276C24DCEE}"/>
    <cellStyle name="Normal 2 4 2 11 3" xfId="10964" xr:uid="{41DA3298-B4B8-41E8-A246-F747BF66D8C3}"/>
    <cellStyle name="Normal 2 4 2 12" xfId="4674" xr:uid="{00000000-0005-0000-0000-0000940E0000}"/>
    <cellStyle name="Normal 2 4 2 12 2" xfId="13116" xr:uid="{3D08B9E7-9F1E-4797-922B-436CA806C351}"/>
    <cellStyle name="Normal 2 4 2 13" xfId="8898" xr:uid="{CFEB73E1-87B2-4551-8E80-CCFD06CA32EA}"/>
    <cellStyle name="Normal 2 4 2 2" xfId="280" xr:uid="{00000000-0005-0000-0000-0000950E0000}"/>
    <cellStyle name="Normal 2 4 2 3" xfId="281" xr:uid="{00000000-0005-0000-0000-0000960E0000}"/>
    <cellStyle name="Normal 2 4 2 3 10" xfId="4675" xr:uid="{00000000-0005-0000-0000-0000970E0000}"/>
    <cellStyle name="Normal 2 4 2 3 10 2" xfId="13117" xr:uid="{EA31C1CE-CEDA-4F29-AFE9-DB257361F8B0}"/>
    <cellStyle name="Normal 2 4 2 3 11" xfId="8899" xr:uid="{CD2DDDBB-3C5C-4532-B934-6AA469B87606}"/>
    <cellStyle name="Normal 2 4 2 3 2" xfId="282" xr:uid="{00000000-0005-0000-0000-0000980E0000}"/>
    <cellStyle name="Normal 2 4 2 3 2 10" xfId="8900" xr:uid="{BC42A183-34FB-4439-BE6B-A5796AC4463F}"/>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2 2 2" xfId="15679" xr:uid="{1861B251-B6A8-48F4-B30F-43D4E542BEB2}"/>
    <cellStyle name="Normal 2 4 2 3 2 2 2 2 2 3" xfId="11461" xr:uid="{D4CF6DE6-AE81-43A3-AB6E-7E7AB7E05A80}"/>
    <cellStyle name="Normal 2 4 2 3 2 2 2 2 3" xfId="5092" xr:uid="{00000000-0005-0000-0000-00009E0E0000}"/>
    <cellStyle name="Normal 2 4 2 3 2 2 2 2 3 2" xfId="13534" xr:uid="{C157FD19-5E06-41B2-B9F1-920C11210823}"/>
    <cellStyle name="Normal 2 4 2 3 2 2 2 2 4" xfId="9316" xr:uid="{B589D7C9-2C42-4CF9-B64F-9E14DCE40DE9}"/>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2 2 2" xfId="16092" xr:uid="{3DA09D03-0A90-4F61-93FA-CC904C05B611}"/>
    <cellStyle name="Normal 2 4 2 3 2 2 2 3 2 3" xfId="11874" xr:uid="{6A1CAD87-1BB0-4F53-8DC3-DED840D5C9D9}"/>
    <cellStyle name="Normal 2 4 2 3 2 2 2 3 3" xfId="5505" xr:uid="{00000000-0005-0000-0000-0000A20E0000}"/>
    <cellStyle name="Normal 2 4 2 3 2 2 2 3 3 2" xfId="13947" xr:uid="{E3A0AE6A-0D13-4342-9C7F-A095CBC100A2}"/>
    <cellStyle name="Normal 2 4 2 3 2 2 2 3 4" xfId="9729" xr:uid="{E7D882B7-E2A7-48B2-9959-F6BD6EC14363}"/>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2 2 2" xfId="16505" xr:uid="{9F1B3DBB-DEED-43B4-9AF2-D7E9AF38BFA6}"/>
    <cellStyle name="Normal 2 4 2 3 2 2 2 4 2 3" xfId="12287" xr:uid="{30525FB0-20DC-4B81-B9BF-293EB748E850}"/>
    <cellStyle name="Normal 2 4 2 3 2 2 2 4 3" xfId="5918" xr:uid="{00000000-0005-0000-0000-0000A60E0000}"/>
    <cellStyle name="Normal 2 4 2 3 2 2 2 4 3 2" xfId="14360" xr:uid="{EB3AF0CC-D482-45B8-9B3B-C68A8684C6A3}"/>
    <cellStyle name="Normal 2 4 2 3 2 2 2 4 4" xfId="10142" xr:uid="{CCDC9689-B8B3-4898-9EF8-B6187322F38E}"/>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2 2 2" xfId="16918" xr:uid="{732893E7-840F-4E08-846C-59692F1BC20B}"/>
    <cellStyle name="Normal 2 4 2 3 2 2 2 5 2 3" xfId="12700" xr:uid="{B7FB2615-66B2-4F90-A1F8-ACD65C4884CB}"/>
    <cellStyle name="Normal 2 4 2 3 2 2 2 5 3" xfId="6331" xr:uid="{00000000-0005-0000-0000-0000AA0E0000}"/>
    <cellStyle name="Normal 2 4 2 3 2 2 2 5 3 2" xfId="14773" xr:uid="{648CA5AC-C3D6-41E4-9E9E-35576DFE3905}"/>
    <cellStyle name="Normal 2 4 2 3 2 2 2 5 4" xfId="10555" xr:uid="{174F4422-240D-4C34-B226-5E10B26EB824}"/>
    <cellStyle name="Normal 2 4 2 3 2 2 2 6" xfId="2460" xr:uid="{00000000-0005-0000-0000-0000AB0E0000}"/>
    <cellStyle name="Normal 2 4 2 3 2 2 2 6 2" xfId="6744" xr:uid="{00000000-0005-0000-0000-0000AC0E0000}"/>
    <cellStyle name="Normal 2 4 2 3 2 2 2 6 2 2" xfId="15186" xr:uid="{B82B55F3-E711-4707-B80B-0706E8A9B06C}"/>
    <cellStyle name="Normal 2 4 2 3 2 2 2 6 3" xfId="10968" xr:uid="{B5BD3DE4-84D3-4901-BDDC-BA93094ED578}"/>
    <cellStyle name="Normal 2 4 2 3 2 2 2 7" xfId="4678" xr:uid="{00000000-0005-0000-0000-0000AD0E0000}"/>
    <cellStyle name="Normal 2 4 2 3 2 2 2 7 2" xfId="13120" xr:uid="{1056E774-CDAF-48F6-B1C0-32D4A09F8D5F}"/>
    <cellStyle name="Normal 2 4 2 3 2 2 2 8" xfId="8902" xr:uid="{88725754-FF57-4DFC-A8BC-4FDFEE91C942}"/>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2 2 2" xfId="15678" xr:uid="{C443C02F-B7C9-40EA-B8FF-60D63EB2D330}"/>
    <cellStyle name="Normal 2 4 2 3 2 2 3 2 3" xfId="11460" xr:uid="{E4291BC3-8F14-4E64-9519-50EA6B8423C8}"/>
    <cellStyle name="Normal 2 4 2 3 2 2 3 3" xfId="5091" xr:uid="{00000000-0005-0000-0000-0000B10E0000}"/>
    <cellStyle name="Normal 2 4 2 3 2 2 3 3 2" xfId="13533" xr:uid="{570249D2-1AA9-4203-9469-2812ED70A735}"/>
    <cellStyle name="Normal 2 4 2 3 2 2 3 4" xfId="9315" xr:uid="{3ED3ADA4-5269-4C2C-9BB6-31CC2247505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2 2 2" xfId="16091" xr:uid="{1BE482B2-FEFC-4257-8330-E9C766C9261C}"/>
    <cellStyle name="Normal 2 4 2 3 2 2 4 2 3" xfId="11873" xr:uid="{1DF6A99F-F2EF-4C0E-A46F-4E60D816211C}"/>
    <cellStyle name="Normal 2 4 2 3 2 2 4 3" xfId="5504" xr:uid="{00000000-0005-0000-0000-0000B50E0000}"/>
    <cellStyle name="Normal 2 4 2 3 2 2 4 3 2" xfId="13946" xr:uid="{6D12F467-80A6-4DAA-937C-B2819F769F9C}"/>
    <cellStyle name="Normal 2 4 2 3 2 2 4 4" xfId="9728" xr:uid="{0D179052-E86F-4991-843A-60B302584959}"/>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2 2 2" xfId="16504" xr:uid="{392FDBEF-4B12-4E92-9253-9E66EDEDD294}"/>
    <cellStyle name="Normal 2 4 2 3 2 2 5 2 3" xfId="12286" xr:uid="{DBE78ED7-9FCD-4401-ADA7-5AEA06A8955D}"/>
    <cellStyle name="Normal 2 4 2 3 2 2 5 3" xfId="5917" xr:uid="{00000000-0005-0000-0000-0000B90E0000}"/>
    <cellStyle name="Normal 2 4 2 3 2 2 5 3 2" xfId="14359" xr:uid="{5F12F5F0-E791-4947-B210-6B24290BCD2F}"/>
    <cellStyle name="Normal 2 4 2 3 2 2 5 4" xfId="10141" xr:uid="{2F582305-F805-4CEF-8C9C-1D4FA86EE314}"/>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2 2 2" xfId="16917" xr:uid="{CB4D559A-CBFB-4683-A156-94568627B35D}"/>
    <cellStyle name="Normal 2 4 2 3 2 2 6 2 3" xfId="12699" xr:uid="{6540D524-69DE-444E-A0D1-7DF1D58EBAF3}"/>
    <cellStyle name="Normal 2 4 2 3 2 2 6 3" xfId="6330" xr:uid="{00000000-0005-0000-0000-0000BD0E0000}"/>
    <cellStyle name="Normal 2 4 2 3 2 2 6 3 2" xfId="14772" xr:uid="{57F5AC34-02BE-4CE8-8332-08C5327A753C}"/>
    <cellStyle name="Normal 2 4 2 3 2 2 6 4" xfId="10554" xr:uid="{154A6ED5-44A2-4B6E-8D64-AE9152D7BABA}"/>
    <cellStyle name="Normal 2 4 2 3 2 2 7" xfId="2459" xr:uid="{00000000-0005-0000-0000-0000BE0E0000}"/>
    <cellStyle name="Normal 2 4 2 3 2 2 7 2" xfId="6743" xr:uid="{00000000-0005-0000-0000-0000BF0E0000}"/>
    <cellStyle name="Normal 2 4 2 3 2 2 7 2 2" xfId="15185" xr:uid="{AB650605-D3BE-448F-AF1E-ED611DC25791}"/>
    <cellStyle name="Normal 2 4 2 3 2 2 7 3" xfId="10967" xr:uid="{C14CD709-4A5F-4B08-AC81-D821F3D6582C}"/>
    <cellStyle name="Normal 2 4 2 3 2 2 8" xfId="4677" xr:uid="{00000000-0005-0000-0000-0000C00E0000}"/>
    <cellStyle name="Normal 2 4 2 3 2 2 8 2" xfId="13119" xr:uid="{0D9E8851-9256-476A-B50A-C115E6E3CA83}"/>
    <cellStyle name="Normal 2 4 2 3 2 2 9" xfId="8901" xr:uid="{C59CB106-7BE7-45C8-8508-B2FB823224EA}"/>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2 2 2" xfId="15680" xr:uid="{0A22DE6C-EF32-4FB7-B620-7A0EDE5BC86D}"/>
    <cellStyle name="Normal 2 4 2 3 2 3 2 2 3" xfId="11462" xr:uid="{35CFBD42-A804-4852-B433-4E8ECB74FB28}"/>
    <cellStyle name="Normal 2 4 2 3 2 3 2 3" xfId="5093" xr:uid="{00000000-0005-0000-0000-0000C50E0000}"/>
    <cellStyle name="Normal 2 4 2 3 2 3 2 3 2" xfId="13535" xr:uid="{C6A0CDA2-088A-418D-B088-1FB12743527D}"/>
    <cellStyle name="Normal 2 4 2 3 2 3 2 4" xfId="9317" xr:uid="{CC5EC2A5-13C7-414F-859C-A3FB0FBAA091}"/>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2 2 2" xfId="16093" xr:uid="{A9AA6153-6EDD-42FE-871F-E6DBB08F1FE0}"/>
    <cellStyle name="Normal 2 4 2 3 2 3 3 2 3" xfId="11875" xr:uid="{948BF138-887A-4987-B5F8-22B666FF8313}"/>
    <cellStyle name="Normal 2 4 2 3 2 3 3 3" xfId="5506" xr:uid="{00000000-0005-0000-0000-0000C90E0000}"/>
    <cellStyle name="Normal 2 4 2 3 2 3 3 3 2" xfId="13948" xr:uid="{F4308881-ACF7-493B-989A-9DC0845B3958}"/>
    <cellStyle name="Normal 2 4 2 3 2 3 3 4" xfId="9730" xr:uid="{4A393866-93E1-4AA5-A0E0-BD0BCC4C8453}"/>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2 2 2" xfId="16506" xr:uid="{180C9973-1A06-4BC4-916F-3D6151007779}"/>
    <cellStyle name="Normal 2 4 2 3 2 3 4 2 3" xfId="12288" xr:uid="{E8F41CE7-E912-484D-80AA-537E2D23DDAB}"/>
    <cellStyle name="Normal 2 4 2 3 2 3 4 3" xfId="5919" xr:uid="{00000000-0005-0000-0000-0000CD0E0000}"/>
    <cellStyle name="Normal 2 4 2 3 2 3 4 3 2" xfId="14361" xr:uid="{3CEA9E41-A729-433A-88A9-3C99F6E17EC8}"/>
    <cellStyle name="Normal 2 4 2 3 2 3 4 4" xfId="10143" xr:uid="{39DA20A2-CBEA-4878-AACB-BEE3423C9E47}"/>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2 2 2" xfId="16919" xr:uid="{36A4536F-98AB-45BD-B9C2-E8630BF67A34}"/>
    <cellStyle name="Normal 2 4 2 3 2 3 5 2 3" xfId="12701" xr:uid="{25533F4E-22F2-48CC-955C-894026FD2962}"/>
    <cellStyle name="Normal 2 4 2 3 2 3 5 3" xfId="6332" xr:uid="{00000000-0005-0000-0000-0000D10E0000}"/>
    <cellStyle name="Normal 2 4 2 3 2 3 5 3 2" xfId="14774" xr:uid="{6A903310-EBDD-4B31-AFA4-9DE5DF9EDA08}"/>
    <cellStyle name="Normal 2 4 2 3 2 3 5 4" xfId="10556" xr:uid="{3E561D03-2B19-40F0-B46C-23A9D3CD154C}"/>
    <cellStyle name="Normal 2 4 2 3 2 3 6" xfId="2461" xr:uid="{00000000-0005-0000-0000-0000D20E0000}"/>
    <cellStyle name="Normal 2 4 2 3 2 3 6 2" xfId="6745" xr:uid="{00000000-0005-0000-0000-0000D30E0000}"/>
    <cellStyle name="Normal 2 4 2 3 2 3 6 2 2" xfId="15187" xr:uid="{695A9183-1E0F-4B74-9294-F96B7BA115B4}"/>
    <cellStyle name="Normal 2 4 2 3 2 3 6 3" xfId="10969" xr:uid="{7F7FF254-EC86-4B5E-B645-3FA9942D84A7}"/>
    <cellStyle name="Normal 2 4 2 3 2 3 7" xfId="4679" xr:uid="{00000000-0005-0000-0000-0000D40E0000}"/>
    <cellStyle name="Normal 2 4 2 3 2 3 7 2" xfId="13121" xr:uid="{749AF4D2-603A-4B4A-90CF-903EF4850F9E}"/>
    <cellStyle name="Normal 2 4 2 3 2 3 8" xfId="8903" xr:uid="{26D1C2B8-15BA-4F7B-B558-AD3CDDC07E6C}"/>
    <cellStyle name="Normal 2 4 2 3 2 4" xfId="773" xr:uid="{00000000-0005-0000-0000-0000D50E0000}"/>
    <cellStyle name="Normal 2 4 2 3 2 4 2" xfId="3012" xr:uid="{00000000-0005-0000-0000-0000D60E0000}"/>
    <cellStyle name="Normal 2 4 2 3 2 4 2 2" xfId="7235" xr:uid="{00000000-0005-0000-0000-0000D70E0000}"/>
    <cellStyle name="Normal 2 4 2 3 2 4 2 2 2" xfId="15677" xr:uid="{E9E7EF3B-9C06-4283-9B13-7EAE89A9B23D}"/>
    <cellStyle name="Normal 2 4 2 3 2 4 2 3" xfId="11459" xr:uid="{627299CD-927A-4146-A295-374152E3A26C}"/>
    <cellStyle name="Normal 2 4 2 3 2 4 3" xfId="5090" xr:uid="{00000000-0005-0000-0000-0000D80E0000}"/>
    <cellStyle name="Normal 2 4 2 3 2 4 3 2" xfId="13532" xr:uid="{2E343D21-9687-453A-A6E3-098B0669E817}"/>
    <cellStyle name="Normal 2 4 2 3 2 4 4" xfId="9314" xr:uid="{0F65384B-D668-47EC-A4DF-0EE3382B6986}"/>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2 2 2" xfId="16090" xr:uid="{510E0171-79D0-4529-A6AE-F549CFF428DC}"/>
    <cellStyle name="Normal 2 4 2 3 2 5 2 3" xfId="11872" xr:uid="{0AE71D20-428A-4DE4-8C2A-1597C34C4444}"/>
    <cellStyle name="Normal 2 4 2 3 2 5 3" xfId="5503" xr:uid="{00000000-0005-0000-0000-0000DC0E0000}"/>
    <cellStyle name="Normal 2 4 2 3 2 5 3 2" xfId="13945" xr:uid="{D7F08740-02B7-43F6-BB46-763CA97B8747}"/>
    <cellStyle name="Normal 2 4 2 3 2 5 4" xfId="9727" xr:uid="{C61AE0F8-5871-4128-A212-B15B9AF66C01}"/>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2 2 2" xfId="16503" xr:uid="{B34F0B18-4111-4C39-8702-6343AA746806}"/>
    <cellStyle name="Normal 2 4 2 3 2 6 2 3" xfId="12285" xr:uid="{969E9463-B2B8-4F17-8653-B7866AA0308B}"/>
    <cellStyle name="Normal 2 4 2 3 2 6 3" xfId="5916" xr:uid="{00000000-0005-0000-0000-0000E00E0000}"/>
    <cellStyle name="Normal 2 4 2 3 2 6 3 2" xfId="14358" xr:uid="{D3E8F201-9CF2-4A77-B4CB-E041227070E7}"/>
    <cellStyle name="Normal 2 4 2 3 2 6 4" xfId="10140" xr:uid="{D256F5D3-DE7C-481B-86CC-1DAA13E51CC9}"/>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2 2 2" xfId="16916" xr:uid="{775178E0-C313-45BB-9551-CEA091DDC2F4}"/>
    <cellStyle name="Normal 2 4 2 3 2 7 2 3" xfId="12698" xr:uid="{0DF8DD25-DDD0-4B37-AB14-BF735B8BD603}"/>
    <cellStyle name="Normal 2 4 2 3 2 7 3" xfId="6329" xr:uid="{00000000-0005-0000-0000-0000E40E0000}"/>
    <cellStyle name="Normal 2 4 2 3 2 7 3 2" xfId="14771" xr:uid="{0ADA8C06-C103-4111-8DC9-160C4654C6F6}"/>
    <cellStyle name="Normal 2 4 2 3 2 7 4" xfId="10553" xr:uid="{C93CE585-4861-4A7C-98A7-1602ECD996D3}"/>
    <cellStyle name="Normal 2 4 2 3 2 8" xfId="2458" xr:uid="{00000000-0005-0000-0000-0000E50E0000}"/>
    <cellStyle name="Normal 2 4 2 3 2 8 2" xfId="6742" xr:uid="{00000000-0005-0000-0000-0000E60E0000}"/>
    <cellStyle name="Normal 2 4 2 3 2 8 2 2" xfId="15184" xr:uid="{32BAB257-41D5-42B6-920B-CA91F6B931EE}"/>
    <cellStyle name="Normal 2 4 2 3 2 8 3" xfId="10966" xr:uid="{EE987460-F7DE-4506-AB07-3B831BA14933}"/>
    <cellStyle name="Normal 2 4 2 3 2 9" xfId="4676" xr:uid="{00000000-0005-0000-0000-0000E70E0000}"/>
    <cellStyle name="Normal 2 4 2 3 2 9 2" xfId="13118" xr:uid="{0FAAE94D-89FE-42A0-AD81-E88D349A8D85}"/>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2 2 2" xfId="15682" xr:uid="{35729974-A1D1-4D6F-A2C1-5611E16DB965}"/>
    <cellStyle name="Normal 2 4 2 3 3 2 2 2 3" xfId="11464" xr:uid="{A8293162-4483-4DF8-B2CA-BB521BB4FD51}"/>
    <cellStyle name="Normal 2 4 2 3 3 2 2 3" xfId="5095" xr:uid="{00000000-0005-0000-0000-0000ED0E0000}"/>
    <cellStyle name="Normal 2 4 2 3 3 2 2 3 2" xfId="13537" xr:uid="{1C1AF9BA-A386-49E3-9252-C508EB0DBC96}"/>
    <cellStyle name="Normal 2 4 2 3 3 2 2 4" xfId="9319" xr:uid="{9A55E417-E8E2-4561-88D5-7AE7E61A272E}"/>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2 2 2" xfId="16095" xr:uid="{DFFBB766-A4AA-4632-ADA1-CC64EA261864}"/>
    <cellStyle name="Normal 2 4 2 3 3 2 3 2 3" xfId="11877" xr:uid="{0E3A45D9-EA88-4FD1-87E4-574076CE48C6}"/>
    <cellStyle name="Normal 2 4 2 3 3 2 3 3" xfId="5508" xr:uid="{00000000-0005-0000-0000-0000F10E0000}"/>
    <cellStyle name="Normal 2 4 2 3 3 2 3 3 2" xfId="13950" xr:uid="{788301E9-8852-47A1-AD94-4AB07E07CDF4}"/>
    <cellStyle name="Normal 2 4 2 3 3 2 3 4" xfId="9732" xr:uid="{44539CA3-FA20-4052-A598-FCB12209C292}"/>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2 2 2" xfId="16508" xr:uid="{F54E4F84-5441-4E2C-A5A7-CA8047289EC5}"/>
    <cellStyle name="Normal 2 4 2 3 3 2 4 2 3" xfId="12290" xr:uid="{72F88364-3089-4A8E-8766-83ECC7FBED3A}"/>
    <cellStyle name="Normal 2 4 2 3 3 2 4 3" xfId="5921" xr:uid="{00000000-0005-0000-0000-0000F50E0000}"/>
    <cellStyle name="Normal 2 4 2 3 3 2 4 3 2" xfId="14363" xr:uid="{72207784-ECB6-4EEB-BAA1-D518C2697B83}"/>
    <cellStyle name="Normal 2 4 2 3 3 2 4 4" xfId="10145" xr:uid="{DE7D0653-7DBB-49E5-913E-78ECD34C1BD2}"/>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2 2 2" xfId="16921" xr:uid="{6A03B83F-76B6-41B7-8526-D51D0D48C0A6}"/>
    <cellStyle name="Normal 2 4 2 3 3 2 5 2 3" xfId="12703" xr:uid="{377302C5-8C53-4363-850C-965435CF74BE}"/>
    <cellStyle name="Normal 2 4 2 3 3 2 5 3" xfId="6334" xr:uid="{00000000-0005-0000-0000-0000F90E0000}"/>
    <cellStyle name="Normal 2 4 2 3 3 2 5 3 2" xfId="14776" xr:uid="{7454FD33-B9F6-4C12-846E-3DBF154892F2}"/>
    <cellStyle name="Normal 2 4 2 3 3 2 5 4" xfId="10558" xr:uid="{82F18A15-1CDE-4169-8003-AF2D3FEA720B}"/>
    <cellStyle name="Normal 2 4 2 3 3 2 6" xfId="2463" xr:uid="{00000000-0005-0000-0000-0000FA0E0000}"/>
    <cellStyle name="Normal 2 4 2 3 3 2 6 2" xfId="6747" xr:uid="{00000000-0005-0000-0000-0000FB0E0000}"/>
    <cellStyle name="Normal 2 4 2 3 3 2 6 2 2" xfId="15189" xr:uid="{50BC4A64-F5F6-40D6-B95E-6FCB4128517D}"/>
    <cellStyle name="Normal 2 4 2 3 3 2 6 3" xfId="10971" xr:uid="{06C2BF2D-40D7-4A30-84F7-8318DB49D62A}"/>
    <cellStyle name="Normal 2 4 2 3 3 2 7" xfId="4681" xr:uid="{00000000-0005-0000-0000-0000FC0E0000}"/>
    <cellStyle name="Normal 2 4 2 3 3 2 7 2" xfId="13123" xr:uid="{444B4C02-B551-40F4-BA92-C830BAE5299E}"/>
    <cellStyle name="Normal 2 4 2 3 3 2 8" xfId="8905" xr:uid="{16AAE84D-932B-4FE4-9F58-4123A0DDD147}"/>
    <cellStyle name="Normal 2 4 2 3 3 3" xfId="777" xr:uid="{00000000-0005-0000-0000-0000FD0E0000}"/>
    <cellStyle name="Normal 2 4 2 3 3 3 2" xfId="3016" xr:uid="{00000000-0005-0000-0000-0000FE0E0000}"/>
    <cellStyle name="Normal 2 4 2 3 3 3 2 2" xfId="7239" xr:uid="{00000000-0005-0000-0000-0000FF0E0000}"/>
    <cellStyle name="Normal 2 4 2 3 3 3 2 2 2" xfId="15681" xr:uid="{00AF5EF4-0C79-4DFB-B409-94091334C99D}"/>
    <cellStyle name="Normal 2 4 2 3 3 3 2 3" xfId="11463" xr:uid="{07D9A805-D793-4AB4-9915-B488DDB70E6C}"/>
    <cellStyle name="Normal 2 4 2 3 3 3 3" xfId="5094" xr:uid="{00000000-0005-0000-0000-0000000F0000}"/>
    <cellStyle name="Normal 2 4 2 3 3 3 3 2" xfId="13536" xr:uid="{54833CEB-EA37-4C84-9FE4-C8D3BB9C8B4E}"/>
    <cellStyle name="Normal 2 4 2 3 3 3 4" xfId="9318" xr:uid="{B44D2C85-A5B4-4136-B5D8-8E1E2C3AF8AB}"/>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2 2 2" xfId="16094" xr:uid="{9C8B9144-7658-4224-BF39-4CFB34F5314F}"/>
    <cellStyle name="Normal 2 4 2 3 3 4 2 3" xfId="11876" xr:uid="{0121DC85-E32A-4A8B-AB2A-1F8819855E19}"/>
    <cellStyle name="Normal 2 4 2 3 3 4 3" xfId="5507" xr:uid="{00000000-0005-0000-0000-0000040F0000}"/>
    <cellStyle name="Normal 2 4 2 3 3 4 3 2" xfId="13949" xr:uid="{F22EDC4B-BFDA-4D6B-B984-3F00041B9185}"/>
    <cellStyle name="Normal 2 4 2 3 3 4 4" xfId="9731" xr:uid="{11180F5C-1AC1-4E3C-B218-8DF753A7AF4F}"/>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2 2 2" xfId="16507" xr:uid="{0ABEDDCE-03CA-4D9A-9E56-952024EBC328}"/>
    <cellStyle name="Normal 2 4 2 3 3 5 2 3" xfId="12289" xr:uid="{BF9B4F23-86DD-490B-B660-D716AD5DA33B}"/>
    <cellStyle name="Normal 2 4 2 3 3 5 3" xfId="5920" xr:uid="{00000000-0005-0000-0000-0000080F0000}"/>
    <cellStyle name="Normal 2 4 2 3 3 5 3 2" xfId="14362" xr:uid="{A0D9185B-A7F0-4C55-BEA2-29436610E09B}"/>
    <cellStyle name="Normal 2 4 2 3 3 5 4" xfId="10144" xr:uid="{98396104-1F18-4623-9A00-D3C3B3826B0B}"/>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2 2 2" xfId="16920" xr:uid="{14CFAB71-FE77-4851-AC25-19CCD8DA4469}"/>
    <cellStyle name="Normal 2 4 2 3 3 6 2 3" xfId="12702" xr:uid="{C55B8B91-9949-412C-86EE-F877C271C6B7}"/>
    <cellStyle name="Normal 2 4 2 3 3 6 3" xfId="6333" xr:uid="{00000000-0005-0000-0000-00000C0F0000}"/>
    <cellStyle name="Normal 2 4 2 3 3 6 3 2" xfId="14775" xr:uid="{136FFF92-2A34-424A-90AB-520CE193F5B6}"/>
    <cellStyle name="Normal 2 4 2 3 3 6 4" xfId="10557" xr:uid="{EF997E07-AE21-45D6-8A21-77472AF950E7}"/>
    <cellStyle name="Normal 2 4 2 3 3 7" xfId="2462" xr:uid="{00000000-0005-0000-0000-00000D0F0000}"/>
    <cellStyle name="Normal 2 4 2 3 3 7 2" xfId="6746" xr:uid="{00000000-0005-0000-0000-00000E0F0000}"/>
    <cellStyle name="Normal 2 4 2 3 3 7 2 2" xfId="15188" xr:uid="{C9C81299-0334-4E2B-8F0C-5E3AD1D83A63}"/>
    <cellStyle name="Normal 2 4 2 3 3 7 3" xfId="10970" xr:uid="{E513F2B4-8741-4406-9AAA-EE406FF93ED6}"/>
    <cellStyle name="Normal 2 4 2 3 3 8" xfId="4680" xr:uid="{00000000-0005-0000-0000-00000F0F0000}"/>
    <cellStyle name="Normal 2 4 2 3 3 8 2" xfId="13122" xr:uid="{5942A844-3F3C-42A5-9AAA-EDCBB1DA718C}"/>
    <cellStyle name="Normal 2 4 2 3 3 9" xfId="8904" xr:uid="{C684E87C-EEC1-4773-B249-EA4C1D71DEF7}"/>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2 2 2" xfId="15683" xr:uid="{09617977-8CCA-4B85-A87C-D58E2B03DD30}"/>
    <cellStyle name="Normal 2 4 2 3 4 2 2 3" xfId="11465" xr:uid="{8154E308-D68D-4924-9409-D37F36DFE6EB}"/>
    <cellStyle name="Normal 2 4 2 3 4 2 3" xfId="5096" xr:uid="{00000000-0005-0000-0000-0000140F0000}"/>
    <cellStyle name="Normal 2 4 2 3 4 2 3 2" xfId="13538" xr:uid="{227E5096-575D-4CC1-8BC8-674B1F444E36}"/>
    <cellStyle name="Normal 2 4 2 3 4 2 4" xfId="9320" xr:uid="{D1C9E337-759E-48D7-8BB3-9EC3C13E8E6C}"/>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2 2 2" xfId="16096" xr:uid="{115DB8DC-A3A0-4C73-A52D-5BA2859D004A}"/>
    <cellStyle name="Normal 2 4 2 3 4 3 2 3" xfId="11878" xr:uid="{F6D52B86-83DF-4471-96DA-E368BCBC9B0C}"/>
    <cellStyle name="Normal 2 4 2 3 4 3 3" xfId="5509" xr:uid="{00000000-0005-0000-0000-0000180F0000}"/>
    <cellStyle name="Normal 2 4 2 3 4 3 3 2" xfId="13951" xr:uid="{5693AC76-5317-4D37-A13A-E95D84E55EE3}"/>
    <cellStyle name="Normal 2 4 2 3 4 3 4" xfId="9733" xr:uid="{449F5CA2-C70C-4B16-B321-8BE2E75C6061}"/>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2 2 2" xfId="16509" xr:uid="{7F97163E-9337-46E3-99C8-5FD1B9708FFA}"/>
    <cellStyle name="Normal 2 4 2 3 4 4 2 3" xfId="12291" xr:uid="{7AD73019-BDC3-4314-B8A3-C34068D38E5C}"/>
    <cellStyle name="Normal 2 4 2 3 4 4 3" xfId="5922" xr:uid="{00000000-0005-0000-0000-00001C0F0000}"/>
    <cellStyle name="Normal 2 4 2 3 4 4 3 2" xfId="14364" xr:uid="{947667EC-716E-4439-B817-A6004FCDC893}"/>
    <cellStyle name="Normal 2 4 2 3 4 4 4" xfId="10146" xr:uid="{581D5109-33FB-4D99-8E24-77BE82270F77}"/>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2 2 2" xfId="16922" xr:uid="{46F641E3-BA23-48CD-9D7D-BB3E5864A661}"/>
    <cellStyle name="Normal 2 4 2 3 4 5 2 3" xfId="12704" xr:uid="{36E3046E-06B9-496C-8DCB-4D90088C907A}"/>
    <cellStyle name="Normal 2 4 2 3 4 5 3" xfId="6335" xr:uid="{00000000-0005-0000-0000-0000200F0000}"/>
    <cellStyle name="Normal 2 4 2 3 4 5 3 2" xfId="14777" xr:uid="{F9BC0329-5074-451F-B09A-8CE484DF58A2}"/>
    <cellStyle name="Normal 2 4 2 3 4 5 4" xfId="10559" xr:uid="{458C732D-E23F-4D17-A4AD-CC79B59D31FE}"/>
    <cellStyle name="Normal 2 4 2 3 4 6" xfId="2464" xr:uid="{00000000-0005-0000-0000-0000210F0000}"/>
    <cellStyle name="Normal 2 4 2 3 4 6 2" xfId="6748" xr:uid="{00000000-0005-0000-0000-0000220F0000}"/>
    <cellStyle name="Normal 2 4 2 3 4 6 2 2" xfId="15190" xr:uid="{1249A708-B4B6-47ED-BA74-D27C48C6DD31}"/>
    <cellStyle name="Normal 2 4 2 3 4 6 3" xfId="10972" xr:uid="{19387A93-EA6E-47AF-A59E-C34ECDF48FFD}"/>
    <cellStyle name="Normal 2 4 2 3 4 7" xfId="4682" xr:uid="{00000000-0005-0000-0000-0000230F0000}"/>
    <cellStyle name="Normal 2 4 2 3 4 7 2" xfId="13124" xr:uid="{243AE0FE-7CA8-400C-8FFD-793389994376}"/>
    <cellStyle name="Normal 2 4 2 3 4 8" xfId="8906" xr:uid="{17BDDB11-7685-4EFC-8564-255DA121F42B}"/>
    <cellStyle name="Normal 2 4 2 3 5" xfId="772" xr:uid="{00000000-0005-0000-0000-0000240F0000}"/>
    <cellStyle name="Normal 2 4 2 3 5 2" xfId="3011" xr:uid="{00000000-0005-0000-0000-0000250F0000}"/>
    <cellStyle name="Normal 2 4 2 3 5 2 2" xfId="7234" xr:uid="{00000000-0005-0000-0000-0000260F0000}"/>
    <cellStyle name="Normal 2 4 2 3 5 2 2 2" xfId="15676" xr:uid="{47A77E11-5C23-4CA2-B88E-5CB8067DAC02}"/>
    <cellStyle name="Normal 2 4 2 3 5 2 3" xfId="11458" xr:uid="{E64E253E-97AB-43CF-85A3-EB1BE4399B04}"/>
    <cellStyle name="Normal 2 4 2 3 5 3" xfId="5089" xr:uid="{00000000-0005-0000-0000-0000270F0000}"/>
    <cellStyle name="Normal 2 4 2 3 5 3 2" xfId="13531" xr:uid="{1875D246-38CC-4DA9-85AF-BC0F7B0A17FD}"/>
    <cellStyle name="Normal 2 4 2 3 5 4" xfId="9313" xr:uid="{9DD42B98-2A67-4CA5-B27C-8DA4B035BFA4}"/>
    <cellStyle name="Normal 2 4 2 3 6" xfId="1194" xr:uid="{00000000-0005-0000-0000-0000280F0000}"/>
    <cellStyle name="Normal 2 4 2 3 6 2" xfId="3424" xr:uid="{00000000-0005-0000-0000-0000290F0000}"/>
    <cellStyle name="Normal 2 4 2 3 6 2 2" xfId="7647" xr:uid="{00000000-0005-0000-0000-00002A0F0000}"/>
    <cellStyle name="Normal 2 4 2 3 6 2 2 2" xfId="16089" xr:uid="{01DA789B-C647-47F3-A433-CD64382532E1}"/>
    <cellStyle name="Normal 2 4 2 3 6 2 3" xfId="11871" xr:uid="{8FEF89EB-DE1B-422B-A2CF-4D5BE4B69B7E}"/>
    <cellStyle name="Normal 2 4 2 3 6 3" xfId="5502" xr:uid="{00000000-0005-0000-0000-00002B0F0000}"/>
    <cellStyle name="Normal 2 4 2 3 6 3 2" xfId="13944" xr:uid="{002DEFCD-9228-48D8-B8C0-1BBCEC97B9A1}"/>
    <cellStyle name="Normal 2 4 2 3 6 4" xfId="9726" xr:uid="{22A8D2EA-801C-496C-A9FC-8EC3819DFB15}"/>
    <cellStyle name="Normal 2 4 2 3 7" xfId="1607" xr:uid="{00000000-0005-0000-0000-00002C0F0000}"/>
    <cellStyle name="Normal 2 4 2 3 7 2" xfId="3837" xr:uid="{00000000-0005-0000-0000-00002D0F0000}"/>
    <cellStyle name="Normal 2 4 2 3 7 2 2" xfId="8060" xr:uid="{00000000-0005-0000-0000-00002E0F0000}"/>
    <cellStyle name="Normal 2 4 2 3 7 2 2 2" xfId="16502" xr:uid="{629C77CA-AE69-44A7-B972-95FECDB0D070}"/>
    <cellStyle name="Normal 2 4 2 3 7 2 3" xfId="12284" xr:uid="{DCEFFFAF-8E85-4C89-B366-36FD25FEAC65}"/>
    <cellStyle name="Normal 2 4 2 3 7 3" xfId="5915" xr:uid="{00000000-0005-0000-0000-00002F0F0000}"/>
    <cellStyle name="Normal 2 4 2 3 7 3 2" xfId="14357" xr:uid="{59A23693-64F9-42E6-B6C5-F03FE932362B}"/>
    <cellStyle name="Normal 2 4 2 3 7 4" xfId="10139" xr:uid="{12591837-AEF1-4869-A635-0DA393FBBF28}"/>
    <cellStyle name="Normal 2 4 2 3 8" xfId="2021" xr:uid="{00000000-0005-0000-0000-0000300F0000}"/>
    <cellStyle name="Normal 2 4 2 3 8 2" xfId="4250" xr:uid="{00000000-0005-0000-0000-0000310F0000}"/>
    <cellStyle name="Normal 2 4 2 3 8 2 2" xfId="8473" xr:uid="{00000000-0005-0000-0000-0000320F0000}"/>
    <cellStyle name="Normal 2 4 2 3 8 2 2 2" xfId="16915" xr:uid="{1558AB72-B7F2-4C41-AF6F-BBDB7F44C647}"/>
    <cellStyle name="Normal 2 4 2 3 8 2 3" xfId="12697" xr:uid="{E932C7FF-71D1-4182-9A03-3FD688B65620}"/>
    <cellStyle name="Normal 2 4 2 3 8 3" xfId="6328" xr:uid="{00000000-0005-0000-0000-0000330F0000}"/>
    <cellStyle name="Normal 2 4 2 3 8 3 2" xfId="14770" xr:uid="{441B3BEB-68AA-4E88-ADF5-36E2779F6A4F}"/>
    <cellStyle name="Normal 2 4 2 3 8 4" xfId="10552" xr:uid="{6CE0442D-AFDA-44BD-80A1-937B794E15D7}"/>
    <cellStyle name="Normal 2 4 2 3 9" xfId="2457" xr:uid="{00000000-0005-0000-0000-0000340F0000}"/>
    <cellStyle name="Normal 2 4 2 3 9 2" xfId="6741" xr:uid="{00000000-0005-0000-0000-0000350F0000}"/>
    <cellStyle name="Normal 2 4 2 3 9 2 2" xfId="15183" xr:uid="{01CF293B-7B3E-4908-B1DD-6D2B45ACCCDD}"/>
    <cellStyle name="Normal 2 4 2 3 9 3" xfId="10965" xr:uid="{4708F44D-D155-4C76-9E63-9F272B49953C}"/>
    <cellStyle name="Normal 2 4 2 4" xfId="289" xr:uid="{00000000-0005-0000-0000-0000360F0000}"/>
    <cellStyle name="Normal 2 4 2 4 10" xfId="8907" xr:uid="{65968519-D44B-46C4-8B3C-9BCBF82C26C2}"/>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2 2 2" xfId="15686" xr:uid="{65375ADB-E601-4FC1-8F6E-F576163E81AE}"/>
    <cellStyle name="Normal 2 4 2 4 2 2 2 2 3" xfId="11468" xr:uid="{E756F84C-CFF4-40D4-B28E-7969E9AFBEFF}"/>
    <cellStyle name="Normal 2 4 2 4 2 2 2 3" xfId="5099" xr:uid="{00000000-0005-0000-0000-00003C0F0000}"/>
    <cellStyle name="Normal 2 4 2 4 2 2 2 3 2" xfId="13541" xr:uid="{EDA41265-53E5-46DA-BFE6-D6E7BA9B6497}"/>
    <cellStyle name="Normal 2 4 2 4 2 2 2 4" xfId="9323" xr:uid="{E95B61D0-CEB7-4B9C-8B21-17B4EEA1BD9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2 2 2" xfId="16099" xr:uid="{4177EF30-BFB9-44EB-A9F6-CC7C2EFC2260}"/>
    <cellStyle name="Normal 2 4 2 4 2 2 3 2 3" xfId="11881" xr:uid="{880BDE8C-6A17-41B6-A3B4-248061A18475}"/>
    <cellStyle name="Normal 2 4 2 4 2 2 3 3" xfId="5512" xr:uid="{00000000-0005-0000-0000-0000400F0000}"/>
    <cellStyle name="Normal 2 4 2 4 2 2 3 3 2" xfId="13954" xr:uid="{E333455F-5012-44AD-ACC4-1B295403A844}"/>
    <cellStyle name="Normal 2 4 2 4 2 2 3 4" xfId="9736" xr:uid="{F8FE4B48-A144-4717-90B4-2023D96CEB7E}"/>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2 2 2" xfId="16512" xr:uid="{80FC30D0-17A1-4905-8A17-F78F22052B88}"/>
    <cellStyle name="Normal 2 4 2 4 2 2 4 2 3" xfId="12294" xr:uid="{F74B39D1-2B4A-48A1-B1E5-7F4971C440C4}"/>
    <cellStyle name="Normal 2 4 2 4 2 2 4 3" xfId="5925" xr:uid="{00000000-0005-0000-0000-0000440F0000}"/>
    <cellStyle name="Normal 2 4 2 4 2 2 4 3 2" xfId="14367" xr:uid="{CCFE9A22-8258-4BCF-B66C-C02BAEF288F6}"/>
    <cellStyle name="Normal 2 4 2 4 2 2 4 4" xfId="10149" xr:uid="{19590AEA-50C5-4F9D-90B3-B500A68DC5AB}"/>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2 2 2" xfId="16925" xr:uid="{0FF8473E-4415-43E1-94F2-772B2E2ADD50}"/>
    <cellStyle name="Normal 2 4 2 4 2 2 5 2 3" xfId="12707" xr:uid="{B5CE0D27-B30D-48C7-A39C-A53DF36D96EE}"/>
    <cellStyle name="Normal 2 4 2 4 2 2 5 3" xfId="6338" xr:uid="{00000000-0005-0000-0000-0000480F0000}"/>
    <cellStyle name="Normal 2 4 2 4 2 2 5 3 2" xfId="14780" xr:uid="{38A14675-E21D-42DC-AAF5-2DEADE5A9DEF}"/>
    <cellStyle name="Normal 2 4 2 4 2 2 5 4" xfId="10562" xr:uid="{968F9873-65B1-46BC-BBE8-169A869DB16D}"/>
    <cellStyle name="Normal 2 4 2 4 2 2 6" xfId="2467" xr:uid="{00000000-0005-0000-0000-0000490F0000}"/>
    <cellStyle name="Normal 2 4 2 4 2 2 6 2" xfId="6751" xr:uid="{00000000-0005-0000-0000-00004A0F0000}"/>
    <cellStyle name="Normal 2 4 2 4 2 2 6 2 2" xfId="15193" xr:uid="{E0B7FAC2-824A-4D4D-8EC6-9AFF2F4E0422}"/>
    <cellStyle name="Normal 2 4 2 4 2 2 6 3" xfId="10975" xr:uid="{154E223D-61BF-4872-B437-BBAFF35EAE0D}"/>
    <cellStyle name="Normal 2 4 2 4 2 2 7" xfId="4685" xr:uid="{00000000-0005-0000-0000-00004B0F0000}"/>
    <cellStyle name="Normal 2 4 2 4 2 2 7 2" xfId="13127" xr:uid="{332C588C-845F-4EA1-A029-9EB8233620AD}"/>
    <cellStyle name="Normal 2 4 2 4 2 2 8" xfId="8909" xr:uid="{D23519D3-4195-4EDF-826D-DED747138946}"/>
    <cellStyle name="Normal 2 4 2 4 2 3" xfId="781" xr:uid="{00000000-0005-0000-0000-00004C0F0000}"/>
    <cellStyle name="Normal 2 4 2 4 2 3 2" xfId="3020" xr:uid="{00000000-0005-0000-0000-00004D0F0000}"/>
    <cellStyle name="Normal 2 4 2 4 2 3 2 2" xfId="7243" xr:uid="{00000000-0005-0000-0000-00004E0F0000}"/>
    <cellStyle name="Normal 2 4 2 4 2 3 2 2 2" xfId="15685" xr:uid="{A29A6AF9-B5C9-43AD-A7D5-F7CC6741D4B7}"/>
    <cellStyle name="Normal 2 4 2 4 2 3 2 3" xfId="11467" xr:uid="{D092F3E2-9A13-470A-B661-19C44AFB05C3}"/>
    <cellStyle name="Normal 2 4 2 4 2 3 3" xfId="5098" xr:uid="{00000000-0005-0000-0000-00004F0F0000}"/>
    <cellStyle name="Normal 2 4 2 4 2 3 3 2" xfId="13540" xr:uid="{945736A4-9E7D-4E2B-81CA-3E754EFCED61}"/>
    <cellStyle name="Normal 2 4 2 4 2 3 4" xfId="9322" xr:uid="{1A43966B-C5A1-4B0B-9C2F-FB9B8E87804C}"/>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2 2 2" xfId="16098" xr:uid="{5D2D33D1-88C5-4A78-A034-E4231E181221}"/>
    <cellStyle name="Normal 2 4 2 4 2 4 2 3" xfId="11880" xr:uid="{C6E6A9C4-5847-40E8-8740-06755B88D375}"/>
    <cellStyle name="Normal 2 4 2 4 2 4 3" xfId="5511" xr:uid="{00000000-0005-0000-0000-0000530F0000}"/>
    <cellStyle name="Normal 2 4 2 4 2 4 3 2" xfId="13953" xr:uid="{12B38612-BF57-4E91-9F9B-EE42A802F072}"/>
    <cellStyle name="Normal 2 4 2 4 2 4 4" xfId="9735" xr:uid="{585119BB-580B-4E22-9238-CA56C485C2E3}"/>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2 2 2" xfId="16511" xr:uid="{FF80D396-B39C-4324-A772-E16E37876E54}"/>
    <cellStyle name="Normal 2 4 2 4 2 5 2 3" xfId="12293" xr:uid="{E70C3735-BE30-4738-95E7-ACB1C0768E25}"/>
    <cellStyle name="Normal 2 4 2 4 2 5 3" xfId="5924" xr:uid="{00000000-0005-0000-0000-0000570F0000}"/>
    <cellStyle name="Normal 2 4 2 4 2 5 3 2" xfId="14366" xr:uid="{5FD3C1D8-F897-4580-A012-DFC6892C08A8}"/>
    <cellStyle name="Normal 2 4 2 4 2 5 4" xfId="10148" xr:uid="{3076554A-4C96-4B50-A8F3-8935788982C3}"/>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2 2 2" xfId="16924" xr:uid="{2AE8EF5C-D2CE-41D0-B98A-99A6A06DB3F4}"/>
    <cellStyle name="Normal 2 4 2 4 2 6 2 3" xfId="12706" xr:uid="{D4BDBBA5-B73F-4CCF-B325-4871F49C0FC4}"/>
    <cellStyle name="Normal 2 4 2 4 2 6 3" xfId="6337" xr:uid="{00000000-0005-0000-0000-00005B0F0000}"/>
    <cellStyle name="Normal 2 4 2 4 2 6 3 2" xfId="14779" xr:uid="{C91833B6-F310-4ECB-84BB-53200CB2FBE6}"/>
    <cellStyle name="Normal 2 4 2 4 2 6 4" xfId="10561" xr:uid="{EDE77D32-B9D2-4643-8D51-9585AD9850CD}"/>
    <cellStyle name="Normal 2 4 2 4 2 7" xfId="2466" xr:uid="{00000000-0005-0000-0000-00005C0F0000}"/>
    <cellStyle name="Normal 2 4 2 4 2 7 2" xfId="6750" xr:uid="{00000000-0005-0000-0000-00005D0F0000}"/>
    <cellStyle name="Normal 2 4 2 4 2 7 2 2" xfId="15192" xr:uid="{5B0CE679-7975-4A4D-BBD5-0140AFA2CF60}"/>
    <cellStyle name="Normal 2 4 2 4 2 7 3" xfId="10974" xr:uid="{4707B83D-9352-4DC0-9350-7A6751B16EEE}"/>
    <cellStyle name="Normal 2 4 2 4 2 8" xfId="4684" xr:uid="{00000000-0005-0000-0000-00005E0F0000}"/>
    <cellStyle name="Normal 2 4 2 4 2 8 2" xfId="13126" xr:uid="{CC4FBE6D-3140-45C3-9B17-FF8747862981}"/>
    <cellStyle name="Normal 2 4 2 4 2 9" xfId="8908" xr:uid="{8F34EBE5-C9FB-4C5D-ADF6-9DDDA87A3F6C}"/>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2 2 2" xfId="15687" xr:uid="{2B557D61-7FDE-4D29-9170-65B024DB7BA2}"/>
    <cellStyle name="Normal 2 4 2 4 3 2 2 3" xfId="11469" xr:uid="{37213FA1-CBBD-4A49-9A81-D1570AE6F7DD}"/>
    <cellStyle name="Normal 2 4 2 4 3 2 3" xfId="5100" xr:uid="{00000000-0005-0000-0000-0000630F0000}"/>
    <cellStyle name="Normal 2 4 2 4 3 2 3 2" xfId="13542" xr:uid="{567EA4DB-F2FD-4ABB-BE14-62F959DC982D}"/>
    <cellStyle name="Normal 2 4 2 4 3 2 4" xfId="9324" xr:uid="{25CA20FD-73DB-43A8-8B4D-74EEBF555C5A}"/>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2 2 2" xfId="16100" xr:uid="{CA5BD05F-45AD-4651-AAAA-3B5B968BAE62}"/>
    <cellStyle name="Normal 2 4 2 4 3 3 2 3" xfId="11882" xr:uid="{17E0F32C-4C73-4081-BC03-AA8CC2FDDAB9}"/>
    <cellStyle name="Normal 2 4 2 4 3 3 3" xfId="5513" xr:uid="{00000000-0005-0000-0000-0000670F0000}"/>
    <cellStyle name="Normal 2 4 2 4 3 3 3 2" xfId="13955" xr:uid="{ACA87334-3C32-4A2A-A250-B140A4BAE5C9}"/>
    <cellStyle name="Normal 2 4 2 4 3 3 4" xfId="9737" xr:uid="{762B8351-EB9F-448B-99AA-E5134755BBF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2 2 2" xfId="16513" xr:uid="{17A8EDC2-1C45-408C-878A-1E913070C761}"/>
    <cellStyle name="Normal 2 4 2 4 3 4 2 3" xfId="12295" xr:uid="{ACCEAAC5-F280-48FF-8EA6-8150D54E3EF4}"/>
    <cellStyle name="Normal 2 4 2 4 3 4 3" xfId="5926" xr:uid="{00000000-0005-0000-0000-00006B0F0000}"/>
    <cellStyle name="Normal 2 4 2 4 3 4 3 2" xfId="14368" xr:uid="{28F91D70-4A3D-4AD2-8C98-D870ECD2EC18}"/>
    <cellStyle name="Normal 2 4 2 4 3 4 4" xfId="10150" xr:uid="{49151281-6374-4809-B881-BECE3AEC9F92}"/>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2 2 2" xfId="16926" xr:uid="{3E1A72E7-091B-47CD-8E07-3768164EC6E9}"/>
    <cellStyle name="Normal 2 4 2 4 3 5 2 3" xfId="12708" xr:uid="{2CC6E9B3-35D1-4D5C-8BDE-40DA60DAC86C}"/>
    <cellStyle name="Normal 2 4 2 4 3 5 3" xfId="6339" xr:uid="{00000000-0005-0000-0000-00006F0F0000}"/>
    <cellStyle name="Normal 2 4 2 4 3 5 3 2" xfId="14781" xr:uid="{B6B479EB-A452-4D27-B76D-7F3B1F0EF8A2}"/>
    <cellStyle name="Normal 2 4 2 4 3 5 4" xfId="10563" xr:uid="{107B5C56-F2E5-4A87-BE46-C3A51F05578A}"/>
    <cellStyle name="Normal 2 4 2 4 3 6" xfId="2468" xr:uid="{00000000-0005-0000-0000-0000700F0000}"/>
    <cellStyle name="Normal 2 4 2 4 3 6 2" xfId="6752" xr:uid="{00000000-0005-0000-0000-0000710F0000}"/>
    <cellStyle name="Normal 2 4 2 4 3 6 2 2" xfId="15194" xr:uid="{D9B26B84-DDC8-4118-9BF1-70E495B437D0}"/>
    <cellStyle name="Normal 2 4 2 4 3 6 3" xfId="10976" xr:uid="{73CC9369-E943-4DA0-A1F0-684E2ED9C508}"/>
    <cellStyle name="Normal 2 4 2 4 3 7" xfId="4686" xr:uid="{00000000-0005-0000-0000-0000720F0000}"/>
    <cellStyle name="Normal 2 4 2 4 3 7 2" xfId="13128" xr:uid="{2AB63A29-AC86-44EA-8739-3E1522120BAD}"/>
    <cellStyle name="Normal 2 4 2 4 3 8" xfId="8910" xr:uid="{4EBF1489-15CC-4573-95CE-D35989A76FF0}"/>
    <cellStyle name="Normal 2 4 2 4 4" xfId="780" xr:uid="{00000000-0005-0000-0000-0000730F0000}"/>
    <cellStyle name="Normal 2 4 2 4 4 2" xfId="3019" xr:uid="{00000000-0005-0000-0000-0000740F0000}"/>
    <cellStyle name="Normal 2 4 2 4 4 2 2" xfId="7242" xr:uid="{00000000-0005-0000-0000-0000750F0000}"/>
    <cellStyle name="Normal 2 4 2 4 4 2 2 2" xfId="15684" xr:uid="{EF2B5E30-CA01-4F53-90D9-E2D1608FF466}"/>
    <cellStyle name="Normal 2 4 2 4 4 2 3" xfId="11466" xr:uid="{158D4122-F5EB-4D9C-B676-C5B6661531EA}"/>
    <cellStyle name="Normal 2 4 2 4 4 3" xfId="5097" xr:uid="{00000000-0005-0000-0000-0000760F0000}"/>
    <cellStyle name="Normal 2 4 2 4 4 3 2" xfId="13539" xr:uid="{A907BE43-802E-46DB-AC34-4622D78A8425}"/>
    <cellStyle name="Normal 2 4 2 4 4 4" xfId="9321" xr:uid="{98902D9E-1141-437E-BEA1-6941F230D6B4}"/>
    <cellStyle name="Normal 2 4 2 4 5" xfId="1202" xr:uid="{00000000-0005-0000-0000-0000770F0000}"/>
    <cellStyle name="Normal 2 4 2 4 5 2" xfId="3432" xr:uid="{00000000-0005-0000-0000-0000780F0000}"/>
    <cellStyle name="Normal 2 4 2 4 5 2 2" xfId="7655" xr:uid="{00000000-0005-0000-0000-0000790F0000}"/>
    <cellStyle name="Normal 2 4 2 4 5 2 2 2" xfId="16097" xr:uid="{13ECD687-9BF3-4107-B6EA-6FD5B2DF0F8A}"/>
    <cellStyle name="Normal 2 4 2 4 5 2 3" xfId="11879" xr:uid="{EE7A6C47-13A0-4A60-AF1C-C1F8836A1CB8}"/>
    <cellStyle name="Normal 2 4 2 4 5 3" xfId="5510" xr:uid="{00000000-0005-0000-0000-00007A0F0000}"/>
    <cellStyle name="Normal 2 4 2 4 5 3 2" xfId="13952" xr:uid="{8AA4B6DF-32F6-40BA-B859-56F79B62E825}"/>
    <cellStyle name="Normal 2 4 2 4 5 4" xfId="9734" xr:uid="{871CCE71-C05E-4558-BF33-D016E7A1AF44}"/>
    <cellStyle name="Normal 2 4 2 4 6" xfId="1615" xr:uid="{00000000-0005-0000-0000-00007B0F0000}"/>
    <cellStyle name="Normal 2 4 2 4 6 2" xfId="3845" xr:uid="{00000000-0005-0000-0000-00007C0F0000}"/>
    <cellStyle name="Normal 2 4 2 4 6 2 2" xfId="8068" xr:uid="{00000000-0005-0000-0000-00007D0F0000}"/>
    <cellStyle name="Normal 2 4 2 4 6 2 2 2" xfId="16510" xr:uid="{EFD0ADC5-52FA-4CF5-922A-73F934DC2656}"/>
    <cellStyle name="Normal 2 4 2 4 6 2 3" xfId="12292" xr:uid="{2851F0F9-D6B7-430D-B587-E91AF9AA2364}"/>
    <cellStyle name="Normal 2 4 2 4 6 3" xfId="5923" xr:uid="{00000000-0005-0000-0000-00007E0F0000}"/>
    <cellStyle name="Normal 2 4 2 4 6 3 2" xfId="14365" xr:uid="{C160952C-B1C9-4478-8311-E6E11C16754D}"/>
    <cellStyle name="Normal 2 4 2 4 6 4" xfId="10147" xr:uid="{BD4DF6F3-B0B3-4FE7-97F0-B6B2D45A883E}"/>
    <cellStyle name="Normal 2 4 2 4 7" xfId="2029" xr:uid="{00000000-0005-0000-0000-00007F0F0000}"/>
    <cellStyle name="Normal 2 4 2 4 7 2" xfId="4258" xr:uid="{00000000-0005-0000-0000-0000800F0000}"/>
    <cellStyle name="Normal 2 4 2 4 7 2 2" xfId="8481" xr:uid="{00000000-0005-0000-0000-0000810F0000}"/>
    <cellStyle name="Normal 2 4 2 4 7 2 2 2" xfId="16923" xr:uid="{0BD1726E-2D3F-436F-959E-0B75036F5B10}"/>
    <cellStyle name="Normal 2 4 2 4 7 2 3" xfId="12705" xr:uid="{E5AF7BF9-312A-4631-A245-FFE52530C4DF}"/>
    <cellStyle name="Normal 2 4 2 4 7 3" xfId="6336" xr:uid="{00000000-0005-0000-0000-0000820F0000}"/>
    <cellStyle name="Normal 2 4 2 4 7 3 2" xfId="14778" xr:uid="{DFEF513D-ACE4-41EB-9D7D-BA99C9D252E5}"/>
    <cellStyle name="Normal 2 4 2 4 7 4" xfId="10560" xr:uid="{B996222C-0DA7-4D20-86A6-69A480DB5E18}"/>
    <cellStyle name="Normal 2 4 2 4 8" xfId="2465" xr:uid="{00000000-0005-0000-0000-0000830F0000}"/>
    <cellStyle name="Normal 2 4 2 4 8 2" xfId="6749" xr:uid="{00000000-0005-0000-0000-0000840F0000}"/>
    <cellStyle name="Normal 2 4 2 4 8 2 2" xfId="15191" xr:uid="{714644F3-DE9B-4E89-867F-EEDFABB7AC57}"/>
    <cellStyle name="Normal 2 4 2 4 8 3" xfId="10973" xr:uid="{02C5E97D-3447-4B09-9EF3-1770FB4F72F5}"/>
    <cellStyle name="Normal 2 4 2 4 9" xfId="4683" xr:uid="{00000000-0005-0000-0000-0000850F0000}"/>
    <cellStyle name="Normal 2 4 2 4 9 2" xfId="13125" xr:uid="{553B0276-C522-46F5-932B-EDEEC1E48DB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2 2 2" xfId="15689" xr:uid="{89E7976D-BB3B-419B-91BF-F88A8E9B6C5F}"/>
    <cellStyle name="Normal 2 4 2 5 2 2 2 3" xfId="11471" xr:uid="{8610D343-F2F4-478B-A197-790EC687EF71}"/>
    <cellStyle name="Normal 2 4 2 5 2 2 3" xfId="5102" xr:uid="{00000000-0005-0000-0000-00008B0F0000}"/>
    <cellStyle name="Normal 2 4 2 5 2 2 3 2" xfId="13544" xr:uid="{FEE00EB3-A8D2-4A09-887F-8D14396609F3}"/>
    <cellStyle name="Normal 2 4 2 5 2 2 4" xfId="9326" xr:uid="{913CABBF-88B7-41B1-A9A2-32FDD43B1E41}"/>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2 2 2" xfId="16102" xr:uid="{58CCB7AA-77B7-4046-8834-31F8BDC736D4}"/>
    <cellStyle name="Normal 2 4 2 5 2 3 2 3" xfId="11884" xr:uid="{FF49E710-4331-4EEC-94BC-2E33428836B9}"/>
    <cellStyle name="Normal 2 4 2 5 2 3 3" xfId="5515" xr:uid="{00000000-0005-0000-0000-00008F0F0000}"/>
    <cellStyle name="Normal 2 4 2 5 2 3 3 2" xfId="13957" xr:uid="{CB623C43-C0EE-4F76-8ED9-F96E6B3DE423}"/>
    <cellStyle name="Normal 2 4 2 5 2 3 4" xfId="9739" xr:uid="{95FD2148-AA52-43B4-A311-DCCA4D0244E3}"/>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2 2 2" xfId="16515" xr:uid="{5834D103-D5AE-47D6-A008-92D38B10836F}"/>
    <cellStyle name="Normal 2 4 2 5 2 4 2 3" xfId="12297" xr:uid="{F7E91716-4A1D-4552-A929-7E14414E730D}"/>
    <cellStyle name="Normal 2 4 2 5 2 4 3" xfId="5928" xr:uid="{00000000-0005-0000-0000-0000930F0000}"/>
    <cellStyle name="Normal 2 4 2 5 2 4 3 2" xfId="14370" xr:uid="{D8A57C02-38D3-41E6-A6E7-6CB44AE9BC00}"/>
    <cellStyle name="Normal 2 4 2 5 2 4 4" xfId="10152" xr:uid="{1AF6FF38-389D-4ABB-9949-B7963277E38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2 2 2" xfId="16928" xr:uid="{76693AEA-130D-4A34-BD77-123049EB59D8}"/>
    <cellStyle name="Normal 2 4 2 5 2 5 2 3" xfId="12710" xr:uid="{79B43F0C-FEBB-458B-BC55-ED23E7479D0F}"/>
    <cellStyle name="Normal 2 4 2 5 2 5 3" xfId="6341" xr:uid="{00000000-0005-0000-0000-0000970F0000}"/>
    <cellStyle name="Normal 2 4 2 5 2 5 3 2" xfId="14783" xr:uid="{796D0BFE-BC08-46F7-8F9C-9BE567A3672F}"/>
    <cellStyle name="Normal 2 4 2 5 2 5 4" xfId="10565" xr:uid="{9905CD0D-D0B4-4C53-876F-87F5FE544605}"/>
    <cellStyle name="Normal 2 4 2 5 2 6" xfId="2470" xr:uid="{00000000-0005-0000-0000-0000980F0000}"/>
    <cellStyle name="Normal 2 4 2 5 2 6 2" xfId="6754" xr:uid="{00000000-0005-0000-0000-0000990F0000}"/>
    <cellStyle name="Normal 2 4 2 5 2 6 2 2" xfId="15196" xr:uid="{C79D6E70-5B8D-4729-BF1F-185395B2563E}"/>
    <cellStyle name="Normal 2 4 2 5 2 6 3" xfId="10978" xr:uid="{54CF6F3B-4157-4C68-BD6F-30F5CE63E740}"/>
    <cellStyle name="Normal 2 4 2 5 2 7" xfId="4688" xr:uid="{00000000-0005-0000-0000-00009A0F0000}"/>
    <cellStyle name="Normal 2 4 2 5 2 7 2" xfId="13130" xr:uid="{B29FED6F-C904-40D7-BA8E-62759092261C}"/>
    <cellStyle name="Normal 2 4 2 5 2 8" xfId="8912" xr:uid="{E0305FA6-277E-4A41-8786-B94BD6B6ACC0}"/>
    <cellStyle name="Normal 2 4 2 5 3" xfId="784" xr:uid="{00000000-0005-0000-0000-00009B0F0000}"/>
    <cellStyle name="Normal 2 4 2 5 3 2" xfId="3023" xr:uid="{00000000-0005-0000-0000-00009C0F0000}"/>
    <cellStyle name="Normal 2 4 2 5 3 2 2" xfId="7246" xr:uid="{00000000-0005-0000-0000-00009D0F0000}"/>
    <cellStyle name="Normal 2 4 2 5 3 2 2 2" xfId="15688" xr:uid="{FB00D842-C2A4-4A08-ABED-9F23E6E64D8B}"/>
    <cellStyle name="Normal 2 4 2 5 3 2 3" xfId="11470" xr:uid="{A6F8BB60-7331-4C52-BCE3-4576130FE517}"/>
    <cellStyle name="Normal 2 4 2 5 3 3" xfId="5101" xr:uid="{00000000-0005-0000-0000-00009E0F0000}"/>
    <cellStyle name="Normal 2 4 2 5 3 3 2" xfId="13543" xr:uid="{D67C41D3-23CD-416B-B1EB-A850D3EAC2C3}"/>
    <cellStyle name="Normal 2 4 2 5 3 4" xfId="9325" xr:uid="{92ADA209-97AB-4048-9B4A-479F7538A076}"/>
    <cellStyle name="Normal 2 4 2 5 4" xfId="1206" xr:uid="{00000000-0005-0000-0000-00009F0F0000}"/>
    <cellStyle name="Normal 2 4 2 5 4 2" xfId="3436" xr:uid="{00000000-0005-0000-0000-0000A00F0000}"/>
    <cellStyle name="Normal 2 4 2 5 4 2 2" xfId="7659" xr:uid="{00000000-0005-0000-0000-0000A10F0000}"/>
    <cellStyle name="Normal 2 4 2 5 4 2 2 2" xfId="16101" xr:uid="{C03A982E-A047-4BBB-B812-7DECBF06DD26}"/>
    <cellStyle name="Normal 2 4 2 5 4 2 3" xfId="11883" xr:uid="{E03AF738-7149-4F82-BFB3-2F7C7ADBCBBE}"/>
    <cellStyle name="Normal 2 4 2 5 4 3" xfId="5514" xr:uid="{00000000-0005-0000-0000-0000A20F0000}"/>
    <cellStyle name="Normal 2 4 2 5 4 3 2" xfId="13956" xr:uid="{9EB0D25A-CEE6-4C37-A52C-95B15FE91A53}"/>
    <cellStyle name="Normal 2 4 2 5 4 4" xfId="9738" xr:uid="{B8B31238-7E19-4FCE-9D4B-267314F98A84}"/>
    <cellStyle name="Normal 2 4 2 5 5" xfId="1619" xr:uid="{00000000-0005-0000-0000-0000A30F0000}"/>
    <cellStyle name="Normal 2 4 2 5 5 2" xfId="3849" xr:uid="{00000000-0005-0000-0000-0000A40F0000}"/>
    <cellStyle name="Normal 2 4 2 5 5 2 2" xfId="8072" xr:uid="{00000000-0005-0000-0000-0000A50F0000}"/>
    <cellStyle name="Normal 2 4 2 5 5 2 2 2" xfId="16514" xr:uid="{6E335D4B-2245-4B6B-BBF5-BD673A0C5BDB}"/>
    <cellStyle name="Normal 2 4 2 5 5 2 3" xfId="12296" xr:uid="{8374E673-B92F-4A00-A510-940CA6235D1A}"/>
    <cellStyle name="Normal 2 4 2 5 5 3" xfId="5927" xr:uid="{00000000-0005-0000-0000-0000A60F0000}"/>
    <cellStyle name="Normal 2 4 2 5 5 3 2" xfId="14369" xr:uid="{2E75C197-718C-4744-89D1-4FB5E0C57C24}"/>
    <cellStyle name="Normal 2 4 2 5 5 4" xfId="10151" xr:uid="{353689CD-F25F-4D25-8644-751D338E7A50}"/>
    <cellStyle name="Normal 2 4 2 5 6" xfId="2033" xr:uid="{00000000-0005-0000-0000-0000A70F0000}"/>
    <cellStyle name="Normal 2 4 2 5 6 2" xfId="4262" xr:uid="{00000000-0005-0000-0000-0000A80F0000}"/>
    <cellStyle name="Normal 2 4 2 5 6 2 2" xfId="8485" xr:uid="{00000000-0005-0000-0000-0000A90F0000}"/>
    <cellStyle name="Normal 2 4 2 5 6 2 2 2" xfId="16927" xr:uid="{0438A31A-AFF8-4C72-ACDD-990990C5A453}"/>
    <cellStyle name="Normal 2 4 2 5 6 2 3" xfId="12709" xr:uid="{6D358D74-2CF4-450E-803C-95A3EAD7F0DF}"/>
    <cellStyle name="Normal 2 4 2 5 6 3" xfId="6340" xr:uid="{00000000-0005-0000-0000-0000AA0F0000}"/>
    <cellStyle name="Normal 2 4 2 5 6 3 2" xfId="14782" xr:uid="{B3E88295-7FFA-4A1D-B5AA-C35EDC97E6CE}"/>
    <cellStyle name="Normal 2 4 2 5 6 4" xfId="10564" xr:uid="{99FF94C9-579A-4A1B-AD2A-3A6F32604E77}"/>
    <cellStyle name="Normal 2 4 2 5 7" xfId="2469" xr:uid="{00000000-0005-0000-0000-0000AB0F0000}"/>
    <cellStyle name="Normal 2 4 2 5 7 2" xfId="6753" xr:uid="{00000000-0005-0000-0000-0000AC0F0000}"/>
    <cellStyle name="Normal 2 4 2 5 7 2 2" xfId="15195" xr:uid="{26CCEFE6-A7A3-4C3D-A89F-0E3A0333E774}"/>
    <cellStyle name="Normal 2 4 2 5 7 3" xfId="10977" xr:uid="{C8B4384E-17FE-41D9-988C-F11065F8C701}"/>
    <cellStyle name="Normal 2 4 2 5 8" xfId="4687" xr:uid="{00000000-0005-0000-0000-0000AD0F0000}"/>
    <cellStyle name="Normal 2 4 2 5 8 2" xfId="13129" xr:uid="{F2B045BF-0E56-4513-8F2D-5F5C67019E55}"/>
    <cellStyle name="Normal 2 4 2 5 9" xfId="8911" xr:uid="{5F822231-57C0-49F2-B1F7-7DDDA21F0F9B}"/>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2 2 2" xfId="15690" xr:uid="{9E4DFBFE-58F5-4CC8-B311-6C127B49385B}"/>
    <cellStyle name="Normal 2 4 2 6 2 2 3" xfId="11472" xr:uid="{1863990E-D821-458C-BA42-BC8F25B26647}"/>
    <cellStyle name="Normal 2 4 2 6 2 3" xfId="5103" xr:uid="{00000000-0005-0000-0000-0000B20F0000}"/>
    <cellStyle name="Normal 2 4 2 6 2 3 2" xfId="13545" xr:uid="{ADEF8BCB-1902-405C-8DC3-52F3D8917CEF}"/>
    <cellStyle name="Normal 2 4 2 6 2 4" xfId="9327" xr:uid="{80D3F7A4-ED17-409D-8008-6E35268EB12F}"/>
    <cellStyle name="Normal 2 4 2 6 3" xfId="1208" xr:uid="{00000000-0005-0000-0000-0000B30F0000}"/>
    <cellStyle name="Normal 2 4 2 6 3 2" xfId="3438" xr:uid="{00000000-0005-0000-0000-0000B40F0000}"/>
    <cellStyle name="Normal 2 4 2 6 3 2 2" xfId="7661" xr:uid="{00000000-0005-0000-0000-0000B50F0000}"/>
    <cellStyle name="Normal 2 4 2 6 3 2 2 2" xfId="16103" xr:uid="{6B4E610E-EB3A-4D4D-8685-5E606BC3FFF1}"/>
    <cellStyle name="Normal 2 4 2 6 3 2 3" xfId="11885" xr:uid="{55F934FA-498F-49B6-92CA-92F5776913FF}"/>
    <cellStyle name="Normal 2 4 2 6 3 3" xfId="5516" xr:uid="{00000000-0005-0000-0000-0000B60F0000}"/>
    <cellStyle name="Normal 2 4 2 6 3 3 2" xfId="13958" xr:uid="{9CC5F263-BF09-42AE-9E8C-13BAAF8DF6A5}"/>
    <cellStyle name="Normal 2 4 2 6 3 4" xfId="9740" xr:uid="{E266C3FB-0206-4CF2-9193-A503D9A2319E}"/>
    <cellStyle name="Normal 2 4 2 6 4" xfId="1621" xr:uid="{00000000-0005-0000-0000-0000B70F0000}"/>
    <cellStyle name="Normal 2 4 2 6 4 2" xfId="3851" xr:uid="{00000000-0005-0000-0000-0000B80F0000}"/>
    <cellStyle name="Normal 2 4 2 6 4 2 2" xfId="8074" xr:uid="{00000000-0005-0000-0000-0000B90F0000}"/>
    <cellStyle name="Normal 2 4 2 6 4 2 2 2" xfId="16516" xr:uid="{B0E4FE05-F215-4DFC-9007-158D2D1756EE}"/>
    <cellStyle name="Normal 2 4 2 6 4 2 3" xfId="12298" xr:uid="{E42385BF-194A-4638-AC3D-19F3CA02884B}"/>
    <cellStyle name="Normal 2 4 2 6 4 3" xfId="5929" xr:uid="{00000000-0005-0000-0000-0000BA0F0000}"/>
    <cellStyle name="Normal 2 4 2 6 4 3 2" xfId="14371" xr:uid="{435A06AA-3EE8-4022-9AED-5D37FF235CD6}"/>
    <cellStyle name="Normal 2 4 2 6 4 4" xfId="10153" xr:uid="{A6E532DC-0B2A-45E1-86E5-10B0F657454D}"/>
    <cellStyle name="Normal 2 4 2 6 5" xfId="2035" xr:uid="{00000000-0005-0000-0000-0000BB0F0000}"/>
    <cellStyle name="Normal 2 4 2 6 5 2" xfId="4264" xr:uid="{00000000-0005-0000-0000-0000BC0F0000}"/>
    <cellStyle name="Normal 2 4 2 6 5 2 2" xfId="8487" xr:uid="{00000000-0005-0000-0000-0000BD0F0000}"/>
    <cellStyle name="Normal 2 4 2 6 5 2 2 2" xfId="16929" xr:uid="{1EE260AB-8D9D-4958-ABDE-FD69AB258AAC}"/>
    <cellStyle name="Normal 2 4 2 6 5 2 3" xfId="12711" xr:uid="{E3241D23-B8C9-4871-81CC-326FDD229196}"/>
    <cellStyle name="Normal 2 4 2 6 5 3" xfId="6342" xr:uid="{00000000-0005-0000-0000-0000BE0F0000}"/>
    <cellStyle name="Normal 2 4 2 6 5 3 2" xfId="14784" xr:uid="{D85482A0-3F05-4106-A3C8-A3740A6ACF4E}"/>
    <cellStyle name="Normal 2 4 2 6 5 4" xfId="10566" xr:uid="{E3E3880F-12A0-41AF-98F5-B71E55EE9612}"/>
    <cellStyle name="Normal 2 4 2 6 6" xfId="2471" xr:uid="{00000000-0005-0000-0000-0000BF0F0000}"/>
    <cellStyle name="Normal 2 4 2 6 6 2" xfId="6755" xr:uid="{00000000-0005-0000-0000-0000C00F0000}"/>
    <cellStyle name="Normal 2 4 2 6 6 2 2" xfId="15197" xr:uid="{54AAE5DD-1464-4454-981D-7F60F72742CB}"/>
    <cellStyle name="Normal 2 4 2 6 6 3" xfId="10979" xr:uid="{FBFBE86F-0280-441C-84FE-7AB5B35ED53A}"/>
    <cellStyle name="Normal 2 4 2 6 7" xfId="4689" xr:uid="{00000000-0005-0000-0000-0000C10F0000}"/>
    <cellStyle name="Normal 2 4 2 6 7 2" xfId="13131" xr:uid="{D95A30B0-840A-4237-9FCE-C1E6993992CB}"/>
    <cellStyle name="Normal 2 4 2 6 8" xfId="8913" xr:uid="{4A6F89F9-7F31-4B05-905C-0D3374AF4A98}"/>
    <cellStyle name="Normal 2 4 2 7" xfId="771" xr:uid="{00000000-0005-0000-0000-0000C20F0000}"/>
    <cellStyle name="Normal 2 4 2 7 2" xfId="3010" xr:uid="{00000000-0005-0000-0000-0000C30F0000}"/>
    <cellStyle name="Normal 2 4 2 7 2 2" xfId="7233" xr:uid="{00000000-0005-0000-0000-0000C40F0000}"/>
    <cellStyle name="Normal 2 4 2 7 2 2 2" xfId="15675" xr:uid="{7B1F8BB5-8A8C-46B6-9201-951AE074476C}"/>
    <cellStyle name="Normal 2 4 2 7 2 3" xfId="11457" xr:uid="{E9C90E8D-576D-4F5C-9D41-09638329318C}"/>
    <cellStyle name="Normal 2 4 2 7 3" xfId="5088" xr:uid="{00000000-0005-0000-0000-0000C50F0000}"/>
    <cellStyle name="Normal 2 4 2 7 3 2" xfId="13530" xr:uid="{DFF14D96-A879-413F-9EE4-14D66AEB003E}"/>
    <cellStyle name="Normal 2 4 2 7 4" xfId="9312" xr:uid="{E963062D-3F17-4642-BCFA-35CF099C38DE}"/>
    <cellStyle name="Normal 2 4 2 8" xfId="1193" xr:uid="{00000000-0005-0000-0000-0000C60F0000}"/>
    <cellStyle name="Normal 2 4 2 8 2" xfId="3423" xr:uid="{00000000-0005-0000-0000-0000C70F0000}"/>
    <cellStyle name="Normal 2 4 2 8 2 2" xfId="7646" xr:uid="{00000000-0005-0000-0000-0000C80F0000}"/>
    <cellStyle name="Normal 2 4 2 8 2 2 2" xfId="16088" xr:uid="{4186A6FB-9A61-47BE-8923-109D0C66E42F}"/>
    <cellStyle name="Normal 2 4 2 8 2 3" xfId="11870" xr:uid="{AF8EFE00-602C-4F12-92C1-865D1DCFA626}"/>
    <cellStyle name="Normal 2 4 2 8 3" xfId="5501" xr:uid="{00000000-0005-0000-0000-0000C90F0000}"/>
    <cellStyle name="Normal 2 4 2 8 3 2" xfId="13943" xr:uid="{C2ACBE21-B5EB-4898-AB2A-1347DDDAB4AF}"/>
    <cellStyle name="Normal 2 4 2 8 4" xfId="9725" xr:uid="{6E348DFD-24F3-484E-BB3C-DA032EE568E7}"/>
    <cellStyle name="Normal 2 4 2 9" xfId="1606" xr:uid="{00000000-0005-0000-0000-0000CA0F0000}"/>
    <cellStyle name="Normal 2 4 2 9 2" xfId="3836" xr:uid="{00000000-0005-0000-0000-0000CB0F0000}"/>
    <cellStyle name="Normal 2 4 2 9 2 2" xfId="8059" xr:uid="{00000000-0005-0000-0000-0000CC0F0000}"/>
    <cellStyle name="Normal 2 4 2 9 2 2 2" xfId="16501" xr:uid="{E985DB50-8140-4024-8AD2-47513F29EA72}"/>
    <cellStyle name="Normal 2 4 2 9 2 3" xfId="12283" xr:uid="{660D7EE7-6760-4E18-B5EF-FB9493CFDC86}"/>
    <cellStyle name="Normal 2 4 2 9 3" xfId="5914" xr:uid="{00000000-0005-0000-0000-0000CD0F0000}"/>
    <cellStyle name="Normal 2 4 2 9 3 2" xfId="14356" xr:uid="{C3FC976E-A262-4376-9C49-0823D36D9BF0}"/>
    <cellStyle name="Normal 2 4 2 9 4" xfId="10138" xr:uid="{FF6281C4-5C82-4276-BAE9-FD5322139751}"/>
    <cellStyle name="Normal 2 4 3" xfId="296" xr:uid="{00000000-0005-0000-0000-0000CE0F0000}"/>
    <cellStyle name="Normal 2 4 3 10" xfId="8914" xr:uid="{2D264CB0-A5F9-4678-BB49-20E0ABBD351C}"/>
    <cellStyle name="Normal 2 4 3 2" xfId="297" xr:uid="{00000000-0005-0000-0000-0000CF0F0000}"/>
    <cellStyle name="Normal 2 4 3 3" xfId="298" xr:uid="{00000000-0005-0000-0000-0000D00F0000}"/>
    <cellStyle name="Normal 2 4 3 3 10" xfId="8915" xr:uid="{EC81DCE8-D895-477E-87D8-8BDE904DF04B}"/>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2 2 2" xfId="15694" xr:uid="{33377D1A-C958-415D-AA29-8EB43B9525C1}"/>
    <cellStyle name="Normal 2 4 3 3 2 2 2 2 3" xfId="11476" xr:uid="{C4C5DE40-08FA-4A84-98FE-AF7D5065A404}"/>
    <cellStyle name="Normal 2 4 3 3 2 2 2 3" xfId="5107" xr:uid="{00000000-0005-0000-0000-0000D60F0000}"/>
    <cellStyle name="Normal 2 4 3 3 2 2 2 3 2" xfId="13549" xr:uid="{EBF908BF-5B18-4AD6-8093-43827A46461D}"/>
    <cellStyle name="Normal 2 4 3 3 2 2 2 4" xfId="9331" xr:uid="{EA6038DF-0E5F-4CBD-8634-41CA95D630B9}"/>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2 2 2" xfId="16107" xr:uid="{7C9EA531-5C90-44DE-86C7-58FFB2F2BF71}"/>
    <cellStyle name="Normal 2 4 3 3 2 2 3 2 3" xfId="11889" xr:uid="{616032C4-BDB6-4B6C-88C5-F768ABA789E6}"/>
    <cellStyle name="Normal 2 4 3 3 2 2 3 3" xfId="5520" xr:uid="{00000000-0005-0000-0000-0000DA0F0000}"/>
    <cellStyle name="Normal 2 4 3 3 2 2 3 3 2" xfId="13962" xr:uid="{421F0273-4003-485C-A02A-7425E47DA66D}"/>
    <cellStyle name="Normal 2 4 3 3 2 2 3 4" xfId="9744" xr:uid="{10C8B502-E891-429E-93DA-46BA67234BA2}"/>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2 2 2" xfId="16520" xr:uid="{876CE46C-D571-4C6F-8355-BD570A7676BB}"/>
    <cellStyle name="Normal 2 4 3 3 2 2 4 2 3" xfId="12302" xr:uid="{9BEAAF37-DF43-4E2A-A6D8-BC228FF0CEB9}"/>
    <cellStyle name="Normal 2 4 3 3 2 2 4 3" xfId="5933" xr:uid="{00000000-0005-0000-0000-0000DE0F0000}"/>
    <cellStyle name="Normal 2 4 3 3 2 2 4 3 2" xfId="14375" xr:uid="{F4EF68E4-A27B-4D15-9BF1-A04BAF4592CE}"/>
    <cellStyle name="Normal 2 4 3 3 2 2 4 4" xfId="10157" xr:uid="{F4B133CF-EDA2-4F77-9138-06903BC70CDB}"/>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2 2 2" xfId="16933" xr:uid="{45C98D6D-5312-461A-AD4F-43F2DA7A5DCA}"/>
    <cellStyle name="Normal 2 4 3 3 2 2 5 2 3" xfId="12715" xr:uid="{0CA42AB1-E954-4334-A2D4-50BECCD40289}"/>
    <cellStyle name="Normal 2 4 3 3 2 2 5 3" xfId="6346" xr:uid="{00000000-0005-0000-0000-0000E20F0000}"/>
    <cellStyle name="Normal 2 4 3 3 2 2 5 3 2" xfId="14788" xr:uid="{5A5F62C8-FD13-457A-A1A1-38246EC5D5D1}"/>
    <cellStyle name="Normal 2 4 3 3 2 2 5 4" xfId="10570" xr:uid="{62E4F587-ECAB-4F9A-9AC8-09A2A84D7EFE}"/>
    <cellStyle name="Normal 2 4 3 3 2 2 6" xfId="2475" xr:uid="{00000000-0005-0000-0000-0000E30F0000}"/>
    <cellStyle name="Normal 2 4 3 3 2 2 6 2" xfId="6759" xr:uid="{00000000-0005-0000-0000-0000E40F0000}"/>
    <cellStyle name="Normal 2 4 3 3 2 2 6 2 2" xfId="15201" xr:uid="{263C9330-0332-4577-855D-DD00982885E4}"/>
    <cellStyle name="Normal 2 4 3 3 2 2 6 3" xfId="10983" xr:uid="{EC6C8615-55EB-4623-842A-A12F33EC71DD}"/>
    <cellStyle name="Normal 2 4 3 3 2 2 7" xfId="4693" xr:uid="{00000000-0005-0000-0000-0000E50F0000}"/>
    <cellStyle name="Normal 2 4 3 3 2 2 7 2" xfId="13135" xr:uid="{708A6948-2C19-4DE9-A6D8-9032F5B5170A}"/>
    <cellStyle name="Normal 2 4 3 3 2 2 8" xfId="8917" xr:uid="{E9806A6D-1049-4EE7-BC69-613CFE945A59}"/>
    <cellStyle name="Normal 2 4 3 3 2 3" xfId="789" xr:uid="{00000000-0005-0000-0000-0000E60F0000}"/>
    <cellStyle name="Normal 2 4 3 3 2 3 2" xfId="3028" xr:uid="{00000000-0005-0000-0000-0000E70F0000}"/>
    <cellStyle name="Normal 2 4 3 3 2 3 2 2" xfId="7251" xr:uid="{00000000-0005-0000-0000-0000E80F0000}"/>
    <cellStyle name="Normal 2 4 3 3 2 3 2 2 2" xfId="15693" xr:uid="{446741B5-C02D-4498-9360-1FE509D9D9DF}"/>
    <cellStyle name="Normal 2 4 3 3 2 3 2 3" xfId="11475" xr:uid="{07CC4F49-FCD4-43A5-BBAE-9F1145CAB98E}"/>
    <cellStyle name="Normal 2 4 3 3 2 3 3" xfId="5106" xr:uid="{00000000-0005-0000-0000-0000E90F0000}"/>
    <cellStyle name="Normal 2 4 3 3 2 3 3 2" xfId="13548" xr:uid="{A033F3DD-5485-41B2-94E8-867867D13BC5}"/>
    <cellStyle name="Normal 2 4 3 3 2 3 4" xfId="9330" xr:uid="{216B80FA-3714-4D4B-A12C-57A5F465DC07}"/>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2 2 2" xfId="16106" xr:uid="{2743B883-6CD6-4B8F-A6CF-720FB3AE063B}"/>
    <cellStyle name="Normal 2 4 3 3 2 4 2 3" xfId="11888" xr:uid="{4B4D3688-8A33-4BC5-BD35-EA454A195312}"/>
    <cellStyle name="Normal 2 4 3 3 2 4 3" xfId="5519" xr:uid="{00000000-0005-0000-0000-0000ED0F0000}"/>
    <cellStyle name="Normal 2 4 3 3 2 4 3 2" xfId="13961" xr:uid="{EF12A567-7057-4CF2-A600-C46330B938B1}"/>
    <cellStyle name="Normal 2 4 3 3 2 4 4" xfId="9743" xr:uid="{6B7F6D3E-93D6-4405-BDB3-E0F12542FBFC}"/>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2 2 2" xfId="16519" xr:uid="{65C7AB55-63FE-480D-A0BF-E5C6E5735F1E}"/>
    <cellStyle name="Normal 2 4 3 3 2 5 2 3" xfId="12301" xr:uid="{F1387D7E-8A56-44FA-942B-51C0736456AE}"/>
    <cellStyle name="Normal 2 4 3 3 2 5 3" xfId="5932" xr:uid="{00000000-0005-0000-0000-0000F10F0000}"/>
    <cellStyle name="Normal 2 4 3 3 2 5 3 2" xfId="14374" xr:uid="{DD987DCD-0743-4C1D-A5E6-18173071C912}"/>
    <cellStyle name="Normal 2 4 3 3 2 5 4" xfId="10156" xr:uid="{E2AD9597-EC88-410B-8595-65041E44F3D8}"/>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2 2 2" xfId="16932" xr:uid="{9790070C-DB27-45DF-A31A-F90E6D5A1058}"/>
    <cellStyle name="Normal 2 4 3 3 2 6 2 3" xfId="12714" xr:uid="{88B60833-28F4-4A9E-AF63-B26D00A4D6B9}"/>
    <cellStyle name="Normal 2 4 3 3 2 6 3" xfId="6345" xr:uid="{00000000-0005-0000-0000-0000F50F0000}"/>
    <cellStyle name="Normal 2 4 3 3 2 6 3 2" xfId="14787" xr:uid="{4A07A822-79A4-4473-8D94-CF055A6DF9AC}"/>
    <cellStyle name="Normal 2 4 3 3 2 6 4" xfId="10569" xr:uid="{3351E803-8E63-4E11-BC02-9B0D19D2C20E}"/>
    <cellStyle name="Normal 2 4 3 3 2 7" xfId="2474" xr:uid="{00000000-0005-0000-0000-0000F60F0000}"/>
    <cellStyle name="Normal 2 4 3 3 2 7 2" xfId="6758" xr:uid="{00000000-0005-0000-0000-0000F70F0000}"/>
    <cellStyle name="Normal 2 4 3 3 2 7 2 2" xfId="15200" xr:uid="{952F8E74-794A-4890-B307-BEC361AAD965}"/>
    <cellStyle name="Normal 2 4 3 3 2 7 3" xfId="10982" xr:uid="{20DF2FF8-D867-44C3-BFD6-55D9ABDB01A7}"/>
    <cellStyle name="Normal 2 4 3 3 2 8" xfId="4692" xr:uid="{00000000-0005-0000-0000-0000F80F0000}"/>
    <cellStyle name="Normal 2 4 3 3 2 8 2" xfId="13134" xr:uid="{D6393478-492C-4257-88EB-DFA05EB8DC06}"/>
    <cellStyle name="Normal 2 4 3 3 2 9" xfId="8916" xr:uid="{24060E07-195D-4E37-AEFD-775ABB9A68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2 2 2" xfId="15695" xr:uid="{6DF872D7-5579-49BB-B932-07D8B324EB66}"/>
    <cellStyle name="Normal 2 4 3 3 3 2 2 3" xfId="11477" xr:uid="{50015A6A-6A59-4A99-A5E5-D755DFD3CDC2}"/>
    <cellStyle name="Normal 2 4 3 3 3 2 3" xfId="5108" xr:uid="{00000000-0005-0000-0000-0000FD0F0000}"/>
    <cellStyle name="Normal 2 4 3 3 3 2 3 2" xfId="13550" xr:uid="{009B0459-EE82-475A-A839-6390C98AC0C9}"/>
    <cellStyle name="Normal 2 4 3 3 3 2 4" xfId="9332" xr:uid="{435643F7-828B-494D-84FA-F4C04C29B351}"/>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2 2 2" xfId="16108" xr:uid="{8965AB57-D788-4881-8E74-CEE0FCBB9601}"/>
    <cellStyle name="Normal 2 4 3 3 3 3 2 3" xfId="11890" xr:uid="{9261419B-31A1-4129-BBDC-522B70526AD8}"/>
    <cellStyle name="Normal 2 4 3 3 3 3 3" xfId="5521" xr:uid="{00000000-0005-0000-0000-000001100000}"/>
    <cellStyle name="Normal 2 4 3 3 3 3 3 2" xfId="13963" xr:uid="{7031AEA8-2195-40E7-8786-CC571D0E5C9C}"/>
    <cellStyle name="Normal 2 4 3 3 3 3 4" xfId="9745" xr:uid="{A2EB308D-27C8-4B22-8F2C-7A8A04D31C1B}"/>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2 2 2" xfId="16521" xr:uid="{A7C79F7B-7B90-4834-8734-FEB92FC69279}"/>
    <cellStyle name="Normal 2 4 3 3 3 4 2 3" xfId="12303" xr:uid="{717E9B7C-0365-4269-97F0-553B48FA0130}"/>
    <cellStyle name="Normal 2 4 3 3 3 4 3" xfId="5934" xr:uid="{00000000-0005-0000-0000-000005100000}"/>
    <cellStyle name="Normal 2 4 3 3 3 4 3 2" xfId="14376" xr:uid="{1504B0B7-5003-4AA8-913E-F57F62B7AD98}"/>
    <cellStyle name="Normal 2 4 3 3 3 4 4" xfId="10158" xr:uid="{74AC9B57-ED11-49B4-B7DB-038F1A4EF3D3}"/>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2 2 2" xfId="16934" xr:uid="{5422BD6F-06D3-4B8B-9EED-BF060A804075}"/>
    <cellStyle name="Normal 2 4 3 3 3 5 2 3" xfId="12716" xr:uid="{2B6F05DE-852B-4116-A5F3-2DCEA9007296}"/>
    <cellStyle name="Normal 2 4 3 3 3 5 3" xfId="6347" xr:uid="{00000000-0005-0000-0000-000009100000}"/>
    <cellStyle name="Normal 2 4 3 3 3 5 3 2" xfId="14789" xr:uid="{77CF54AC-E094-4AAA-96CF-6803A16A8829}"/>
    <cellStyle name="Normal 2 4 3 3 3 5 4" xfId="10571" xr:uid="{16EC3F67-8C50-45B7-B01B-200736D66762}"/>
    <cellStyle name="Normal 2 4 3 3 3 6" xfId="2476" xr:uid="{00000000-0005-0000-0000-00000A100000}"/>
    <cellStyle name="Normal 2 4 3 3 3 6 2" xfId="6760" xr:uid="{00000000-0005-0000-0000-00000B100000}"/>
    <cellStyle name="Normal 2 4 3 3 3 6 2 2" xfId="15202" xr:uid="{9D9A9C73-F491-40EB-9CF8-CE912A2F5327}"/>
    <cellStyle name="Normal 2 4 3 3 3 6 3" xfId="10984" xr:uid="{DA529079-CBD6-4F97-B8F1-594317546D49}"/>
    <cellStyle name="Normal 2 4 3 3 3 7" xfId="4694" xr:uid="{00000000-0005-0000-0000-00000C100000}"/>
    <cellStyle name="Normal 2 4 3 3 3 7 2" xfId="13136" xr:uid="{7BE675A7-19BF-4B03-8D78-B3A66823CA1B}"/>
    <cellStyle name="Normal 2 4 3 3 3 8" xfId="8918" xr:uid="{695B45EE-75AB-4CA8-BB5A-D49CB6883B24}"/>
    <cellStyle name="Normal 2 4 3 3 4" xfId="788" xr:uid="{00000000-0005-0000-0000-00000D100000}"/>
    <cellStyle name="Normal 2 4 3 3 4 2" xfId="3027" xr:uid="{00000000-0005-0000-0000-00000E100000}"/>
    <cellStyle name="Normal 2 4 3 3 4 2 2" xfId="7250" xr:uid="{00000000-0005-0000-0000-00000F100000}"/>
    <cellStyle name="Normal 2 4 3 3 4 2 2 2" xfId="15692" xr:uid="{3DC58D5F-5F17-4342-B132-84968AE74331}"/>
    <cellStyle name="Normal 2 4 3 3 4 2 3" xfId="11474" xr:uid="{0E6A2010-638B-4A3E-A3A5-FB8B38C6A3C5}"/>
    <cellStyle name="Normal 2 4 3 3 4 3" xfId="5105" xr:uid="{00000000-0005-0000-0000-000010100000}"/>
    <cellStyle name="Normal 2 4 3 3 4 3 2" xfId="13547" xr:uid="{4B9B11FC-8B67-4B5E-8877-2DA9F96C2065}"/>
    <cellStyle name="Normal 2 4 3 3 4 4" xfId="9329" xr:uid="{3B12F7A7-1141-4DFE-8B5B-1BAAD934B84B}"/>
    <cellStyle name="Normal 2 4 3 3 5" xfId="1210" xr:uid="{00000000-0005-0000-0000-000011100000}"/>
    <cellStyle name="Normal 2 4 3 3 5 2" xfId="3440" xr:uid="{00000000-0005-0000-0000-000012100000}"/>
    <cellStyle name="Normal 2 4 3 3 5 2 2" xfId="7663" xr:uid="{00000000-0005-0000-0000-000013100000}"/>
    <cellStyle name="Normal 2 4 3 3 5 2 2 2" xfId="16105" xr:uid="{DF7D03B0-5DBF-41FE-AFBB-D171AA0B44BF}"/>
    <cellStyle name="Normal 2 4 3 3 5 2 3" xfId="11887" xr:uid="{2EAB83F8-3D21-4C7B-A32B-800729E74106}"/>
    <cellStyle name="Normal 2 4 3 3 5 3" xfId="5518" xr:uid="{00000000-0005-0000-0000-000014100000}"/>
    <cellStyle name="Normal 2 4 3 3 5 3 2" xfId="13960" xr:uid="{E761E0FF-DCCD-4E7A-98CD-4BF29B29CE3D}"/>
    <cellStyle name="Normal 2 4 3 3 5 4" xfId="9742" xr:uid="{65C4C08F-096A-4C01-A4FE-55165C8BAD79}"/>
    <cellStyle name="Normal 2 4 3 3 6" xfId="1623" xr:uid="{00000000-0005-0000-0000-000015100000}"/>
    <cellStyle name="Normal 2 4 3 3 6 2" xfId="3853" xr:uid="{00000000-0005-0000-0000-000016100000}"/>
    <cellStyle name="Normal 2 4 3 3 6 2 2" xfId="8076" xr:uid="{00000000-0005-0000-0000-000017100000}"/>
    <cellStyle name="Normal 2 4 3 3 6 2 2 2" xfId="16518" xr:uid="{975F5968-874C-422A-A003-2D7E9CB60437}"/>
    <cellStyle name="Normal 2 4 3 3 6 2 3" xfId="12300" xr:uid="{344FC0B9-DD27-40A5-A3B6-ACA87066A9F5}"/>
    <cellStyle name="Normal 2 4 3 3 6 3" xfId="5931" xr:uid="{00000000-0005-0000-0000-000018100000}"/>
    <cellStyle name="Normal 2 4 3 3 6 3 2" xfId="14373" xr:uid="{70C87417-A09A-4CF2-A2E3-AA97A879F580}"/>
    <cellStyle name="Normal 2 4 3 3 6 4" xfId="10155" xr:uid="{096539E2-4B55-4AC1-86A5-86C7EC55D348}"/>
    <cellStyle name="Normal 2 4 3 3 7" xfId="2037" xr:uid="{00000000-0005-0000-0000-000019100000}"/>
    <cellStyle name="Normal 2 4 3 3 7 2" xfId="4266" xr:uid="{00000000-0005-0000-0000-00001A100000}"/>
    <cellStyle name="Normal 2 4 3 3 7 2 2" xfId="8489" xr:uid="{00000000-0005-0000-0000-00001B100000}"/>
    <cellStyle name="Normal 2 4 3 3 7 2 2 2" xfId="16931" xr:uid="{9B79A81C-80EF-47AE-A701-17260F738A81}"/>
    <cellStyle name="Normal 2 4 3 3 7 2 3" xfId="12713" xr:uid="{7CC8D3AE-BBCF-4474-A182-78E49B87B4E5}"/>
    <cellStyle name="Normal 2 4 3 3 7 3" xfId="6344" xr:uid="{00000000-0005-0000-0000-00001C100000}"/>
    <cellStyle name="Normal 2 4 3 3 7 3 2" xfId="14786" xr:uid="{BC917473-48C9-47E4-A64B-682E87155D96}"/>
    <cellStyle name="Normal 2 4 3 3 7 4" xfId="10568" xr:uid="{BB1B9E37-F3E1-423A-8844-2BED23E3D80C}"/>
    <cellStyle name="Normal 2 4 3 3 8" xfId="2473" xr:uid="{00000000-0005-0000-0000-00001D100000}"/>
    <cellStyle name="Normal 2 4 3 3 8 2" xfId="6757" xr:uid="{00000000-0005-0000-0000-00001E100000}"/>
    <cellStyle name="Normal 2 4 3 3 8 2 2" xfId="15199" xr:uid="{D6663168-B48C-475D-98D0-7B4CA9019824}"/>
    <cellStyle name="Normal 2 4 3 3 8 3" xfId="10981" xr:uid="{4A532CAC-9190-4731-B6F6-D7FB7C083D35}"/>
    <cellStyle name="Normal 2 4 3 3 9" xfId="4691" xr:uid="{00000000-0005-0000-0000-00001F100000}"/>
    <cellStyle name="Normal 2 4 3 3 9 2" xfId="13133" xr:uid="{0947E293-65A7-4586-909B-FEF975E94786}"/>
    <cellStyle name="Normal 2 4 3 4" xfId="787" xr:uid="{00000000-0005-0000-0000-000020100000}"/>
    <cellStyle name="Normal 2 4 3 4 2" xfId="3026" xr:uid="{00000000-0005-0000-0000-000021100000}"/>
    <cellStyle name="Normal 2 4 3 4 2 2" xfId="7249" xr:uid="{00000000-0005-0000-0000-000022100000}"/>
    <cellStyle name="Normal 2 4 3 4 2 2 2" xfId="15691" xr:uid="{EA4A3317-F1B1-4948-853A-D57F8D63DBF2}"/>
    <cellStyle name="Normal 2 4 3 4 2 3" xfId="11473" xr:uid="{419D4ADE-67B6-403E-AF40-1D6FE1455A10}"/>
    <cellStyle name="Normal 2 4 3 4 3" xfId="5104" xr:uid="{00000000-0005-0000-0000-000023100000}"/>
    <cellStyle name="Normal 2 4 3 4 3 2" xfId="13546" xr:uid="{3F837939-EF31-4111-B9B0-75F371103FF1}"/>
    <cellStyle name="Normal 2 4 3 4 4" xfId="9328" xr:uid="{BE98ED41-BA48-4650-A8A9-A243AE26EFFB}"/>
    <cellStyle name="Normal 2 4 3 5" xfId="1209" xr:uid="{00000000-0005-0000-0000-000024100000}"/>
    <cellStyle name="Normal 2 4 3 5 2" xfId="3439" xr:uid="{00000000-0005-0000-0000-000025100000}"/>
    <cellStyle name="Normal 2 4 3 5 2 2" xfId="7662" xr:uid="{00000000-0005-0000-0000-000026100000}"/>
    <cellStyle name="Normal 2 4 3 5 2 2 2" xfId="16104" xr:uid="{BE60C4E6-2580-43F2-8CDB-467A9E85210F}"/>
    <cellStyle name="Normal 2 4 3 5 2 3" xfId="11886" xr:uid="{D6493782-EB82-471C-A3C5-224787B7FDF2}"/>
    <cellStyle name="Normal 2 4 3 5 3" xfId="5517" xr:uid="{00000000-0005-0000-0000-000027100000}"/>
    <cellStyle name="Normal 2 4 3 5 3 2" xfId="13959" xr:uid="{08A1FA20-71B4-495D-9982-227C5ADAB533}"/>
    <cellStyle name="Normal 2 4 3 5 4" xfId="9741" xr:uid="{0A0C07F3-1089-4BA1-B6F6-29D2C6A05A58}"/>
    <cellStyle name="Normal 2 4 3 6" xfId="1622" xr:uid="{00000000-0005-0000-0000-000028100000}"/>
    <cellStyle name="Normal 2 4 3 6 2" xfId="3852" xr:uid="{00000000-0005-0000-0000-000029100000}"/>
    <cellStyle name="Normal 2 4 3 6 2 2" xfId="8075" xr:uid="{00000000-0005-0000-0000-00002A100000}"/>
    <cellStyle name="Normal 2 4 3 6 2 2 2" xfId="16517" xr:uid="{A7CD02BD-3140-4633-BF19-C7A5AECD9F22}"/>
    <cellStyle name="Normal 2 4 3 6 2 3" xfId="12299" xr:uid="{1EBF107A-BD82-4911-A79A-E49B16625F7F}"/>
    <cellStyle name="Normal 2 4 3 6 3" xfId="5930" xr:uid="{00000000-0005-0000-0000-00002B100000}"/>
    <cellStyle name="Normal 2 4 3 6 3 2" xfId="14372" xr:uid="{9CD0C6C6-9961-4E3C-B6CF-20A0BEC9A890}"/>
    <cellStyle name="Normal 2 4 3 6 4" xfId="10154" xr:uid="{828A1D27-9789-4B44-9144-7CA06F2C06C7}"/>
    <cellStyle name="Normal 2 4 3 7" xfId="2036" xr:uid="{00000000-0005-0000-0000-00002C100000}"/>
    <cellStyle name="Normal 2 4 3 7 2" xfId="4265" xr:uid="{00000000-0005-0000-0000-00002D100000}"/>
    <cellStyle name="Normal 2 4 3 7 2 2" xfId="8488" xr:uid="{00000000-0005-0000-0000-00002E100000}"/>
    <cellStyle name="Normal 2 4 3 7 2 2 2" xfId="16930" xr:uid="{D65A03C3-47FE-4D38-96EC-B11C12CF5C5F}"/>
    <cellStyle name="Normal 2 4 3 7 2 3" xfId="12712" xr:uid="{EF89F06B-D145-48A3-A47D-FA4303826F97}"/>
    <cellStyle name="Normal 2 4 3 7 3" xfId="6343" xr:uid="{00000000-0005-0000-0000-00002F100000}"/>
    <cellStyle name="Normal 2 4 3 7 3 2" xfId="14785" xr:uid="{9B4E8BBD-9380-4EE7-9537-053B5A9BE88A}"/>
    <cellStyle name="Normal 2 4 3 7 4" xfId="10567" xr:uid="{F9EC16F9-2743-41C5-B5E7-26CC5220413E}"/>
    <cellStyle name="Normal 2 4 3 8" xfId="2472" xr:uid="{00000000-0005-0000-0000-000030100000}"/>
    <cellStyle name="Normal 2 4 3 8 2" xfId="6756" xr:uid="{00000000-0005-0000-0000-000031100000}"/>
    <cellStyle name="Normal 2 4 3 8 2 2" xfId="15198" xr:uid="{C35434B6-4516-439B-974D-3FE912D96DD5}"/>
    <cellStyle name="Normal 2 4 3 8 3" xfId="10980" xr:uid="{8D7FC07A-99CC-4537-BDDC-029D35F305CC}"/>
    <cellStyle name="Normal 2 4 3 9" xfId="4690" xr:uid="{00000000-0005-0000-0000-000032100000}"/>
    <cellStyle name="Normal 2 4 3 9 2" xfId="13132" xr:uid="{8A0D734D-EF76-4AB0-9CF1-FDDF1B981468}"/>
    <cellStyle name="Normal 2 4 4" xfId="302" xr:uid="{00000000-0005-0000-0000-000033100000}"/>
    <cellStyle name="Normal 2 4 5" xfId="303" xr:uid="{00000000-0005-0000-0000-000034100000}"/>
    <cellStyle name="Normal 2 4 5 10" xfId="4695" xr:uid="{00000000-0005-0000-0000-000035100000}"/>
    <cellStyle name="Normal 2 4 5 10 2" xfId="13137" xr:uid="{5069942D-956F-4C25-8E34-3A84EF1429C2}"/>
    <cellStyle name="Normal 2 4 5 11" xfId="8919" xr:uid="{47DB3B0C-8940-4648-B426-FC3C21CCC576}"/>
    <cellStyle name="Normal 2 4 5 2" xfId="304" xr:uid="{00000000-0005-0000-0000-000036100000}"/>
    <cellStyle name="Normal 2 4 5 2 10" xfId="8920" xr:uid="{DB5950AE-9F6D-4FE2-A722-2DE961C690CF}"/>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2 2 2" xfId="15699" xr:uid="{960F2493-86EB-4DBB-B037-0AC16F1638F5}"/>
    <cellStyle name="Normal 2 4 5 2 2 2 2 2 3" xfId="11481" xr:uid="{69DE6E70-6CE0-46ED-82AB-4D736AC143FD}"/>
    <cellStyle name="Normal 2 4 5 2 2 2 2 3" xfId="5112" xr:uid="{00000000-0005-0000-0000-00003C100000}"/>
    <cellStyle name="Normal 2 4 5 2 2 2 2 3 2" xfId="13554" xr:uid="{2C580571-0675-4347-8103-1B9926148E7B}"/>
    <cellStyle name="Normal 2 4 5 2 2 2 2 4" xfId="9336" xr:uid="{E6C8485E-3F3C-49BF-B288-F16ACC4142D7}"/>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2 2 2" xfId="16112" xr:uid="{809349BD-9894-4662-9620-C3DDBE2F5D1B}"/>
    <cellStyle name="Normal 2 4 5 2 2 2 3 2 3" xfId="11894" xr:uid="{C51FCD31-80D9-4159-A603-2FCC93B73543}"/>
    <cellStyle name="Normal 2 4 5 2 2 2 3 3" xfId="5525" xr:uid="{00000000-0005-0000-0000-000040100000}"/>
    <cellStyle name="Normal 2 4 5 2 2 2 3 3 2" xfId="13967" xr:uid="{A79FB703-C32E-40B3-A59F-4910D2E462E1}"/>
    <cellStyle name="Normal 2 4 5 2 2 2 3 4" xfId="9749" xr:uid="{262A68B6-648B-4010-8B09-1AAD8E67D83C}"/>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2 2 2" xfId="16525" xr:uid="{0D0BF90A-7DEE-4023-BA4A-6991EC3AD515}"/>
    <cellStyle name="Normal 2 4 5 2 2 2 4 2 3" xfId="12307" xr:uid="{8FF5C986-4555-4030-ADD1-7D20CDF15EA4}"/>
    <cellStyle name="Normal 2 4 5 2 2 2 4 3" xfId="5938" xr:uid="{00000000-0005-0000-0000-000044100000}"/>
    <cellStyle name="Normal 2 4 5 2 2 2 4 3 2" xfId="14380" xr:uid="{2A39C3C8-7BFF-44A7-B3D3-B90BA107FF08}"/>
    <cellStyle name="Normal 2 4 5 2 2 2 4 4" xfId="10162" xr:uid="{E99A8576-F2B3-47AE-97AE-36B3BD52C0AF}"/>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2 2 2" xfId="16938" xr:uid="{4639E9A0-5470-4DA7-B798-3F860C4AABEF}"/>
    <cellStyle name="Normal 2 4 5 2 2 2 5 2 3" xfId="12720" xr:uid="{EEE218FE-5C41-4AE6-A466-930DDFE166DF}"/>
    <cellStyle name="Normal 2 4 5 2 2 2 5 3" xfId="6351" xr:uid="{00000000-0005-0000-0000-000048100000}"/>
    <cellStyle name="Normal 2 4 5 2 2 2 5 3 2" xfId="14793" xr:uid="{954A3AD0-C48D-47CD-B66E-A0A81F2B1273}"/>
    <cellStyle name="Normal 2 4 5 2 2 2 5 4" xfId="10575" xr:uid="{21FF5866-9B40-42CD-A85A-EEA5D6527DD9}"/>
    <cellStyle name="Normal 2 4 5 2 2 2 6" xfId="2480" xr:uid="{00000000-0005-0000-0000-000049100000}"/>
    <cellStyle name="Normal 2 4 5 2 2 2 6 2" xfId="6764" xr:uid="{00000000-0005-0000-0000-00004A100000}"/>
    <cellStyle name="Normal 2 4 5 2 2 2 6 2 2" xfId="15206" xr:uid="{2F63F2CE-DF37-433A-A7E6-974284B8FCF3}"/>
    <cellStyle name="Normal 2 4 5 2 2 2 6 3" xfId="10988" xr:uid="{6D2412A3-034F-4DA8-AA1E-15C88C637B78}"/>
    <cellStyle name="Normal 2 4 5 2 2 2 7" xfId="4698" xr:uid="{00000000-0005-0000-0000-00004B100000}"/>
    <cellStyle name="Normal 2 4 5 2 2 2 7 2" xfId="13140" xr:uid="{C14846AD-57A4-47F7-8735-9F8D18D4218E}"/>
    <cellStyle name="Normal 2 4 5 2 2 2 8" xfId="8922" xr:uid="{A258E2E0-11DB-48A4-959A-600F888624A9}"/>
    <cellStyle name="Normal 2 4 5 2 2 3" xfId="794" xr:uid="{00000000-0005-0000-0000-00004C100000}"/>
    <cellStyle name="Normal 2 4 5 2 2 3 2" xfId="3033" xr:uid="{00000000-0005-0000-0000-00004D100000}"/>
    <cellStyle name="Normal 2 4 5 2 2 3 2 2" xfId="7256" xr:uid="{00000000-0005-0000-0000-00004E100000}"/>
    <cellStyle name="Normal 2 4 5 2 2 3 2 2 2" xfId="15698" xr:uid="{B09B429A-1E35-4FFA-BC04-E3577BAD2C28}"/>
    <cellStyle name="Normal 2 4 5 2 2 3 2 3" xfId="11480" xr:uid="{D80D9CBC-2B42-47D7-8594-C6B167B1F1C7}"/>
    <cellStyle name="Normal 2 4 5 2 2 3 3" xfId="5111" xr:uid="{00000000-0005-0000-0000-00004F100000}"/>
    <cellStyle name="Normal 2 4 5 2 2 3 3 2" xfId="13553" xr:uid="{88C2B895-C552-4228-A23A-6B6609B46F0E}"/>
    <cellStyle name="Normal 2 4 5 2 2 3 4" xfId="9335" xr:uid="{49DB2279-6A25-4620-B483-52033EE04C06}"/>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2 2 2" xfId="16111" xr:uid="{CA806916-2C71-4711-8147-4607AE8B4066}"/>
    <cellStyle name="Normal 2 4 5 2 2 4 2 3" xfId="11893" xr:uid="{FBB5A510-A2DC-403D-B6BC-C7186AF8EDA4}"/>
    <cellStyle name="Normal 2 4 5 2 2 4 3" xfId="5524" xr:uid="{00000000-0005-0000-0000-000053100000}"/>
    <cellStyle name="Normal 2 4 5 2 2 4 3 2" xfId="13966" xr:uid="{CE299BB5-3848-4336-8217-9DE1C988A79E}"/>
    <cellStyle name="Normal 2 4 5 2 2 4 4" xfId="9748" xr:uid="{B9D2FFCD-9A0D-45EB-8B16-AADE3A11EF6D}"/>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2 2 2" xfId="16524" xr:uid="{F591B820-DF7D-4B01-AA31-5ADE33E674A2}"/>
    <cellStyle name="Normal 2 4 5 2 2 5 2 3" xfId="12306" xr:uid="{C8DF4C00-5134-478D-9C8E-7CBB0C0EEC88}"/>
    <cellStyle name="Normal 2 4 5 2 2 5 3" xfId="5937" xr:uid="{00000000-0005-0000-0000-000057100000}"/>
    <cellStyle name="Normal 2 4 5 2 2 5 3 2" xfId="14379" xr:uid="{5F5676D7-63F6-479A-AB5F-A2818CDF6F2B}"/>
    <cellStyle name="Normal 2 4 5 2 2 5 4" xfId="10161" xr:uid="{A51D070D-F4D1-479E-813A-0B0F6FDCAC32}"/>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2 2 2" xfId="16937" xr:uid="{963DD3AE-167C-4556-9567-54EA815CC2B8}"/>
    <cellStyle name="Normal 2 4 5 2 2 6 2 3" xfId="12719" xr:uid="{9E9B95FC-03F1-47EE-A34D-54851F9F8028}"/>
    <cellStyle name="Normal 2 4 5 2 2 6 3" xfId="6350" xr:uid="{00000000-0005-0000-0000-00005B100000}"/>
    <cellStyle name="Normal 2 4 5 2 2 6 3 2" xfId="14792" xr:uid="{AC4C9090-29BC-4BF5-9861-302B3865C2CA}"/>
    <cellStyle name="Normal 2 4 5 2 2 6 4" xfId="10574" xr:uid="{D129DA29-7F63-41E6-8AEA-9C1453BB5C31}"/>
    <cellStyle name="Normal 2 4 5 2 2 7" xfId="2479" xr:uid="{00000000-0005-0000-0000-00005C100000}"/>
    <cellStyle name="Normal 2 4 5 2 2 7 2" xfId="6763" xr:uid="{00000000-0005-0000-0000-00005D100000}"/>
    <cellStyle name="Normal 2 4 5 2 2 7 2 2" xfId="15205" xr:uid="{FE7079E7-D81D-4C43-AAE2-E134865983BE}"/>
    <cellStyle name="Normal 2 4 5 2 2 7 3" xfId="10987" xr:uid="{59558CCD-ABBC-448B-84D4-F4D9AE0CCCA1}"/>
    <cellStyle name="Normal 2 4 5 2 2 8" xfId="4697" xr:uid="{00000000-0005-0000-0000-00005E100000}"/>
    <cellStyle name="Normal 2 4 5 2 2 8 2" xfId="13139" xr:uid="{A5CAC47C-028E-4246-BB56-E71D887BA3EF}"/>
    <cellStyle name="Normal 2 4 5 2 2 9" xfId="8921" xr:uid="{B18355A0-2F96-44AD-AAFB-10CDEBF48212}"/>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2 2 2" xfId="15700" xr:uid="{1F9B9547-05EA-41E9-B127-195C65AACF3F}"/>
    <cellStyle name="Normal 2 4 5 2 3 2 2 3" xfId="11482" xr:uid="{37D722BE-41CC-46A1-9471-A64CAC85C622}"/>
    <cellStyle name="Normal 2 4 5 2 3 2 3" xfId="5113" xr:uid="{00000000-0005-0000-0000-000063100000}"/>
    <cellStyle name="Normal 2 4 5 2 3 2 3 2" xfId="13555" xr:uid="{C320C0CA-5A3C-40BB-8D21-742CD2348339}"/>
    <cellStyle name="Normal 2 4 5 2 3 2 4" xfId="9337" xr:uid="{752E29FC-DBAB-4864-A857-9DDEC1EE3C3D}"/>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2 2 2" xfId="16113" xr:uid="{BA0A0F42-CF19-4EA5-937E-4508B16E45CF}"/>
    <cellStyle name="Normal 2 4 5 2 3 3 2 3" xfId="11895" xr:uid="{DCB63BC9-3393-4265-999D-42F347A327F7}"/>
    <cellStyle name="Normal 2 4 5 2 3 3 3" xfId="5526" xr:uid="{00000000-0005-0000-0000-000067100000}"/>
    <cellStyle name="Normal 2 4 5 2 3 3 3 2" xfId="13968" xr:uid="{26E29F24-A0A2-47FF-9D49-C2AF6CB6CB9F}"/>
    <cellStyle name="Normal 2 4 5 2 3 3 4" xfId="9750" xr:uid="{6A03BE9B-ECA9-4040-97B4-09DC001633A2}"/>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2 2 2" xfId="16526" xr:uid="{89B1C9A2-A306-400D-BCE3-E6D941DCA249}"/>
    <cellStyle name="Normal 2 4 5 2 3 4 2 3" xfId="12308" xr:uid="{36CD1A09-21D0-45B0-9C4D-57AB7D7BFCAD}"/>
    <cellStyle name="Normal 2 4 5 2 3 4 3" xfId="5939" xr:uid="{00000000-0005-0000-0000-00006B100000}"/>
    <cellStyle name="Normal 2 4 5 2 3 4 3 2" xfId="14381" xr:uid="{E23E2468-904D-4607-9938-6908E456BA57}"/>
    <cellStyle name="Normal 2 4 5 2 3 4 4" xfId="10163" xr:uid="{7FD81E7C-2EE6-4CD6-B59F-F4D3000EF4E5}"/>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2 2 2" xfId="16939" xr:uid="{F8D5CC25-33F3-46C6-8103-B120AE9235C0}"/>
    <cellStyle name="Normal 2 4 5 2 3 5 2 3" xfId="12721" xr:uid="{2ABB8ACA-A682-4509-BFD1-C7303C2C93E1}"/>
    <cellStyle name="Normal 2 4 5 2 3 5 3" xfId="6352" xr:uid="{00000000-0005-0000-0000-00006F100000}"/>
    <cellStyle name="Normal 2 4 5 2 3 5 3 2" xfId="14794" xr:uid="{9D5F42D0-B7BD-4450-9D82-C7A8B0F8992C}"/>
    <cellStyle name="Normal 2 4 5 2 3 5 4" xfId="10576" xr:uid="{BCA24F9D-39F3-4F68-AEA5-F9D9168DCBF4}"/>
    <cellStyle name="Normal 2 4 5 2 3 6" xfId="2481" xr:uid="{00000000-0005-0000-0000-000070100000}"/>
    <cellStyle name="Normal 2 4 5 2 3 6 2" xfId="6765" xr:uid="{00000000-0005-0000-0000-000071100000}"/>
    <cellStyle name="Normal 2 4 5 2 3 6 2 2" xfId="15207" xr:uid="{E6304260-A55A-4CD3-8C75-AC466FBE8585}"/>
    <cellStyle name="Normal 2 4 5 2 3 6 3" xfId="10989" xr:uid="{3DDFE5AF-2B17-45A4-81C5-75410A879A07}"/>
    <cellStyle name="Normal 2 4 5 2 3 7" xfId="4699" xr:uid="{00000000-0005-0000-0000-000072100000}"/>
    <cellStyle name="Normal 2 4 5 2 3 7 2" xfId="13141" xr:uid="{5622889C-074E-486C-9257-21297641E6BB}"/>
    <cellStyle name="Normal 2 4 5 2 3 8" xfId="8923" xr:uid="{E4A01C52-0EC4-499E-BF20-C514EA0FCF13}"/>
    <cellStyle name="Normal 2 4 5 2 4" xfId="793" xr:uid="{00000000-0005-0000-0000-000073100000}"/>
    <cellStyle name="Normal 2 4 5 2 4 2" xfId="3032" xr:uid="{00000000-0005-0000-0000-000074100000}"/>
    <cellStyle name="Normal 2 4 5 2 4 2 2" xfId="7255" xr:uid="{00000000-0005-0000-0000-000075100000}"/>
    <cellStyle name="Normal 2 4 5 2 4 2 2 2" xfId="15697" xr:uid="{771B5B37-541B-4A5C-89C4-9105EF381F24}"/>
    <cellStyle name="Normal 2 4 5 2 4 2 3" xfId="11479" xr:uid="{413EF917-8F6A-4B14-8258-7A9BD25BF6F3}"/>
    <cellStyle name="Normal 2 4 5 2 4 3" xfId="5110" xr:uid="{00000000-0005-0000-0000-000076100000}"/>
    <cellStyle name="Normal 2 4 5 2 4 3 2" xfId="13552" xr:uid="{2976DF90-38C4-437E-96BE-492A9A3D805F}"/>
    <cellStyle name="Normal 2 4 5 2 4 4" xfId="9334" xr:uid="{82A95CE3-2C38-4CE3-881E-A9ABD4516D6E}"/>
    <cellStyle name="Normal 2 4 5 2 5" xfId="1215" xr:uid="{00000000-0005-0000-0000-000077100000}"/>
    <cellStyle name="Normal 2 4 5 2 5 2" xfId="3445" xr:uid="{00000000-0005-0000-0000-000078100000}"/>
    <cellStyle name="Normal 2 4 5 2 5 2 2" xfId="7668" xr:uid="{00000000-0005-0000-0000-000079100000}"/>
    <cellStyle name="Normal 2 4 5 2 5 2 2 2" xfId="16110" xr:uid="{30F7DEEF-1507-41D2-B769-B5EF3980CCE6}"/>
    <cellStyle name="Normal 2 4 5 2 5 2 3" xfId="11892" xr:uid="{5DD67685-829C-4FAD-AED0-94B5B7F370C3}"/>
    <cellStyle name="Normal 2 4 5 2 5 3" xfId="5523" xr:uid="{00000000-0005-0000-0000-00007A100000}"/>
    <cellStyle name="Normal 2 4 5 2 5 3 2" xfId="13965" xr:uid="{FE03C0CF-5695-4413-9D22-72DD6549D718}"/>
    <cellStyle name="Normal 2 4 5 2 5 4" xfId="9747" xr:uid="{33F71D15-5423-4D16-9544-5081D0E6D96D}"/>
    <cellStyle name="Normal 2 4 5 2 6" xfId="1628" xr:uid="{00000000-0005-0000-0000-00007B100000}"/>
    <cellStyle name="Normal 2 4 5 2 6 2" xfId="3858" xr:uid="{00000000-0005-0000-0000-00007C100000}"/>
    <cellStyle name="Normal 2 4 5 2 6 2 2" xfId="8081" xr:uid="{00000000-0005-0000-0000-00007D100000}"/>
    <cellStyle name="Normal 2 4 5 2 6 2 2 2" xfId="16523" xr:uid="{0C6B91F4-FAF7-45ED-AEF1-A3685773D1CB}"/>
    <cellStyle name="Normal 2 4 5 2 6 2 3" xfId="12305" xr:uid="{6CDE76D0-AE17-4003-9F18-394888572D1B}"/>
    <cellStyle name="Normal 2 4 5 2 6 3" xfId="5936" xr:uid="{00000000-0005-0000-0000-00007E100000}"/>
    <cellStyle name="Normal 2 4 5 2 6 3 2" xfId="14378" xr:uid="{6D6CDDB6-05D9-4750-BABF-C9155537E82A}"/>
    <cellStyle name="Normal 2 4 5 2 6 4" xfId="10160" xr:uid="{91EB5AB7-9AC4-4309-AEB6-53B025603C37}"/>
    <cellStyle name="Normal 2 4 5 2 7" xfId="2042" xr:uid="{00000000-0005-0000-0000-00007F100000}"/>
    <cellStyle name="Normal 2 4 5 2 7 2" xfId="4271" xr:uid="{00000000-0005-0000-0000-000080100000}"/>
    <cellStyle name="Normal 2 4 5 2 7 2 2" xfId="8494" xr:uid="{00000000-0005-0000-0000-000081100000}"/>
    <cellStyle name="Normal 2 4 5 2 7 2 2 2" xfId="16936" xr:uid="{152BDC0A-AAAC-4D6D-AA6C-A571F718BD81}"/>
    <cellStyle name="Normal 2 4 5 2 7 2 3" xfId="12718" xr:uid="{CFF80CFC-AC67-4126-812C-C8E23B5E3292}"/>
    <cellStyle name="Normal 2 4 5 2 7 3" xfId="6349" xr:uid="{00000000-0005-0000-0000-000082100000}"/>
    <cellStyle name="Normal 2 4 5 2 7 3 2" xfId="14791" xr:uid="{E3FF70D4-9EB4-481C-9139-5852048BCEBC}"/>
    <cellStyle name="Normal 2 4 5 2 7 4" xfId="10573" xr:uid="{0DAF92AF-A0A8-4097-A851-3BDF1F460F57}"/>
    <cellStyle name="Normal 2 4 5 2 8" xfId="2478" xr:uid="{00000000-0005-0000-0000-000083100000}"/>
    <cellStyle name="Normal 2 4 5 2 8 2" xfId="6762" xr:uid="{00000000-0005-0000-0000-000084100000}"/>
    <cellStyle name="Normal 2 4 5 2 8 2 2" xfId="15204" xr:uid="{995F191F-A90C-4EB4-8AFF-FEA8E16BAFE3}"/>
    <cellStyle name="Normal 2 4 5 2 8 3" xfId="10986" xr:uid="{777FD99F-BDFF-4D57-93C8-8098BB0AF137}"/>
    <cellStyle name="Normal 2 4 5 2 9" xfId="4696" xr:uid="{00000000-0005-0000-0000-000085100000}"/>
    <cellStyle name="Normal 2 4 5 2 9 2" xfId="13138" xr:uid="{39464F51-B6D2-4BD2-BCE6-0EF8567FA5F2}"/>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2 2 2" xfId="15702" xr:uid="{B8D4A6FA-F538-49A7-83E0-4AAB3FAB7F54}"/>
    <cellStyle name="Normal 2 4 5 3 2 2 2 3" xfId="11484" xr:uid="{25C5561C-6A69-4E5D-A17F-566DC90B959B}"/>
    <cellStyle name="Normal 2 4 5 3 2 2 3" xfId="5115" xr:uid="{00000000-0005-0000-0000-00008B100000}"/>
    <cellStyle name="Normal 2 4 5 3 2 2 3 2" xfId="13557" xr:uid="{0FA090AE-082B-48F0-8D17-9AB077F4E5AE}"/>
    <cellStyle name="Normal 2 4 5 3 2 2 4" xfId="9339" xr:uid="{EACEAC0F-F8CE-451A-8946-16A19C1A19DA}"/>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2 2 2" xfId="16115" xr:uid="{AF12A840-79B9-4701-A099-6D666DA753D0}"/>
    <cellStyle name="Normal 2 4 5 3 2 3 2 3" xfId="11897" xr:uid="{23A36E89-BA1E-4D3A-BFD4-2ABE25E6CDCF}"/>
    <cellStyle name="Normal 2 4 5 3 2 3 3" xfId="5528" xr:uid="{00000000-0005-0000-0000-00008F100000}"/>
    <cellStyle name="Normal 2 4 5 3 2 3 3 2" xfId="13970" xr:uid="{3B7325F6-B2E6-4CC4-AE2F-AB1C5BEB377F}"/>
    <cellStyle name="Normal 2 4 5 3 2 3 4" xfId="9752" xr:uid="{11620DD8-DFE3-427C-9320-7965EE469008}"/>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2 2 2" xfId="16528" xr:uid="{2F3525F9-8A1B-47FB-89DA-4AD8ADF08E21}"/>
    <cellStyle name="Normal 2 4 5 3 2 4 2 3" xfId="12310" xr:uid="{4FA3051A-A92F-4795-955B-DF8C117F6355}"/>
    <cellStyle name="Normal 2 4 5 3 2 4 3" xfId="5941" xr:uid="{00000000-0005-0000-0000-000093100000}"/>
    <cellStyle name="Normal 2 4 5 3 2 4 3 2" xfId="14383" xr:uid="{88807EE6-5F5C-4549-8FC1-D26D6087D0DC}"/>
    <cellStyle name="Normal 2 4 5 3 2 4 4" xfId="10165" xr:uid="{9546DCBF-6D5B-4153-B656-E9ECAD5F3457}"/>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2 2 2" xfId="16941" xr:uid="{BF308CB0-911D-4BAB-9611-10928B8F9AA3}"/>
    <cellStyle name="Normal 2 4 5 3 2 5 2 3" xfId="12723" xr:uid="{6B4D1964-247E-45C2-A417-C77389A08A62}"/>
    <cellStyle name="Normal 2 4 5 3 2 5 3" xfId="6354" xr:uid="{00000000-0005-0000-0000-000097100000}"/>
    <cellStyle name="Normal 2 4 5 3 2 5 3 2" xfId="14796" xr:uid="{C7C0B322-0237-4320-AD9A-F6FA7992A61D}"/>
    <cellStyle name="Normal 2 4 5 3 2 5 4" xfId="10578" xr:uid="{88A419BD-84D6-4985-854D-D1467F41F648}"/>
    <cellStyle name="Normal 2 4 5 3 2 6" xfId="2483" xr:uid="{00000000-0005-0000-0000-000098100000}"/>
    <cellStyle name="Normal 2 4 5 3 2 6 2" xfId="6767" xr:uid="{00000000-0005-0000-0000-000099100000}"/>
    <cellStyle name="Normal 2 4 5 3 2 6 2 2" xfId="15209" xr:uid="{D2C44749-3EEC-4341-A761-911BCEE771F5}"/>
    <cellStyle name="Normal 2 4 5 3 2 6 3" xfId="10991" xr:uid="{6B544D67-8E93-4B87-AC5B-C35371823DAD}"/>
    <cellStyle name="Normal 2 4 5 3 2 7" xfId="4701" xr:uid="{00000000-0005-0000-0000-00009A100000}"/>
    <cellStyle name="Normal 2 4 5 3 2 7 2" xfId="13143" xr:uid="{53B5004E-ED36-4183-864C-C8F4A816EC3F}"/>
    <cellStyle name="Normal 2 4 5 3 2 8" xfId="8925" xr:uid="{3ED3E0B5-5527-4953-B117-F18F0A8F281D}"/>
    <cellStyle name="Normal 2 4 5 3 3" xfId="797" xr:uid="{00000000-0005-0000-0000-00009B100000}"/>
    <cellStyle name="Normal 2 4 5 3 3 2" xfId="3036" xr:uid="{00000000-0005-0000-0000-00009C100000}"/>
    <cellStyle name="Normal 2 4 5 3 3 2 2" xfId="7259" xr:uid="{00000000-0005-0000-0000-00009D100000}"/>
    <cellStyle name="Normal 2 4 5 3 3 2 2 2" xfId="15701" xr:uid="{12038544-19B6-4676-A827-761F3F4343C4}"/>
    <cellStyle name="Normal 2 4 5 3 3 2 3" xfId="11483" xr:uid="{18603C14-7AED-4E68-A9AE-F086BE4334F5}"/>
    <cellStyle name="Normal 2 4 5 3 3 3" xfId="5114" xr:uid="{00000000-0005-0000-0000-00009E100000}"/>
    <cellStyle name="Normal 2 4 5 3 3 3 2" xfId="13556" xr:uid="{2381FF32-4A9C-48C3-A34B-779B4272C936}"/>
    <cellStyle name="Normal 2 4 5 3 3 4" xfId="9338" xr:uid="{FBCA718D-29EC-4F07-9EAA-C516A21EA10B}"/>
    <cellStyle name="Normal 2 4 5 3 4" xfId="1219" xr:uid="{00000000-0005-0000-0000-00009F100000}"/>
    <cellStyle name="Normal 2 4 5 3 4 2" xfId="3449" xr:uid="{00000000-0005-0000-0000-0000A0100000}"/>
    <cellStyle name="Normal 2 4 5 3 4 2 2" xfId="7672" xr:uid="{00000000-0005-0000-0000-0000A1100000}"/>
    <cellStyle name="Normal 2 4 5 3 4 2 2 2" xfId="16114" xr:uid="{B14DD6AB-C315-4D7C-80AA-8F78F3F9E7D9}"/>
    <cellStyle name="Normal 2 4 5 3 4 2 3" xfId="11896" xr:uid="{E2CD1F8C-E12C-458D-B82C-3AB57A3A0145}"/>
    <cellStyle name="Normal 2 4 5 3 4 3" xfId="5527" xr:uid="{00000000-0005-0000-0000-0000A2100000}"/>
    <cellStyle name="Normal 2 4 5 3 4 3 2" xfId="13969" xr:uid="{B4C74756-11EF-4710-A1A9-03126DF93D89}"/>
    <cellStyle name="Normal 2 4 5 3 4 4" xfId="9751" xr:uid="{01DD3B14-BAFD-48AD-A9C4-A19E7A3248DB}"/>
    <cellStyle name="Normal 2 4 5 3 5" xfId="1632" xr:uid="{00000000-0005-0000-0000-0000A3100000}"/>
    <cellStyle name="Normal 2 4 5 3 5 2" xfId="3862" xr:uid="{00000000-0005-0000-0000-0000A4100000}"/>
    <cellStyle name="Normal 2 4 5 3 5 2 2" xfId="8085" xr:uid="{00000000-0005-0000-0000-0000A5100000}"/>
    <cellStyle name="Normal 2 4 5 3 5 2 2 2" xfId="16527" xr:uid="{F696390F-4A5C-43F0-AD78-0D5AC994D19E}"/>
    <cellStyle name="Normal 2 4 5 3 5 2 3" xfId="12309" xr:uid="{19DE39EA-2781-4BD3-AEB0-8D4250F5EBD5}"/>
    <cellStyle name="Normal 2 4 5 3 5 3" xfId="5940" xr:uid="{00000000-0005-0000-0000-0000A6100000}"/>
    <cellStyle name="Normal 2 4 5 3 5 3 2" xfId="14382" xr:uid="{8EA2CF26-33AE-4BAB-ADEE-6F0F6E5E4D10}"/>
    <cellStyle name="Normal 2 4 5 3 5 4" xfId="10164" xr:uid="{8FDA17FC-F863-4950-B7B7-55E2A93179A7}"/>
    <cellStyle name="Normal 2 4 5 3 6" xfId="2046" xr:uid="{00000000-0005-0000-0000-0000A7100000}"/>
    <cellStyle name="Normal 2 4 5 3 6 2" xfId="4275" xr:uid="{00000000-0005-0000-0000-0000A8100000}"/>
    <cellStyle name="Normal 2 4 5 3 6 2 2" xfId="8498" xr:uid="{00000000-0005-0000-0000-0000A9100000}"/>
    <cellStyle name="Normal 2 4 5 3 6 2 2 2" xfId="16940" xr:uid="{0D160693-CFDD-4681-B8F9-9383998104CE}"/>
    <cellStyle name="Normal 2 4 5 3 6 2 3" xfId="12722" xr:uid="{32D9F329-33F2-4FC9-9E7A-332FBF8C8A28}"/>
    <cellStyle name="Normal 2 4 5 3 6 3" xfId="6353" xr:uid="{00000000-0005-0000-0000-0000AA100000}"/>
    <cellStyle name="Normal 2 4 5 3 6 3 2" xfId="14795" xr:uid="{A5AA8811-4131-4267-9A92-B9FA50CE7854}"/>
    <cellStyle name="Normal 2 4 5 3 6 4" xfId="10577" xr:uid="{0A9DEF82-8530-42D4-90B9-5607E9D1D528}"/>
    <cellStyle name="Normal 2 4 5 3 7" xfId="2482" xr:uid="{00000000-0005-0000-0000-0000AB100000}"/>
    <cellStyle name="Normal 2 4 5 3 7 2" xfId="6766" xr:uid="{00000000-0005-0000-0000-0000AC100000}"/>
    <cellStyle name="Normal 2 4 5 3 7 2 2" xfId="15208" xr:uid="{4A931A9E-C54D-4108-B3B0-CB0E5C12581F}"/>
    <cellStyle name="Normal 2 4 5 3 7 3" xfId="10990" xr:uid="{34E40ABD-ECDB-4411-99B7-E37FFCEC25CD}"/>
    <cellStyle name="Normal 2 4 5 3 8" xfId="4700" xr:uid="{00000000-0005-0000-0000-0000AD100000}"/>
    <cellStyle name="Normal 2 4 5 3 8 2" xfId="13142" xr:uid="{900F5009-3A8A-46A4-9B13-620FDD8DB423}"/>
    <cellStyle name="Normal 2 4 5 3 9" xfId="8924" xr:uid="{276CD370-FB24-4161-8003-C4A84D6733E3}"/>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2 2 2" xfId="15703" xr:uid="{C27DB387-139F-49AF-9FC0-925086C2ADF6}"/>
    <cellStyle name="Normal 2 4 5 4 2 2 3" xfId="11485" xr:uid="{F14D24D9-C98D-4230-B34B-6A08AA51B6A9}"/>
    <cellStyle name="Normal 2 4 5 4 2 3" xfId="5116" xr:uid="{00000000-0005-0000-0000-0000B2100000}"/>
    <cellStyle name="Normal 2 4 5 4 2 3 2" xfId="13558" xr:uid="{51E4E360-6974-4E8F-B972-273B65F83F95}"/>
    <cellStyle name="Normal 2 4 5 4 2 4" xfId="9340" xr:uid="{094649B1-B4E1-4577-AE83-91C77C8D326A}"/>
    <cellStyle name="Normal 2 4 5 4 3" xfId="1221" xr:uid="{00000000-0005-0000-0000-0000B3100000}"/>
    <cellStyle name="Normal 2 4 5 4 3 2" xfId="3451" xr:uid="{00000000-0005-0000-0000-0000B4100000}"/>
    <cellStyle name="Normal 2 4 5 4 3 2 2" xfId="7674" xr:uid="{00000000-0005-0000-0000-0000B5100000}"/>
    <cellStyle name="Normal 2 4 5 4 3 2 2 2" xfId="16116" xr:uid="{E8225D35-EC2E-438A-80F1-AD9DDF6F518B}"/>
    <cellStyle name="Normal 2 4 5 4 3 2 3" xfId="11898" xr:uid="{5A0E7489-13A5-4A45-B93C-FC85EA1F9AFE}"/>
    <cellStyle name="Normal 2 4 5 4 3 3" xfId="5529" xr:uid="{00000000-0005-0000-0000-0000B6100000}"/>
    <cellStyle name="Normal 2 4 5 4 3 3 2" xfId="13971" xr:uid="{85BB3401-E23E-441D-B1E8-5A41633445C1}"/>
    <cellStyle name="Normal 2 4 5 4 3 4" xfId="9753" xr:uid="{B86B828F-76C9-43C0-A324-EBA3231C6F21}"/>
    <cellStyle name="Normal 2 4 5 4 4" xfId="1634" xr:uid="{00000000-0005-0000-0000-0000B7100000}"/>
    <cellStyle name="Normal 2 4 5 4 4 2" xfId="3864" xr:uid="{00000000-0005-0000-0000-0000B8100000}"/>
    <cellStyle name="Normal 2 4 5 4 4 2 2" xfId="8087" xr:uid="{00000000-0005-0000-0000-0000B9100000}"/>
    <cellStyle name="Normal 2 4 5 4 4 2 2 2" xfId="16529" xr:uid="{70A0A246-18E2-450D-AD94-25502416980C}"/>
    <cellStyle name="Normal 2 4 5 4 4 2 3" xfId="12311" xr:uid="{F689B89B-7171-453F-B8BE-F99B1B1CB168}"/>
    <cellStyle name="Normal 2 4 5 4 4 3" xfId="5942" xr:uid="{00000000-0005-0000-0000-0000BA100000}"/>
    <cellStyle name="Normal 2 4 5 4 4 3 2" xfId="14384" xr:uid="{DAA5C708-2CFF-4347-AFD4-CB52F6A60E6A}"/>
    <cellStyle name="Normal 2 4 5 4 4 4" xfId="10166" xr:uid="{5421CBC7-49B2-429D-BB92-609FF2D4D647}"/>
    <cellStyle name="Normal 2 4 5 4 5" xfId="2048" xr:uid="{00000000-0005-0000-0000-0000BB100000}"/>
    <cellStyle name="Normal 2 4 5 4 5 2" xfId="4277" xr:uid="{00000000-0005-0000-0000-0000BC100000}"/>
    <cellStyle name="Normal 2 4 5 4 5 2 2" xfId="8500" xr:uid="{00000000-0005-0000-0000-0000BD100000}"/>
    <cellStyle name="Normal 2 4 5 4 5 2 2 2" xfId="16942" xr:uid="{ADF962BF-EBAA-45A9-B1FE-F1B135D90B96}"/>
    <cellStyle name="Normal 2 4 5 4 5 2 3" xfId="12724" xr:uid="{7806E2F3-AD83-4206-A285-24A8C1D3D3E4}"/>
    <cellStyle name="Normal 2 4 5 4 5 3" xfId="6355" xr:uid="{00000000-0005-0000-0000-0000BE100000}"/>
    <cellStyle name="Normal 2 4 5 4 5 3 2" xfId="14797" xr:uid="{21666606-FF0D-4A00-8542-512D9C46EB35}"/>
    <cellStyle name="Normal 2 4 5 4 5 4" xfId="10579" xr:uid="{C6380112-DEEA-422D-9DAB-73131AB6BA6A}"/>
    <cellStyle name="Normal 2 4 5 4 6" xfId="2484" xr:uid="{00000000-0005-0000-0000-0000BF100000}"/>
    <cellStyle name="Normal 2 4 5 4 6 2" xfId="6768" xr:uid="{00000000-0005-0000-0000-0000C0100000}"/>
    <cellStyle name="Normal 2 4 5 4 6 2 2" xfId="15210" xr:uid="{77B90E5C-27ED-4EE4-AB94-DD1527F533C4}"/>
    <cellStyle name="Normal 2 4 5 4 6 3" xfId="10992" xr:uid="{D69C2A1B-B17E-46B9-9F82-2D5AC4F6BA54}"/>
    <cellStyle name="Normal 2 4 5 4 7" xfId="4702" xr:uid="{00000000-0005-0000-0000-0000C1100000}"/>
    <cellStyle name="Normal 2 4 5 4 7 2" xfId="13144" xr:uid="{BF6EBDDE-DF45-4552-B535-2DCAABBC9870}"/>
    <cellStyle name="Normal 2 4 5 4 8" xfId="8926" xr:uid="{7B2FE85C-CD85-4B19-BD78-25224B994666}"/>
    <cellStyle name="Normal 2 4 5 5" xfId="792" xr:uid="{00000000-0005-0000-0000-0000C2100000}"/>
    <cellStyle name="Normal 2 4 5 5 2" xfId="3031" xr:uid="{00000000-0005-0000-0000-0000C3100000}"/>
    <cellStyle name="Normal 2 4 5 5 2 2" xfId="7254" xr:uid="{00000000-0005-0000-0000-0000C4100000}"/>
    <cellStyle name="Normal 2 4 5 5 2 2 2" xfId="15696" xr:uid="{BA4A7E88-CA3E-47F9-93EF-6A280F2DDFF9}"/>
    <cellStyle name="Normal 2 4 5 5 2 3" xfId="11478" xr:uid="{C16A1056-6A3C-42FB-83ED-4D0A25D6E1BC}"/>
    <cellStyle name="Normal 2 4 5 5 3" xfId="5109" xr:uid="{00000000-0005-0000-0000-0000C5100000}"/>
    <cellStyle name="Normal 2 4 5 5 3 2" xfId="13551" xr:uid="{567E96EA-BFCE-4562-A550-7D5511522C66}"/>
    <cellStyle name="Normal 2 4 5 5 4" xfId="9333" xr:uid="{804E32AB-A0EA-4158-9221-53580CB929DB}"/>
    <cellStyle name="Normal 2 4 5 6" xfId="1214" xr:uid="{00000000-0005-0000-0000-0000C6100000}"/>
    <cellStyle name="Normal 2 4 5 6 2" xfId="3444" xr:uid="{00000000-0005-0000-0000-0000C7100000}"/>
    <cellStyle name="Normal 2 4 5 6 2 2" xfId="7667" xr:uid="{00000000-0005-0000-0000-0000C8100000}"/>
    <cellStyle name="Normal 2 4 5 6 2 2 2" xfId="16109" xr:uid="{626AEC3A-31EF-49CF-90FE-CAD9EB3C85AE}"/>
    <cellStyle name="Normal 2 4 5 6 2 3" xfId="11891" xr:uid="{DDCDB0CB-0BE6-401D-9CC8-AE17D825B5E2}"/>
    <cellStyle name="Normal 2 4 5 6 3" xfId="5522" xr:uid="{00000000-0005-0000-0000-0000C9100000}"/>
    <cellStyle name="Normal 2 4 5 6 3 2" xfId="13964" xr:uid="{5691E9B3-5CAC-41D9-B899-32B8B5B73C4C}"/>
    <cellStyle name="Normal 2 4 5 6 4" xfId="9746" xr:uid="{0DA6077D-1C42-4EE3-8DF1-7BBEFA80F561}"/>
    <cellStyle name="Normal 2 4 5 7" xfId="1627" xr:uid="{00000000-0005-0000-0000-0000CA100000}"/>
    <cellStyle name="Normal 2 4 5 7 2" xfId="3857" xr:uid="{00000000-0005-0000-0000-0000CB100000}"/>
    <cellStyle name="Normal 2 4 5 7 2 2" xfId="8080" xr:uid="{00000000-0005-0000-0000-0000CC100000}"/>
    <cellStyle name="Normal 2 4 5 7 2 2 2" xfId="16522" xr:uid="{D3061E41-1946-4724-83DB-7579677B95A3}"/>
    <cellStyle name="Normal 2 4 5 7 2 3" xfId="12304" xr:uid="{1213752B-86E0-42CD-A2A6-B732EDC8C6C6}"/>
    <cellStyle name="Normal 2 4 5 7 3" xfId="5935" xr:uid="{00000000-0005-0000-0000-0000CD100000}"/>
    <cellStyle name="Normal 2 4 5 7 3 2" xfId="14377" xr:uid="{18E19BE8-1BCF-4711-AFA0-58B2CD426FE4}"/>
    <cellStyle name="Normal 2 4 5 7 4" xfId="10159" xr:uid="{ACEFE069-1478-42BB-9B7F-D45ED090C165}"/>
    <cellStyle name="Normal 2 4 5 8" xfId="2041" xr:uid="{00000000-0005-0000-0000-0000CE100000}"/>
    <cellStyle name="Normal 2 4 5 8 2" xfId="4270" xr:uid="{00000000-0005-0000-0000-0000CF100000}"/>
    <cellStyle name="Normal 2 4 5 8 2 2" xfId="8493" xr:uid="{00000000-0005-0000-0000-0000D0100000}"/>
    <cellStyle name="Normal 2 4 5 8 2 2 2" xfId="16935" xr:uid="{54F58DBE-C07E-4E7B-B2C9-E084A7B9F1A3}"/>
    <cellStyle name="Normal 2 4 5 8 2 3" xfId="12717" xr:uid="{159BB7A6-D5CD-4362-A1AD-3DFAB69E3322}"/>
    <cellStyle name="Normal 2 4 5 8 3" xfId="6348" xr:uid="{00000000-0005-0000-0000-0000D1100000}"/>
    <cellStyle name="Normal 2 4 5 8 3 2" xfId="14790" xr:uid="{155533CE-78E3-4585-A53D-81262B84F1D9}"/>
    <cellStyle name="Normal 2 4 5 8 4" xfId="10572" xr:uid="{08485C0A-010C-47BA-B035-8AF4B4587D60}"/>
    <cellStyle name="Normal 2 4 5 9" xfId="2477" xr:uid="{00000000-0005-0000-0000-0000D2100000}"/>
    <cellStyle name="Normal 2 4 5 9 2" xfId="6761" xr:uid="{00000000-0005-0000-0000-0000D3100000}"/>
    <cellStyle name="Normal 2 4 5 9 2 2" xfId="15203" xr:uid="{D7F35D70-EABF-4C58-913E-3752355FCAF3}"/>
    <cellStyle name="Normal 2 4 5 9 3" xfId="10985" xr:uid="{5F246BAD-5AD6-458D-AFAA-D9599BBDE54D}"/>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2 2 2" xfId="15705" xr:uid="{0FE09778-6042-43D7-89C8-1B919A020167}"/>
    <cellStyle name="Normal 2 4 7 2 2 2 3" xfId="11487" xr:uid="{F1E16911-9623-41F0-ABC4-85A74CE77B43}"/>
    <cellStyle name="Normal 2 4 7 2 2 3" xfId="5118" xr:uid="{00000000-0005-0000-0000-0000DA100000}"/>
    <cellStyle name="Normal 2 4 7 2 2 3 2" xfId="13560" xr:uid="{71CCBE5E-949E-40DD-A6DE-A2C4BFCFECFE}"/>
    <cellStyle name="Normal 2 4 7 2 2 4" xfId="9342" xr:uid="{9DEFC3A8-5C73-4600-B295-A8B06BFB5014}"/>
    <cellStyle name="Normal 2 4 7 2 3" xfId="1223" xr:uid="{00000000-0005-0000-0000-0000DB100000}"/>
    <cellStyle name="Normal 2 4 7 2 3 2" xfId="3453" xr:uid="{00000000-0005-0000-0000-0000DC100000}"/>
    <cellStyle name="Normal 2 4 7 2 3 2 2" xfId="7676" xr:uid="{00000000-0005-0000-0000-0000DD100000}"/>
    <cellStyle name="Normal 2 4 7 2 3 2 2 2" xfId="16118" xr:uid="{FCB48381-B5CA-496B-8F2B-D8786CFD3792}"/>
    <cellStyle name="Normal 2 4 7 2 3 2 3" xfId="11900" xr:uid="{936C895C-03D3-486F-9F00-DA4A4A755DB3}"/>
    <cellStyle name="Normal 2 4 7 2 3 3" xfId="5531" xr:uid="{00000000-0005-0000-0000-0000DE100000}"/>
    <cellStyle name="Normal 2 4 7 2 3 3 2" xfId="13973" xr:uid="{DCA740C0-13CE-4D43-BCE7-058B1951D17A}"/>
    <cellStyle name="Normal 2 4 7 2 3 4" xfId="9755" xr:uid="{CF44A4FA-CB85-4BC8-BE55-01A5943F9834}"/>
    <cellStyle name="Normal 2 4 7 2 4" xfId="1636" xr:uid="{00000000-0005-0000-0000-0000DF100000}"/>
    <cellStyle name="Normal 2 4 7 2 4 2" xfId="3866" xr:uid="{00000000-0005-0000-0000-0000E0100000}"/>
    <cellStyle name="Normal 2 4 7 2 4 2 2" xfId="8089" xr:uid="{00000000-0005-0000-0000-0000E1100000}"/>
    <cellStyle name="Normal 2 4 7 2 4 2 2 2" xfId="16531" xr:uid="{F2A4096F-3FC9-4BB5-B5C5-A1D71618A8AC}"/>
    <cellStyle name="Normal 2 4 7 2 4 2 3" xfId="12313" xr:uid="{77AF9535-E452-4496-93F0-7337CD2245B3}"/>
    <cellStyle name="Normal 2 4 7 2 4 3" xfId="5944" xr:uid="{00000000-0005-0000-0000-0000E2100000}"/>
    <cellStyle name="Normal 2 4 7 2 4 3 2" xfId="14386" xr:uid="{08469027-6FD2-4041-8118-68445BF692E8}"/>
    <cellStyle name="Normal 2 4 7 2 4 4" xfId="10168" xr:uid="{E8A4AB4B-A9E9-440D-9094-63C2296E2E40}"/>
    <cellStyle name="Normal 2 4 7 2 5" xfId="2050" xr:uid="{00000000-0005-0000-0000-0000E3100000}"/>
    <cellStyle name="Normal 2 4 7 2 5 2" xfId="4279" xr:uid="{00000000-0005-0000-0000-0000E4100000}"/>
    <cellStyle name="Normal 2 4 7 2 5 2 2" xfId="8502" xr:uid="{00000000-0005-0000-0000-0000E5100000}"/>
    <cellStyle name="Normal 2 4 7 2 5 2 2 2" xfId="16944" xr:uid="{B2425970-F986-4435-8F19-392B060CBE84}"/>
    <cellStyle name="Normal 2 4 7 2 5 2 3" xfId="12726" xr:uid="{903DC268-E238-4534-9A19-460385584BA1}"/>
    <cellStyle name="Normal 2 4 7 2 5 3" xfId="6357" xr:uid="{00000000-0005-0000-0000-0000E6100000}"/>
    <cellStyle name="Normal 2 4 7 2 5 3 2" xfId="14799" xr:uid="{5F02044A-7702-4146-9484-9BF1870402F4}"/>
    <cellStyle name="Normal 2 4 7 2 5 4" xfId="10581" xr:uid="{DF417070-AC43-4792-9784-D6FFBDF9A494}"/>
    <cellStyle name="Normal 2 4 7 2 6" xfId="2486" xr:uid="{00000000-0005-0000-0000-0000E7100000}"/>
    <cellStyle name="Normal 2 4 7 2 6 2" xfId="6770" xr:uid="{00000000-0005-0000-0000-0000E8100000}"/>
    <cellStyle name="Normal 2 4 7 2 6 2 2" xfId="15212" xr:uid="{2CBC461D-E8A6-4F70-8873-F7E3E895ABFD}"/>
    <cellStyle name="Normal 2 4 7 2 6 3" xfId="10994" xr:uid="{E6DC2C09-FFAD-44E5-9F74-0CC463608D64}"/>
    <cellStyle name="Normal 2 4 7 2 7" xfId="4704" xr:uid="{00000000-0005-0000-0000-0000E9100000}"/>
    <cellStyle name="Normal 2 4 7 2 7 2" xfId="13146" xr:uid="{1DD115F6-47F6-4372-BDCE-B4B6EDF2C8D4}"/>
    <cellStyle name="Normal 2 4 7 2 8" xfId="8928" xr:uid="{AD034CC7-F2CD-47CC-81B4-3AA3C703B6C8}"/>
    <cellStyle name="Normal 2 4 7 3" xfId="800" xr:uid="{00000000-0005-0000-0000-0000EA100000}"/>
    <cellStyle name="Normal 2 4 7 3 2" xfId="3039" xr:uid="{00000000-0005-0000-0000-0000EB100000}"/>
    <cellStyle name="Normal 2 4 7 3 2 2" xfId="7262" xr:uid="{00000000-0005-0000-0000-0000EC100000}"/>
    <cellStyle name="Normal 2 4 7 3 2 2 2" xfId="15704" xr:uid="{6E15C6B1-D9E9-459C-973F-4B121C8A5612}"/>
    <cellStyle name="Normal 2 4 7 3 2 3" xfId="11486" xr:uid="{8912E478-9952-4E15-9B8A-89ADC8C4FD0D}"/>
    <cellStyle name="Normal 2 4 7 3 3" xfId="5117" xr:uid="{00000000-0005-0000-0000-0000ED100000}"/>
    <cellStyle name="Normal 2 4 7 3 3 2" xfId="13559" xr:uid="{05FA6217-3831-43EA-BA06-97F65213DA07}"/>
    <cellStyle name="Normal 2 4 7 3 4" xfId="9341" xr:uid="{43050036-4C92-4DC3-A476-B7255D470A9C}"/>
    <cellStyle name="Normal 2 4 7 4" xfId="1222" xr:uid="{00000000-0005-0000-0000-0000EE100000}"/>
    <cellStyle name="Normal 2 4 7 4 2" xfId="3452" xr:uid="{00000000-0005-0000-0000-0000EF100000}"/>
    <cellStyle name="Normal 2 4 7 4 2 2" xfId="7675" xr:uid="{00000000-0005-0000-0000-0000F0100000}"/>
    <cellStyle name="Normal 2 4 7 4 2 2 2" xfId="16117" xr:uid="{C2328F18-47D5-43FA-A606-9E7CC0550BAE}"/>
    <cellStyle name="Normal 2 4 7 4 2 3" xfId="11899" xr:uid="{62894C4D-3CCE-4EF1-A438-7DBE193331B7}"/>
    <cellStyle name="Normal 2 4 7 4 3" xfId="5530" xr:uid="{00000000-0005-0000-0000-0000F1100000}"/>
    <cellStyle name="Normal 2 4 7 4 3 2" xfId="13972" xr:uid="{9A79C580-5914-4D31-AD10-E6B75B2BCCD9}"/>
    <cellStyle name="Normal 2 4 7 4 4" xfId="9754" xr:uid="{BA10E82C-1DD0-4E1B-B910-BD864B50AB07}"/>
    <cellStyle name="Normal 2 4 7 5" xfId="1635" xr:uid="{00000000-0005-0000-0000-0000F2100000}"/>
    <cellStyle name="Normal 2 4 7 5 2" xfId="3865" xr:uid="{00000000-0005-0000-0000-0000F3100000}"/>
    <cellStyle name="Normal 2 4 7 5 2 2" xfId="8088" xr:uid="{00000000-0005-0000-0000-0000F4100000}"/>
    <cellStyle name="Normal 2 4 7 5 2 2 2" xfId="16530" xr:uid="{97F8EC35-AA3D-4832-A70D-ED261B2E51D4}"/>
    <cellStyle name="Normal 2 4 7 5 2 3" xfId="12312" xr:uid="{C55BDBDB-867C-4CD7-ACBA-662361140F9C}"/>
    <cellStyle name="Normal 2 4 7 5 3" xfId="5943" xr:uid="{00000000-0005-0000-0000-0000F5100000}"/>
    <cellStyle name="Normal 2 4 7 5 3 2" xfId="14385" xr:uid="{070CCA80-381B-4331-BB95-CF605154EE95}"/>
    <cellStyle name="Normal 2 4 7 5 4" xfId="10167" xr:uid="{490ACDAC-2292-43AF-8AD1-13691897C4AA}"/>
    <cellStyle name="Normal 2 4 7 6" xfId="2049" xr:uid="{00000000-0005-0000-0000-0000F6100000}"/>
    <cellStyle name="Normal 2 4 7 6 2" xfId="4278" xr:uid="{00000000-0005-0000-0000-0000F7100000}"/>
    <cellStyle name="Normal 2 4 7 6 2 2" xfId="8501" xr:uid="{00000000-0005-0000-0000-0000F8100000}"/>
    <cellStyle name="Normal 2 4 7 6 2 2 2" xfId="16943" xr:uid="{727A7307-2B04-4FE4-95DF-E8DCDEA3205C}"/>
    <cellStyle name="Normal 2 4 7 6 2 3" xfId="12725" xr:uid="{1857088C-92E4-4B9E-BFE9-D610FB9F07CE}"/>
    <cellStyle name="Normal 2 4 7 6 3" xfId="6356" xr:uid="{00000000-0005-0000-0000-0000F9100000}"/>
    <cellStyle name="Normal 2 4 7 6 3 2" xfId="14798" xr:uid="{57E81DE5-E770-4513-9AD7-B174C0DD7E91}"/>
    <cellStyle name="Normal 2 4 7 6 4" xfId="10580" xr:uid="{F9DB2B79-76FE-4DE5-B3CD-3D9B15DADD75}"/>
    <cellStyle name="Normal 2 4 7 7" xfId="2485" xr:uid="{00000000-0005-0000-0000-0000FA100000}"/>
    <cellStyle name="Normal 2 4 7 7 2" xfId="6769" xr:uid="{00000000-0005-0000-0000-0000FB100000}"/>
    <cellStyle name="Normal 2 4 7 7 2 2" xfId="15211" xr:uid="{19ED14BF-7F30-442D-B4C1-E322555140BD}"/>
    <cellStyle name="Normal 2 4 7 7 3" xfId="10993" xr:uid="{286412B6-4707-40A1-BE77-4384D3FCF877}"/>
    <cellStyle name="Normal 2 4 7 8" xfId="4703" xr:uid="{00000000-0005-0000-0000-0000FC100000}"/>
    <cellStyle name="Normal 2 4 7 8 2" xfId="13145" xr:uid="{5BD5AFE0-C769-4162-991C-B4AF09E712C9}"/>
    <cellStyle name="Normal 2 4 7 9" xfId="8927" xr:uid="{4A2BEAB1-744A-4D56-BE22-987A436B9E51}"/>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2 2 2" xfId="15706" xr:uid="{ED236EAC-BD4D-470A-B425-6D0BD50599AE}"/>
    <cellStyle name="Normal 2 4 8 2 2 3" xfId="11488" xr:uid="{8D563311-06B4-4411-94B8-2C32ACEEE211}"/>
    <cellStyle name="Normal 2 4 8 2 3" xfId="5119" xr:uid="{00000000-0005-0000-0000-000001110000}"/>
    <cellStyle name="Normal 2 4 8 2 3 2" xfId="13561" xr:uid="{8D28F9B8-65E0-44AF-BADA-095EBE1A30DD}"/>
    <cellStyle name="Normal 2 4 8 2 4" xfId="9343" xr:uid="{C3F252D9-C841-4A49-BCE0-91E003A08749}"/>
    <cellStyle name="Normal 2 4 8 3" xfId="1224" xr:uid="{00000000-0005-0000-0000-000002110000}"/>
    <cellStyle name="Normal 2 4 8 3 2" xfId="3454" xr:uid="{00000000-0005-0000-0000-000003110000}"/>
    <cellStyle name="Normal 2 4 8 3 2 2" xfId="7677" xr:uid="{00000000-0005-0000-0000-000004110000}"/>
    <cellStyle name="Normal 2 4 8 3 2 2 2" xfId="16119" xr:uid="{914E56F1-22CD-4882-B909-EFA2F75BD399}"/>
    <cellStyle name="Normal 2 4 8 3 2 3" xfId="11901" xr:uid="{262AF173-6484-44D1-9D12-39AEB7399328}"/>
    <cellStyle name="Normal 2 4 8 3 3" xfId="5532" xr:uid="{00000000-0005-0000-0000-000005110000}"/>
    <cellStyle name="Normal 2 4 8 3 3 2" xfId="13974" xr:uid="{76A3DD16-B3FC-42E2-8DD9-56FC51D6F62C}"/>
    <cellStyle name="Normal 2 4 8 3 4" xfId="9756" xr:uid="{E127BF5E-53CC-40C3-A30F-9C5DF14BC278}"/>
    <cellStyle name="Normal 2 4 8 4" xfId="1637" xr:uid="{00000000-0005-0000-0000-000006110000}"/>
    <cellStyle name="Normal 2 4 8 4 2" xfId="3867" xr:uid="{00000000-0005-0000-0000-000007110000}"/>
    <cellStyle name="Normal 2 4 8 4 2 2" xfId="8090" xr:uid="{00000000-0005-0000-0000-000008110000}"/>
    <cellStyle name="Normal 2 4 8 4 2 2 2" xfId="16532" xr:uid="{92EAF6C0-4ADF-40C9-B60B-82920726A328}"/>
    <cellStyle name="Normal 2 4 8 4 2 3" xfId="12314" xr:uid="{D8F93381-67B5-4E3C-AE9A-C4F31F583A64}"/>
    <cellStyle name="Normal 2 4 8 4 3" xfId="5945" xr:uid="{00000000-0005-0000-0000-000009110000}"/>
    <cellStyle name="Normal 2 4 8 4 3 2" xfId="14387" xr:uid="{0A3FCF65-8C3C-4EF3-8D51-562C09210A17}"/>
    <cellStyle name="Normal 2 4 8 4 4" xfId="10169" xr:uid="{12FF2226-8DCC-4C34-8058-1EF7BEEE0878}"/>
    <cellStyle name="Normal 2 4 8 5" xfId="2051" xr:uid="{00000000-0005-0000-0000-00000A110000}"/>
    <cellStyle name="Normal 2 4 8 5 2" xfId="4280" xr:uid="{00000000-0005-0000-0000-00000B110000}"/>
    <cellStyle name="Normal 2 4 8 5 2 2" xfId="8503" xr:uid="{00000000-0005-0000-0000-00000C110000}"/>
    <cellStyle name="Normal 2 4 8 5 2 2 2" xfId="16945" xr:uid="{A10F41E6-7E46-4E1D-B9A7-BCD6801CF679}"/>
    <cellStyle name="Normal 2 4 8 5 2 3" xfId="12727" xr:uid="{E9355025-795D-4310-B07C-9850B348B5D6}"/>
    <cellStyle name="Normal 2 4 8 5 3" xfId="6358" xr:uid="{00000000-0005-0000-0000-00000D110000}"/>
    <cellStyle name="Normal 2 4 8 5 3 2" xfId="14800" xr:uid="{D04D56D6-A790-4A74-8EEB-EF5E27EC8601}"/>
    <cellStyle name="Normal 2 4 8 5 4" xfId="10582" xr:uid="{75E3E004-0CB0-49E1-A55F-BA051108C338}"/>
    <cellStyle name="Normal 2 4 8 6" xfId="2487" xr:uid="{00000000-0005-0000-0000-00000E110000}"/>
    <cellStyle name="Normal 2 4 8 6 2" xfId="6771" xr:uid="{00000000-0005-0000-0000-00000F110000}"/>
    <cellStyle name="Normal 2 4 8 6 2 2" xfId="15213" xr:uid="{0E449BAA-250D-4B56-8A79-CE304416B9A9}"/>
    <cellStyle name="Normal 2 4 8 6 3" xfId="10995" xr:uid="{55F69591-0306-4BE6-9515-47E869975338}"/>
    <cellStyle name="Normal 2 4 8 7" xfId="4705" xr:uid="{00000000-0005-0000-0000-000010110000}"/>
    <cellStyle name="Normal 2 4 8 7 2" xfId="13147" xr:uid="{84EB7DA9-0E56-49D1-87C5-9089450A8CE7}"/>
    <cellStyle name="Normal 2 4 8 8" xfId="8929" xr:uid="{D78E9BA3-4954-4905-B51B-0E4A26436030}"/>
    <cellStyle name="Normal 2 5" xfId="315" xr:uid="{00000000-0005-0000-0000-000011110000}"/>
    <cellStyle name="Normal 2 5 10" xfId="4706" xr:uid="{00000000-0005-0000-0000-000012110000}"/>
    <cellStyle name="Normal 2 5 10 2" xfId="13148" xr:uid="{53C86010-C531-4831-B6AC-28DBC9E4CA1C}"/>
    <cellStyle name="Normal 2 5 11" xfId="8930" xr:uid="{C72D1A15-4090-4493-93AD-27E612F29446}"/>
    <cellStyle name="Normal 2 5 2" xfId="316" xr:uid="{00000000-0005-0000-0000-000013110000}"/>
    <cellStyle name="Normal 2 5 3" xfId="317" xr:uid="{00000000-0005-0000-0000-000014110000}"/>
    <cellStyle name="Normal 2 5 4" xfId="318" xr:uid="{00000000-0005-0000-0000-000015110000}"/>
    <cellStyle name="Normal 2 5 4 10" xfId="8931" xr:uid="{6D398CB5-D93D-4E75-8F7A-345591398FE1}"/>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2 2 2" xfId="15710" xr:uid="{F74A7488-59BB-4C6F-91D1-91A5A5EF1000}"/>
    <cellStyle name="Normal 2 5 4 2 2 2 2 3" xfId="11492" xr:uid="{DF5DC24A-7003-4412-A23A-E936DAE98678}"/>
    <cellStyle name="Normal 2 5 4 2 2 2 3" xfId="5123" xr:uid="{00000000-0005-0000-0000-00001B110000}"/>
    <cellStyle name="Normal 2 5 4 2 2 2 3 2" xfId="13565" xr:uid="{44E0E288-89BF-44CD-940D-C776EB4A080A}"/>
    <cellStyle name="Normal 2 5 4 2 2 2 4" xfId="9347" xr:uid="{A153EF3A-4B42-4DD2-B153-2FAFFBC0F818}"/>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2 2 2" xfId="16123" xr:uid="{E0938764-25DA-46D2-A14B-142B187D285D}"/>
    <cellStyle name="Normal 2 5 4 2 2 3 2 3" xfId="11905" xr:uid="{1D1F8955-CBB0-43CA-8451-E78C0580B431}"/>
    <cellStyle name="Normal 2 5 4 2 2 3 3" xfId="5536" xr:uid="{00000000-0005-0000-0000-00001F110000}"/>
    <cellStyle name="Normal 2 5 4 2 2 3 3 2" xfId="13978" xr:uid="{41B3C1EE-CD18-4EB1-96AF-65B81C2F94C5}"/>
    <cellStyle name="Normal 2 5 4 2 2 3 4" xfId="9760" xr:uid="{E8C485C8-6051-44E2-B849-4F008C7EA603}"/>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2 2 2" xfId="16536" xr:uid="{7384EB21-E791-471B-A807-8C78D1F19509}"/>
    <cellStyle name="Normal 2 5 4 2 2 4 2 3" xfId="12318" xr:uid="{0C181636-D1B6-4A13-86A3-DAC149766D1D}"/>
    <cellStyle name="Normal 2 5 4 2 2 4 3" xfId="5949" xr:uid="{00000000-0005-0000-0000-000023110000}"/>
    <cellStyle name="Normal 2 5 4 2 2 4 3 2" xfId="14391" xr:uid="{E5C4F653-576A-4269-8CBE-7E55FC3AEDC9}"/>
    <cellStyle name="Normal 2 5 4 2 2 4 4" xfId="10173" xr:uid="{82C69666-D6D4-4943-B330-8CC57FF716AC}"/>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2 2 2" xfId="16949" xr:uid="{4D0A59D2-2BBA-476B-ADFE-E815CCDB6607}"/>
    <cellStyle name="Normal 2 5 4 2 2 5 2 3" xfId="12731" xr:uid="{B404F291-8766-4A99-B49A-4D7BAB1483AD}"/>
    <cellStyle name="Normal 2 5 4 2 2 5 3" xfId="6362" xr:uid="{00000000-0005-0000-0000-000027110000}"/>
    <cellStyle name="Normal 2 5 4 2 2 5 3 2" xfId="14804" xr:uid="{A306951A-9DE9-4897-A230-6E22AEF733FB}"/>
    <cellStyle name="Normal 2 5 4 2 2 5 4" xfId="10586" xr:uid="{03D30735-952C-4F37-AA6E-FA10C09A8322}"/>
    <cellStyle name="Normal 2 5 4 2 2 6" xfId="2491" xr:uid="{00000000-0005-0000-0000-000028110000}"/>
    <cellStyle name="Normal 2 5 4 2 2 6 2" xfId="6775" xr:uid="{00000000-0005-0000-0000-000029110000}"/>
    <cellStyle name="Normal 2 5 4 2 2 6 2 2" xfId="15217" xr:uid="{9C394E68-FE98-4CE5-8FAF-53A4FF3BC429}"/>
    <cellStyle name="Normal 2 5 4 2 2 6 3" xfId="10999" xr:uid="{09F47A48-94F0-4459-A078-80D4C192D141}"/>
    <cellStyle name="Normal 2 5 4 2 2 7" xfId="4709" xr:uid="{00000000-0005-0000-0000-00002A110000}"/>
    <cellStyle name="Normal 2 5 4 2 2 7 2" xfId="13151" xr:uid="{17C8B657-C689-4F30-95AF-0D05C1B16DDD}"/>
    <cellStyle name="Normal 2 5 4 2 2 8" xfId="8933" xr:uid="{05D9E862-3591-4451-B523-ADB996F3413D}"/>
    <cellStyle name="Normal 2 5 4 2 3" xfId="805" xr:uid="{00000000-0005-0000-0000-00002B110000}"/>
    <cellStyle name="Normal 2 5 4 2 3 2" xfId="3044" xr:uid="{00000000-0005-0000-0000-00002C110000}"/>
    <cellStyle name="Normal 2 5 4 2 3 2 2" xfId="7267" xr:uid="{00000000-0005-0000-0000-00002D110000}"/>
    <cellStyle name="Normal 2 5 4 2 3 2 2 2" xfId="15709" xr:uid="{9FE0C1C9-BE5D-45AA-BEEC-80B32C572EF9}"/>
    <cellStyle name="Normal 2 5 4 2 3 2 3" xfId="11491" xr:uid="{6DD7E7C8-CD83-484C-A486-6E729E5BC778}"/>
    <cellStyle name="Normal 2 5 4 2 3 3" xfId="5122" xr:uid="{00000000-0005-0000-0000-00002E110000}"/>
    <cellStyle name="Normal 2 5 4 2 3 3 2" xfId="13564" xr:uid="{126D0B1F-DFB4-4BB6-A45B-8F97C6AFA502}"/>
    <cellStyle name="Normal 2 5 4 2 3 4" xfId="9346" xr:uid="{882B04D8-2EF7-4122-9B1F-3194A472D0AB}"/>
    <cellStyle name="Normal 2 5 4 2 4" xfId="1227" xr:uid="{00000000-0005-0000-0000-00002F110000}"/>
    <cellStyle name="Normal 2 5 4 2 4 2" xfId="3457" xr:uid="{00000000-0005-0000-0000-000030110000}"/>
    <cellStyle name="Normal 2 5 4 2 4 2 2" xfId="7680" xr:uid="{00000000-0005-0000-0000-000031110000}"/>
    <cellStyle name="Normal 2 5 4 2 4 2 2 2" xfId="16122" xr:uid="{3DA9151F-B38C-4F29-AB41-3C9721E54D87}"/>
    <cellStyle name="Normal 2 5 4 2 4 2 3" xfId="11904" xr:uid="{54C1C147-F857-4F36-ADA8-975482AEE3C1}"/>
    <cellStyle name="Normal 2 5 4 2 4 3" xfId="5535" xr:uid="{00000000-0005-0000-0000-000032110000}"/>
    <cellStyle name="Normal 2 5 4 2 4 3 2" xfId="13977" xr:uid="{02D1B8DD-1BBB-456E-A39A-47B28318691F}"/>
    <cellStyle name="Normal 2 5 4 2 4 4" xfId="9759" xr:uid="{0AEE500D-CF60-4AC3-9E3F-85F61711CA58}"/>
    <cellStyle name="Normal 2 5 4 2 5" xfId="1640" xr:uid="{00000000-0005-0000-0000-000033110000}"/>
    <cellStyle name="Normal 2 5 4 2 5 2" xfId="3870" xr:uid="{00000000-0005-0000-0000-000034110000}"/>
    <cellStyle name="Normal 2 5 4 2 5 2 2" xfId="8093" xr:uid="{00000000-0005-0000-0000-000035110000}"/>
    <cellStyle name="Normal 2 5 4 2 5 2 2 2" xfId="16535" xr:uid="{A9D6AEE3-04C3-417B-9361-82A11E901148}"/>
    <cellStyle name="Normal 2 5 4 2 5 2 3" xfId="12317" xr:uid="{4F351B5A-B1D1-4CB6-A9BF-FF46CD18F838}"/>
    <cellStyle name="Normal 2 5 4 2 5 3" xfId="5948" xr:uid="{00000000-0005-0000-0000-000036110000}"/>
    <cellStyle name="Normal 2 5 4 2 5 3 2" xfId="14390" xr:uid="{28516649-5B87-403F-B7BA-965F7F3404DA}"/>
    <cellStyle name="Normal 2 5 4 2 5 4" xfId="10172" xr:uid="{CA69DCE4-A4B6-4F60-BDE4-FE9AA0B10FFF}"/>
    <cellStyle name="Normal 2 5 4 2 6" xfId="2054" xr:uid="{00000000-0005-0000-0000-000037110000}"/>
    <cellStyle name="Normal 2 5 4 2 6 2" xfId="4283" xr:uid="{00000000-0005-0000-0000-000038110000}"/>
    <cellStyle name="Normal 2 5 4 2 6 2 2" xfId="8506" xr:uid="{00000000-0005-0000-0000-000039110000}"/>
    <cellStyle name="Normal 2 5 4 2 6 2 2 2" xfId="16948" xr:uid="{FEE4EDD7-3566-4B8B-B2A0-EFFFDAD2B277}"/>
    <cellStyle name="Normal 2 5 4 2 6 2 3" xfId="12730" xr:uid="{A8ED77DD-4553-4B42-B697-A67DBC9BE023}"/>
    <cellStyle name="Normal 2 5 4 2 6 3" xfId="6361" xr:uid="{00000000-0005-0000-0000-00003A110000}"/>
    <cellStyle name="Normal 2 5 4 2 6 3 2" xfId="14803" xr:uid="{9A9DD2A8-E965-4FC0-B599-3757F696AAD8}"/>
    <cellStyle name="Normal 2 5 4 2 6 4" xfId="10585" xr:uid="{B2A99C66-4B1F-4A0A-ABC8-7990B775EC07}"/>
    <cellStyle name="Normal 2 5 4 2 7" xfId="2490" xr:uid="{00000000-0005-0000-0000-00003B110000}"/>
    <cellStyle name="Normal 2 5 4 2 7 2" xfId="6774" xr:uid="{00000000-0005-0000-0000-00003C110000}"/>
    <cellStyle name="Normal 2 5 4 2 7 2 2" xfId="15216" xr:uid="{BB9F4421-67AA-475A-88E1-752EF632DC96}"/>
    <cellStyle name="Normal 2 5 4 2 7 3" xfId="10998" xr:uid="{C4E6EE9B-0FD7-455B-AA71-5C163ACB7B77}"/>
    <cellStyle name="Normal 2 5 4 2 8" xfId="4708" xr:uid="{00000000-0005-0000-0000-00003D110000}"/>
    <cellStyle name="Normal 2 5 4 2 8 2" xfId="13150" xr:uid="{F96CFBA1-F260-42A0-B288-AC54A3C05C83}"/>
    <cellStyle name="Normal 2 5 4 2 9" xfId="8932" xr:uid="{49444B88-53C6-4123-B2B4-E79E14FAF7A6}"/>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2 2 2" xfId="15711" xr:uid="{05FBF8EE-2433-4069-83BF-F54CDFBADA15}"/>
    <cellStyle name="Normal 2 5 4 3 2 2 3" xfId="11493" xr:uid="{9E35ACC3-DBE3-4D42-9D26-00CBE24D9C5E}"/>
    <cellStyle name="Normal 2 5 4 3 2 3" xfId="5124" xr:uid="{00000000-0005-0000-0000-000042110000}"/>
    <cellStyle name="Normal 2 5 4 3 2 3 2" xfId="13566" xr:uid="{EEFEA3CC-E49E-40FF-8DD9-62D36F59B5AD}"/>
    <cellStyle name="Normal 2 5 4 3 2 4" xfId="9348" xr:uid="{EACA8E3A-CA58-40A3-8B0F-BB94A8A49A25}"/>
    <cellStyle name="Normal 2 5 4 3 3" xfId="1229" xr:uid="{00000000-0005-0000-0000-000043110000}"/>
    <cellStyle name="Normal 2 5 4 3 3 2" xfId="3459" xr:uid="{00000000-0005-0000-0000-000044110000}"/>
    <cellStyle name="Normal 2 5 4 3 3 2 2" xfId="7682" xr:uid="{00000000-0005-0000-0000-000045110000}"/>
    <cellStyle name="Normal 2 5 4 3 3 2 2 2" xfId="16124" xr:uid="{1B019A8C-DCAD-428A-A6C7-7163FA74BE83}"/>
    <cellStyle name="Normal 2 5 4 3 3 2 3" xfId="11906" xr:uid="{60465358-256D-4DF2-A145-9995DC267404}"/>
    <cellStyle name="Normal 2 5 4 3 3 3" xfId="5537" xr:uid="{00000000-0005-0000-0000-000046110000}"/>
    <cellStyle name="Normal 2 5 4 3 3 3 2" xfId="13979" xr:uid="{A81A9A07-CDC9-4701-A0F2-B6461CD37D5F}"/>
    <cellStyle name="Normal 2 5 4 3 3 4" xfId="9761" xr:uid="{AC8DC540-846C-4767-9684-6F886AE0886C}"/>
    <cellStyle name="Normal 2 5 4 3 4" xfId="1642" xr:uid="{00000000-0005-0000-0000-000047110000}"/>
    <cellStyle name="Normal 2 5 4 3 4 2" xfId="3872" xr:uid="{00000000-0005-0000-0000-000048110000}"/>
    <cellStyle name="Normal 2 5 4 3 4 2 2" xfId="8095" xr:uid="{00000000-0005-0000-0000-000049110000}"/>
    <cellStyle name="Normal 2 5 4 3 4 2 2 2" xfId="16537" xr:uid="{83128DE7-0F10-4F05-B9AE-2EEE8B05672B}"/>
    <cellStyle name="Normal 2 5 4 3 4 2 3" xfId="12319" xr:uid="{52468301-373F-4A80-B5D0-0321E9C56456}"/>
    <cellStyle name="Normal 2 5 4 3 4 3" xfId="5950" xr:uid="{00000000-0005-0000-0000-00004A110000}"/>
    <cellStyle name="Normal 2 5 4 3 4 3 2" xfId="14392" xr:uid="{5BA507AF-9B38-4EF7-82F0-347120A95D26}"/>
    <cellStyle name="Normal 2 5 4 3 4 4" xfId="10174" xr:uid="{962AC83D-B852-42AA-9B83-FBF1DCD5E92C}"/>
    <cellStyle name="Normal 2 5 4 3 5" xfId="2056" xr:uid="{00000000-0005-0000-0000-00004B110000}"/>
    <cellStyle name="Normal 2 5 4 3 5 2" xfId="4285" xr:uid="{00000000-0005-0000-0000-00004C110000}"/>
    <cellStyle name="Normal 2 5 4 3 5 2 2" xfId="8508" xr:uid="{00000000-0005-0000-0000-00004D110000}"/>
    <cellStyle name="Normal 2 5 4 3 5 2 2 2" xfId="16950" xr:uid="{D391D3EF-7F09-40E4-AF32-5271CA521BF2}"/>
    <cellStyle name="Normal 2 5 4 3 5 2 3" xfId="12732" xr:uid="{F61F0E82-DE63-4FF3-A2D1-3AD950ED3CBC}"/>
    <cellStyle name="Normal 2 5 4 3 5 3" xfId="6363" xr:uid="{00000000-0005-0000-0000-00004E110000}"/>
    <cellStyle name="Normal 2 5 4 3 5 3 2" xfId="14805" xr:uid="{B2203BBB-152B-412B-96CF-4135E95DCD32}"/>
    <cellStyle name="Normal 2 5 4 3 5 4" xfId="10587" xr:uid="{6EB303D7-F552-4F54-9E8A-55167964EDBC}"/>
    <cellStyle name="Normal 2 5 4 3 6" xfId="2492" xr:uid="{00000000-0005-0000-0000-00004F110000}"/>
    <cellStyle name="Normal 2 5 4 3 6 2" xfId="6776" xr:uid="{00000000-0005-0000-0000-000050110000}"/>
    <cellStyle name="Normal 2 5 4 3 6 2 2" xfId="15218" xr:uid="{CE0ECAC5-B935-4CA4-98CE-53B18331CB00}"/>
    <cellStyle name="Normal 2 5 4 3 6 3" xfId="11000" xr:uid="{19971DDE-2B7B-40FC-BA74-C3B7039A96F6}"/>
    <cellStyle name="Normal 2 5 4 3 7" xfId="4710" xr:uid="{00000000-0005-0000-0000-000051110000}"/>
    <cellStyle name="Normal 2 5 4 3 7 2" xfId="13152" xr:uid="{AE2B2AC1-B0EA-434A-A30C-65FA1E63523A}"/>
    <cellStyle name="Normal 2 5 4 3 8" xfId="8934" xr:uid="{B3DD2071-EB74-442B-ACE0-37F2DDE4922E}"/>
    <cellStyle name="Normal 2 5 4 4" xfId="804" xr:uid="{00000000-0005-0000-0000-000052110000}"/>
    <cellStyle name="Normal 2 5 4 4 2" xfId="3043" xr:uid="{00000000-0005-0000-0000-000053110000}"/>
    <cellStyle name="Normal 2 5 4 4 2 2" xfId="7266" xr:uid="{00000000-0005-0000-0000-000054110000}"/>
    <cellStyle name="Normal 2 5 4 4 2 2 2" xfId="15708" xr:uid="{EA2CB04D-F09E-4C7C-B5C2-8808086D6268}"/>
    <cellStyle name="Normal 2 5 4 4 2 3" xfId="11490" xr:uid="{55F29C3E-3122-47BA-9CD2-FDD1C045B5B4}"/>
    <cellStyle name="Normal 2 5 4 4 3" xfId="5121" xr:uid="{00000000-0005-0000-0000-000055110000}"/>
    <cellStyle name="Normal 2 5 4 4 3 2" xfId="13563" xr:uid="{D5322D46-1A63-41C5-83B9-04D93C696189}"/>
    <cellStyle name="Normal 2 5 4 4 4" xfId="9345" xr:uid="{0D5CC28E-9526-4E28-93D6-548A41D91798}"/>
    <cellStyle name="Normal 2 5 4 5" xfId="1226" xr:uid="{00000000-0005-0000-0000-000056110000}"/>
    <cellStyle name="Normal 2 5 4 5 2" xfId="3456" xr:uid="{00000000-0005-0000-0000-000057110000}"/>
    <cellStyle name="Normal 2 5 4 5 2 2" xfId="7679" xr:uid="{00000000-0005-0000-0000-000058110000}"/>
    <cellStyle name="Normal 2 5 4 5 2 2 2" xfId="16121" xr:uid="{13CF83D1-F949-4840-B575-91AE14C8D91B}"/>
    <cellStyle name="Normal 2 5 4 5 2 3" xfId="11903" xr:uid="{8073E2AC-9C08-4167-BB3C-3F02C2133851}"/>
    <cellStyle name="Normal 2 5 4 5 3" xfId="5534" xr:uid="{00000000-0005-0000-0000-000059110000}"/>
    <cellStyle name="Normal 2 5 4 5 3 2" xfId="13976" xr:uid="{2FE01F2C-4B92-4A1E-8404-97E0E1387309}"/>
    <cellStyle name="Normal 2 5 4 5 4" xfId="9758" xr:uid="{48AFF712-8261-4710-A933-7B4014507CA8}"/>
    <cellStyle name="Normal 2 5 4 6" xfId="1639" xr:uid="{00000000-0005-0000-0000-00005A110000}"/>
    <cellStyle name="Normal 2 5 4 6 2" xfId="3869" xr:uid="{00000000-0005-0000-0000-00005B110000}"/>
    <cellStyle name="Normal 2 5 4 6 2 2" xfId="8092" xr:uid="{00000000-0005-0000-0000-00005C110000}"/>
    <cellStyle name="Normal 2 5 4 6 2 2 2" xfId="16534" xr:uid="{55F3F624-0D88-4517-96A2-36ADFAFA60B0}"/>
    <cellStyle name="Normal 2 5 4 6 2 3" xfId="12316" xr:uid="{74E7BE9E-6BB2-49FB-B105-BDBB0B4D6D7B}"/>
    <cellStyle name="Normal 2 5 4 6 3" xfId="5947" xr:uid="{00000000-0005-0000-0000-00005D110000}"/>
    <cellStyle name="Normal 2 5 4 6 3 2" xfId="14389" xr:uid="{C5A4108F-35CE-444A-88F4-B6CCDC1A499A}"/>
    <cellStyle name="Normal 2 5 4 6 4" xfId="10171" xr:uid="{2387C818-ADD2-4672-813D-6492B086EA8F}"/>
    <cellStyle name="Normal 2 5 4 7" xfId="2053" xr:uid="{00000000-0005-0000-0000-00005E110000}"/>
    <cellStyle name="Normal 2 5 4 7 2" xfId="4282" xr:uid="{00000000-0005-0000-0000-00005F110000}"/>
    <cellStyle name="Normal 2 5 4 7 2 2" xfId="8505" xr:uid="{00000000-0005-0000-0000-000060110000}"/>
    <cellStyle name="Normal 2 5 4 7 2 2 2" xfId="16947" xr:uid="{DFF9438F-28F3-4C71-8898-550428E59382}"/>
    <cellStyle name="Normal 2 5 4 7 2 3" xfId="12729" xr:uid="{C7349A76-54DD-4196-937E-0F01CF0D07BB}"/>
    <cellStyle name="Normal 2 5 4 7 3" xfId="6360" xr:uid="{00000000-0005-0000-0000-000061110000}"/>
    <cellStyle name="Normal 2 5 4 7 3 2" xfId="14802" xr:uid="{911729DA-131C-49F5-9882-4406B21A969A}"/>
    <cellStyle name="Normal 2 5 4 7 4" xfId="10584" xr:uid="{F1660CB3-EA17-43E5-B3C4-AB4CF246DABE}"/>
    <cellStyle name="Normal 2 5 4 8" xfId="2489" xr:uid="{00000000-0005-0000-0000-000062110000}"/>
    <cellStyle name="Normal 2 5 4 8 2" xfId="6773" xr:uid="{00000000-0005-0000-0000-000063110000}"/>
    <cellStyle name="Normal 2 5 4 8 2 2" xfId="15215" xr:uid="{250EFE62-FA2C-4AF8-A757-578A6852586E}"/>
    <cellStyle name="Normal 2 5 4 8 3" xfId="10997" xr:uid="{60F4F612-5853-4BFF-B0B0-A257F635C9D4}"/>
    <cellStyle name="Normal 2 5 4 9" xfId="4707" xr:uid="{00000000-0005-0000-0000-000064110000}"/>
    <cellStyle name="Normal 2 5 4 9 2" xfId="13149" xr:uid="{C4D5FDC1-F226-4F20-A51D-C945AC91D25B}"/>
    <cellStyle name="Normal 2 5 5" xfId="803" xr:uid="{00000000-0005-0000-0000-000065110000}"/>
    <cellStyle name="Normal 2 5 5 2" xfId="3042" xr:uid="{00000000-0005-0000-0000-000066110000}"/>
    <cellStyle name="Normal 2 5 5 2 2" xfId="7265" xr:uid="{00000000-0005-0000-0000-000067110000}"/>
    <cellStyle name="Normal 2 5 5 2 2 2" xfId="15707" xr:uid="{6AEA3F53-E3DD-4524-917B-FB02B31EE1E2}"/>
    <cellStyle name="Normal 2 5 5 2 3" xfId="11489" xr:uid="{87D43625-B6E6-4214-A421-FF41743204DC}"/>
    <cellStyle name="Normal 2 5 5 3" xfId="5120" xr:uid="{00000000-0005-0000-0000-000068110000}"/>
    <cellStyle name="Normal 2 5 5 3 2" xfId="13562" xr:uid="{FCFFA3CA-6873-4F2D-9E79-48444BC68711}"/>
    <cellStyle name="Normal 2 5 5 4" xfId="9344" xr:uid="{997523A1-35E3-44EA-B28C-46DF53FFC69F}"/>
    <cellStyle name="Normal 2 5 6" xfId="1225" xr:uid="{00000000-0005-0000-0000-000069110000}"/>
    <cellStyle name="Normal 2 5 6 2" xfId="3455" xr:uid="{00000000-0005-0000-0000-00006A110000}"/>
    <cellStyle name="Normal 2 5 6 2 2" xfId="7678" xr:uid="{00000000-0005-0000-0000-00006B110000}"/>
    <cellStyle name="Normal 2 5 6 2 2 2" xfId="16120" xr:uid="{FD894CEF-8281-4533-B9A6-DFDA8D2748B7}"/>
    <cellStyle name="Normal 2 5 6 2 3" xfId="11902" xr:uid="{7D8A19A5-40D2-49EA-926E-9FF487915307}"/>
    <cellStyle name="Normal 2 5 6 3" xfId="5533" xr:uid="{00000000-0005-0000-0000-00006C110000}"/>
    <cellStyle name="Normal 2 5 6 3 2" xfId="13975" xr:uid="{AA94A104-F076-4B48-9459-A6837C8B1B45}"/>
    <cellStyle name="Normal 2 5 6 4" xfId="9757" xr:uid="{6893CE7E-1C3E-487B-B421-C338BDBD5C61}"/>
    <cellStyle name="Normal 2 5 7" xfId="1638" xr:uid="{00000000-0005-0000-0000-00006D110000}"/>
    <cellStyle name="Normal 2 5 7 2" xfId="3868" xr:uid="{00000000-0005-0000-0000-00006E110000}"/>
    <cellStyle name="Normal 2 5 7 2 2" xfId="8091" xr:uid="{00000000-0005-0000-0000-00006F110000}"/>
    <cellStyle name="Normal 2 5 7 2 2 2" xfId="16533" xr:uid="{70A20CF0-246F-4120-A829-B8E3897912F1}"/>
    <cellStyle name="Normal 2 5 7 2 3" xfId="12315" xr:uid="{EA5914CD-DF8C-475C-A06B-066D5855FA25}"/>
    <cellStyle name="Normal 2 5 7 3" xfId="5946" xr:uid="{00000000-0005-0000-0000-000070110000}"/>
    <cellStyle name="Normal 2 5 7 3 2" xfId="14388" xr:uid="{2C4F1CC9-58C1-4191-A5D2-66096F2646D4}"/>
    <cellStyle name="Normal 2 5 7 4" xfId="10170" xr:uid="{98428D40-999C-4D96-A335-121805572275}"/>
    <cellStyle name="Normal 2 5 8" xfId="2052" xr:uid="{00000000-0005-0000-0000-000071110000}"/>
    <cellStyle name="Normal 2 5 8 2" xfId="4281" xr:uid="{00000000-0005-0000-0000-000072110000}"/>
    <cellStyle name="Normal 2 5 8 2 2" xfId="8504" xr:uid="{00000000-0005-0000-0000-000073110000}"/>
    <cellStyle name="Normal 2 5 8 2 2 2" xfId="16946" xr:uid="{4C9EA163-C7AC-4770-9EDB-F5B9FD7579C3}"/>
    <cellStyle name="Normal 2 5 8 2 3" xfId="12728" xr:uid="{D5705B6E-0602-4796-B475-5912A6310545}"/>
    <cellStyle name="Normal 2 5 8 3" xfId="6359" xr:uid="{00000000-0005-0000-0000-000074110000}"/>
    <cellStyle name="Normal 2 5 8 3 2" xfId="14801" xr:uid="{34D5DDFA-97CA-4180-91EB-4695CEF8DCBC}"/>
    <cellStyle name="Normal 2 5 8 4" xfId="10583" xr:uid="{6ACFBB62-70EE-4FA6-84B5-01169A6AD6B4}"/>
    <cellStyle name="Normal 2 5 9" xfId="2488" xr:uid="{00000000-0005-0000-0000-000075110000}"/>
    <cellStyle name="Normal 2 5 9 2" xfId="6772" xr:uid="{00000000-0005-0000-0000-000076110000}"/>
    <cellStyle name="Normal 2 5 9 2 2" xfId="15214" xr:uid="{F0BB4132-85CD-4384-BE2C-676FC407D80B}"/>
    <cellStyle name="Normal 2 5 9 3" xfId="10996" xr:uid="{B7FE7B4F-E8E4-489F-B7AB-9129D57948DD}"/>
    <cellStyle name="Normal 2 6" xfId="322" xr:uid="{00000000-0005-0000-0000-000077110000}"/>
    <cellStyle name="Normal 2 7" xfId="769" xr:uid="{00000000-0005-0000-0000-000078110000}"/>
    <cellStyle name="Normal 2 8" xfId="4495" xr:uid="{00000000-0005-0000-0000-000079110000}"/>
    <cellStyle name="Normal 2 8 2" xfId="12940" xr:uid="{A371A02B-A0A7-4939-868E-49ABA4633EC8}"/>
    <cellStyle name="Normal 3" xfId="323" xr:uid="{00000000-0005-0000-0000-00007A110000}"/>
    <cellStyle name="Normal 3 2" xfId="324" xr:uid="{00000000-0005-0000-0000-00007B110000}"/>
    <cellStyle name="Normal 3 2 10" xfId="8935" xr:uid="{1BFD34E2-0528-41CC-B9B3-FFFAC6D904F8}"/>
    <cellStyle name="Normal 3 2 2" xfId="325" xr:uid="{00000000-0005-0000-0000-00007C110000}"/>
    <cellStyle name="Normal 3 2 2 2" xfId="810" xr:uid="{00000000-0005-0000-0000-00007D110000}"/>
    <cellStyle name="Normal 3 2 3" xfId="326" xr:uid="{00000000-0005-0000-0000-00007E110000}"/>
    <cellStyle name="Normal 3 2 3 10" xfId="8936" xr:uid="{F7615983-0BBC-49CF-A72F-1FA2B0395451}"/>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2 2 2" xfId="15715" xr:uid="{0FABAC25-2C45-437B-93CF-0D45044B5233}"/>
    <cellStyle name="Normal 3 2 3 2 2 2 2 3" xfId="11497" xr:uid="{F6310770-3AE8-4C38-9446-9F970321FD7F}"/>
    <cellStyle name="Normal 3 2 3 2 2 2 3" xfId="5128" xr:uid="{00000000-0005-0000-0000-000084110000}"/>
    <cellStyle name="Normal 3 2 3 2 2 2 3 2" xfId="13570" xr:uid="{56C1082E-17C6-4519-8E44-C4319A1B5EDB}"/>
    <cellStyle name="Normal 3 2 3 2 2 2 4" xfId="9352" xr:uid="{BA92D73C-82E9-427F-ABC2-9D4E831A74BC}"/>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2 2 2" xfId="16128" xr:uid="{3454C86F-CD14-4046-BEE8-8D2EE6828C0E}"/>
    <cellStyle name="Normal 3 2 3 2 2 3 2 3" xfId="11910" xr:uid="{A3832D3C-F6F5-4C0A-B313-49150DF05E30}"/>
    <cellStyle name="Normal 3 2 3 2 2 3 3" xfId="5541" xr:uid="{00000000-0005-0000-0000-000088110000}"/>
    <cellStyle name="Normal 3 2 3 2 2 3 3 2" xfId="13983" xr:uid="{C266BAB3-1C27-4435-BF98-C450985EDE7D}"/>
    <cellStyle name="Normal 3 2 3 2 2 3 4" xfId="9765" xr:uid="{D7DBDAA2-F1C1-4C91-AB7B-D12C68F53303}"/>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2 2 2" xfId="16541" xr:uid="{993AB8FF-C992-4D4B-A065-4FA24FC7DE83}"/>
    <cellStyle name="Normal 3 2 3 2 2 4 2 3" xfId="12323" xr:uid="{074313B7-9CC7-47E6-9C0A-4F28D3751FD4}"/>
    <cellStyle name="Normal 3 2 3 2 2 4 3" xfId="5954" xr:uid="{00000000-0005-0000-0000-00008C110000}"/>
    <cellStyle name="Normal 3 2 3 2 2 4 3 2" xfId="14396" xr:uid="{6DEE2963-072B-4E60-B941-214E54809353}"/>
    <cellStyle name="Normal 3 2 3 2 2 4 4" xfId="10178" xr:uid="{69C0B4FE-6A67-4D05-A710-4A1A7453C041}"/>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2 2 2" xfId="16954" xr:uid="{BA063A1A-548F-4144-A728-63522E323F8D}"/>
    <cellStyle name="Normal 3 2 3 2 2 5 2 3" xfId="12736" xr:uid="{3E625844-0F40-44AC-9A2A-319AAB617F4D}"/>
    <cellStyle name="Normal 3 2 3 2 2 5 3" xfId="6367" xr:uid="{00000000-0005-0000-0000-000090110000}"/>
    <cellStyle name="Normal 3 2 3 2 2 5 3 2" xfId="14809" xr:uid="{0D2FFC37-515C-4BE2-B7B9-4DE2359E4FC7}"/>
    <cellStyle name="Normal 3 2 3 2 2 5 4" xfId="10591" xr:uid="{A00D1BB2-3092-43AF-AD46-9A770F537EE1}"/>
    <cellStyle name="Normal 3 2 3 2 2 6" xfId="2496" xr:uid="{00000000-0005-0000-0000-000091110000}"/>
    <cellStyle name="Normal 3 2 3 2 2 6 2" xfId="6780" xr:uid="{00000000-0005-0000-0000-000092110000}"/>
    <cellStyle name="Normal 3 2 3 2 2 6 2 2" xfId="15222" xr:uid="{5ED4A7F2-7251-49D9-9844-FCDFD92DE722}"/>
    <cellStyle name="Normal 3 2 3 2 2 6 3" xfId="11004" xr:uid="{6CB9BB2D-5110-4A2F-89A5-A6D523BE4CAA}"/>
    <cellStyle name="Normal 3 2 3 2 2 7" xfId="4714" xr:uid="{00000000-0005-0000-0000-000093110000}"/>
    <cellStyle name="Normal 3 2 3 2 2 7 2" xfId="13156" xr:uid="{D2DE65DC-AA4E-4720-9E72-3FC0EE2BF1B2}"/>
    <cellStyle name="Normal 3 2 3 2 2 8" xfId="8938" xr:uid="{C760E017-5259-4B4A-9D2E-E45550B3EFCF}"/>
    <cellStyle name="Normal 3 2 3 2 3" xfId="812" xr:uid="{00000000-0005-0000-0000-000094110000}"/>
    <cellStyle name="Normal 3 2 3 2 3 2" xfId="3049" xr:uid="{00000000-0005-0000-0000-000095110000}"/>
    <cellStyle name="Normal 3 2 3 2 3 2 2" xfId="7272" xr:uid="{00000000-0005-0000-0000-000096110000}"/>
    <cellStyle name="Normal 3 2 3 2 3 2 2 2" xfId="15714" xr:uid="{6CF13658-2F90-4A03-86B3-88D463264438}"/>
    <cellStyle name="Normal 3 2 3 2 3 2 3" xfId="11496" xr:uid="{E11860D8-5136-40DF-A869-BD83CA89BA2F}"/>
    <cellStyle name="Normal 3 2 3 2 3 3" xfId="5127" xr:uid="{00000000-0005-0000-0000-000097110000}"/>
    <cellStyle name="Normal 3 2 3 2 3 3 2" xfId="13569" xr:uid="{3A1A0528-C37E-470F-8B85-25A8A71F8226}"/>
    <cellStyle name="Normal 3 2 3 2 3 4" xfId="9351" xr:uid="{93CD598E-B675-4942-89CD-CA9488E425F4}"/>
    <cellStyle name="Normal 3 2 3 2 4" xfId="1232" xr:uid="{00000000-0005-0000-0000-000098110000}"/>
    <cellStyle name="Normal 3 2 3 2 4 2" xfId="3462" xr:uid="{00000000-0005-0000-0000-000099110000}"/>
    <cellStyle name="Normal 3 2 3 2 4 2 2" xfId="7685" xr:uid="{00000000-0005-0000-0000-00009A110000}"/>
    <cellStyle name="Normal 3 2 3 2 4 2 2 2" xfId="16127" xr:uid="{75B676D9-72F0-48F7-B92E-7AE54BEE376C}"/>
    <cellStyle name="Normal 3 2 3 2 4 2 3" xfId="11909" xr:uid="{6BF54FDF-696F-4EE8-9D38-3E9B370E6E9F}"/>
    <cellStyle name="Normal 3 2 3 2 4 3" xfId="5540" xr:uid="{00000000-0005-0000-0000-00009B110000}"/>
    <cellStyle name="Normal 3 2 3 2 4 3 2" xfId="13982" xr:uid="{94B961A8-D7C6-49F5-9EE8-28F3F9F05330}"/>
    <cellStyle name="Normal 3 2 3 2 4 4" xfId="9764" xr:uid="{82A6BEA7-4FCE-4902-B000-DDB3ACB362F3}"/>
    <cellStyle name="Normal 3 2 3 2 5" xfId="1645" xr:uid="{00000000-0005-0000-0000-00009C110000}"/>
    <cellStyle name="Normal 3 2 3 2 5 2" xfId="3875" xr:uid="{00000000-0005-0000-0000-00009D110000}"/>
    <cellStyle name="Normal 3 2 3 2 5 2 2" xfId="8098" xr:uid="{00000000-0005-0000-0000-00009E110000}"/>
    <cellStyle name="Normal 3 2 3 2 5 2 2 2" xfId="16540" xr:uid="{78580A45-F1A1-4DD8-ACEA-7F963F9A2751}"/>
    <cellStyle name="Normal 3 2 3 2 5 2 3" xfId="12322" xr:uid="{3DD893A3-F087-4D18-A109-95A62BE94F19}"/>
    <cellStyle name="Normal 3 2 3 2 5 3" xfId="5953" xr:uid="{00000000-0005-0000-0000-00009F110000}"/>
    <cellStyle name="Normal 3 2 3 2 5 3 2" xfId="14395" xr:uid="{B6A5FE8A-7727-4BE5-8E2A-2860C8817918}"/>
    <cellStyle name="Normal 3 2 3 2 5 4" xfId="10177" xr:uid="{B9778F80-7337-425E-BCBB-4A2202D2E523}"/>
    <cellStyle name="Normal 3 2 3 2 6" xfId="2059" xr:uid="{00000000-0005-0000-0000-0000A0110000}"/>
    <cellStyle name="Normal 3 2 3 2 6 2" xfId="4288" xr:uid="{00000000-0005-0000-0000-0000A1110000}"/>
    <cellStyle name="Normal 3 2 3 2 6 2 2" xfId="8511" xr:uid="{00000000-0005-0000-0000-0000A2110000}"/>
    <cellStyle name="Normal 3 2 3 2 6 2 2 2" xfId="16953" xr:uid="{E228BB48-AB28-47CC-BAE4-63D652E81338}"/>
    <cellStyle name="Normal 3 2 3 2 6 2 3" xfId="12735" xr:uid="{C08DAE2F-14F3-48BE-8FF9-0BD285EBEC20}"/>
    <cellStyle name="Normal 3 2 3 2 6 3" xfId="6366" xr:uid="{00000000-0005-0000-0000-0000A3110000}"/>
    <cellStyle name="Normal 3 2 3 2 6 3 2" xfId="14808" xr:uid="{13898529-A5DF-4C59-A37A-01A1A1123B12}"/>
    <cellStyle name="Normal 3 2 3 2 6 4" xfId="10590" xr:uid="{AB3872A8-D761-4224-BF11-CDE0D96A4066}"/>
    <cellStyle name="Normal 3 2 3 2 7" xfId="2495" xr:uid="{00000000-0005-0000-0000-0000A4110000}"/>
    <cellStyle name="Normal 3 2 3 2 7 2" xfId="6779" xr:uid="{00000000-0005-0000-0000-0000A5110000}"/>
    <cellStyle name="Normal 3 2 3 2 7 2 2" xfId="15221" xr:uid="{DCFED894-9CC3-4DC2-9566-8F37AE3C7407}"/>
    <cellStyle name="Normal 3 2 3 2 7 3" xfId="11003" xr:uid="{0D5B39EB-4880-46DE-9745-400E4E6451B9}"/>
    <cellStyle name="Normal 3 2 3 2 8" xfId="4713" xr:uid="{00000000-0005-0000-0000-0000A6110000}"/>
    <cellStyle name="Normal 3 2 3 2 8 2" xfId="13155" xr:uid="{49CEFAF9-6B6E-41E2-AE4F-4B2E209B3A93}"/>
    <cellStyle name="Normal 3 2 3 2 9" xfId="8937" xr:uid="{76722097-A9F2-41B9-8512-B33E463CD9F2}"/>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2 2 2" xfId="15716" xr:uid="{946B783F-B9E2-49FB-96D2-4D90F557D82D}"/>
    <cellStyle name="Normal 3 2 3 3 2 2 3" xfId="11498" xr:uid="{BBDCA392-132F-4A53-AC12-9C56B9302B02}"/>
    <cellStyle name="Normal 3 2 3 3 2 3" xfId="5129" xr:uid="{00000000-0005-0000-0000-0000AB110000}"/>
    <cellStyle name="Normal 3 2 3 3 2 3 2" xfId="13571" xr:uid="{71662556-20ED-4007-9477-F9DD6028AE49}"/>
    <cellStyle name="Normal 3 2 3 3 2 4" xfId="9353" xr:uid="{4777ED8C-1587-49C7-B3BA-C1DBAEE6DA0E}"/>
    <cellStyle name="Normal 3 2 3 3 3" xfId="1234" xr:uid="{00000000-0005-0000-0000-0000AC110000}"/>
    <cellStyle name="Normal 3 2 3 3 3 2" xfId="3464" xr:uid="{00000000-0005-0000-0000-0000AD110000}"/>
    <cellStyle name="Normal 3 2 3 3 3 2 2" xfId="7687" xr:uid="{00000000-0005-0000-0000-0000AE110000}"/>
    <cellStyle name="Normal 3 2 3 3 3 2 2 2" xfId="16129" xr:uid="{5FB05B58-6905-4EFE-A959-92930CEC31C7}"/>
    <cellStyle name="Normal 3 2 3 3 3 2 3" xfId="11911" xr:uid="{53F9C1AD-CFD3-435F-8DAB-0350E3658EA9}"/>
    <cellStyle name="Normal 3 2 3 3 3 3" xfId="5542" xr:uid="{00000000-0005-0000-0000-0000AF110000}"/>
    <cellStyle name="Normal 3 2 3 3 3 3 2" xfId="13984" xr:uid="{3D0D486D-EE30-4E24-8EDC-E932C7326EE0}"/>
    <cellStyle name="Normal 3 2 3 3 3 4" xfId="9766" xr:uid="{6009FD45-D39E-465D-A003-6E60004B40DF}"/>
    <cellStyle name="Normal 3 2 3 3 4" xfId="1647" xr:uid="{00000000-0005-0000-0000-0000B0110000}"/>
    <cellStyle name="Normal 3 2 3 3 4 2" xfId="3877" xr:uid="{00000000-0005-0000-0000-0000B1110000}"/>
    <cellStyle name="Normal 3 2 3 3 4 2 2" xfId="8100" xr:uid="{00000000-0005-0000-0000-0000B2110000}"/>
    <cellStyle name="Normal 3 2 3 3 4 2 2 2" xfId="16542" xr:uid="{326A4921-4689-4AA8-9394-252B25582722}"/>
    <cellStyle name="Normal 3 2 3 3 4 2 3" xfId="12324" xr:uid="{6967D79C-1790-4817-9C3A-7333C03E0CDD}"/>
    <cellStyle name="Normal 3 2 3 3 4 3" xfId="5955" xr:uid="{00000000-0005-0000-0000-0000B3110000}"/>
    <cellStyle name="Normal 3 2 3 3 4 3 2" xfId="14397" xr:uid="{AA55C40C-FDE0-4D6D-BC54-051FC49F6321}"/>
    <cellStyle name="Normal 3 2 3 3 4 4" xfId="10179" xr:uid="{44EA2364-4F7A-4363-BD95-AA31F0171288}"/>
    <cellStyle name="Normal 3 2 3 3 5" xfId="2061" xr:uid="{00000000-0005-0000-0000-0000B4110000}"/>
    <cellStyle name="Normal 3 2 3 3 5 2" xfId="4290" xr:uid="{00000000-0005-0000-0000-0000B5110000}"/>
    <cellStyle name="Normal 3 2 3 3 5 2 2" xfId="8513" xr:uid="{00000000-0005-0000-0000-0000B6110000}"/>
    <cellStyle name="Normal 3 2 3 3 5 2 2 2" xfId="16955" xr:uid="{2E565474-B19D-4AF7-B6B5-A3831C8E6E3F}"/>
    <cellStyle name="Normal 3 2 3 3 5 2 3" xfId="12737" xr:uid="{6BD5F4A7-9C36-4728-947F-3F3D8A85DB50}"/>
    <cellStyle name="Normal 3 2 3 3 5 3" xfId="6368" xr:uid="{00000000-0005-0000-0000-0000B7110000}"/>
    <cellStyle name="Normal 3 2 3 3 5 3 2" xfId="14810" xr:uid="{FF2E63CC-83D5-4254-BA37-CD66D612EAA4}"/>
    <cellStyle name="Normal 3 2 3 3 5 4" xfId="10592" xr:uid="{6D44102B-C81C-4384-B424-37F3CBB37C0E}"/>
    <cellStyle name="Normal 3 2 3 3 6" xfId="2497" xr:uid="{00000000-0005-0000-0000-0000B8110000}"/>
    <cellStyle name="Normal 3 2 3 3 6 2" xfId="6781" xr:uid="{00000000-0005-0000-0000-0000B9110000}"/>
    <cellStyle name="Normal 3 2 3 3 6 2 2" xfId="15223" xr:uid="{3E60E549-DB0C-4E4E-882F-1BF5EF6CA3DB}"/>
    <cellStyle name="Normal 3 2 3 3 6 3" xfId="11005" xr:uid="{885E191E-CEB9-4F12-92F4-6EB8A4C3DB71}"/>
    <cellStyle name="Normal 3 2 3 3 7" xfId="4715" xr:uid="{00000000-0005-0000-0000-0000BA110000}"/>
    <cellStyle name="Normal 3 2 3 3 7 2" xfId="13157" xr:uid="{5B50D047-5B87-4D7E-AB89-953B6312AD4A}"/>
    <cellStyle name="Normal 3 2 3 3 8" xfId="8939" xr:uid="{BECFA0F2-693B-4D51-B2A8-B767464B28FC}"/>
    <cellStyle name="Normal 3 2 3 4" xfId="811" xr:uid="{00000000-0005-0000-0000-0000BB110000}"/>
    <cellStyle name="Normal 3 2 3 4 2" xfId="3048" xr:uid="{00000000-0005-0000-0000-0000BC110000}"/>
    <cellStyle name="Normal 3 2 3 4 2 2" xfId="7271" xr:uid="{00000000-0005-0000-0000-0000BD110000}"/>
    <cellStyle name="Normal 3 2 3 4 2 2 2" xfId="15713" xr:uid="{790C7C18-92FF-476D-9E2F-C6C03AF14752}"/>
    <cellStyle name="Normal 3 2 3 4 2 3" xfId="11495" xr:uid="{0233D6BD-8F57-4222-AA87-329B51F2EE8E}"/>
    <cellStyle name="Normal 3 2 3 4 3" xfId="5126" xr:uid="{00000000-0005-0000-0000-0000BE110000}"/>
    <cellStyle name="Normal 3 2 3 4 3 2" xfId="13568" xr:uid="{947863D1-7286-4529-BEFD-86E805F11AE2}"/>
    <cellStyle name="Normal 3 2 3 4 4" xfId="9350" xr:uid="{B8C78FDF-7550-4DE0-AAC9-A3A995F9A897}"/>
    <cellStyle name="Normal 3 2 3 5" xfId="1231" xr:uid="{00000000-0005-0000-0000-0000BF110000}"/>
    <cellStyle name="Normal 3 2 3 5 2" xfId="3461" xr:uid="{00000000-0005-0000-0000-0000C0110000}"/>
    <cellStyle name="Normal 3 2 3 5 2 2" xfId="7684" xr:uid="{00000000-0005-0000-0000-0000C1110000}"/>
    <cellStyle name="Normal 3 2 3 5 2 2 2" xfId="16126" xr:uid="{DC76728B-A880-48C4-8121-D93770612EC4}"/>
    <cellStyle name="Normal 3 2 3 5 2 3" xfId="11908" xr:uid="{AB41F419-0643-43AE-91C2-50D10CBFA866}"/>
    <cellStyle name="Normal 3 2 3 5 3" xfId="5539" xr:uid="{00000000-0005-0000-0000-0000C2110000}"/>
    <cellStyle name="Normal 3 2 3 5 3 2" xfId="13981" xr:uid="{CC446C18-CA4C-412A-8BE5-0ECE7E00A183}"/>
    <cellStyle name="Normal 3 2 3 5 4" xfId="9763" xr:uid="{53D81612-3E3E-482E-B703-60D69DB5B4DB}"/>
    <cellStyle name="Normal 3 2 3 6" xfId="1644" xr:uid="{00000000-0005-0000-0000-0000C3110000}"/>
    <cellStyle name="Normal 3 2 3 6 2" xfId="3874" xr:uid="{00000000-0005-0000-0000-0000C4110000}"/>
    <cellStyle name="Normal 3 2 3 6 2 2" xfId="8097" xr:uid="{00000000-0005-0000-0000-0000C5110000}"/>
    <cellStyle name="Normal 3 2 3 6 2 2 2" xfId="16539" xr:uid="{FCE66EFC-4ABC-466B-B94E-B2FCFE82C40B}"/>
    <cellStyle name="Normal 3 2 3 6 2 3" xfId="12321" xr:uid="{2649F869-4CC2-46BF-A826-8739A9EAAD45}"/>
    <cellStyle name="Normal 3 2 3 6 3" xfId="5952" xr:uid="{00000000-0005-0000-0000-0000C6110000}"/>
    <cellStyle name="Normal 3 2 3 6 3 2" xfId="14394" xr:uid="{2FBF1A52-F68A-478A-8DDC-B9D56FB67B21}"/>
    <cellStyle name="Normal 3 2 3 6 4" xfId="10176" xr:uid="{CD5D52EF-DAA9-4E54-B3F7-CF07C05797DC}"/>
    <cellStyle name="Normal 3 2 3 7" xfId="2058" xr:uid="{00000000-0005-0000-0000-0000C7110000}"/>
    <cellStyle name="Normal 3 2 3 7 2" xfId="4287" xr:uid="{00000000-0005-0000-0000-0000C8110000}"/>
    <cellStyle name="Normal 3 2 3 7 2 2" xfId="8510" xr:uid="{00000000-0005-0000-0000-0000C9110000}"/>
    <cellStyle name="Normal 3 2 3 7 2 2 2" xfId="16952" xr:uid="{64EF9CFE-2464-4153-A257-1D70F4156775}"/>
    <cellStyle name="Normal 3 2 3 7 2 3" xfId="12734" xr:uid="{25E36665-8062-4B30-856B-4548EA27EB2F}"/>
    <cellStyle name="Normal 3 2 3 7 3" xfId="6365" xr:uid="{00000000-0005-0000-0000-0000CA110000}"/>
    <cellStyle name="Normal 3 2 3 7 3 2" xfId="14807" xr:uid="{8E491667-9FF3-461E-9479-21CDEF46E9CC}"/>
    <cellStyle name="Normal 3 2 3 7 4" xfId="10589" xr:uid="{2F7D7E7B-59D5-47EE-888B-BC1758D70416}"/>
    <cellStyle name="Normal 3 2 3 8" xfId="2494" xr:uid="{00000000-0005-0000-0000-0000CB110000}"/>
    <cellStyle name="Normal 3 2 3 8 2" xfId="6778" xr:uid="{00000000-0005-0000-0000-0000CC110000}"/>
    <cellStyle name="Normal 3 2 3 8 2 2" xfId="15220" xr:uid="{6A26EDC6-6F39-4CAD-B691-27C854C56404}"/>
    <cellStyle name="Normal 3 2 3 8 3" xfId="11002" xr:uid="{516E7849-AF2B-4B4B-911B-508BA6A4A291}"/>
    <cellStyle name="Normal 3 2 3 9" xfId="4712" xr:uid="{00000000-0005-0000-0000-0000CD110000}"/>
    <cellStyle name="Normal 3 2 3 9 2" xfId="13154" xr:uid="{6E6C54AE-4425-4B5A-9905-F662F489A744}"/>
    <cellStyle name="Normal 3 2 4" xfId="809" xr:uid="{00000000-0005-0000-0000-0000CE110000}"/>
    <cellStyle name="Normal 3 2 4 2" xfId="3047" xr:uid="{00000000-0005-0000-0000-0000CF110000}"/>
    <cellStyle name="Normal 3 2 4 2 2" xfId="7270" xr:uid="{00000000-0005-0000-0000-0000D0110000}"/>
    <cellStyle name="Normal 3 2 4 2 2 2" xfId="15712" xr:uid="{4E82ADB7-862B-47B8-B3D1-C60652E9A0A8}"/>
    <cellStyle name="Normal 3 2 4 2 3" xfId="11494" xr:uid="{52DA1693-B31A-4890-82B2-DE476EBE17EB}"/>
    <cellStyle name="Normal 3 2 4 3" xfId="5125" xr:uid="{00000000-0005-0000-0000-0000D1110000}"/>
    <cellStyle name="Normal 3 2 4 3 2" xfId="13567" xr:uid="{82C74E26-00A1-4398-9F30-0ED9D0FE030B}"/>
    <cellStyle name="Normal 3 2 4 4" xfId="9349" xr:uid="{9171BECE-A05A-4F4C-89C7-AC586EA0C65D}"/>
    <cellStyle name="Normal 3 2 5" xfId="1230" xr:uid="{00000000-0005-0000-0000-0000D2110000}"/>
    <cellStyle name="Normal 3 2 5 2" xfId="3460" xr:uid="{00000000-0005-0000-0000-0000D3110000}"/>
    <cellStyle name="Normal 3 2 5 2 2" xfId="7683" xr:uid="{00000000-0005-0000-0000-0000D4110000}"/>
    <cellStyle name="Normal 3 2 5 2 2 2" xfId="16125" xr:uid="{E360BA5B-9ADC-479C-BB78-E2FFC613C817}"/>
    <cellStyle name="Normal 3 2 5 2 3" xfId="11907" xr:uid="{E2A46571-07BD-43E7-8A11-98DCC13D1661}"/>
    <cellStyle name="Normal 3 2 5 3" xfId="5538" xr:uid="{00000000-0005-0000-0000-0000D5110000}"/>
    <cellStyle name="Normal 3 2 5 3 2" xfId="13980" xr:uid="{DC419A5F-3E64-4681-A2BA-F7485C56D253}"/>
    <cellStyle name="Normal 3 2 5 4" xfId="9762" xr:uid="{AE1516DB-513D-4162-84F1-E22F41CD689D}"/>
    <cellStyle name="Normal 3 2 6" xfId="1643" xr:uid="{00000000-0005-0000-0000-0000D6110000}"/>
    <cellStyle name="Normal 3 2 6 2" xfId="3873" xr:uid="{00000000-0005-0000-0000-0000D7110000}"/>
    <cellStyle name="Normal 3 2 6 2 2" xfId="8096" xr:uid="{00000000-0005-0000-0000-0000D8110000}"/>
    <cellStyle name="Normal 3 2 6 2 2 2" xfId="16538" xr:uid="{38A14623-8D5F-4189-95CE-5646AA249266}"/>
    <cellStyle name="Normal 3 2 6 2 3" xfId="12320" xr:uid="{77E8CBE5-B93E-4CF9-8281-E87A3EEB1F9C}"/>
    <cellStyle name="Normal 3 2 6 3" xfId="5951" xr:uid="{00000000-0005-0000-0000-0000D9110000}"/>
    <cellStyle name="Normal 3 2 6 3 2" xfId="14393" xr:uid="{45A2DDD7-3B3C-478F-9A53-5297B5591716}"/>
    <cellStyle name="Normal 3 2 6 4" xfId="10175" xr:uid="{5BC1D92D-B735-4341-8475-C14DFF5F3BCA}"/>
    <cellStyle name="Normal 3 2 7" xfId="2057" xr:uid="{00000000-0005-0000-0000-0000DA110000}"/>
    <cellStyle name="Normal 3 2 7 2" xfId="4286" xr:uid="{00000000-0005-0000-0000-0000DB110000}"/>
    <cellStyle name="Normal 3 2 7 2 2" xfId="8509" xr:uid="{00000000-0005-0000-0000-0000DC110000}"/>
    <cellStyle name="Normal 3 2 7 2 2 2" xfId="16951" xr:uid="{ECA533EB-CA13-432E-8121-6703C3F3F386}"/>
    <cellStyle name="Normal 3 2 7 2 3" xfId="12733" xr:uid="{7DED7B59-8509-4FF1-A36B-3D671F061B8D}"/>
    <cellStyle name="Normal 3 2 7 3" xfId="6364" xr:uid="{00000000-0005-0000-0000-0000DD110000}"/>
    <cellStyle name="Normal 3 2 7 3 2" xfId="14806" xr:uid="{765B5A2A-3BDE-4591-9574-87DA3D287950}"/>
    <cellStyle name="Normal 3 2 7 4" xfId="10588" xr:uid="{8109078D-8B0C-425F-9C1B-327CD4AD1A59}"/>
    <cellStyle name="Normal 3 2 8" xfId="2493" xr:uid="{00000000-0005-0000-0000-0000DE110000}"/>
    <cellStyle name="Normal 3 2 8 2" xfId="6777" xr:uid="{00000000-0005-0000-0000-0000DF110000}"/>
    <cellStyle name="Normal 3 2 8 2 2" xfId="15219" xr:uid="{2823A714-D400-4174-BE8B-8C47AD35D325}"/>
    <cellStyle name="Normal 3 2 8 3" xfId="11001" xr:uid="{86B6AAA2-4E46-418A-A96C-B9E309A12255}"/>
    <cellStyle name="Normal 3 2 9" xfId="4711" xr:uid="{00000000-0005-0000-0000-0000E0110000}"/>
    <cellStyle name="Normal 3 2 9 2" xfId="13153" xr:uid="{B4FFDC63-77C7-4D95-985A-96B30D6970D8}"/>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10" xfId="8940" xr:uid="{68FBE2C6-5E03-4B82-B69A-1084621C52C9}"/>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2 2 2" xfId="16956" xr:uid="{160F438A-98DA-4DBE-86E7-09BEA6AD5DE3}"/>
    <cellStyle name="Normal 4 2 2 10 2 3" xfId="12738" xr:uid="{CABBA1F4-008C-49B1-93D4-D04E83DB2D63}"/>
    <cellStyle name="Normal 4 2 2 10 3" xfId="6369" xr:uid="{00000000-0005-0000-0000-0000ED110000}"/>
    <cellStyle name="Normal 4 2 2 10 3 2" xfId="14811" xr:uid="{31ACC19D-2C8C-433A-8C5F-099C309DCBF6}"/>
    <cellStyle name="Normal 4 2 2 10 4" xfId="10593" xr:uid="{89FA208A-16C3-4F4E-BE52-ED18C2B39597}"/>
    <cellStyle name="Normal 4 2 2 11" xfId="2498" xr:uid="{00000000-0005-0000-0000-0000EE110000}"/>
    <cellStyle name="Normal 4 2 2 11 2" xfId="6782" xr:uid="{00000000-0005-0000-0000-0000EF110000}"/>
    <cellStyle name="Normal 4 2 2 11 2 2" xfId="15224" xr:uid="{87A1738C-CD48-4AF5-ACDA-3FBB884DF8D5}"/>
    <cellStyle name="Normal 4 2 2 11 3" xfId="11006" xr:uid="{FC762EA3-5523-4F05-B831-2BE0DFA043CA}"/>
    <cellStyle name="Normal 4 2 2 12" xfId="4717" xr:uid="{00000000-0005-0000-0000-0000F0110000}"/>
    <cellStyle name="Normal 4 2 2 12 2" xfId="13159" xr:uid="{2782E188-1731-44D8-9D3B-56668FAC733B}"/>
    <cellStyle name="Normal 4 2 2 13" xfId="8941" xr:uid="{1CB5C556-F90B-4044-A7FD-C8D2FF50D83C}"/>
    <cellStyle name="Normal 4 2 2 2" xfId="338" xr:uid="{00000000-0005-0000-0000-0000F1110000}"/>
    <cellStyle name="Normal 4 2 2 3" xfId="339" xr:uid="{00000000-0005-0000-0000-0000F2110000}"/>
    <cellStyle name="Normal 4 2 2 3 10" xfId="4718" xr:uid="{00000000-0005-0000-0000-0000F3110000}"/>
    <cellStyle name="Normal 4 2 2 3 10 2" xfId="13160" xr:uid="{49A287F5-EF43-469D-AE3C-C7C22901E1BA}"/>
    <cellStyle name="Normal 4 2 2 3 11" xfId="8942" xr:uid="{9C711CBA-35C8-422E-B2FA-0F5787D2B324}"/>
    <cellStyle name="Normal 4 2 2 3 2" xfId="340" xr:uid="{00000000-0005-0000-0000-0000F4110000}"/>
    <cellStyle name="Normal 4 2 2 3 2 10" xfId="8943" xr:uid="{4AA22166-9B9F-42A6-9676-C745EDC3DBA7}"/>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2 2 2" xfId="15721" xr:uid="{53F25D00-25C8-4C9B-9CAF-E38BC7520527}"/>
    <cellStyle name="Normal 4 2 2 3 2 2 2 2 2 3" xfId="11503" xr:uid="{34395EFC-0033-4B7A-9A00-3F5B755FCFD4}"/>
    <cellStyle name="Normal 4 2 2 3 2 2 2 2 3" xfId="5134" xr:uid="{00000000-0005-0000-0000-0000FA110000}"/>
    <cellStyle name="Normal 4 2 2 3 2 2 2 2 3 2" xfId="13576" xr:uid="{3CAF9D9D-4700-492A-A366-E8F9E750F743}"/>
    <cellStyle name="Normal 4 2 2 3 2 2 2 2 4" xfId="9358" xr:uid="{64826993-21A9-4F42-BC98-BD1315F6B649}"/>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2 2 2" xfId="16134" xr:uid="{7B05561C-8E88-49E6-9ED0-BECD38B56740}"/>
    <cellStyle name="Normal 4 2 2 3 2 2 2 3 2 3" xfId="11916" xr:uid="{C18C103E-CB28-4974-B4B9-0B6D7D291F79}"/>
    <cellStyle name="Normal 4 2 2 3 2 2 2 3 3" xfId="5547" xr:uid="{00000000-0005-0000-0000-0000FE110000}"/>
    <cellStyle name="Normal 4 2 2 3 2 2 2 3 3 2" xfId="13989" xr:uid="{69C25127-2974-4220-87CD-C382E9C95298}"/>
    <cellStyle name="Normal 4 2 2 3 2 2 2 3 4" xfId="9771" xr:uid="{922DC0D8-789E-4A27-95BB-0F85E4D81439}"/>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2 2 2" xfId="16547" xr:uid="{88E0DF8B-22A0-4583-ABE3-F365C1B9ADB8}"/>
    <cellStyle name="Normal 4 2 2 3 2 2 2 4 2 3" xfId="12329" xr:uid="{3308C460-5C46-4B88-B179-919A22A1C3C7}"/>
    <cellStyle name="Normal 4 2 2 3 2 2 2 4 3" xfId="5960" xr:uid="{00000000-0005-0000-0000-000002120000}"/>
    <cellStyle name="Normal 4 2 2 3 2 2 2 4 3 2" xfId="14402" xr:uid="{C7ED21AC-8B88-4199-9AF4-76C6615502E5}"/>
    <cellStyle name="Normal 4 2 2 3 2 2 2 4 4" xfId="10184" xr:uid="{EC5CA3B5-2FC2-40E5-BFD6-9124A263D1CC}"/>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2 2 2" xfId="16960" xr:uid="{280F9239-AE46-4DCD-A10F-DC2A12F9DAA2}"/>
    <cellStyle name="Normal 4 2 2 3 2 2 2 5 2 3" xfId="12742" xr:uid="{5F43A2E0-4C97-426A-9F03-8B6E1724B6A0}"/>
    <cellStyle name="Normal 4 2 2 3 2 2 2 5 3" xfId="6373" xr:uid="{00000000-0005-0000-0000-000006120000}"/>
    <cellStyle name="Normal 4 2 2 3 2 2 2 5 3 2" xfId="14815" xr:uid="{DE9FDC0E-C753-4155-9886-0DD6C4F5CD5B}"/>
    <cellStyle name="Normal 4 2 2 3 2 2 2 5 4" xfId="10597" xr:uid="{8271B7F7-6CA4-4AF2-8363-74861A8A4975}"/>
    <cellStyle name="Normal 4 2 2 3 2 2 2 6" xfId="2502" xr:uid="{00000000-0005-0000-0000-000007120000}"/>
    <cellStyle name="Normal 4 2 2 3 2 2 2 6 2" xfId="6786" xr:uid="{00000000-0005-0000-0000-000008120000}"/>
    <cellStyle name="Normal 4 2 2 3 2 2 2 6 2 2" xfId="15228" xr:uid="{DC5BE8A4-BC36-487F-ABDE-3E5047317383}"/>
    <cellStyle name="Normal 4 2 2 3 2 2 2 6 3" xfId="11010" xr:uid="{3B5DA279-59FB-40FC-999F-71EC3A6DEF5A}"/>
    <cellStyle name="Normal 4 2 2 3 2 2 2 7" xfId="4721" xr:uid="{00000000-0005-0000-0000-000009120000}"/>
    <cellStyle name="Normal 4 2 2 3 2 2 2 7 2" xfId="13163" xr:uid="{B82FB382-5BD4-4777-AE43-015866F21238}"/>
    <cellStyle name="Normal 4 2 2 3 2 2 2 8" xfId="8945" xr:uid="{A75F8F7E-2FD3-490B-84FD-1593ED9A291A}"/>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2 2 2" xfId="15720" xr:uid="{BA1D9E6A-9B35-430F-994A-8455E6755416}"/>
    <cellStyle name="Normal 4 2 2 3 2 2 3 2 3" xfId="11502" xr:uid="{13CE1C0A-5EAD-4A0E-9DB3-300873F82499}"/>
    <cellStyle name="Normal 4 2 2 3 2 2 3 3" xfId="5133" xr:uid="{00000000-0005-0000-0000-00000D120000}"/>
    <cellStyle name="Normal 4 2 2 3 2 2 3 3 2" xfId="13575" xr:uid="{D9A6429D-B471-4B0E-A902-E231391AB79C}"/>
    <cellStyle name="Normal 4 2 2 3 2 2 3 4" xfId="9357" xr:uid="{28EC9A5C-0C7A-4A1D-8009-648653C5583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2 2 2" xfId="16133" xr:uid="{9FA07CC0-9736-4CCE-A7FB-81484901B6DD}"/>
    <cellStyle name="Normal 4 2 2 3 2 2 4 2 3" xfId="11915" xr:uid="{15B31283-7ADD-48A8-81C1-1292B08128A7}"/>
    <cellStyle name="Normal 4 2 2 3 2 2 4 3" xfId="5546" xr:uid="{00000000-0005-0000-0000-000011120000}"/>
    <cellStyle name="Normal 4 2 2 3 2 2 4 3 2" xfId="13988" xr:uid="{9ABB5E20-1433-43B3-B710-739A5580754C}"/>
    <cellStyle name="Normal 4 2 2 3 2 2 4 4" xfId="9770" xr:uid="{B9F8126E-AD3E-4B24-B319-703480EB4272}"/>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2 2 2" xfId="16546" xr:uid="{D30A239E-7C37-4169-9F6F-EF4AA9D1319C}"/>
    <cellStyle name="Normal 4 2 2 3 2 2 5 2 3" xfId="12328" xr:uid="{25AC142D-3C7D-4B08-B2C8-3401D1264C82}"/>
    <cellStyle name="Normal 4 2 2 3 2 2 5 3" xfId="5959" xr:uid="{00000000-0005-0000-0000-000015120000}"/>
    <cellStyle name="Normal 4 2 2 3 2 2 5 3 2" xfId="14401" xr:uid="{DB6B65CF-D478-4C95-8233-766B1BE2CC59}"/>
    <cellStyle name="Normal 4 2 2 3 2 2 5 4" xfId="10183" xr:uid="{A4EA30BC-8045-4A44-8B4F-2019E8D0EAD7}"/>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2 2 2" xfId="16959" xr:uid="{CC32E783-B4B2-4DC3-B94E-44B755138BF8}"/>
    <cellStyle name="Normal 4 2 2 3 2 2 6 2 3" xfId="12741" xr:uid="{42FBCDE2-25A0-4E5C-85AC-C12811CBC10E}"/>
    <cellStyle name="Normal 4 2 2 3 2 2 6 3" xfId="6372" xr:uid="{00000000-0005-0000-0000-000019120000}"/>
    <cellStyle name="Normal 4 2 2 3 2 2 6 3 2" xfId="14814" xr:uid="{1E372463-AAE8-415A-B8D5-5106500FD6FD}"/>
    <cellStyle name="Normal 4 2 2 3 2 2 6 4" xfId="10596" xr:uid="{4AAC169B-7FF1-49A1-8649-279C0F7DFEC9}"/>
    <cellStyle name="Normal 4 2 2 3 2 2 7" xfId="2501" xr:uid="{00000000-0005-0000-0000-00001A120000}"/>
    <cellStyle name="Normal 4 2 2 3 2 2 7 2" xfId="6785" xr:uid="{00000000-0005-0000-0000-00001B120000}"/>
    <cellStyle name="Normal 4 2 2 3 2 2 7 2 2" xfId="15227" xr:uid="{FBECE860-5978-4F6A-B22C-CCB786BE51D3}"/>
    <cellStyle name="Normal 4 2 2 3 2 2 7 3" xfId="11009" xr:uid="{8CBD943D-465F-4D50-9AE7-518359D6F805}"/>
    <cellStyle name="Normal 4 2 2 3 2 2 8" xfId="4720" xr:uid="{00000000-0005-0000-0000-00001C120000}"/>
    <cellStyle name="Normal 4 2 2 3 2 2 8 2" xfId="13162" xr:uid="{E51118FD-51C1-4FCE-AD74-7F0ED18C3F28}"/>
    <cellStyle name="Normal 4 2 2 3 2 2 9" xfId="8944" xr:uid="{6EF2080A-0A49-48AC-9EA0-CD8BDF10D951}"/>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2 2 2" xfId="15722" xr:uid="{E17926AC-AB90-4DB7-9180-4600DBDE4942}"/>
    <cellStyle name="Normal 4 2 2 3 2 3 2 2 3" xfId="11504" xr:uid="{C6E9F6C9-B118-41DD-BD3B-DF5E5B8B02D1}"/>
    <cellStyle name="Normal 4 2 2 3 2 3 2 3" xfId="5135" xr:uid="{00000000-0005-0000-0000-000021120000}"/>
    <cellStyle name="Normal 4 2 2 3 2 3 2 3 2" xfId="13577" xr:uid="{76735605-06A4-4A91-AE95-2076FD8F0A63}"/>
    <cellStyle name="Normal 4 2 2 3 2 3 2 4" xfId="9359" xr:uid="{B1DC854E-F52D-47F7-A4A9-A1E3872C2D5E}"/>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2 2 2" xfId="16135" xr:uid="{D5C6875F-78A0-42A7-812F-A7B3634E835E}"/>
    <cellStyle name="Normal 4 2 2 3 2 3 3 2 3" xfId="11917" xr:uid="{0F4845F4-BDC6-4FDB-B8FA-4D5268D8590F}"/>
    <cellStyle name="Normal 4 2 2 3 2 3 3 3" xfId="5548" xr:uid="{00000000-0005-0000-0000-000025120000}"/>
    <cellStyle name="Normal 4 2 2 3 2 3 3 3 2" xfId="13990" xr:uid="{34A83829-D1B4-4089-9E67-4AFF9451F3AE}"/>
    <cellStyle name="Normal 4 2 2 3 2 3 3 4" xfId="9772" xr:uid="{304523E3-8C5B-4729-B7EA-EFBA5AA750FF}"/>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2 2 2" xfId="16548" xr:uid="{645B4AC7-7412-4213-BAE9-58C4283DD966}"/>
    <cellStyle name="Normal 4 2 2 3 2 3 4 2 3" xfId="12330" xr:uid="{C0A64F51-B1EA-4EF6-BFC2-7E025D098BC9}"/>
    <cellStyle name="Normal 4 2 2 3 2 3 4 3" xfId="5961" xr:uid="{00000000-0005-0000-0000-000029120000}"/>
    <cellStyle name="Normal 4 2 2 3 2 3 4 3 2" xfId="14403" xr:uid="{655636DB-95BA-4B13-B307-42B03AEAB3D3}"/>
    <cellStyle name="Normal 4 2 2 3 2 3 4 4" xfId="10185" xr:uid="{F158355A-0BC0-4B3E-88C6-6F7ACA149C8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2 2 2" xfId="16961" xr:uid="{185A22A9-FA55-48D3-8372-83C3174CD308}"/>
    <cellStyle name="Normal 4 2 2 3 2 3 5 2 3" xfId="12743" xr:uid="{1BCAF46B-8BE9-4ABF-88EF-A77190EFD1BC}"/>
    <cellStyle name="Normal 4 2 2 3 2 3 5 3" xfId="6374" xr:uid="{00000000-0005-0000-0000-00002D120000}"/>
    <cellStyle name="Normal 4 2 2 3 2 3 5 3 2" xfId="14816" xr:uid="{A623E43D-03C8-4E37-86E9-6FB118F6BCD0}"/>
    <cellStyle name="Normal 4 2 2 3 2 3 5 4" xfId="10598" xr:uid="{A4225F8D-4F6B-4C45-92A9-5FE7EAC9A01F}"/>
    <cellStyle name="Normal 4 2 2 3 2 3 6" xfId="2503" xr:uid="{00000000-0005-0000-0000-00002E120000}"/>
    <cellStyle name="Normal 4 2 2 3 2 3 6 2" xfId="6787" xr:uid="{00000000-0005-0000-0000-00002F120000}"/>
    <cellStyle name="Normal 4 2 2 3 2 3 6 2 2" xfId="15229" xr:uid="{56D9B62A-52CB-41D1-AAE9-590790E429BC}"/>
    <cellStyle name="Normal 4 2 2 3 2 3 6 3" xfId="11011" xr:uid="{9ABBEDBF-C219-46FB-A0DF-8F9C142CCBEF}"/>
    <cellStyle name="Normal 4 2 2 3 2 3 7" xfId="4722" xr:uid="{00000000-0005-0000-0000-000030120000}"/>
    <cellStyle name="Normal 4 2 2 3 2 3 7 2" xfId="13164" xr:uid="{453FF86A-2D2E-49E3-9E42-861DA397EA0B}"/>
    <cellStyle name="Normal 4 2 2 3 2 3 8" xfId="8946" xr:uid="{BFDBDBC5-DBC3-400A-8F0A-26C2FB0F1C2B}"/>
    <cellStyle name="Normal 4 2 2 3 2 4" xfId="817" xr:uid="{00000000-0005-0000-0000-000031120000}"/>
    <cellStyle name="Normal 4 2 2 3 2 4 2" xfId="3054" xr:uid="{00000000-0005-0000-0000-000032120000}"/>
    <cellStyle name="Normal 4 2 2 3 2 4 2 2" xfId="7277" xr:uid="{00000000-0005-0000-0000-000033120000}"/>
    <cellStyle name="Normal 4 2 2 3 2 4 2 2 2" xfId="15719" xr:uid="{F4C59A85-CF4A-4E65-A64B-CFCFB32E376B}"/>
    <cellStyle name="Normal 4 2 2 3 2 4 2 3" xfId="11501" xr:uid="{7C4BA447-4116-4C28-9195-33DF6DAE501F}"/>
    <cellStyle name="Normal 4 2 2 3 2 4 3" xfId="5132" xr:uid="{00000000-0005-0000-0000-000034120000}"/>
    <cellStyle name="Normal 4 2 2 3 2 4 3 2" xfId="13574" xr:uid="{217A57C1-6D39-4253-BFFF-9DBFD08EBD86}"/>
    <cellStyle name="Normal 4 2 2 3 2 4 4" xfId="9356" xr:uid="{7526CA5D-3A1A-4BF7-ABDA-5D16061F0AFA}"/>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2 2 2" xfId="16132" xr:uid="{844B0927-7453-4EC0-B785-E5D1F3406F3A}"/>
    <cellStyle name="Normal 4 2 2 3 2 5 2 3" xfId="11914" xr:uid="{0E065701-E8EB-42CE-9837-F62B61C62577}"/>
    <cellStyle name="Normal 4 2 2 3 2 5 3" xfId="5545" xr:uid="{00000000-0005-0000-0000-000038120000}"/>
    <cellStyle name="Normal 4 2 2 3 2 5 3 2" xfId="13987" xr:uid="{5F865CE9-18B1-4C09-AA24-430D9DC7BC2E}"/>
    <cellStyle name="Normal 4 2 2 3 2 5 4" xfId="9769" xr:uid="{F6447570-750C-44FA-834B-1646F1107169}"/>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2 2 2" xfId="16545" xr:uid="{7D70BBEA-EDA4-4A98-A5FF-6EB821099C6E}"/>
    <cellStyle name="Normal 4 2 2 3 2 6 2 3" xfId="12327" xr:uid="{F30823EE-C1D3-48F8-8F76-8D1B5CDC58D7}"/>
    <cellStyle name="Normal 4 2 2 3 2 6 3" xfId="5958" xr:uid="{00000000-0005-0000-0000-00003C120000}"/>
    <cellStyle name="Normal 4 2 2 3 2 6 3 2" xfId="14400" xr:uid="{34732D3F-8F89-48E2-A028-E1A58AB51E96}"/>
    <cellStyle name="Normal 4 2 2 3 2 6 4" xfId="10182" xr:uid="{4B475815-0BD0-4094-9EE1-5460E761612D}"/>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2 2 2" xfId="16958" xr:uid="{2E77B191-58C0-4764-A534-0C8B7332D724}"/>
    <cellStyle name="Normal 4 2 2 3 2 7 2 3" xfId="12740" xr:uid="{6D97A4A4-63A4-4DE0-B111-75A1AED4ECC8}"/>
    <cellStyle name="Normal 4 2 2 3 2 7 3" xfId="6371" xr:uid="{00000000-0005-0000-0000-000040120000}"/>
    <cellStyle name="Normal 4 2 2 3 2 7 3 2" xfId="14813" xr:uid="{76CA6EC8-EBDB-4C83-9E17-BAB9561F04FC}"/>
    <cellStyle name="Normal 4 2 2 3 2 7 4" xfId="10595" xr:uid="{27FFE3F5-EC6A-488D-A115-23163093DB7D}"/>
    <cellStyle name="Normal 4 2 2 3 2 8" xfId="2500" xr:uid="{00000000-0005-0000-0000-000041120000}"/>
    <cellStyle name="Normal 4 2 2 3 2 8 2" xfId="6784" xr:uid="{00000000-0005-0000-0000-000042120000}"/>
    <cellStyle name="Normal 4 2 2 3 2 8 2 2" xfId="15226" xr:uid="{3D3FAF1B-DD35-4C41-A92F-098A1DDBF429}"/>
    <cellStyle name="Normal 4 2 2 3 2 8 3" xfId="11008" xr:uid="{80D6FFE2-7009-425F-AE88-E65066BAEB3C}"/>
    <cellStyle name="Normal 4 2 2 3 2 9" xfId="4719" xr:uid="{00000000-0005-0000-0000-000043120000}"/>
    <cellStyle name="Normal 4 2 2 3 2 9 2" xfId="13161" xr:uid="{3C384D11-0665-4036-BC53-16A6EF04D658}"/>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2 2 2" xfId="15724" xr:uid="{56E177E1-2954-46E0-B5BC-44DC6EB2F4F6}"/>
    <cellStyle name="Normal 4 2 2 3 3 2 2 2 3" xfId="11506" xr:uid="{9F2ADF73-E5F2-4EFD-9898-005A48E9D805}"/>
    <cellStyle name="Normal 4 2 2 3 3 2 2 3" xfId="5137" xr:uid="{00000000-0005-0000-0000-000049120000}"/>
    <cellStyle name="Normal 4 2 2 3 3 2 2 3 2" xfId="13579" xr:uid="{7846100E-16FA-4578-BF21-2EECC3D0EA5C}"/>
    <cellStyle name="Normal 4 2 2 3 3 2 2 4" xfId="9361" xr:uid="{0FDDE506-9800-42F2-9577-EDACEAE1D58B}"/>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2 2 2" xfId="16137" xr:uid="{3ECD1B1F-C07C-40B0-AAFB-51801FEA33FE}"/>
    <cellStyle name="Normal 4 2 2 3 3 2 3 2 3" xfId="11919" xr:uid="{B783D901-0DAE-409D-AFAC-7943E9CB98F2}"/>
    <cellStyle name="Normal 4 2 2 3 3 2 3 3" xfId="5550" xr:uid="{00000000-0005-0000-0000-00004D120000}"/>
    <cellStyle name="Normal 4 2 2 3 3 2 3 3 2" xfId="13992" xr:uid="{CAB19563-0054-4A98-BC3C-32FC4D18ED64}"/>
    <cellStyle name="Normal 4 2 2 3 3 2 3 4" xfId="9774" xr:uid="{36B0D4B9-86DE-401E-9373-5D89D6851C84}"/>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2 2 2" xfId="16550" xr:uid="{A8790813-2129-4B2D-A6AC-573B9E519734}"/>
    <cellStyle name="Normal 4 2 2 3 3 2 4 2 3" xfId="12332" xr:uid="{AB9EFEEA-6EB6-4DBF-9D28-0A6E900E71AC}"/>
    <cellStyle name="Normal 4 2 2 3 3 2 4 3" xfId="5963" xr:uid="{00000000-0005-0000-0000-000051120000}"/>
    <cellStyle name="Normal 4 2 2 3 3 2 4 3 2" xfId="14405" xr:uid="{AB45E9E6-C140-499E-AC84-2E8DA269CE56}"/>
    <cellStyle name="Normal 4 2 2 3 3 2 4 4" xfId="10187" xr:uid="{AEBB3F02-7D23-4EDD-8472-E3DB9E0D1135}"/>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2 2 2" xfId="16963" xr:uid="{670B15E3-EFBB-4A5A-B021-0D05D9B00A2D}"/>
    <cellStyle name="Normal 4 2 2 3 3 2 5 2 3" xfId="12745" xr:uid="{995D89A4-1E0E-43FA-94B5-68AE6EE87134}"/>
    <cellStyle name="Normal 4 2 2 3 3 2 5 3" xfId="6376" xr:uid="{00000000-0005-0000-0000-000055120000}"/>
    <cellStyle name="Normal 4 2 2 3 3 2 5 3 2" xfId="14818" xr:uid="{A9C7D2EA-7F3B-4E6E-89BB-82621553B039}"/>
    <cellStyle name="Normal 4 2 2 3 3 2 5 4" xfId="10600" xr:uid="{AE8ACB71-BF92-4E76-94B8-41FE5199EEE7}"/>
    <cellStyle name="Normal 4 2 2 3 3 2 6" xfId="2505" xr:uid="{00000000-0005-0000-0000-000056120000}"/>
    <cellStyle name="Normal 4 2 2 3 3 2 6 2" xfId="6789" xr:uid="{00000000-0005-0000-0000-000057120000}"/>
    <cellStyle name="Normal 4 2 2 3 3 2 6 2 2" xfId="15231" xr:uid="{EBEEA5B8-7C3D-46AB-8299-3241652078F3}"/>
    <cellStyle name="Normal 4 2 2 3 3 2 6 3" xfId="11013" xr:uid="{DA31483A-E5BA-400F-9CFF-D5CD0B0C1B26}"/>
    <cellStyle name="Normal 4 2 2 3 3 2 7" xfId="4724" xr:uid="{00000000-0005-0000-0000-000058120000}"/>
    <cellStyle name="Normal 4 2 2 3 3 2 7 2" xfId="13166" xr:uid="{791233E3-10F1-4012-9078-C07132777924}"/>
    <cellStyle name="Normal 4 2 2 3 3 2 8" xfId="8948" xr:uid="{8CD2861B-4D2F-476E-AAA3-1AA8AC9A924B}"/>
    <cellStyle name="Normal 4 2 2 3 3 3" xfId="821" xr:uid="{00000000-0005-0000-0000-000059120000}"/>
    <cellStyle name="Normal 4 2 2 3 3 3 2" xfId="3058" xr:uid="{00000000-0005-0000-0000-00005A120000}"/>
    <cellStyle name="Normal 4 2 2 3 3 3 2 2" xfId="7281" xr:uid="{00000000-0005-0000-0000-00005B120000}"/>
    <cellStyle name="Normal 4 2 2 3 3 3 2 2 2" xfId="15723" xr:uid="{E4E4E5E0-1CD7-40C9-818A-C2434114F2AF}"/>
    <cellStyle name="Normal 4 2 2 3 3 3 2 3" xfId="11505" xr:uid="{7B405BEE-CB20-49C5-9B70-D6A8BB6C5CD0}"/>
    <cellStyle name="Normal 4 2 2 3 3 3 3" xfId="5136" xr:uid="{00000000-0005-0000-0000-00005C120000}"/>
    <cellStyle name="Normal 4 2 2 3 3 3 3 2" xfId="13578" xr:uid="{DD419924-12CB-4AAA-979F-62EFF8BE1A86}"/>
    <cellStyle name="Normal 4 2 2 3 3 3 4" xfId="9360" xr:uid="{8EE73915-AC76-46DE-B75E-4824ABCB7229}"/>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2 2 2" xfId="16136" xr:uid="{BCDC92F7-4C8D-4952-9A4F-4AE5A6F9947A}"/>
    <cellStyle name="Normal 4 2 2 3 3 4 2 3" xfId="11918" xr:uid="{A98D3F9A-B79F-4C12-8167-5F44FFA85FC9}"/>
    <cellStyle name="Normal 4 2 2 3 3 4 3" xfId="5549" xr:uid="{00000000-0005-0000-0000-000060120000}"/>
    <cellStyle name="Normal 4 2 2 3 3 4 3 2" xfId="13991" xr:uid="{8604D857-82C3-48BA-8436-801A475BCC08}"/>
    <cellStyle name="Normal 4 2 2 3 3 4 4" xfId="9773" xr:uid="{EEC3EAEF-5D1F-4565-8E7B-DBE59B67AD3A}"/>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2 2 2" xfId="16549" xr:uid="{7293F479-8EE4-4A8C-85DE-C6BA9D78BB9B}"/>
    <cellStyle name="Normal 4 2 2 3 3 5 2 3" xfId="12331" xr:uid="{2885E6BC-BC6F-404D-9409-8A5B8594194D}"/>
    <cellStyle name="Normal 4 2 2 3 3 5 3" xfId="5962" xr:uid="{00000000-0005-0000-0000-000064120000}"/>
    <cellStyle name="Normal 4 2 2 3 3 5 3 2" xfId="14404" xr:uid="{D0ABDEA6-84EC-4911-B9A2-3CF07B6B79E4}"/>
    <cellStyle name="Normal 4 2 2 3 3 5 4" xfId="10186" xr:uid="{1DC652EB-74EC-4D24-AF2A-0B617DB21E68}"/>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2 2 2" xfId="16962" xr:uid="{0FEA43DB-C6DF-46A7-B95D-2D4E0EAB4260}"/>
    <cellStyle name="Normal 4 2 2 3 3 6 2 3" xfId="12744" xr:uid="{F7860927-B223-4DD2-9D67-15DCE9C082FB}"/>
    <cellStyle name="Normal 4 2 2 3 3 6 3" xfId="6375" xr:uid="{00000000-0005-0000-0000-000068120000}"/>
    <cellStyle name="Normal 4 2 2 3 3 6 3 2" xfId="14817" xr:uid="{2507CB36-1511-4126-813E-77971515E431}"/>
    <cellStyle name="Normal 4 2 2 3 3 6 4" xfId="10599" xr:uid="{59544FD0-AD2E-4E9B-B2C1-6095CB3BD2EC}"/>
    <cellStyle name="Normal 4 2 2 3 3 7" xfId="2504" xr:uid="{00000000-0005-0000-0000-000069120000}"/>
    <cellStyle name="Normal 4 2 2 3 3 7 2" xfId="6788" xr:uid="{00000000-0005-0000-0000-00006A120000}"/>
    <cellStyle name="Normal 4 2 2 3 3 7 2 2" xfId="15230" xr:uid="{2001CE39-7A8E-415C-AEDC-B611E04450C4}"/>
    <cellStyle name="Normal 4 2 2 3 3 7 3" xfId="11012" xr:uid="{B13055D6-9246-4976-BE31-9F2EECB7C4F5}"/>
    <cellStyle name="Normal 4 2 2 3 3 8" xfId="4723" xr:uid="{00000000-0005-0000-0000-00006B120000}"/>
    <cellStyle name="Normal 4 2 2 3 3 8 2" xfId="13165" xr:uid="{D30A7E90-79DE-47CE-9965-B8CDE4165B2B}"/>
    <cellStyle name="Normal 4 2 2 3 3 9" xfId="8947" xr:uid="{9F04AA07-65B7-44FF-8BBE-6322172A1112}"/>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2 2 2" xfId="15725" xr:uid="{D2D9668A-71F9-4DB7-8281-C60AE6D9754E}"/>
    <cellStyle name="Normal 4 2 2 3 4 2 2 3" xfId="11507" xr:uid="{8E1785C1-2F64-4166-A06D-DC966BFC3129}"/>
    <cellStyle name="Normal 4 2 2 3 4 2 3" xfId="5138" xr:uid="{00000000-0005-0000-0000-000070120000}"/>
    <cellStyle name="Normal 4 2 2 3 4 2 3 2" xfId="13580" xr:uid="{3DD46120-AD5C-49BB-A3C1-D127777919D7}"/>
    <cellStyle name="Normal 4 2 2 3 4 2 4" xfId="9362" xr:uid="{9528D459-EE9E-46C6-BBDD-E8DA242DECE6}"/>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2 2 2" xfId="16138" xr:uid="{F066249D-9B8D-4A5E-848E-0F10D7261DF1}"/>
    <cellStyle name="Normal 4 2 2 3 4 3 2 3" xfId="11920" xr:uid="{B78E1968-D770-456E-B54D-709C5A5967EA}"/>
    <cellStyle name="Normal 4 2 2 3 4 3 3" xfId="5551" xr:uid="{00000000-0005-0000-0000-000074120000}"/>
    <cellStyle name="Normal 4 2 2 3 4 3 3 2" xfId="13993" xr:uid="{3E1869E1-EA47-4C92-94D3-E6002FBAB694}"/>
    <cellStyle name="Normal 4 2 2 3 4 3 4" xfId="9775" xr:uid="{548BDF34-3539-45A8-BB0D-AAF3D78D333F}"/>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2 2 2" xfId="16551" xr:uid="{1AE99287-D12A-494D-8710-AC6CCF7E82BC}"/>
    <cellStyle name="Normal 4 2 2 3 4 4 2 3" xfId="12333" xr:uid="{E02B7EB9-E244-4FB7-9B25-9F19CB6D9200}"/>
    <cellStyle name="Normal 4 2 2 3 4 4 3" xfId="5964" xr:uid="{00000000-0005-0000-0000-000078120000}"/>
    <cellStyle name="Normal 4 2 2 3 4 4 3 2" xfId="14406" xr:uid="{F42A8A68-218A-4886-A97D-6004AE510503}"/>
    <cellStyle name="Normal 4 2 2 3 4 4 4" xfId="10188" xr:uid="{82487BF7-6C2C-4325-BEFD-BFAC8B01818B}"/>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2 2 2" xfId="16964" xr:uid="{805C69F1-AAC7-4596-9A9F-D6A09FC93FCD}"/>
    <cellStyle name="Normal 4 2 2 3 4 5 2 3" xfId="12746" xr:uid="{2241A169-CCE1-47AE-B39B-F7E8CA030D49}"/>
    <cellStyle name="Normal 4 2 2 3 4 5 3" xfId="6377" xr:uid="{00000000-0005-0000-0000-00007C120000}"/>
    <cellStyle name="Normal 4 2 2 3 4 5 3 2" xfId="14819" xr:uid="{70B09AEF-AE53-4B19-8754-8BC3ABE09DFE}"/>
    <cellStyle name="Normal 4 2 2 3 4 5 4" xfId="10601" xr:uid="{316102BE-E8D8-4B35-A9C3-3B659F3A84B2}"/>
    <cellStyle name="Normal 4 2 2 3 4 6" xfId="2506" xr:uid="{00000000-0005-0000-0000-00007D120000}"/>
    <cellStyle name="Normal 4 2 2 3 4 6 2" xfId="6790" xr:uid="{00000000-0005-0000-0000-00007E120000}"/>
    <cellStyle name="Normal 4 2 2 3 4 6 2 2" xfId="15232" xr:uid="{B6D2F9A1-9CE9-48B6-A20A-87CFEC87B767}"/>
    <cellStyle name="Normal 4 2 2 3 4 6 3" xfId="11014" xr:uid="{D8F4985E-3E00-4EF8-876A-22611A1D4387}"/>
    <cellStyle name="Normal 4 2 2 3 4 7" xfId="4725" xr:uid="{00000000-0005-0000-0000-00007F120000}"/>
    <cellStyle name="Normal 4 2 2 3 4 7 2" xfId="13167" xr:uid="{45CD58F8-F32D-4D16-A242-DE0F23A456A6}"/>
    <cellStyle name="Normal 4 2 2 3 4 8" xfId="8949" xr:uid="{9B0B930F-1D10-44B1-9EC0-43584925C3BE}"/>
    <cellStyle name="Normal 4 2 2 3 5" xfId="816" xr:uid="{00000000-0005-0000-0000-000080120000}"/>
    <cellStyle name="Normal 4 2 2 3 5 2" xfId="3053" xr:uid="{00000000-0005-0000-0000-000081120000}"/>
    <cellStyle name="Normal 4 2 2 3 5 2 2" xfId="7276" xr:uid="{00000000-0005-0000-0000-000082120000}"/>
    <cellStyle name="Normal 4 2 2 3 5 2 2 2" xfId="15718" xr:uid="{C1AA498B-EC17-49A8-ACDA-A0ABC4876D26}"/>
    <cellStyle name="Normal 4 2 2 3 5 2 3" xfId="11500" xr:uid="{E86E2C91-8DCF-42A8-BA42-7511DFE555B1}"/>
    <cellStyle name="Normal 4 2 2 3 5 3" xfId="5131" xr:uid="{00000000-0005-0000-0000-000083120000}"/>
    <cellStyle name="Normal 4 2 2 3 5 3 2" xfId="13573" xr:uid="{A4985A31-A0C0-4850-923B-39386E4A500C}"/>
    <cellStyle name="Normal 4 2 2 3 5 4" xfId="9355" xr:uid="{57356AF7-9FE7-4DAC-9CAD-5E36BAD5B909}"/>
    <cellStyle name="Normal 4 2 2 3 6" xfId="1236" xr:uid="{00000000-0005-0000-0000-000084120000}"/>
    <cellStyle name="Normal 4 2 2 3 6 2" xfId="3466" xr:uid="{00000000-0005-0000-0000-000085120000}"/>
    <cellStyle name="Normal 4 2 2 3 6 2 2" xfId="7689" xr:uid="{00000000-0005-0000-0000-000086120000}"/>
    <cellStyle name="Normal 4 2 2 3 6 2 2 2" xfId="16131" xr:uid="{D8CC5F6F-0BF4-4230-94D1-8E5720B01953}"/>
    <cellStyle name="Normal 4 2 2 3 6 2 3" xfId="11913" xr:uid="{A36F3E12-1B2C-4B93-B406-ED433884EE50}"/>
    <cellStyle name="Normal 4 2 2 3 6 3" xfId="5544" xr:uid="{00000000-0005-0000-0000-000087120000}"/>
    <cellStyle name="Normal 4 2 2 3 6 3 2" xfId="13986" xr:uid="{1D231EAC-3B8E-4909-9EA4-E84E7AEDF747}"/>
    <cellStyle name="Normal 4 2 2 3 6 4" xfId="9768" xr:uid="{73B13EF1-4183-427E-B0DB-647AFFDFAD94}"/>
    <cellStyle name="Normal 4 2 2 3 7" xfId="1649" xr:uid="{00000000-0005-0000-0000-000088120000}"/>
    <cellStyle name="Normal 4 2 2 3 7 2" xfId="3879" xr:uid="{00000000-0005-0000-0000-000089120000}"/>
    <cellStyle name="Normal 4 2 2 3 7 2 2" xfId="8102" xr:uid="{00000000-0005-0000-0000-00008A120000}"/>
    <cellStyle name="Normal 4 2 2 3 7 2 2 2" xfId="16544" xr:uid="{09EF8BFD-0A8C-40EA-A54D-4DB429F304E9}"/>
    <cellStyle name="Normal 4 2 2 3 7 2 3" xfId="12326" xr:uid="{E5F1D42F-94CA-4144-B6FE-AA6071D69078}"/>
    <cellStyle name="Normal 4 2 2 3 7 3" xfId="5957" xr:uid="{00000000-0005-0000-0000-00008B120000}"/>
    <cellStyle name="Normal 4 2 2 3 7 3 2" xfId="14399" xr:uid="{5F40A4C3-5C68-460D-BB98-CD7B5AABCF67}"/>
    <cellStyle name="Normal 4 2 2 3 7 4" xfId="10181" xr:uid="{6646BD35-5B5B-4052-A9FE-02E223ABC51D}"/>
    <cellStyle name="Normal 4 2 2 3 8" xfId="2063" xr:uid="{00000000-0005-0000-0000-00008C120000}"/>
    <cellStyle name="Normal 4 2 2 3 8 2" xfId="4292" xr:uid="{00000000-0005-0000-0000-00008D120000}"/>
    <cellStyle name="Normal 4 2 2 3 8 2 2" xfId="8515" xr:uid="{00000000-0005-0000-0000-00008E120000}"/>
    <cellStyle name="Normal 4 2 2 3 8 2 2 2" xfId="16957" xr:uid="{B2B5544D-D7CA-40C2-A61D-B8131EC2B393}"/>
    <cellStyle name="Normal 4 2 2 3 8 2 3" xfId="12739" xr:uid="{A39CF509-5E83-4696-8395-D9EA27C10F40}"/>
    <cellStyle name="Normal 4 2 2 3 8 3" xfId="6370" xr:uid="{00000000-0005-0000-0000-00008F120000}"/>
    <cellStyle name="Normal 4 2 2 3 8 3 2" xfId="14812" xr:uid="{3ED1A857-10EA-4922-8109-65FEAF8A8182}"/>
    <cellStyle name="Normal 4 2 2 3 8 4" xfId="10594" xr:uid="{81566C14-8C05-47CB-B28D-5A22FED3B0AA}"/>
    <cellStyle name="Normal 4 2 2 3 9" xfId="2499" xr:uid="{00000000-0005-0000-0000-000090120000}"/>
    <cellStyle name="Normal 4 2 2 3 9 2" xfId="6783" xr:uid="{00000000-0005-0000-0000-000091120000}"/>
    <cellStyle name="Normal 4 2 2 3 9 2 2" xfId="15225" xr:uid="{35426B28-B849-4393-B6C2-A6DC01F8F637}"/>
    <cellStyle name="Normal 4 2 2 3 9 3" xfId="11007" xr:uid="{B2D599AC-89A4-4E16-934E-BD3BFAE8E9C9}"/>
    <cellStyle name="Normal 4 2 2 4" xfId="347" xr:uid="{00000000-0005-0000-0000-000092120000}"/>
    <cellStyle name="Normal 4 2 2 4 10" xfId="8950" xr:uid="{3BD4A0FF-571F-4413-B6E4-E0358D2F0A06}"/>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2 2 2" xfId="15728" xr:uid="{D27E1C20-77B4-43C0-BE79-6363E755E1B1}"/>
    <cellStyle name="Normal 4 2 2 4 2 2 2 2 3" xfId="11510" xr:uid="{0EC443EE-0341-4973-B97B-75B414C0D5D2}"/>
    <cellStyle name="Normal 4 2 2 4 2 2 2 3" xfId="5141" xr:uid="{00000000-0005-0000-0000-000098120000}"/>
    <cellStyle name="Normal 4 2 2 4 2 2 2 3 2" xfId="13583" xr:uid="{C41ED2D3-5995-4B20-979D-2B8100FD7B7A}"/>
    <cellStyle name="Normal 4 2 2 4 2 2 2 4" xfId="9365" xr:uid="{AA28722B-52EF-430F-90A7-247CA637AB9C}"/>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2 2 2" xfId="16141" xr:uid="{C4DB1C5E-92E4-4E4E-B2FC-45AA4100E9C5}"/>
    <cellStyle name="Normal 4 2 2 4 2 2 3 2 3" xfId="11923" xr:uid="{592E2642-418D-40DB-827C-EDA45DC679FB}"/>
    <cellStyle name="Normal 4 2 2 4 2 2 3 3" xfId="5554" xr:uid="{00000000-0005-0000-0000-00009C120000}"/>
    <cellStyle name="Normal 4 2 2 4 2 2 3 3 2" xfId="13996" xr:uid="{AD16F6DD-0072-4D6B-9460-6629EE405990}"/>
    <cellStyle name="Normal 4 2 2 4 2 2 3 4" xfId="9778" xr:uid="{D7D80365-D2DD-49E5-9065-45BF82677C93}"/>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2 2 2" xfId="16554" xr:uid="{AA90D12A-97B4-4877-9E99-EDB9785744D7}"/>
    <cellStyle name="Normal 4 2 2 4 2 2 4 2 3" xfId="12336" xr:uid="{56549F52-D84A-4E4D-B2E3-9A4AF9A9D04E}"/>
    <cellStyle name="Normal 4 2 2 4 2 2 4 3" xfId="5967" xr:uid="{00000000-0005-0000-0000-0000A0120000}"/>
    <cellStyle name="Normal 4 2 2 4 2 2 4 3 2" xfId="14409" xr:uid="{2E239F98-AE03-4357-9C81-32E2E1F39752}"/>
    <cellStyle name="Normal 4 2 2 4 2 2 4 4" xfId="10191" xr:uid="{70EFD4FD-F0AB-4DCD-AD91-4B39705465D5}"/>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2 2 2" xfId="16967" xr:uid="{EF9283C6-37EA-4772-973A-C1A0E5EA9BCE}"/>
    <cellStyle name="Normal 4 2 2 4 2 2 5 2 3" xfId="12749" xr:uid="{55B3AD2F-93FC-4D4A-BAD0-0344A92C6937}"/>
    <cellStyle name="Normal 4 2 2 4 2 2 5 3" xfId="6380" xr:uid="{00000000-0005-0000-0000-0000A4120000}"/>
    <cellStyle name="Normal 4 2 2 4 2 2 5 3 2" xfId="14822" xr:uid="{63BDEC92-E3E2-433F-8426-D64CF99031B7}"/>
    <cellStyle name="Normal 4 2 2 4 2 2 5 4" xfId="10604" xr:uid="{FD7227C3-ADD1-444E-9DDE-6EC37204B19C}"/>
    <cellStyle name="Normal 4 2 2 4 2 2 6" xfId="2509" xr:uid="{00000000-0005-0000-0000-0000A5120000}"/>
    <cellStyle name="Normal 4 2 2 4 2 2 6 2" xfId="6793" xr:uid="{00000000-0005-0000-0000-0000A6120000}"/>
    <cellStyle name="Normal 4 2 2 4 2 2 6 2 2" xfId="15235" xr:uid="{1BDAE312-6DDF-4E9A-AC71-C3CE318A8B99}"/>
    <cellStyle name="Normal 4 2 2 4 2 2 6 3" xfId="11017" xr:uid="{5B12806D-678E-4A20-93A0-0CA9C39928B2}"/>
    <cellStyle name="Normal 4 2 2 4 2 2 7" xfId="4728" xr:uid="{00000000-0005-0000-0000-0000A7120000}"/>
    <cellStyle name="Normal 4 2 2 4 2 2 7 2" xfId="13170" xr:uid="{8BB2326B-2BDB-4B38-9F00-773E7D3EDF74}"/>
    <cellStyle name="Normal 4 2 2 4 2 2 8" xfId="8952" xr:uid="{69E51FFC-C686-4BD8-9211-8CEA90EA3429}"/>
    <cellStyle name="Normal 4 2 2 4 2 3" xfId="825" xr:uid="{00000000-0005-0000-0000-0000A8120000}"/>
    <cellStyle name="Normal 4 2 2 4 2 3 2" xfId="3062" xr:uid="{00000000-0005-0000-0000-0000A9120000}"/>
    <cellStyle name="Normal 4 2 2 4 2 3 2 2" xfId="7285" xr:uid="{00000000-0005-0000-0000-0000AA120000}"/>
    <cellStyle name="Normal 4 2 2 4 2 3 2 2 2" xfId="15727" xr:uid="{8062F8C0-F435-4D2A-A263-F64BBBA96450}"/>
    <cellStyle name="Normal 4 2 2 4 2 3 2 3" xfId="11509" xr:uid="{E5983DB7-B163-4367-BF44-3E4B59266962}"/>
    <cellStyle name="Normal 4 2 2 4 2 3 3" xfId="5140" xr:uid="{00000000-0005-0000-0000-0000AB120000}"/>
    <cellStyle name="Normal 4 2 2 4 2 3 3 2" xfId="13582" xr:uid="{05EE4AEF-153C-4BF2-8497-82B539F3C3BA}"/>
    <cellStyle name="Normal 4 2 2 4 2 3 4" xfId="9364" xr:uid="{0EF022CA-8BD7-4290-8212-CCFB214B066A}"/>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2 2 2" xfId="16140" xr:uid="{7EC77101-BDBA-44D0-8CBE-ED8C07EB5713}"/>
    <cellStyle name="Normal 4 2 2 4 2 4 2 3" xfId="11922" xr:uid="{B92C87E3-9F3A-40B0-AA99-C57D1D9426FE}"/>
    <cellStyle name="Normal 4 2 2 4 2 4 3" xfId="5553" xr:uid="{00000000-0005-0000-0000-0000AF120000}"/>
    <cellStyle name="Normal 4 2 2 4 2 4 3 2" xfId="13995" xr:uid="{1D657520-3128-4DEC-BEA5-99875EC90457}"/>
    <cellStyle name="Normal 4 2 2 4 2 4 4" xfId="9777" xr:uid="{8F5BC66A-792E-4A0E-90AC-D620D0BAC10A}"/>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2 2 2" xfId="16553" xr:uid="{4A5ECC92-86FB-4909-A68F-CD2520D363FF}"/>
    <cellStyle name="Normal 4 2 2 4 2 5 2 3" xfId="12335" xr:uid="{32B7AFC1-3732-4EA7-92C2-F58756596F2C}"/>
    <cellStyle name="Normal 4 2 2 4 2 5 3" xfId="5966" xr:uid="{00000000-0005-0000-0000-0000B3120000}"/>
    <cellStyle name="Normal 4 2 2 4 2 5 3 2" xfId="14408" xr:uid="{026D203C-564E-41A5-8DD0-68CBD3B05478}"/>
    <cellStyle name="Normal 4 2 2 4 2 5 4" xfId="10190" xr:uid="{264BAFAE-98B7-4023-A0F2-CDFCE012DDB9}"/>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2 2 2" xfId="16966" xr:uid="{617D331F-0E55-44D4-B3BD-D07D9D3CAB8D}"/>
    <cellStyle name="Normal 4 2 2 4 2 6 2 3" xfId="12748" xr:uid="{66FCC424-0E20-4006-9160-CA82792EAC7E}"/>
    <cellStyle name="Normal 4 2 2 4 2 6 3" xfId="6379" xr:uid="{00000000-0005-0000-0000-0000B7120000}"/>
    <cellStyle name="Normal 4 2 2 4 2 6 3 2" xfId="14821" xr:uid="{13E3B975-CF6E-4B32-AD94-80D46FD653CB}"/>
    <cellStyle name="Normal 4 2 2 4 2 6 4" xfId="10603" xr:uid="{3C20D7FA-48A4-4958-BD4F-1A27D29A95C0}"/>
    <cellStyle name="Normal 4 2 2 4 2 7" xfId="2508" xr:uid="{00000000-0005-0000-0000-0000B8120000}"/>
    <cellStyle name="Normal 4 2 2 4 2 7 2" xfId="6792" xr:uid="{00000000-0005-0000-0000-0000B9120000}"/>
    <cellStyle name="Normal 4 2 2 4 2 7 2 2" xfId="15234" xr:uid="{251934A3-1E82-4561-A328-7579D53CBF4A}"/>
    <cellStyle name="Normal 4 2 2 4 2 7 3" xfId="11016" xr:uid="{7E5FD5E8-68D1-40CB-B415-74563B89DE75}"/>
    <cellStyle name="Normal 4 2 2 4 2 8" xfId="4727" xr:uid="{00000000-0005-0000-0000-0000BA120000}"/>
    <cellStyle name="Normal 4 2 2 4 2 8 2" xfId="13169" xr:uid="{3017F9D5-1365-4E50-A4A7-0F107AB11DC1}"/>
    <cellStyle name="Normal 4 2 2 4 2 9" xfId="8951" xr:uid="{C3BF4EC8-2EBC-4D27-A5CB-667D9DAB7004}"/>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2 2 2" xfId="15729" xr:uid="{066E252E-C9A7-4ECC-A502-F74988D5EC9B}"/>
    <cellStyle name="Normal 4 2 2 4 3 2 2 3" xfId="11511" xr:uid="{938E8F56-EB1F-4B7F-AAE4-C1D61E35BF60}"/>
    <cellStyle name="Normal 4 2 2 4 3 2 3" xfId="5142" xr:uid="{00000000-0005-0000-0000-0000BF120000}"/>
    <cellStyle name="Normal 4 2 2 4 3 2 3 2" xfId="13584" xr:uid="{B67858BB-C318-499F-9718-DD9EBE4B92F3}"/>
    <cellStyle name="Normal 4 2 2 4 3 2 4" xfId="9366" xr:uid="{569C7CE8-4B04-4F94-89AF-5DB888A68159}"/>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2 2 2" xfId="16142" xr:uid="{D442BAA9-5D6E-4A5E-B2DD-9851B9CA2E73}"/>
    <cellStyle name="Normal 4 2 2 4 3 3 2 3" xfId="11924" xr:uid="{08267B2A-A176-4941-AFA7-3EF90C5BC265}"/>
    <cellStyle name="Normal 4 2 2 4 3 3 3" xfId="5555" xr:uid="{00000000-0005-0000-0000-0000C3120000}"/>
    <cellStyle name="Normal 4 2 2 4 3 3 3 2" xfId="13997" xr:uid="{01A0C9F3-9D23-458C-8C12-BE7E555EE189}"/>
    <cellStyle name="Normal 4 2 2 4 3 3 4" xfId="9779" xr:uid="{2D72A3F0-574C-4872-A48F-FFEDF687BE45}"/>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2 2 2" xfId="16555" xr:uid="{58C5A4DD-9B61-4580-993D-4F97F26221BD}"/>
    <cellStyle name="Normal 4 2 2 4 3 4 2 3" xfId="12337" xr:uid="{B7C8D2F8-4175-49B0-849E-6F2F005DBE42}"/>
    <cellStyle name="Normal 4 2 2 4 3 4 3" xfId="5968" xr:uid="{00000000-0005-0000-0000-0000C7120000}"/>
    <cellStyle name="Normal 4 2 2 4 3 4 3 2" xfId="14410" xr:uid="{3FF53971-8EF0-41DA-867D-980946724BE3}"/>
    <cellStyle name="Normal 4 2 2 4 3 4 4" xfId="10192" xr:uid="{F6F82743-D387-4352-8FA3-CF7D0A36E7F5}"/>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2 2 2" xfId="16968" xr:uid="{21D32732-BC0E-414C-9278-6BD5039856D2}"/>
    <cellStyle name="Normal 4 2 2 4 3 5 2 3" xfId="12750" xr:uid="{3EAD2127-9A88-4934-AA6F-9350BC9F9F8A}"/>
    <cellStyle name="Normal 4 2 2 4 3 5 3" xfId="6381" xr:uid="{00000000-0005-0000-0000-0000CB120000}"/>
    <cellStyle name="Normal 4 2 2 4 3 5 3 2" xfId="14823" xr:uid="{DFF3FF44-B45A-4C2B-85DD-1E5B311CAEDD}"/>
    <cellStyle name="Normal 4 2 2 4 3 5 4" xfId="10605" xr:uid="{9BB6C8E0-A93F-4631-9849-192B2CF29F2C}"/>
    <cellStyle name="Normal 4 2 2 4 3 6" xfId="2510" xr:uid="{00000000-0005-0000-0000-0000CC120000}"/>
    <cellStyle name="Normal 4 2 2 4 3 6 2" xfId="6794" xr:uid="{00000000-0005-0000-0000-0000CD120000}"/>
    <cellStyle name="Normal 4 2 2 4 3 6 2 2" xfId="15236" xr:uid="{12AD7A80-4043-431B-B195-8D16B39D06E3}"/>
    <cellStyle name="Normal 4 2 2 4 3 6 3" xfId="11018" xr:uid="{70BB888A-8152-4B4D-AF0A-E378BAAF2ECE}"/>
    <cellStyle name="Normal 4 2 2 4 3 7" xfId="4729" xr:uid="{00000000-0005-0000-0000-0000CE120000}"/>
    <cellStyle name="Normal 4 2 2 4 3 7 2" xfId="13171" xr:uid="{AABEE944-CF22-4F5C-B01A-64079D113EE0}"/>
    <cellStyle name="Normal 4 2 2 4 3 8" xfId="8953" xr:uid="{2BD768AD-4A80-4D4B-8B35-0CD51BC76058}"/>
    <cellStyle name="Normal 4 2 2 4 4" xfId="824" xr:uid="{00000000-0005-0000-0000-0000CF120000}"/>
    <cellStyle name="Normal 4 2 2 4 4 2" xfId="3061" xr:uid="{00000000-0005-0000-0000-0000D0120000}"/>
    <cellStyle name="Normal 4 2 2 4 4 2 2" xfId="7284" xr:uid="{00000000-0005-0000-0000-0000D1120000}"/>
    <cellStyle name="Normal 4 2 2 4 4 2 2 2" xfId="15726" xr:uid="{845E8FF9-3F37-411D-A8CB-6CA8DDCE5AAE}"/>
    <cellStyle name="Normal 4 2 2 4 4 2 3" xfId="11508" xr:uid="{978F9476-D676-4736-9AD3-B9D4E650C678}"/>
    <cellStyle name="Normal 4 2 2 4 4 3" xfId="5139" xr:uid="{00000000-0005-0000-0000-0000D2120000}"/>
    <cellStyle name="Normal 4 2 2 4 4 3 2" xfId="13581" xr:uid="{69CDD134-5DAD-4CD1-8C7A-7ED8D1111AB7}"/>
    <cellStyle name="Normal 4 2 2 4 4 4" xfId="9363" xr:uid="{D03D8DBC-6016-4E48-B20C-5D5F1FE3E7D1}"/>
    <cellStyle name="Normal 4 2 2 4 5" xfId="1244" xr:uid="{00000000-0005-0000-0000-0000D3120000}"/>
    <cellStyle name="Normal 4 2 2 4 5 2" xfId="3474" xr:uid="{00000000-0005-0000-0000-0000D4120000}"/>
    <cellStyle name="Normal 4 2 2 4 5 2 2" xfId="7697" xr:uid="{00000000-0005-0000-0000-0000D5120000}"/>
    <cellStyle name="Normal 4 2 2 4 5 2 2 2" xfId="16139" xr:uid="{D0805CBE-6742-4C2D-9F85-860162839CDE}"/>
    <cellStyle name="Normal 4 2 2 4 5 2 3" xfId="11921" xr:uid="{39B286EC-4850-4336-A734-41BD50F147F4}"/>
    <cellStyle name="Normal 4 2 2 4 5 3" xfId="5552" xr:uid="{00000000-0005-0000-0000-0000D6120000}"/>
    <cellStyle name="Normal 4 2 2 4 5 3 2" xfId="13994" xr:uid="{7FA94AE4-A8EC-4F3B-9DCA-C163D661A97E}"/>
    <cellStyle name="Normal 4 2 2 4 5 4" xfId="9776" xr:uid="{53EB0821-3658-4A80-A12F-4FB4C55412BB}"/>
    <cellStyle name="Normal 4 2 2 4 6" xfId="1657" xr:uid="{00000000-0005-0000-0000-0000D7120000}"/>
    <cellStyle name="Normal 4 2 2 4 6 2" xfId="3887" xr:uid="{00000000-0005-0000-0000-0000D8120000}"/>
    <cellStyle name="Normal 4 2 2 4 6 2 2" xfId="8110" xr:uid="{00000000-0005-0000-0000-0000D9120000}"/>
    <cellStyle name="Normal 4 2 2 4 6 2 2 2" xfId="16552" xr:uid="{4FAB7A10-E935-43EB-AD02-F88C91F4AD30}"/>
    <cellStyle name="Normal 4 2 2 4 6 2 3" xfId="12334" xr:uid="{3F6382E2-243A-4DF7-AF6B-ACC80E7EEFF1}"/>
    <cellStyle name="Normal 4 2 2 4 6 3" xfId="5965" xr:uid="{00000000-0005-0000-0000-0000DA120000}"/>
    <cellStyle name="Normal 4 2 2 4 6 3 2" xfId="14407" xr:uid="{C8E84666-737B-4837-A453-FD808E919444}"/>
    <cellStyle name="Normal 4 2 2 4 6 4" xfId="10189" xr:uid="{6A3FECC3-0FBA-460B-99A9-2647544F940D}"/>
    <cellStyle name="Normal 4 2 2 4 7" xfId="2071" xr:uid="{00000000-0005-0000-0000-0000DB120000}"/>
    <cellStyle name="Normal 4 2 2 4 7 2" xfId="4300" xr:uid="{00000000-0005-0000-0000-0000DC120000}"/>
    <cellStyle name="Normal 4 2 2 4 7 2 2" xfId="8523" xr:uid="{00000000-0005-0000-0000-0000DD120000}"/>
    <cellStyle name="Normal 4 2 2 4 7 2 2 2" xfId="16965" xr:uid="{0BF6B99F-296C-4B35-8400-AF9C3B4F7C3D}"/>
    <cellStyle name="Normal 4 2 2 4 7 2 3" xfId="12747" xr:uid="{2036983F-05BF-4ABF-AC11-0515BD8C5B29}"/>
    <cellStyle name="Normal 4 2 2 4 7 3" xfId="6378" xr:uid="{00000000-0005-0000-0000-0000DE120000}"/>
    <cellStyle name="Normal 4 2 2 4 7 3 2" xfId="14820" xr:uid="{B340254F-6C8E-47FD-8754-7B27D8B08E41}"/>
    <cellStyle name="Normal 4 2 2 4 7 4" xfId="10602" xr:uid="{C70B5CA3-0290-4522-B379-623D872F1B70}"/>
    <cellStyle name="Normal 4 2 2 4 8" xfId="2507" xr:uid="{00000000-0005-0000-0000-0000DF120000}"/>
    <cellStyle name="Normal 4 2 2 4 8 2" xfId="6791" xr:uid="{00000000-0005-0000-0000-0000E0120000}"/>
    <cellStyle name="Normal 4 2 2 4 8 2 2" xfId="15233" xr:uid="{445DAB38-9949-4D88-AF60-D02D7648ED34}"/>
    <cellStyle name="Normal 4 2 2 4 8 3" xfId="11015" xr:uid="{A69EE578-9FBC-41E9-944B-32E727185677}"/>
    <cellStyle name="Normal 4 2 2 4 9" xfId="4726" xr:uid="{00000000-0005-0000-0000-0000E1120000}"/>
    <cellStyle name="Normal 4 2 2 4 9 2" xfId="13168" xr:uid="{06918641-1C11-4D4F-9394-126D6B20C688}"/>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2 2 2" xfId="15731" xr:uid="{30EC6A13-8950-4CEE-9958-BDB07B9731F8}"/>
    <cellStyle name="Normal 4 2 2 5 2 2 2 3" xfId="11513" xr:uid="{9BCCBCDC-366C-49A5-9BC3-4B1E2706FBD9}"/>
    <cellStyle name="Normal 4 2 2 5 2 2 3" xfId="5144" xr:uid="{00000000-0005-0000-0000-0000E7120000}"/>
    <cellStyle name="Normal 4 2 2 5 2 2 3 2" xfId="13586" xr:uid="{AD951B5D-8F52-4175-A751-C827EBD424AF}"/>
    <cellStyle name="Normal 4 2 2 5 2 2 4" xfId="9368" xr:uid="{EA7FB2F5-99DE-4C27-942E-C3E549ECC40F}"/>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2 2 2" xfId="16144" xr:uid="{71E861BC-6F74-4C32-84C4-527EB8EEB2A4}"/>
    <cellStyle name="Normal 4 2 2 5 2 3 2 3" xfId="11926" xr:uid="{0D937A92-6AEC-46B0-A811-735E7E2D073A}"/>
    <cellStyle name="Normal 4 2 2 5 2 3 3" xfId="5557" xr:uid="{00000000-0005-0000-0000-0000EB120000}"/>
    <cellStyle name="Normal 4 2 2 5 2 3 3 2" xfId="13999" xr:uid="{410B4F44-3AFE-4B03-9EB0-57FDDC6F25FE}"/>
    <cellStyle name="Normal 4 2 2 5 2 3 4" xfId="9781" xr:uid="{60C4DE75-60F3-4BF0-B340-35CC5E9D93FD}"/>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2 2 2" xfId="16557" xr:uid="{3CC420E4-8E07-40A7-965B-624EC8130A4B}"/>
    <cellStyle name="Normal 4 2 2 5 2 4 2 3" xfId="12339" xr:uid="{D28DE67C-6DB2-4012-8CCE-307F2FDE181F}"/>
    <cellStyle name="Normal 4 2 2 5 2 4 3" xfId="5970" xr:uid="{00000000-0005-0000-0000-0000EF120000}"/>
    <cellStyle name="Normal 4 2 2 5 2 4 3 2" xfId="14412" xr:uid="{AC2481FB-DBD9-4271-AD2D-6AB67081C362}"/>
    <cellStyle name="Normal 4 2 2 5 2 4 4" xfId="10194" xr:uid="{3FAA0648-FCFD-4F61-A87E-4E9216F34077}"/>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2 2 2" xfId="16970" xr:uid="{337A82B1-D97E-45CA-992B-17F4D7FC105C}"/>
    <cellStyle name="Normal 4 2 2 5 2 5 2 3" xfId="12752" xr:uid="{563CE763-2898-4D1D-9B6D-87ED82A63649}"/>
    <cellStyle name="Normal 4 2 2 5 2 5 3" xfId="6383" xr:uid="{00000000-0005-0000-0000-0000F3120000}"/>
    <cellStyle name="Normal 4 2 2 5 2 5 3 2" xfId="14825" xr:uid="{F12377A0-548F-4F72-BA04-D0C6FD30EC00}"/>
    <cellStyle name="Normal 4 2 2 5 2 5 4" xfId="10607" xr:uid="{52B9E79F-05CD-4236-AAFE-9F4D6336984D}"/>
    <cellStyle name="Normal 4 2 2 5 2 6" xfId="2512" xr:uid="{00000000-0005-0000-0000-0000F4120000}"/>
    <cellStyle name="Normal 4 2 2 5 2 6 2" xfId="6796" xr:uid="{00000000-0005-0000-0000-0000F5120000}"/>
    <cellStyle name="Normal 4 2 2 5 2 6 2 2" xfId="15238" xr:uid="{5D7788E6-7D0C-4339-9180-428071EBA82B}"/>
    <cellStyle name="Normal 4 2 2 5 2 6 3" xfId="11020" xr:uid="{CC72ACD6-7550-4138-BDE3-0EC22E5A7B05}"/>
    <cellStyle name="Normal 4 2 2 5 2 7" xfId="4731" xr:uid="{00000000-0005-0000-0000-0000F6120000}"/>
    <cellStyle name="Normal 4 2 2 5 2 7 2" xfId="13173" xr:uid="{B07CEC9F-F8B4-4565-9BF8-D37368C4EA13}"/>
    <cellStyle name="Normal 4 2 2 5 2 8" xfId="8955" xr:uid="{EF453AF6-6AEE-4DEC-8560-668D054838E0}"/>
    <cellStyle name="Normal 4 2 2 5 3" xfId="828" xr:uid="{00000000-0005-0000-0000-0000F7120000}"/>
    <cellStyle name="Normal 4 2 2 5 3 2" xfId="3065" xr:uid="{00000000-0005-0000-0000-0000F8120000}"/>
    <cellStyle name="Normal 4 2 2 5 3 2 2" xfId="7288" xr:uid="{00000000-0005-0000-0000-0000F9120000}"/>
    <cellStyle name="Normal 4 2 2 5 3 2 2 2" xfId="15730" xr:uid="{91A41C7E-1837-407D-9AEA-0469459950C4}"/>
    <cellStyle name="Normal 4 2 2 5 3 2 3" xfId="11512" xr:uid="{0457CD8F-1785-4DB5-BCC4-A8197C8E911D}"/>
    <cellStyle name="Normal 4 2 2 5 3 3" xfId="5143" xr:uid="{00000000-0005-0000-0000-0000FA120000}"/>
    <cellStyle name="Normal 4 2 2 5 3 3 2" xfId="13585" xr:uid="{DA53F816-8C73-4E71-8468-F7D24133B548}"/>
    <cellStyle name="Normal 4 2 2 5 3 4" xfId="9367" xr:uid="{FC995C1A-1AD8-4BAC-B55F-02178A7ED7F9}"/>
    <cellStyle name="Normal 4 2 2 5 4" xfId="1248" xr:uid="{00000000-0005-0000-0000-0000FB120000}"/>
    <cellStyle name="Normal 4 2 2 5 4 2" xfId="3478" xr:uid="{00000000-0005-0000-0000-0000FC120000}"/>
    <cellStyle name="Normal 4 2 2 5 4 2 2" xfId="7701" xr:uid="{00000000-0005-0000-0000-0000FD120000}"/>
    <cellStyle name="Normal 4 2 2 5 4 2 2 2" xfId="16143" xr:uid="{E635E2BE-5FD1-4AA5-B185-2BB75E9FA6F4}"/>
    <cellStyle name="Normal 4 2 2 5 4 2 3" xfId="11925" xr:uid="{79D53B63-ED0C-4429-9A7F-43A4B23E5E59}"/>
    <cellStyle name="Normal 4 2 2 5 4 3" xfId="5556" xr:uid="{00000000-0005-0000-0000-0000FE120000}"/>
    <cellStyle name="Normal 4 2 2 5 4 3 2" xfId="13998" xr:uid="{7C7040E3-4984-45D9-9D10-55E865CAC1B9}"/>
    <cellStyle name="Normal 4 2 2 5 4 4" xfId="9780" xr:uid="{427640C5-F973-44E0-9D16-9C5BDFAF364C}"/>
    <cellStyle name="Normal 4 2 2 5 5" xfId="1661" xr:uid="{00000000-0005-0000-0000-0000FF120000}"/>
    <cellStyle name="Normal 4 2 2 5 5 2" xfId="3891" xr:uid="{00000000-0005-0000-0000-000000130000}"/>
    <cellStyle name="Normal 4 2 2 5 5 2 2" xfId="8114" xr:uid="{00000000-0005-0000-0000-000001130000}"/>
    <cellStyle name="Normal 4 2 2 5 5 2 2 2" xfId="16556" xr:uid="{153C9ABC-351E-4076-8446-F7C9102A260C}"/>
    <cellStyle name="Normal 4 2 2 5 5 2 3" xfId="12338" xr:uid="{67B18BB1-693A-4734-8023-98BCDBEB29D9}"/>
    <cellStyle name="Normal 4 2 2 5 5 3" xfId="5969" xr:uid="{00000000-0005-0000-0000-000002130000}"/>
    <cellStyle name="Normal 4 2 2 5 5 3 2" xfId="14411" xr:uid="{CD8641E1-C725-4BD7-B65E-0A11FD6EB971}"/>
    <cellStyle name="Normal 4 2 2 5 5 4" xfId="10193" xr:uid="{365D03B0-EE99-4ED1-8336-B0963B9A27C1}"/>
    <cellStyle name="Normal 4 2 2 5 6" xfId="2075" xr:uid="{00000000-0005-0000-0000-000003130000}"/>
    <cellStyle name="Normal 4 2 2 5 6 2" xfId="4304" xr:uid="{00000000-0005-0000-0000-000004130000}"/>
    <cellStyle name="Normal 4 2 2 5 6 2 2" xfId="8527" xr:uid="{00000000-0005-0000-0000-000005130000}"/>
    <cellStyle name="Normal 4 2 2 5 6 2 2 2" xfId="16969" xr:uid="{A55A8D8E-73D4-41E8-95E1-8D56CD1AB9DB}"/>
    <cellStyle name="Normal 4 2 2 5 6 2 3" xfId="12751" xr:uid="{788B2E56-DE7B-4645-AA05-7A4E8A73FFBD}"/>
    <cellStyle name="Normal 4 2 2 5 6 3" xfId="6382" xr:uid="{00000000-0005-0000-0000-000006130000}"/>
    <cellStyle name="Normal 4 2 2 5 6 3 2" xfId="14824" xr:uid="{D9807559-5E7D-40B4-B52E-FBBA65845A9A}"/>
    <cellStyle name="Normal 4 2 2 5 6 4" xfId="10606" xr:uid="{C328C879-503F-4C60-8F42-7CABE448481B}"/>
    <cellStyle name="Normal 4 2 2 5 7" xfId="2511" xr:uid="{00000000-0005-0000-0000-000007130000}"/>
    <cellStyle name="Normal 4 2 2 5 7 2" xfId="6795" xr:uid="{00000000-0005-0000-0000-000008130000}"/>
    <cellStyle name="Normal 4 2 2 5 7 2 2" xfId="15237" xr:uid="{F8694BAD-60FB-4E71-9F18-D0C679FDF944}"/>
    <cellStyle name="Normal 4 2 2 5 7 3" xfId="11019" xr:uid="{A6661EA4-B577-41AA-A77A-2E5E0FF21AEA}"/>
    <cellStyle name="Normal 4 2 2 5 8" xfId="4730" xr:uid="{00000000-0005-0000-0000-000009130000}"/>
    <cellStyle name="Normal 4 2 2 5 8 2" xfId="13172" xr:uid="{5A9F01C7-B193-4925-9E6E-1E3156F16C47}"/>
    <cellStyle name="Normal 4 2 2 5 9" xfId="8954" xr:uid="{35335B8D-94D2-4C12-8A4B-8C58BC657A96}"/>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2 2 2" xfId="15732" xr:uid="{E49A8B7E-BD0D-4124-9AF1-FBB2A5426B89}"/>
    <cellStyle name="Normal 4 2 2 6 2 2 3" xfId="11514" xr:uid="{D6460A37-0B70-4DD7-8D62-18354CEDF002}"/>
    <cellStyle name="Normal 4 2 2 6 2 3" xfId="5145" xr:uid="{00000000-0005-0000-0000-00000E130000}"/>
    <cellStyle name="Normal 4 2 2 6 2 3 2" xfId="13587" xr:uid="{7B7025BC-1F91-4553-894D-8837032E31C7}"/>
    <cellStyle name="Normal 4 2 2 6 2 4" xfId="9369" xr:uid="{B8BB091A-8D12-40FB-BEFF-C53192341BDF}"/>
    <cellStyle name="Normal 4 2 2 6 3" xfId="1250" xr:uid="{00000000-0005-0000-0000-00000F130000}"/>
    <cellStyle name="Normal 4 2 2 6 3 2" xfId="3480" xr:uid="{00000000-0005-0000-0000-000010130000}"/>
    <cellStyle name="Normal 4 2 2 6 3 2 2" xfId="7703" xr:uid="{00000000-0005-0000-0000-000011130000}"/>
    <cellStyle name="Normal 4 2 2 6 3 2 2 2" xfId="16145" xr:uid="{8DBD5D3F-93E8-4BEC-9358-A3B64B4DB0BB}"/>
    <cellStyle name="Normal 4 2 2 6 3 2 3" xfId="11927" xr:uid="{79F06F90-873E-4768-A9B4-CD99C79BC2CB}"/>
    <cellStyle name="Normal 4 2 2 6 3 3" xfId="5558" xr:uid="{00000000-0005-0000-0000-000012130000}"/>
    <cellStyle name="Normal 4 2 2 6 3 3 2" xfId="14000" xr:uid="{3E1DC5FA-F536-42DD-896B-E7AA98D5C0F5}"/>
    <cellStyle name="Normal 4 2 2 6 3 4" xfId="9782" xr:uid="{0EB78A52-79F3-471C-9F0F-BA13119A0751}"/>
    <cellStyle name="Normal 4 2 2 6 4" xfId="1663" xr:uid="{00000000-0005-0000-0000-000013130000}"/>
    <cellStyle name="Normal 4 2 2 6 4 2" xfId="3893" xr:uid="{00000000-0005-0000-0000-000014130000}"/>
    <cellStyle name="Normal 4 2 2 6 4 2 2" xfId="8116" xr:uid="{00000000-0005-0000-0000-000015130000}"/>
    <cellStyle name="Normal 4 2 2 6 4 2 2 2" xfId="16558" xr:uid="{F67DE540-46C2-44E6-9FB0-100B661BC0F2}"/>
    <cellStyle name="Normal 4 2 2 6 4 2 3" xfId="12340" xr:uid="{DE462434-80F0-489E-8293-7E66E1FBFD2B}"/>
    <cellStyle name="Normal 4 2 2 6 4 3" xfId="5971" xr:uid="{00000000-0005-0000-0000-000016130000}"/>
    <cellStyle name="Normal 4 2 2 6 4 3 2" xfId="14413" xr:uid="{AA2FDD20-2DAD-4012-B897-EA035AA35E15}"/>
    <cellStyle name="Normal 4 2 2 6 4 4" xfId="10195" xr:uid="{7C9D95D4-89B0-46C7-82D7-CA6AFE5186C9}"/>
    <cellStyle name="Normal 4 2 2 6 5" xfId="2077" xr:uid="{00000000-0005-0000-0000-000017130000}"/>
    <cellStyle name="Normal 4 2 2 6 5 2" xfId="4306" xr:uid="{00000000-0005-0000-0000-000018130000}"/>
    <cellStyle name="Normal 4 2 2 6 5 2 2" xfId="8529" xr:uid="{00000000-0005-0000-0000-000019130000}"/>
    <cellStyle name="Normal 4 2 2 6 5 2 2 2" xfId="16971" xr:uid="{C3023602-4C58-4F1D-8200-56C2CAE11EC6}"/>
    <cellStyle name="Normal 4 2 2 6 5 2 3" xfId="12753" xr:uid="{076DCC68-F80E-4613-B10A-272028E51C61}"/>
    <cellStyle name="Normal 4 2 2 6 5 3" xfId="6384" xr:uid="{00000000-0005-0000-0000-00001A130000}"/>
    <cellStyle name="Normal 4 2 2 6 5 3 2" xfId="14826" xr:uid="{14F732B4-26A5-43AB-8D68-19D7A5F39C6C}"/>
    <cellStyle name="Normal 4 2 2 6 5 4" xfId="10608" xr:uid="{9B296B68-B25C-4497-B7FF-53C2CD6B9C24}"/>
    <cellStyle name="Normal 4 2 2 6 6" xfId="2513" xr:uid="{00000000-0005-0000-0000-00001B130000}"/>
    <cellStyle name="Normal 4 2 2 6 6 2" xfId="6797" xr:uid="{00000000-0005-0000-0000-00001C130000}"/>
    <cellStyle name="Normal 4 2 2 6 6 2 2" xfId="15239" xr:uid="{0CCC4E96-62E2-4400-A2A2-343897556BB1}"/>
    <cellStyle name="Normal 4 2 2 6 6 3" xfId="11021" xr:uid="{71026FB1-A592-4407-9384-8D8D9A830A06}"/>
    <cellStyle name="Normal 4 2 2 6 7" xfId="4732" xr:uid="{00000000-0005-0000-0000-00001D130000}"/>
    <cellStyle name="Normal 4 2 2 6 7 2" xfId="13174" xr:uid="{AF32E2F8-93D7-4661-90BE-74FDDBC1B1AB}"/>
    <cellStyle name="Normal 4 2 2 6 8" xfId="8956" xr:uid="{E936790F-BF5E-4409-A95A-6F6A024001A5}"/>
    <cellStyle name="Normal 4 2 2 7" xfId="815" xr:uid="{00000000-0005-0000-0000-00001E130000}"/>
    <cellStyle name="Normal 4 2 2 7 2" xfId="3052" xr:uid="{00000000-0005-0000-0000-00001F130000}"/>
    <cellStyle name="Normal 4 2 2 7 2 2" xfId="7275" xr:uid="{00000000-0005-0000-0000-000020130000}"/>
    <cellStyle name="Normal 4 2 2 7 2 2 2" xfId="15717" xr:uid="{C17C2EDC-111F-457F-B6BA-CA1836490ADB}"/>
    <cellStyle name="Normal 4 2 2 7 2 3" xfId="11499" xr:uid="{0730A1F8-1EFE-4878-B944-AE7EF516F2E1}"/>
    <cellStyle name="Normal 4 2 2 7 3" xfId="5130" xr:uid="{00000000-0005-0000-0000-000021130000}"/>
    <cellStyle name="Normal 4 2 2 7 3 2" xfId="13572" xr:uid="{9C3FE523-80E2-4766-89F2-884FF68DEAE2}"/>
    <cellStyle name="Normal 4 2 2 7 4" xfId="9354" xr:uid="{519FEA9D-2BB9-4E7D-BD53-7E8C5927FA94}"/>
    <cellStyle name="Normal 4 2 2 8" xfId="1235" xr:uid="{00000000-0005-0000-0000-000022130000}"/>
    <cellStyle name="Normal 4 2 2 8 2" xfId="3465" xr:uid="{00000000-0005-0000-0000-000023130000}"/>
    <cellStyle name="Normal 4 2 2 8 2 2" xfId="7688" xr:uid="{00000000-0005-0000-0000-000024130000}"/>
    <cellStyle name="Normal 4 2 2 8 2 2 2" xfId="16130" xr:uid="{59D4BA76-F60F-46FB-AEB1-570C707549C8}"/>
    <cellStyle name="Normal 4 2 2 8 2 3" xfId="11912" xr:uid="{ABCE5E48-2854-410F-9699-5F7753022D43}"/>
    <cellStyle name="Normal 4 2 2 8 3" xfId="5543" xr:uid="{00000000-0005-0000-0000-000025130000}"/>
    <cellStyle name="Normal 4 2 2 8 3 2" xfId="13985" xr:uid="{4CE9D604-D0BC-4E7D-973C-C1E3D5BA45A5}"/>
    <cellStyle name="Normal 4 2 2 8 4" xfId="9767" xr:uid="{5374FA72-58B1-4377-83E6-FEA9544863D6}"/>
    <cellStyle name="Normal 4 2 2 9" xfId="1648" xr:uid="{00000000-0005-0000-0000-000026130000}"/>
    <cellStyle name="Normal 4 2 2 9 2" xfId="3878" xr:uid="{00000000-0005-0000-0000-000027130000}"/>
    <cellStyle name="Normal 4 2 2 9 2 2" xfId="8101" xr:uid="{00000000-0005-0000-0000-000028130000}"/>
    <cellStyle name="Normal 4 2 2 9 2 2 2" xfId="16543" xr:uid="{E0F87972-283A-4357-8862-B1EA503BC545}"/>
    <cellStyle name="Normal 4 2 2 9 2 3" xfId="12325" xr:uid="{5D753303-380C-4B44-9D2A-7D04372BBE4F}"/>
    <cellStyle name="Normal 4 2 2 9 3" xfId="5956" xr:uid="{00000000-0005-0000-0000-000029130000}"/>
    <cellStyle name="Normal 4 2 2 9 3 2" xfId="14398" xr:uid="{7ABA9132-EB27-4BCD-BFAA-240BB0002B64}"/>
    <cellStyle name="Normal 4 2 2 9 4" xfId="10180" xr:uid="{D3735596-8B31-42AC-BB13-E35EE6265748}"/>
    <cellStyle name="Normal 4 2 3" xfId="354" xr:uid="{00000000-0005-0000-0000-00002A130000}"/>
    <cellStyle name="Normal 4 2 4" xfId="355" xr:uid="{00000000-0005-0000-0000-00002B130000}"/>
    <cellStyle name="Normal 4 2 4 10" xfId="4733" xr:uid="{00000000-0005-0000-0000-00002C130000}"/>
    <cellStyle name="Normal 4 2 4 10 2" xfId="13175" xr:uid="{760B5BA9-857C-497B-A044-43D3EFAA20BC}"/>
    <cellStyle name="Normal 4 2 4 11" xfId="8957" xr:uid="{8F9C223C-9B96-4EED-A43C-AADB4C4FC017}"/>
    <cellStyle name="Normal 4 2 4 2" xfId="356" xr:uid="{00000000-0005-0000-0000-00002D130000}"/>
    <cellStyle name="Normal 4 2 4 2 10" xfId="8958" xr:uid="{CF175F93-3B48-4A20-8050-9713BC385917}"/>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2 2 2" xfId="15736" xr:uid="{605F7DDA-9B90-437A-B9EB-56350A7E9A6D}"/>
    <cellStyle name="Normal 4 2 4 2 2 2 2 2 3" xfId="11518" xr:uid="{4E116D88-BF41-4637-8025-A9B1FFA6271F}"/>
    <cellStyle name="Normal 4 2 4 2 2 2 2 3" xfId="5149" xr:uid="{00000000-0005-0000-0000-000033130000}"/>
    <cellStyle name="Normal 4 2 4 2 2 2 2 3 2" xfId="13591" xr:uid="{AB0FDD98-A120-4D19-8864-83748EFD902B}"/>
    <cellStyle name="Normal 4 2 4 2 2 2 2 4" xfId="9373" xr:uid="{F3DB8F09-3083-4F83-A421-5F0EE26CA188}"/>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2 2 2" xfId="16149" xr:uid="{F88DE04F-871F-456B-A6BA-836D4E8E8519}"/>
    <cellStyle name="Normal 4 2 4 2 2 2 3 2 3" xfId="11931" xr:uid="{892E2925-9B8C-492A-BF48-7551FD52ACE1}"/>
    <cellStyle name="Normal 4 2 4 2 2 2 3 3" xfId="5562" xr:uid="{00000000-0005-0000-0000-000037130000}"/>
    <cellStyle name="Normal 4 2 4 2 2 2 3 3 2" xfId="14004" xr:uid="{DEE48647-286E-4CF1-AF85-F17321ACE086}"/>
    <cellStyle name="Normal 4 2 4 2 2 2 3 4" xfId="9786" xr:uid="{FC2F262D-3432-446D-9204-B6A49E0BC177}"/>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2 2 2" xfId="16562" xr:uid="{313730E6-37D4-4439-B5CF-5B7356D86C53}"/>
    <cellStyle name="Normal 4 2 4 2 2 2 4 2 3" xfId="12344" xr:uid="{03BCA2E4-6BC6-487E-810F-DA826CEF11FA}"/>
    <cellStyle name="Normal 4 2 4 2 2 2 4 3" xfId="5975" xr:uid="{00000000-0005-0000-0000-00003B130000}"/>
    <cellStyle name="Normal 4 2 4 2 2 2 4 3 2" xfId="14417" xr:uid="{DF2C8047-C9B2-4706-B2CC-988F8168DEC1}"/>
    <cellStyle name="Normal 4 2 4 2 2 2 4 4" xfId="10199" xr:uid="{449F6562-EB37-4004-86B3-CC5A0C268184}"/>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2 2 2" xfId="16975" xr:uid="{BACCE07E-0C4F-4A4D-80D1-4F41C03EF787}"/>
    <cellStyle name="Normal 4 2 4 2 2 2 5 2 3" xfId="12757" xr:uid="{849AECDE-7FC2-4341-8309-355C97D65F4E}"/>
    <cellStyle name="Normal 4 2 4 2 2 2 5 3" xfId="6388" xr:uid="{00000000-0005-0000-0000-00003F130000}"/>
    <cellStyle name="Normal 4 2 4 2 2 2 5 3 2" xfId="14830" xr:uid="{495AB737-6374-4956-9EDA-DB7FD1FBDF8B}"/>
    <cellStyle name="Normal 4 2 4 2 2 2 5 4" xfId="10612" xr:uid="{7CE7C58B-4EEC-4E76-86FE-1E06AC5B403C}"/>
    <cellStyle name="Normal 4 2 4 2 2 2 6" xfId="2517" xr:uid="{00000000-0005-0000-0000-000040130000}"/>
    <cellStyle name="Normal 4 2 4 2 2 2 6 2" xfId="6801" xr:uid="{00000000-0005-0000-0000-000041130000}"/>
    <cellStyle name="Normal 4 2 4 2 2 2 6 2 2" xfId="15243" xr:uid="{619AC438-2FF0-437B-8A89-EF6F02BB1CBA}"/>
    <cellStyle name="Normal 4 2 4 2 2 2 6 3" xfId="11025" xr:uid="{AF95A9B2-5214-466A-85D6-794D475D4934}"/>
    <cellStyle name="Normal 4 2 4 2 2 2 7" xfId="4736" xr:uid="{00000000-0005-0000-0000-000042130000}"/>
    <cellStyle name="Normal 4 2 4 2 2 2 7 2" xfId="13178" xr:uid="{A778C72E-318B-4195-9B87-C1E6B51FAAAC}"/>
    <cellStyle name="Normal 4 2 4 2 2 2 8" xfId="8960" xr:uid="{E51BD3E7-E7DC-4272-A085-07CEADA2A266}"/>
    <cellStyle name="Normal 4 2 4 2 2 3" xfId="833" xr:uid="{00000000-0005-0000-0000-000043130000}"/>
    <cellStyle name="Normal 4 2 4 2 2 3 2" xfId="3070" xr:uid="{00000000-0005-0000-0000-000044130000}"/>
    <cellStyle name="Normal 4 2 4 2 2 3 2 2" xfId="7293" xr:uid="{00000000-0005-0000-0000-000045130000}"/>
    <cellStyle name="Normal 4 2 4 2 2 3 2 2 2" xfId="15735" xr:uid="{427454E5-F5BF-460D-88D5-151AAD5B7049}"/>
    <cellStyle name="Normal 4 2 4 2 2 3 2 3" xfId="11517" xr:uid="{90014E1C-B755-4B06-939E-1CCE8BCED1ED}"/>
    <cellStyle name="Normal 4 2 4 2 2 3 3" xfId="5148" xr:uid="{00000000-0005-0000-0000-000046130000}"/>
    <cellStyle name="Normal 4 2 4 2 2 3 3 2" xfId="13590" xr:uid="{5E489376-3CFF-4CEA-BDB1-00DBF3EAB55A}"/>
    <cellStyle name="Normal 4 2 4 2 2 3 4" xfId="9372" xr:uid="{A4B41A5F-0F8E-499D-9899-A0BF9A35EB19}"/>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2 2 2" xfId="16148" xr:uid="{84AFBDC0-B1C7-41A0-9278-E172EB827715}"/>
    <cellStyle name="Normal 4 2 4 2 2 4 2 3" xfId="11930" xr:uid="{BFAE6B08-3BEA-4CF1-8C31-973CAC7C3538}"/>
    <cellStyle name="Normal 4 2 4 2 2 4 3" xfId="5561" xr:uid="{00000000-0005-0000-0000-00004A130000}"/>
    <cellStyle name="Normal 4 2 4 2 2 4 3 2" xfId="14003" xr:uid="{E1E97FAA-EA36-4856-8593-99C81CD4A525}"/>
    <cellStyle name="Normal 4 2 4 2 2 4 4" xfId="9785" xr:uid="{B63B8DFD-CFFF-49AE-AE92-8BA3392C29CF}"/>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2 2 2" xfId="16561" xr:uid="{23792C41-1D54-44D6-92B3-EF21AC4C9279}"/>
    <cellStyle name="Normal 4 2 4 2 2 5 2 3" xfId="12343" xr:uid="{EC613FFF-9ED3-4838-AB78-2490B2940B0D}"/>
    <cellStyle name="Normal 4 2 4 2 2 5 3" xfId="5974" xr:uid="{00000000-0005-0000-0000-00004E130000}"/>
    <cellStyle name="Normal 4 2 4 2 2 5 3 2" xfId="14416" xr:uid="{C0EE462B-0621-48DA-BDDA-3BD14037952E}"/>
    <cellStyle name="Normal 4 2 4 2 2 5 4" xfId="10198" xr:uid="{FEADE4FE-39B4-4207-B896-819279E9CCC2}"/>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2 2 2" xfId="16974" xr:uid="{71D30529-10BD-4703-A4B3-891D1A8CAFF0}"/>
    <cellStyle name="Normal 4 2 4 2 2 6 2 3" xfId="12756" xr:uid="{C1192F9C-5478-464B-85E8-4A78C9719F02}"/>
    <cellStyle name="Normal 4 2 4 2 2 6 3" xfId="6387" xr:uid="{00000000-0005-0000-0000-000052130000}"/>
    <cellStyle name="Normal 4 2 4 2 2 6 3 2" xfId="14829" xr:uid="{ABBE6A18-E224-4D78-8E8A-F2C2E5A18E80}"/>
    <cellStyle name="Normal 4 2 4 2 2 6 4" xfId="10611" xr:uid="{4A5FE5C6-D9D7-46DC-AD75-F1C581DAD766}"/>
    <cellStyle name="Normal 4 2 4 2 2 7" xfId="2516" xr:uid="{00000000-0005-0000-0000-000053130000}"/>
    <cellStyle name="Normal 4 2 4 2 2 7 2" xfId="6800" xr:uid="{00000000-0005-0000-0000-000054130000}"/>
    <cellStyle name="Normal 4 2 4 2 2 7 2 2" xfId="15242" xr:uid="{91172D00-D2F8-4D8E-BE2E-5966F2E4627B}"/>
    <cellStyle name="Normal 4 2 4 2 2 7 3" xfId="11024" xr:uid="{A673F17E-7D6F-4E27-89F3-0CE826B23690}"/>
    <cellStyle name="Normal 4 2 4 2 2 8" xfId="4735" xr:uid="{00000000-0005-0000-0000-000055130000}"/>
    <cellStyle name="Normal 4 2 4 2 2 8 2" xfId="13177" xr:uid="{4EA42459-B967-458B-97E2-F4FB5D7E11B2}"/>
    <cellStyle name="Normal 4 2 4 2 2 9" xfId="8959" xr:uid="{86AA89E8-72AF-407D-92A6-1F16EFFFAE99}"/>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2 2 2" xfId="15737" xr:uid="{97FA8C65-2B45-4D7F-B732-AB9737A4D4DB}"/>
    <cellStyle name="Normal 4 2 4 2 3 2 2 3" xfId="11519" xr:uid="{A4802072-7A7E-499B-88E5-931DB63C2352}"/>
    <cellStyle name="Normal 4 2 4 2 3 2 3" xfId="5150" xr:uid="{00000000-0005-0000-0000-00005A130000}"/>
    <cellStyle name="Normal 4 2 4 2 3 2 3 2" xfId="13592" xr:uid="{26BF1B92-4750-4284-8C2B-D9EECEC14D7E}"/>
    <cellStyle name="Normal 4 2 4 2 3 2 4" xfId="9374" xr:uid="{8052D3EB-A012-4F3E-8E60-3B7E69607FA7}"/>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2 2 2" xfId="16150" xr:uid="{8BCDEF2E-AAB7-49C4-9DF4-055455232F34}"/>
    <cellStyle name="Normal 4 2 4 2 3 3 2 3" xfId="11932" xr:uid="{42BB083B-0DE5-4E18-9225-3ABE2D1B87BC}"/>
    <cellStyle name="Normal 4 2 4 2 3 3 3" xfId="5563" xr:uid="{00000000-0005-0000-0000-00005E130000}"/>
    <cellStyle name="Normal 4 2 4 2 3 3 3 2" xfId="14005" xr:uid="{CC83F180-F780-4900-A812-AB283087689A}"/>
    <cellStyle name="Normal 4 2 4 2 3 3 4" xfId="9787" xr:uid="{5C813AFB-D654-459F-8E27-DA0508045453}"/>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2 2 2" xfId="16563" xr:uid="{F17E76E6-47C1-4620-9097-018EA224869D}"/>
    <cellStyle name="Normal 4 2 4 2 3 4 2 3" xfId="12345" xr:uid="{52CA0B8B-CA28-4D91-A18D-AB6CDD33DB94}"/>
    <cellStyle name="Normal 4 2 4 2 3 4 3" xfId="5976" xr:uid="{00000000-0005-0000-0000-000062130000}"/>
    <cellStyle name="Normal 4 2 4 2 3 4 3 2" xfId="14418" xr:uid="{0D426F8B-2613-40C7-BF63-1A2E92DE3CAF}"/>
    <cellStyle name="Normal 4 2 4 2 3 4 4" xfId="10200" xr:uid="{EB6828F6-172F-46D3-8F8C-D986A6EA694C}"/>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2 2 2" xfId="16976" xr:uid="{FA97B9AE-DAEC-483F-BFEF-CA7FA6DDA0C9}"/>
    <cellStyle name="Normal 4 2 4 2 3 5 2 3" xfId="12758" xr:uid="{3059CEE6-2422-4D62-BBAE-4150D371883C}"/>
    <cellStyle name="Normal 4 2 4 2 3 5 3" xfId="6389" xr:uid="{00000000-0005-0000-0000-000066130000}"/>
    <cellStyle name="Normal 4 2 4 2 3 5 3 2" xfId="14831" xr:uid="{28DC8392-5717-4996-B338-23E7B070471A}"/>
    <cellStyle name="Normal 4 2 4 2 3 5 4" xfId="10613" xr:uid="{B2473687-F597-4EB1-9486-BA347312E48B}"/>
    <cellStyle name="Normal 4 2 4 2 3 6" xfId="2518" xr:uid="{00000000-0005-0000-0000-000067130000}"/>
    <cellStyle name="Normal 4 2 4 2 3 6 2" xfId="6802" xr:uid="{00000000-0005-0000-0000-000068130000}"/>
    <cellStyle name="Normal 4 2 4 2 3 6 2 2" xfId="15244" xr:uid="{F043BF2C-400A-4EBB-854C-15C3BBF841CA}"/>
    <cellStyle name="Normal 4 2 4 2 3 6 3" xfId="11026" xr:uid="{B393DD8F-1458-4D48-9215-1CA2CD0C398A}"/>
    <cellStyle name="Normal 4 2 4 2 3 7" xfId="4737" xr:uid="{00000000-0005-0000-0000-000069130000}"/>
    <cellStyle name="Normal 4 2 4 2 3 7 2" xfId="13179" xr:uid="{0D767378-38FA-4536-A485-E67712D751ED}"/>
    <cellStyle name="Normal 4 2 4 2 3 8" xfId="8961" xr:uid="{C99DE875-2F3F-4A85-A47D-A227DC184828}"/>
    <cellStyle name="Normal 4 2 4 2 4" xfId="832" xr:uid="{00000000-0005-0000-0000-00006A130000}"/>
    <cellStyle name="Normal 4 2 4 2 4 2" xfId="3069" xr:uid="{00000000-0005-0000-0000-00006B130000}"/>
    <cellStyle name="Normal 4 2 4 2 4 2 2" xfId="7292" xr:uid="{00000000-0005-0000-0000-00006C130000}"/>
    <cellStyle name="Normal 4 2 4 2 4 2 2 2" xfId="15734" xr:uid="{B33E6760-DEAA-4B4B-A692-EDC2887A49BF}"/>
    <cellStyle name="Normal 4 2 4 2 4 2 3" xfId="11516" xr:uid="{254A8E0F-B650-44C6-93A1-DCBFA6D597A5}"/>
    <cellStyle name="Normal 4 2 4 2 4 3" xfId="5147" xr:uid="{00000000-0005-0000-0000-00006D130000}"/>
    <cellStyle name="Normal 4 2 4 2 4 3 2" xfId="13589" xr:uid="{8C04CE84-7A86-4098-BE1E-C6C38C6E0408}"/>
    <cellStyle name="Normal 4 2 4 2 4 4" xfId="9371" xr:uid="{AD236B93-BDB2-4A45-A984-C26E9727A309}"/>
    <cellStyle name="Normal 4 2 4 2 5" xfId="1252" xr:uid="{00000000-0005-0000-0000-00006E130000}"/>
    <cellStyle name="Normal 4 2 4 2 5 2" xfId="3482" xr:uid="{00000000-0005-0000-0000-00006F130000}"/>
    <cellStyle name="Normal 4 2 4 2 5 2 2" xfId="7705" xr:uid="{00000000-0005-0000-0000-000070130000}"/>
    <cellStyle name="Normal 4 2 4 2 5 2 2 2" xfId="16147" xr:uid="{85D3D82D-DA87-45E9-973F-8FA1A15D15E2}"/>
    <cellStyle name="Normal 4 2 4 2 5 2 3" xfId="11929" xr:uid="{A0DB341F-6182-47C4-BBDC-8BCD8B37CEBC}"/>
    <cellStyle name="Normal 4 2 4 2 5 3" xfId="5560" xr:uid="{00000000-0005-0000-0000-000071130000}"/>
    <cellStyle name="Normal 4 2 4 2 5 3 2" xfId="14002" xr:uid="{4F248FD6-8AF4-41E0-8BB2-26D16B943664}"/>
    <cellStyle name="Normal 4 2 4 2 5 4" xfId="9784" xr:uid="{B2578CA4-C5A4-48AE-B06F-38FF466F390A}"/>
    <cellStyle name="Normal 4 2 4 2 6" xfId="1665" xr:uid="{00000000-0005-0000-0000-000072130000}"/>
    <cellStyle name="Normal 4 2 4 2 6 2" xfId="3895" xr:uid="{00000000-0005-0000-0000-000073130000}"/>
    <cellStyle name="Normal 4 2 4 2 6 2 2" xfId="8118" xr:uid="{00000000-0005-0000-0000-000074130000}"/>
    <cellStyle name="Normal 4 2 4 2 6 2 2 2" xfId="16560" xr:uid="{5E38F95F-4C12-4239-904F-0D522536A689}"/>
    <cellStyle name="Normal 4 2 4 2 6 2 3" xfId="12342" xr:uid="{ACD995EF-6B91-4723-A9CF-66F7B9295F19}"/>
    <cellStyle name="Normal 4 2 4 2 6 3" xfId="5973" xr:uid="{00000000-0005-0000-0000-000075130000}"/>
    <cellStyle name="Normal 4 2 4 2 6 3 2" xfId="14415" xr:uid="{61445DC1-CA32-40F7-9150-D40F799F67AC}"/>
    <cellStyle name="Normal 4 2 4 2 6 4" xfId="10197" xr:uid="{F5C9491F-A006-4784-89F4-7F8763DB74B0}"/>
    <cellStyle name="Normal 4 2 4 2 7" xfId="2079" xr:uid="{00000000-0005-0000-0000-000076130000}"/>
    <cellStyle name="Normal 4 2 4 2 7 2" xfId="4308" xr:uid="{00000000-0005-0000-0000-000077130000}"/>
    <cellStyle name="Normal 4 2 4 2 7 2 2" xfId="8531" xr:uid="{00000000-0005-0000-0000-000078130000}"/>
    <cellStyle name="Normal 4 2 4 2 7 2 2 2" xfId="16973" xr:uid="{376C98D2-22A3-480A-A7D7-81346E075840}"/>
    <cellStyle name="Normal 4 2 4 2 7 2 3" xfId="12755" xr:uid="{530AF292-5020-4068-8A3D-820B637266E4}"/>
    <cellStyle name="Normal 4 2 4 2 7 3" xfId="6386" xr:uid="{00000000-0005-0000-0000-000079130000}"/>
    <cellStyle name="Normal 4 2 4 2 7 3 2" xfId="14828" xr:uid="{70A70BF0-60BA-48BD-BF75-6438434FB8B2}"/>
    <cellStyle name="Normal 4 2 4 2 7 4" xfId="10610" xr:uid="{C47383DA-786A-4934-AFF0-4CFEE3B090DB}"/>
    <cellStyle name="Normal 4 2 4 2 8" xfId="2515" xr:uid="{00000000-0005-0000-0000-00007A130000}"/>
    <cellStyle name="Normal 4 2 4 2 8 2" xfId="6799" xr:uid="{00000000-0005-0000-0000-00007B130000}"/>
    <cellStyle name="Normal 4 2 4 2 8 2 2" xfId="15241" xr:uid="{D0BCB6DA-02E6-45ED-8511-A20D197308FC}"/>
    <cellStyle name="Normal 4 2 4 2 8 3" xfId="11023" xr:uid="{E833C778-A327-42E6-A1D5-B67D03CE915A}"/>
    <cellStyle name="Normal 4 2 4 2 9" xfId="4734" xr:uid="{00000000-0005-0000-0000-00007C130000}"/>
    <cellStyle name="Normal 4 2 4 2 9 2" xfId="13176" xr:uid="{0A50F097-38C3-4E21-B8C8-5BCB7363FC6D}"/>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2 2 2" xfId="15739" xr:uid="{1B41E9EE-577E-4B35-BAFA-89A647EE41C7}"/>
    <cellStyle name="Normal 4 2 4 3 2 2 2 3" xfId="11521" xr:uid="{015200E8-4543-4B0D-B763-573F522610FA}"/>
    <cellStyle name="Normal 4 2 4 3 2 2 3" xfId="5152" xr:uid="{00000000-0005-0000-0000-000082130000}"/>
    <cellStyle name="Normal 4 2 4 3 2 2 3 2" xfId="13594" xr:uid="{D9DC0A33-D461-468C-B57B-7EC5969280F7}"/>
    <cellStyle name="Normal 4 2 4 3 2 2 4" xfId="9376" xr:uid="{CEAD261C-01AE-4572-AE91-31207484A79D}"/>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2 2 2" xfId="16152" xr:uid="{49D3BED6-1883-4191-B899-FDA8965D01E5}"/>
    <cellStyle name="Normal 4 2 4 3 2 3 2 3" xfId="11934" xr:uid="{875D9F82-8018-4805-A2B8-F9C329AEBD53}"/>
    <cellStyle name="Normal 4 2 4 3 2 3 3" xfId="5565" xr:uid="{00000000-0005-0000-0000-000086130000}"/>
    <cellStyle name="Normal 4 2 4 3 2 3 3 2" xfId="14007" xr:uid="{3BCCADC1-ADE2-48DE-B356-F5158631DC4A}"/>
    <cellStyle name="Normal 4 2 4 3 2 3 4" xfId="9789" xr:uid="{51EDA788-3EEE-497D-902D-6803AF13481E}"/>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2 2 2" xfId="16565" xr:uid="{B37B4AEF-8D36-443C-851C-D0011A7B8DE3}"/>
    <cellStyle name="Normal 4 2 4 3 2 4 2 3" xfId="12347" xr:uid="{96AD5A2B-078B-4F7D-8A07-520EC2485C99}"/>
    <cellStyle name="Normal 4 2 4 3 2 4 3" xfId="5978" xr:uid="{00000000-0005-0000-0000-00008A130000}"/>
    <cellStyle name="Normal 4 2 4 3 2 4 3 2" xfId="14420" xr:uid="{7F824F75-FCB5-43E5-95E5-D82A6DBE9DAB}"/>
    <cellStyle name="Normal 4 2 4 3 2 4 4" xfId="10202" xr:uid="{3C54D181-401A-455E-9CC0-6F4D30420586}"/>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2 2 2" xfId="16978" xr:uid="{73E04440-20FC-47E5-9879-04124952BEE7}"/>
    <cellStyle name="Normal 4 2 4 3 2 5 2 3" xfId="12760" xr:uid="{742372B6-5949-4738-B900-A10AB64A2BE6}"/>
    <cellStyle name="Normal 4 2 4 3 2 5 3" xfId="6391" xr:uid="{00000000-0005-0000-0000-00008E130000}"/>
    <cellStyle name="Normal 4 2 4 3 2 5 3 2" xfId="14833" xr:uid="{FA5D2D3A-55F4-4E1B-8C00-68191AD0FD3D}"/>
    <cellStyle name="Normal 4 2 4 3 2 5 4" xfId="10615" xr:uid="{EE6F8BC2-A156-4556-AF49-649E69267AF5}"/>
    <cellStyle name="Normal 4 2 4 3 2 6" xfId="2520" xr:uid="{00000000-0005-0000-0000-00008F130000}"/>
    <cellStyle name="Normal 4 2 4 3 2 6 2" xfId="6804" xr:uid="{00000000-0005-0000-0000-000090130000}"/>
    <cellStyle name="Normal 4 2 4 3 2 6 2 2" xfId="15246" xr:uid="{CA03C820-6E44-49F5-99BA-EE38A3A0AB09}"/>
    <cellStyle name="Normal 4 2 4 3 2 6 3" xfId="11028" xr:uid="{84098316-AF2C-42CD-9BEF-57499D07AA60}"/>
    <cellStyle name="Normal 4 2 4 3 2 7" xfId="4739" xr:uid="{00000000-0005-0000-0000-000091130000}"/>
    <cellStyle name="Normal 4 2 4 3 2 7 2" xfId="13181" xr:uid="{CB5BF5D5-B83A-4637-A525-14D3B2E109B5}"/>
    <cellStyle name="Normal 4 2 4 3 2 8" xfId="8963" xr:uid="{9CC175ED-5DB8-4EE6-9D2D-C3F6C04AF131}"/>
    <cellStyle name="Normal 4 2 4 3 3" xfId="836" xr:uid="{00000000-0005-0000-0000-000092130000}"/>
    <cellStyle name="Normal 4 2 4 3 3 2" xfId="3073" xr:uid="{00000000-0005-0000-0000-000093130000}"/>
    <cellStyle name="Normal 4 2 4 3 3 2 2" xfId="7296" xr:uid="{00000000-0005-0000-0000-000094130000}"/>
    <cellStyle name="Normal 4 2 4 3 3 2 2 2" xfId="15738" xr:uid="{49C5610C-186B-4605-BF5E-D331C0F7F573}"/>
    <cellStyle name="Normal 4 2 4 3 3 2 3" xfId="11520" xr:uid="{45FDA22B-9968-4DA0-9B9E-78474A6E5915}"/>
    <cellStyle name="Normal 4 2 4 3 3 3" xfId="5151" xr:uid="{00000000-0005-0000-0000-000095130000}"/>
    <cellStyle name="Normal 4 2 4 3 3 3 2" xfId="13593" xr:uid="{A98D2D44-5630-4C8B-BEE8-47F1424A68C0}"/>
    <cellStyle name="Normal 4 2 4 3 3 4" xfId="9375" xr:uid="{F0200E85-0052-466E-884E-29874DFE10E4}"/>
    <cellStyle name="Normal 4 2 4 3 4" xfId="1256" xr:uid="{00000000-0005-0000-0000-000096130000}"/>
    <cellStyle name="Normal 4 2 4 3 4 2" xfId="3486" xr:uid="{00000000-0005-0000-0000-000097130000}"/>
    <cellStyle name="Normal 4 2 4 3 4 2 2" xfId="7709" xr:uid="{00000000-0005-0000-0000-000098130000}"/>
    <cellStyle name="Normal 4 2 4 3 4 2 2 2" xfId="16151" xr:uid="{FE47454E-866D-465F-9C23-874DA2D258B7}"/>
    <cellStyle name="Normal 4 2 4 3 4 2 3" xfId="11933" xr:uid="{86609CD3-BF31-4769-AECA-701BF76FAA88}"/>
    <cellStyle name="Normal 4 2 4 3 4 3" xfId="5564" xr:uid="{00000000-0005-0000-0000-000099130000}"/>
    <cellStyle name="Normal 4 2 4 3 4 3 2" xfId="14006" xr:uid="{B1813EDB-2BC7-4E21-9D6F-4B0C4D5B9C3C}"/>
    <cellStyle name="Normal 4 2 4 3 4 4" xfId="9788" xr:uid="{6C35921D-D61F-4325-BE10-ADDBF879CBC0}"/>
    <cellStyle name="Normal 4 2 4 3 5" xfId="1669" xr:uid="{00000000-0005-0000-0000-00009A130000}"/>
    <cellStyle name="Normal 4 2 4 3 5 2" xfId="3899" xr:uid="{00000000-0005-0000-0000-00009B130000}"/>
    <cellStyle name="Normal 4 2 4 3 5 2 2" xfId="8122" xr:uid="{00000000-0005-0000-0000-00009C130000}"/>
    <cellStyle name="Normal 4 2 4 3 5 2 2 2" xfId="16564" xr:uid="{1D5E795B-801D-445A-B1E2-F92F843B998B}"/>
    <cellStyle name="Normal 4 2 4 3 5 2 3" xfId="12346" xr:uid="{69794878-1987-46C5-B282-48AD4EC74F46}"/>
    <cellStyle name="Normal 4 2 4 3 5 3" xfId="5977" xr:uid="{00000000-0005-0000-0000-00009D130000}"/>
    <cellStyle name="Normal 4 2 4 3 5 3 2" xfId="14419" xr:uid="{27C7AAAB-05E1-4C31-A125-A7BB40A8EB3E}"/>
    <cellStyle name="Normal 4 2 4 3 5 4" xfId="10201" xr:uid="{524731E7-2385-4EC4-87CC-5E43F7FCC545}"/>
    <cellStyle name="Normal 4 2 4 3 6" xfId="2083" xr:uid="{00000000-0005-0000-0000-00009E130000}"/>
    <cellStyle name="Normal 4 2 4 3 6 2" xfId="4312" xr:uid="{00000000-0005-0000-0000-00009F130000}"/>
    <cellStyle name="Normal 4 2 4 3 6 2 2" xfId="8535" xr:uid="{00000000-0005-0000-0000-0000A0130000}"/>
    <cellStyle name="Normal 4 2 4 3 6 2 2 2" xfId="16977" xr:uid="{D3B1F877-766E-423B-83DA-6A0EDBF16327}"/>
    <cellStyle name="Normal 4 2 4 3 6 2 3" xfId="12759" xr:uid="{31E7A85F-08CF-4C4E-98C3-97140EFA9917}"/>
    <cellStyle name="Normal 4 2 4 3 6 3" xfId="6390" xr:uid="{00000000-0005-0000-0000-0000A1130000}"/>
    <cellStyle name="Normal 4 2 4 3 6 3 2" xfId="14832" xr:uid="{D55CFB01-F715-41DD-BAAB-BCD4B6AF9B16}"/>
    <cellStyle name="Normal 4 2 4 3 6 4" xfId="10614" xr:uid="{5FFE9CC0-FFF3-49D6-825E-81AC6E1B6A26}"/>
    <cellStyle name="Normal 4 2 4 3 7" xfId="2519" xr:uid="{00000000-0005-0000-0000-0000A2130000}"/>
    <cellStyle name="Normal 4 2 4 3 7 2" xfId="6803" xr:uid="{00000000-0005-0000-0000-0000A3130000}"/>
    <cellStyle name="Normal 4 2 4 3 7 2 2" xfId="15245" xr:uid="{A221318F-6687-4F27-97E9-5ED470F91187}"/>
    <cellStyle name="Normal 4 2 4 3 7 3" xfId="11027" xr:uid="{0DCCC2DB-8E99-4432-B5A1-3968F5AE3C41}"/>
    <cellStyle name="Normal 4 2 4 3 8" xfId="4738" xr:uid="{00000000-0005-0000-0000-0000A4130000}"/>
    <cellStyle name="Normal 4 2 4 3 8 2" xfId="13180" xr:uid="{344D26C9-4562-4028-8F77-F6536CCE84D4}"/>
    <cellStyle name="Normal 4 2 4 3 9" xfId="8962" xr:uid="{A8B6BDEA-D522-48ED-8A2D-34CAC2ED1EA3}"/>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2 2 2" xfId="15740" xr:uid="{1D7540FF-FE33-4CF7-A832-932508C55139}"/>
    <cellStyle name="Normal 4 2 4 4 2 2 3" xfId="11522" xr:uid="{BD66A164-CAE9-4B33-B55F-A79BFCD2AF27}"/>
    <cellStyle name="Normal 4 2 4 4 2 3" xfId="5153" xr:uid="{00000000-0005-0000-0000-0000A9130000}"/>
    <cellStyle name="Normal 4 2 4 4 2 3 2" xfId="13595" xr:uid="{615A4D15-0182-4515-8FBF-5A6423F2F674}"/>
    <cellStyle name="Normal 4 2 4 4 2 4" xfId="9377" xr:uid="{C30AD4FC-419E-4BEF-A64B-E70476A0529B}"/>
    <cellStyle name="Normal 4 2 4 4 3" xfId="1258" xr:uid="{00000000-0005-0000-0000-0000AA130000}"/>
    <cellStyle name="Normal 4 2 4 4 3 2" xfId="3488" xr:uid="{00000000-0005-0000-0000-0000AB130000}"/>
    <cellStyle name="Normal 4 2 4 4 3 2 2" xfId="7711" xr:uid="{00000000-0005-0000-0000-0000AC130000}"/>
    <cellStyle name="Normal 4 2 4 4 3 2 2 2" xfId="16153" xr:uid="{0522E04F-EA01-45D5-BF16-90564577ACB0}"/>
    <cellStyle name="Normal 4 2 4 4 3 2 3" xfId="11935" xr:uid="{5ABE4A40-C902-4C93-B20F-8791EB258C55}"/>
    <cellStyle name="Normal 4 2 4 4 3 3" xfId="5566" xr:uid="{00000000-0005-0000-0000-0000AD130000}"/>
    <cellStyle name="Normal 4 2 4 4 3 3 2" xfId="14008" xr:uid="{DF85E91E-86C3-484F-BFFC-141621476FFA}"/>
    <cellStyle name="Normal 4 2 4 4 3 4" xfId="9790" xr:uid="{2421F24E-2D96-4BFA-8F15-749FB8FFE740}"/>
    <cellStyle name="Normal 4 2 4 4 4" xfId="1671" xr:uid="{00000000-0005-0000-0000-0000AE130000}"/>
    <cellStyle name="Normal 4 2 4 4 4 2" xfId="3901" xr:uid="{00000000-0005-0000-0000-0000AF130000}"/>
    <cellStyle name="Normal 4 2 4 4 4 2 2" xfId="8124" xr:uid="{00000000-0005-0000-0000-0000B0130000}"/>
    <cellStyle name="Normal 4 2 4 4 4 2 2 2" xfId="16566" xr:uid="{162CA5F7-747F-4438-89EE-7CD025760FF7}"/>
    <cellStyle name="Normal 4 2 4 4 4 2 3" xfId="12348" xr:uid="{DB437AEC-D237-45C1-9F7E-508A8BB14AA0}"/>
    <cellStyle name="Normal 4 2 4 4 4 3" xfId="5979" xr:uid="{00000000-0005-0000-0000-0000B1130000}"/>
    <cellStyle name="Normal 4 2 4 4 4 3 2" xfId="14421" xr:uid="{8C1CBB71-56BB-4166-8DDF-8AF8891F682F}"/>
    <cellStyle name="Normal 4 2 4 4 4 4" xfId="10203" xr:uid="{0AFC4A89-8AF6-4B51-8F23-89C669DA3737}"/>
    <cellStyle name="Normal 4 2 4 4 5" xfId="2085" xr:uid="{00000000-0005-0000-0000-0000B2130000}"/>
    <cellStyle name="Normal 4 2 4 4 5 2" xfId="4314" xr:uid="{00000000-0005-0000-0000-0000B3130000}"/>
    <cellStyle name="Normal 4 2 4 4 5 2 2" xfId="8537" xr:uid="{00000000-0005-0000-0000-0000B4130000}"/>
    <cellStyle name="Normal 4 2 4 4 5 2 2 2" xfId="16979" xr:uid="{417A7F44-D012-4358-8B90-BFECA21FBCD3}"/>
    <cellStyle name="Normal 4 2 4 4 5 2 3" xfId="12761" xr:uid="{AF8E637D-2992-4B95-A3CD-4DEA1F16536A}"/>
    <cellStyle name="Normal 4 2 4 4 5 3" xfId="6392" xr:uid="{00000000-0005-0000-0000-0000B5130000}"/>
    <cellStyle name="Normal 4 2 4 4 5 3 2" xfId="14834" xr:uid="{0654CCA5-DD29-4DB6-BD43-055A9B520D76}"/>
    <cellStyle name="Normal 4 2 4 4 5 4" xfId="10616" xr:uid="{498CC2BD-A503-400C-A342-5359F58CA3EE}"/>
    <cellStyle name="Normal 4 2 4 4 6" xfId="2521" xr:uid="{00000000-0005-0000-0000-0000B6130000}"/>
    <cellStyle name="Normal 4 2 4 4 6 2" xfId="6805" xr:uid="{00000000-0005-0000-0000-0000B7130000}"/>
    <cellStyle name="Normal 4 2 4 4 6 2 2" xfId="15247" xr:uid="{4D50C9B0-6995-4436-8057-2F7FED86E677}"/>
    <cellStyle name="Normal 4 2 4 4 6 3" xfId="11029" xr:uid="{12692A8E-5F5B-4964-ADEC-8AD463DD9574}"/>
    <cellStyle name="Normal 4 2 4 4 7" xfId="4740" xr:uid="{00000000-0005-0000-0000-0000B8130000}"/>
    <cellStyle name="Normal 4 2 4 4 7 2" xfId="13182" xr:uid="{768370D0-E260-46D5-AA15-BC52E5152E66}"/>
    <cellStyle name="Normal 4 2 4 4 8" xfId="8964" xr:uid="{DCCDCFBF-21D4-49B6-801E-16CAB62E929E}"/>
    <cellStyle name="Normal 4 2 4 5" xfId="831" xr:uid="{00000000-0005-0000-0000-0000B9130000}"/>
    <cellStyle name="Normal 4 2 4 5 2" xfId="3068" xr:uid="{00000000-0005-0000-0000-0000BA130000}"/>
    <cellStyle name="Normal 4 2 4 5 2 2" xfId="7291" xr:uid="{00000000-0005-0000-0000-0000BB130000}"/>
    <cellStyle name="Normal 4 2 4 5 2 2 2" xfId="15733" xr:uid="{C6D4F4BA-9632-4B1C-A3D6-305CA49F21C1}"/>
    <cellStyle name="Normal 4 2 4 5 2 3" xfId="11515" xr:uid="{04C021B5-6B4D-4E6F-A74A-9CAC98731969}"/>
    <cellStyle name="Normal 4 2 4 5 3" xfId="5146" xr:uid="{00000000-0005-0000-0000-0000BC130000}"/>
    <cellStyle name="Normal 4 2 4 5 3 2" xfId="13588" xr:uid="{C45A6793-8220-4202-AA14-89A516991DE6}"/>
    <cellStyle name="Normal 4 2 4 5 4" xfId="9370" xr:uid="{D5FC9FB1-F91B-4958-A081-3074EB674C54}"/>
    <cellStyle name="Normal 4 2 4 6" xfId="1251" xr:uid="{00000000-0005-0000-0000-0000BD130000}"/>
    <cellStyle name="Normal 4 2 4 6 2" xfId="3481" xr:uid="{00000000-0005-0000-0000-0000BE130000}"/>
    <cellStyle name="Normal 4 2 4 6 2 2" xfId="7704" xr:uid="{00000000-0005-0000-0000-0000BF130000}"/>
    <cellStyle name="Normal 4 2 4 6 2 2 2" xfId="16146" xr:uid="{E1E34DB2-86C4-4C22-9E88-7DF65B6752C8}"/>
    <cellStyle name="Normal 4 2 4 6 2 3" xfId="11928" xr:uid="{DF66D761-DC96-46B7-B9EF-2D86ED9366A1}"/>
    <cellStyle name="Normal 4 2 4 6 3" xfId="5559" xr:uid="{00000000-0005-0000-0000-0000C0130000}"/>
    <cellStyle name="Normal 4 2 4 6 3 2" xfId="14001" xr:uid="{F43AE7D9-C367-43D0-9C2D-776196A86DD5}"/>
    <cellStyle name="Normal 4 2 4 6 4" xfId="9783" xr:uid="{ECE7EE99-5F10-4303-8799-4588679A83D0}"/>
    <cellStyle name="Normal 4 2 4 7" xfId="1664" xr:uid="{00000000-0005-0000-0000-0000C1130000}"/>
    <cellStyle name="Normal 4 2 4 7 2" xfId="3894" xr:uid="{00000000-0005-0000-0000-0000C2130000}"/>
    <cellStyle name="Normal 4 2 4 7 2 2" xfId="8117" xr:uid="{00000000-0005-0000-0000-0000C3130000}"/>
    <cellStyle name="Normal 4 2 4 7 2 2 2" xfId="16559" xr:uid="{70B311EC-4301-4994-A548-2987B8A2E666}"/>
    <cellStyle name="Normal 4 2 4 7 2 3" xfId="12341" xr:uid="{7B552F57-91FA-4059-B6F8-5BA1BF678884}"/>
    <cellStyle name="Normal 4 2 4 7 3" xfId="5972" xr:uid="{00000000-0005-0000-0000-0000C4130000}"/>
    <cellStyle name="Normal 4 2 4 7 3 2" xfId="14414" xr:uid="{25F799D9-C672-42D4-B09F-54541CBBBE29}"/>
    <cellStyle name="Normal 4 2 4 7 4" xfId="10196" xr:uid="{631CE122-D957-471B-A4C6-30925F10217E}"/>
    <cellStyle name="Normal 4 2 4 8" xfId="2078" xr:uid="{00000000-0005-0000-0000-0000C5130000}"/>
    <cellStyle name="Normal 4 2 4 8 2" xfId="4307" xr:uid="{00000000-0005-0000-0000-0000C6130000}"/>
    <cellStyle name="Normal 4 2 4 8 2 2" xfId="8530" xr:uid="{00000000-0005-0000-0000-0000C7130000}"/>
    <cellStyle name="Normal 4 2 4 8 2 2 2" xfId="16972" xr:uid="{28103097-A6C7-4F74-9B68-A41EAD5BA8FA}"/>
    <cellStyle name="Normal 4 2 4 8 2 3" xfId="12754" xr:uid="{1D72AFAD-C2A1-49DC-8E7E-E3698CA0ED55}"/>
    <cellStyle name="Normal 4 2 4 8 3" xfId="6385" xr:uid="{00000000-0005-0000-0000-0000C8130000}"/>
    <cellStyle name="Normal 4 2 4 8 3 2" xfId="14827" xr:uid="{0DE6CC2C-073C-48BB-9D0D-20D2260719A8}"/>
    <cellStyle name="Normal 4 2 4 8 4" xfId="10609" xr:uid="{9B160691-1A50-4FCF-AAA2-24F0703B0DF9}"/>
    <cellStyle name="Normal 4 2 4 9" xfId="2514" xr:uid="{00000000-0005-0000-0000-0000C9130000}"/>
    <cellStyle name="Normal 4 2 4 9 2" xfId="6798" xr:uid="{00000000-0005-0000-0000-0000CA130000}"/>
    <cellStyle name="Normal 4 2 4 9 2 2" xfId="15240" xr:uid="{FF0BDD0E-6752-436A-9789-6291082DCF1B}"/>
    <cellStyle name="Normal 4 2 4 9 3" xfId="11022" xr:uid="{0E703DB4-5E5B-4138-9DEA-C0AE202C7C92}"/>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2 2 2" xfId="15742" xr:uid="{B315F5E5-AC31-4704-93F0-ABF84D60CAEF}"/>
    <cellStyle name="Normal 4 2 5 2 2 2 3" xfId="11524" xr:uid="{FDC293B2-0970-4E67-BE69-FA0392E3DAEC}"/>
    <cellStyle name="Normal 4 2 5 2 2 3" xfId="5155" xr:uid="{00000000-0005-0000-0000-0000D0130000}"/>
    <cellStyle name="Normal 4 2 5 2 2 3 2" xfId="13597" xr:uid="{38E5921B-E583-4B60-BE3D-F03EB446EE85}"/>
    <cellStyle name="Normal 4 2 5 2 2 4" xfId="9379" xr:uid="{795566A4-E39F-49F1-BCE5-676EECCB1A07}"/>
    <cellStyle name="Normal 4 2 5 2 3" xfId="1260" xr:uid="{00000000-0005-0000-0000-0000D1130000}"/>
    <cellStyle name="Normal 4 2 5 2 3 2" xfId="3490" xr:uid="{00000000-0005-0000-0000-0000D2130000}"/>
    <cellStyle name="Normal 4 2 5 2 3 2 2" xfId="7713" xr:uid="{00000000-0005-0000-0000-0000D3130000}"/>
    <cellStyle name="Normal 4 2 5 2 3 2 2 2" xfId="16155" xr:uid="{FC7E4AE6-400E-4FD3-812C-4BB68F6CA5E4}"/>
    <cellStyle name="Normal 4 2 5 2 3 2 3" xfId="11937" xr:uid="{57C2F9FD-2515-4602-B29A-2FD19E7B06CB}"/>
    <cellStyle name="Normal 4 2 5 2 3 3" xfId="5568" xr:uid="{00000000-0005-0000-0000-0000D4130000}"/>
    <cellStyle name="Normal 4 2 5 2 3 3 2" xfId="14010" xr:uid="{E4446ECD-22CA-4714-9772-C6518C1AEB8F}"/>
    <cellStyle name="Normal 4 2 5 2 3 4" xfId="9792" xr:uid="{D9846D41-335F-424F-AF14-0D144F5F94BD}"/>
    <cellStyle name="Normal 4 2 5 2 4" xfId="1673" xr:uid="{00000000-0005-0000-0000-0000D5130000}"/>
    <cellStyle name="Normal 4 2 5 2 4 2" xfId="3903" xr:uid="{00000000-0005-0000-0000-0000D6130000}"/>
    <cellStyle name="Normal 4 2 5 2 4 2 2" xfId="8126" xr:uid="{00000000-0005-0000-0000-0000D7130000}"/>
    <cellStyle name="Normal 4 2 5 2 4 2 2 2" xfId="16568" xr:uid="{62BDE973-DF0D-4A9B-BAFC-E8C7A55B0CD5}"/>
    <cellStyle name="Normal 4 2 5 2 4 2 3" xfId="12350" xr:uid="{3069385C-CC17-49E2-A42B-B79AE5A00238}"/>
    <cellStyle name="Normal 4 2 5 2 4 3" xfId="5981" xr:uid="{00000000-0005-0000-0000-0000D8130000}"/>
    <cellStyle name="Normal 4 2 5 2 4 3 2" xfId="14423" xr:uid="{3A002B89-9A4A-4F52-B329-8CB83B31C22C}"/>
    <cellStyle name="Normal 4 2 5 2 4 4" xfId="10205" xr:uid="{DB25A048-D578-43C4-81F1-0134AAED78B5}"/>
    <cellStyle name="Normal 4 2 5 2 5" xfId="2087" xr:uid="{00000000-0005-0000-0000-0000D9130000}"/>
    <cellStyle name="Normal 4 2 5 2 5 2" xfId="4316" xr:uid="{00000000-0005-0000-0000-0000DA130000}"/>
    <cellStyle name="Normal 4 2 5 2 5 2 2" xfId="8539" xr:uid="{00000000-0005-0000-0000-0000DB130000}"/>
    <cellStyle name="Normal 4 2 5 2 5 2 2 2" xfId="16981" xr:uid="{1CED6B10-B9C5-4C4C-B26F-0094217170FA}"/>
    <cellStyle name="Normal 4 2 5 2 5 2 3" xfId="12763" xr:uid="{2D6DECDE-7023-4E0B-A4E6-2DD5A07AF2E8}"/>
    <cellStyle name="Normal 4 2 5 2 5 3" xfId="6394" xr:uid="{00000000-0005-0000-0000-0000DC130000}"/>
    <cellStyle name="Normal 4 2 5 2 5 3 2" xfId="14836" xr:uid="{0574B593-0B90-4E9B-8714-550685E1943B}"/>
    <cellStyle name="Normal 4 2 5 2 5 4" xfId="10618" xr:uid="{76B512CF-000C-4B8B-86F9-52C923C5B5E1}"/>
    <cellStyle name="Normal 4 2 5 2 6" xfId="2523" xr:uid="{00000000-0005-0000-0000-0000DD130000}"/>
    <cellStyle name="Normal 4 2 5 2 6 2" xfId="6807" xr:uid="{00000000-0005-0000-0000-0000DE130000}"/>
    <cellStyle name="Normal 4 2 5 2 6 2 2" xfId="15249" xr:uid="{FAFA154A-D9FD-475C-8CF7-D27079459779}"/>
    <cellStyle name="Normal 4 2 5 2 6 3" xfId="11031" xr:uid="{9D6260D4-B105-4C1C-BDD4-B0A40694FC89}"/>
    <cellStyle name="Normal 4 2 5 2 7" xfId="4742" xr:uid="{00000000-0005-0000-0000-0000DF130000}"/>
    <cellStyle name="Normal 4 2 5 2 7 2" xfId="13184" xr:uid="{AF765364-15DB-435F-B07A-E3503F113FF4}"/>
    <cellStyle name="Normal 4 2 5 2 8" xfId="8966" xr:uid="{D0BB4A9E-B8C1-472F-8055-A0ADB516C6E3}"/>
    <cellStyle name="Normal 4 2 5 3" xfId="839" xr:uid="{00000000-0005-0000-0000-0000E0130000}"/>
    <cellStyle name="Normal 4 2 5 3 2" xfId="3076" xr:uid="{00000000-0005-0000-0000-0000E1130000}"/>
    <cellStyle name="Normal 4 2 5 3 2 2" xfId="7299" xr:uid="{00000000-0005-0000-0000-0000E2130000}"/>
    <cellStyle name="Normal 4 2 5 3 2 2 2" xfId="15741" xr:uid="{A30F18DC-1454-4CF9-BD42-C2EF67992298}"/>
    <cellStyle name="Normal 4 2 5 3 2 3" xfId="11523" xr:uid="{B8F6744E-4B7C-4140-8331-233F0E122655}"/>
    <cellStyle name="Normal 4 2 5 3 3" xfId="5154" xr:uid="{00000000-0005-0000-0000-0000E3130000}"/>
    <cellStyle name="Normal 4 2 5 3 3 2" xfId="13596" xr:uid="{80ED1358-6C92-4C4F-8664-74BBEAF02071}"/>
    <cellStyle name="Normal 4 2 5 3 4" xfId="9378" xr:uid="{FF954FC6-9058-4A53-BABA-D45863309E26}"/>
    <cellStyle name="Normal 4 2 5 4" xfId="1259" xr:uid="{00000000-0005-0000-0000-0000E4130000}"/>
    <cellStyle name="Normal 4 2 5 4 2" xfId="3489" xr:uid="{00000000-0005-0000-0000-0000E5130000}"/>
    <cellStyle name="Normal 4 2 5 4 2 2" xfId="7712" xr:uid="{00000000-0005-0000-0000-0000E6130000}"/>
    <cellStyle name="Normal 4 2 5 4 2 2 2" xfId="16154" xr:uid="{6B92A67E-74B3-4A4F-87BE-F8054A3A529D}"/>
    <cellStyle name="Normal 4 2 5 4 2 3" xfId="11936" xr:uid="{BEF920CF-6159-4645-8BF8-C5F12578D0F0}"/>
    <cellStyle name="Normal 4 2 5 4 3" xfId="5567" xr:uid="{00000000-0005-0000-0000-0000E7130000}"/>
    <cellStyle name="Normal 4 2 5 4 3 2" xfId="14009" xr:uid="{B2B2AE59-F231-4E94-8D4E-12A9EC7F5012}"/>
    <cellStyle name="Normal 4 2 5 4 4" xfId="9791" xr:uid="{25B414FF-D48E-42BF-87B7-376B3E7B8736}"/>
    <cellStyle name="Normal 4 2 5 5" xfId="1672" xr:uid="{00000000-0005-0000-0000-0000E8130000}"/>
    <cellStyle name="Normal 4 2 5 5 2" xfId="3902" xr:uid="{00000000-0005-0000-0000-0000E9130000}"/>
    <cellStyle name="Normal 4 2 5 5 2 2" xfId="8125" xr:uid="{00000000-0005-0000-0000-0000EA130000}"/>
    <cellStyle name="Normal 4 2 5 5 2 2 2" xfId="16567" xr:uid="{74730A3A-026B-4E68-8F0B-3C2D36988098}"/>
    <cellStyle name="Normal 4 2 5 5 2 3" xfId="12349" xr:uid="{BCFF4231-EEEA-4BCC-AC1A-69C7436FBA27}"/>
    <cellStyle name="Normal 4 2 5 5 3" xfId="5980" xr:uid="{00000000-0005-0000-0000-0000EB130000}"/>
    <cellStyle name="Normal 4 2 5 5 3 2" xfId="14422" xr:uid="{520A7687-9332-4187-882E-1A209B43B253}"/>
    <cellStyle name="Normal 4 2 5 5 4" xfId="10204" xr:uid="{6F182043-A080-405A-AF6C-A32BCAE362A5}"/>
    <cellStyle name="Normal 4 2 5 6" xfId="2086" xr:uid="{00000000-0005-0000-0000-0000EC130000}"/>
    <cellStyle name="Normal 4 2 5 6 2" xfId="4315" xr:uid="{00000000-0005-0000-0000-0000ED130000}"/>
    <cellStyle name="Normal 4 2 5 6 2 2" xfId="8538" xr:uid="{00000000-0005-0000-0000-0000EE130000}"/>
    <cellStyle name="Normal 4 2 5 6 2 2 2" xfId="16980" xr:uid="{0069BF24-9E0F-40FE-A77E-CEAAA067E025}"/>
    <cellStyle name="Normal 4 2 5 6 2 3" xfId="12762" xr:uid="{078A3EFC-2FB0-4D08-BFEE-D4865488E5AB}"/>
    <cellStyle name="Normal 4 2 5 6 3" xfId="6393" xr:uid="{00000000-0005-0000-0000-0000EF130000}"/>
    <cellStyle name="Normal 4 2 5 6 3 2" xfId="14835" xr:uid="{F192B289-D75D-4051-865F-D5E27AEDCDF5}"/>
    <cellStyle name="Normal 4 2 5 6 4" xfId="10617" xr:uid="{D064357C-7089-4898-BB07-E1E4D5CD36CE}"/>
    <cellStyle name="Normal 4 2 5 7" xfId="2522" xr:uid="{00000000-0005-0000-0000-0000F0130000}"/>
    <cellStyle name="Normal 4 2 5 7 2" xfId="6806" xr:uid="{00000000-0005-0000-0000-0000F1130000}"/>
    <cellStyle name="Normal 4 2 5 7 2 2" xfId="15248" xr:uid="{F7A109F1-6063-491B-AC9E-E8509E99A8E3}"/>
    <cellStyle name="Normal 4 2 5 7 3" xfId="11030" xr:uid="{E513ED47-EFA7-4E68-9B77-7B8AB91A8194}"/>
    <cellStyle name="Normal 4 2 5 8" xfId="4741" xr:uid="{00000000-0005-0000-0000-0000F2130000}"/>
    <cellStyle name="Normal 4 2 5 8 2" xfId="13183" xr:uid="{C24D4E99-5BB1-4899-B0E2-849443AF0FAF}"/>
    <cellStyle name="Normal 4 2 5 9" xfId="8965" xr:uid="{24AF8BA4-1626-46B2-B721-2A1E1B46B709}"/>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2 2 2" xfId="15743" xr:uid="{B20369DC-D61B-4F6B-8E10-2AD01E7D12F0}"/>
    <cellStyle name="Normal 4 2 6 2 2 3" xfId="11525" xr:uid="{8BB58E65-BCDD-4FBA-B57B-E4E45EA12FA5}"/>
    <cellStyle name="Normal 4 2 6 2 3" xfId="5156" xr:uid="{00000000-0005-0000-0000-0000F7130000}"/>
    <cellStyle name="Normal 4 2 6 2 3 2" xfId="13598" xr:uid="{3FEDEC56-2C05-4BB1-87F1-BBB9F8FD9E24}"/>
    <cellStyle name="Normal 4 2 6 2 4" xfId="9380" xr:uid="{7EE35882-1F48-47DA-AC7C-29A7506C98A4}"/>
    <cellStyle name="Normal 4 2 6 3" xfId="1261" xr:uid="{00000000-0005-0000-0000-0000F8130000}"/>
    <cellStyle name="Normal 4 2 6 3 2" xfId="3491" xr:uid="{00000000-0005-0000-0000-0000F9130000}"/>
    <cellStyle name="Normal 4 2 6 3 2 2" xfId="7714" xr:uid="{00000000-0005-0000-0000-0000FA130000}"/>
    <cellStyle name="Normal 4 2 6 3 2 2 2" xfId="16156" xr:uid="{7DA0AD2E-91A4-4ADD-ADE4-D3C8988A90A0}"/>
    <cellStyle name="Normal 4 2 6 3 2 3" xfId="11938" xr:uid="{C06C165E-C443-4639-9A8C-F7B48E3C83E5}"/>
    <cellStyle name="Normal 4 2 6 3 3" xfId="5569" xr:uid="{00000000-0005-0000-0000-0000FB130000}"/>
    <cellStyle name="Normal 4 2 6 3 3 2" xfId="14011" xr:uid="{0B6D08D8-02C7-40B2-ABD8-27F8C947873F}"/>
    <cellStyle name="Normal 4 2 6 3 4" xfId="9793" xr:uid="{3FBAC8E0-DDAA-4ED4-8E77-CE380DAD0182}"/>
    <cellStyle name="Normal 4 2 6 4" xfId="1674" xr:uid="{00000000-0005-0000-0000-0000FC130000}"/>
    <cellStyle name="Normal 4 2 6 4 2" xfId="3904" xr:uid="{00000000-0005-0000-0000-0000FD130000}"/>
    <cellStyle name="Normal 4 2 6 4 2 2" xfId="8127" xr:uid="{00000000-0005-0000-0000-0000FE130000}"/>
    <cellStyle name="Normal 4 2 6 4 2 2 2" xfId="16569" xr:uid="{759B6382-B364-4ACA-B7A5-19BF6C3A0415}"/>
    <cellStyle name="Normal 4 2 6 4 2 3" xfId="12351" xr:uid="{5406ACE4-1E63-428E-9D9F-2C6E934323C0}"/>
    <cellStyle name="Normal 4 2 6 4 3" xfId="5982" xr:uid="{00000000-0005-0000-0000-0000FF130000}"/>
    <cellStyle name="Normal 4 2 6 4 3 2" xfId="14424" xr:uid="{1E9F13C1-A922-497D-AACE-13688FC6CE62}"/>
    <cellStyle name="Normal 4 2 6 4 4" xfId="10206" xr:uid="{E6C34235-1988-4202-B09B-CBE389635FF6}"/>
    <cellStyle name="Normal 4 2 6 5" xfId="2088" xr:uid="{00000000-0005-0000-0000-000000140000}"/>
    <cellStyle name="Normal 4 2 6 5 2" xfId="4317" xr:uid="{00000000-0005-0000-0000-000001140000}"/>
    <cellStyle name="Normal 4 2 6 5 2 2" xfId="8540" xr:uid="{00000000-0005-0000-0000-000002140000}"/>
    <cellStyle name="Normal 4 2 6 5 2 2 2" xfId="16982" xr:uid="{9BA35E77-DC97-431E-ABF1-3D540968298C}"/>
    <cellStyle name="Normal 4 2 6 5 2 3" xfId="12764" xr:uid="{EA640427-8B00-4E50-8A7D-5BB5213A8B22}"/>
    <cellStyle name="Normal 4 2 6 5 3" xfId="6395" xr:uid="{00000000-0005-0000-0000-000003140000}"/>
    <cellStyle name="Normal 4 2 6 5 3 2" xfId="14837" xr:uid="{0D62E89F-3FFD-4152-8AAD-E532CFE4ABB6}"/>
    <cellStyle name="Normal 4 2 6 5 4" xfId="10619" xr:uid="{D58CB8E5-9B9D-489A-8E19-6AD091367355}"/>
    <cellStyle name="Normal 4 2 6 6" xfId="2524" xr:uid="{00000000-0005-0000-0000-000004140000}"/>
    <cellStyle name="Normal 4 2 6 6 2" xfId="6808" xr:uid="{00000000-0005-0000-0000-000005140000}"/>
    <cellStyle name="Normal 4 2 6 6 2 2" xfId="15250" xr:uid="{14199DDC-4F62-4C6B-AE79-2085F16FEFFC}"/>
    <cellStyle name="Normal 4 2 6 6 3" xfId="11032" xr:uid="{25DA5349-0EC0-437F-85E0-A83F83761C7F}"/>
    <cellStyle name="Normal 4 2 6 7" xfId="4743" xr:uid="{00000000-0005-0000-0000-000006140000}"/>
    <cellStyle name="Normal 4 2 6 7 2" xfId="13185" xr:uid="{89BA86D2-2BA4-49D7-ACFC-30CD73C7FE11}"/>
    <cellStyle name="Normal 4 2 6 8" xfId="8967" xr:uid="{728EA34E-76E9-4312-B796-67E9F01235F9}"/>
    <cellStyle name="Normal 4 3" xfId="366" xr:uid="{00000000-0005-0000-0000-000007140000}"/>
    <cellStyle name="Normal 4 3 10" xfId="8968" xr:uid="{7CD8CC79-516D-4BE2-841D-825FD274689E}"/>
    <cellStyle name="Normal 4 3 2" xfId="367" xr:uid="{00000000-0005-0000-0000-000008140000}"/>
    <cellStyle name="Normal 4 3 2 2" xfId="368" xr:uid="{00000000-0005-0000-0000-000009140000}"/>
    <cellStyle name="Normal 4 3 2 2 2" xfId="369" xr:uid="{00000000-0005-0000-0000-00000A140000}"/>
    <cellStyle name="Normal 4 3 2 2 2 10" xfId="8969" xr:uid="{3BFDA3F3-A486-4BD7-B829-07816BD1EC8E}"/>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2 2 2" xfId="15747" xr:uid="{19554AF8-5FDC-4A4A-8346-8A1E04511C03}"/>
    <cellStyle name="Normal 4 3 2 2 2 2 2 2 2 3" xfId="11529" xr:uid="{3401CD8F-6117-4752-9056-7154D0E0654C}"/>
    <cellStyle name="Normal 4 3 2 2 2 2 2 2 3" xfId="5160" xr:uid="{00000000-0005-0000-0000-000010140000}"/>
    <cellStyle name="Normal 4 3 2 2 2 2 2 2 3 2" xfId="13602" xr:uid="{664551CA-C7F5-47B0-9C7D-F2633602DAC9}"/>
    <cellStyle name="Normal 4 3 2 2 2 2 2 2 4" xfId="9384" xr:uid="{8B3D001A-0E8A-4400-949E-D247B9C7F75B}"/>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2 2 2" xfId="16160" xr:uid="{0C82485F-6BF7-4E48-B1E3-2D4B25649C0A}"/>
    <cellStyle name="Normal 4 3 2 2 2 2 2 3 2 3" xfId="11942" xr:uid="{9B6CC797-8A40-4C47-8DD4-A78DD48D8AC9}"/>
    <cellStyle name="Normal 4 3 2 2 2 2 2 3 3" xfId="5573" xr:uid="{00000000-0005-0000-0000-000014140000}"/>
    <cellStyle name="Normal 4 3 2 2 2 2 2 3 3 2" xfId="14015" xr:uid="{94EFBDCB-6741-4293-8706-1B8DC79D212D}"/>
    <cellStyle name="Normal 4 3 2 2 2 2 2 3 4" xfId="9797" xr:uid="{86AC5795-2F98-4D1B-933F-47541B2E58FC}"/>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2 2 2" xfId="16573" xr:uid="{168CA46C-5DFC-43DD-B158-EA083050D3E8}"/>
    <cellStyle name="Normal 4 3 2 2 2 2 2 4 2 3" xfId="12355" xr:uid="{0DBCBC20-FB62-4FCD-9A2F-5706190F790C}"/>
    <cellStyle name="Normal 4 3 2 2 2 2 2 4 3" xfId="5986" xr:uid="{00000000-0005-0000-0000-000018140000}"/>
    <cellStyle name="Normal 4 3 2 2 2 2 2 4 3 2" xfId="14428" xr:uid="{EE28D515-5B80-45AA-83F2-51366B490639}"/>
    <cellStyle name="Normal 4 3 2 2 2 2 2 4 4" xfId="10210" xr:uid="{65003D27-6C42-4B84-962F-CE52AD974803}"/>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2 2 2" xfId="16986" xr:uid="{7D788108-E5FF-402A-924E-881EC4F31FF5}"/>
    <cellStyle name="Normal 4 3 2 2 2 2 2 5 2 3" xfId="12768" xr:uid="{3CD28AB5-34F0-46ED-8E50-03ADBD7F34B7}"/>
    <cellStyle name="Normal 4 3 2 2 2 2 2 5 3" xfId="6399" xr:uid="{00000000-0005-0000-0000-00001C140000}"/>
    <cellStyle name="Normal 4 3 2 2 2 2 2 5 3 2" xfId="14841" xr:uid="{BF9D784C-C2D9-4F2D-9FC8-78E02DA67CDC}"/>
    <cellStyle name="Normal 4 3 2 2 2 2 2 5 4" xfId="10623" xr:uid="{86BBF97F-C8A5-4140-A61E-C8059189ABAC}"/>
    <cellStyle name="Normal 4 3 2 2 2 2 2 6" xfId="2528" xr:uid="{00000000-0005-0000-0000-00001D140000}"/>
    <cellStyle name="Normal 4 3 2 2 2 2 2 6 2" xfId="6812" xr:uid="{00000000-0005-0000-0000-00001E140000}"/>
    <cellStyle name="Normal 4 3 2 2 2 2 2 6 2 2" xfId="15254" xr:uid="{A0777666-C75C-4BB5-B4A3-AAEE36242CDC}"/>
    <cellStyle name="Normal 4 3 2 2 2 2 2 6 3" xfId="11036" xr:uid="{31C0F395-0801-4BBE-8051-E9287EB17A9D}"/>
    <cellStyle name="Normal 4 3 2 2 2 2 2 7" xfId="4747" xr:uid="{00000000-0005-0000-0000-00001F140000}"/>
    <cellStyle name="Normal 4 3 2 2 2 2 2 7 2" xfId="13189" xr:uid="{AC6B75B6-F22B-43EC-A155-7E738237B253}"/>
    <cellStyle name="Normal 4 3 2 2 2 2 2 8" xfId="8971" xr:uid="{7317E273-D4FA-43A2-99E1-866070FE3787}"/>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2 2 2" xfId="15746" xr:uid="{39ADDA82-DBF7-4113-AE6C-F0E6878264A5}"/>
    <cellStyle name="Normal 4 3 2 2 2 2 3 2 3" xfId="11528" xr:uid="{42613609-A6FF-417C-AAF3-62E890F26AFF}"/>
    <cellStyle name="Normal 4 3 2 2 2 2 3 3" xfId="5159" xr:uid="{00000000-0005-0000-0000-000023140000}"/>
    <cellStyle name="Normal 4 3 2 2 2 2 3 3 2" xfId="13601" xr:uid="{A8A5FE27-3D6C-49C3-BF66-3B5569D27933}"/>
    <cellStyle name="Normal 4 3 2 2 2 2 3 4" xfId="9383" xr:uid="{8B3359D6-1C2D-41A9-A568-772F4F5769FE}"/>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2 2 2" xfId="16159" xr:uid="{1F6371E1-B51F-422F-AE36-8C2CF817AB6F}"/>
    <cellStyle name="Normal 4 3 2 2 2 2 4 2 3" xfId="11941" xr:uid="{37B28F24-E1FD-4430-BB42-54E4EE9D3089}"/>
    <cellStyle name="Normal 4 3 2 2 2 2 4 3" xfId="5572" xr:uid="{00000000-0005-0000-0000-000027140000}"/>
    <cellStyle name="Normal 4 3 2 2 2 2 4 3 2" xfId="14014" xr:uid="{C7A7326B-2419-4EA6-9747-A90FBCBF86E1}"/>
    <cellStyle name="Normal 4 3 2 2 2 2 4 4" xfId="9796" xr:uid="{BEC68D14-F584-4ACC-BD25-6E5D2D5D4C19}"/>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2 2 2" xfId="16572" xr:uid="{DC1CBCC7-74AE-4CC0-87C1-F5702BD19776}"/>
    <cellStyle name="Normal 4 3 2 2 2 2 5 2 3" xfId="12354" xr:uid="{2CC9FEB5-7786-4E96-AD63-467885484B10}"/>
    <cellStyle name="Normal 4 3 2 2 2 2 5 3" xfId="5985" xr:uid="{00000000-0005-0000-0000-00002B140000}"/>
    <cellStyle name="Normal 4 3 2 2 2 2 5 3 2" xfId="14427" xr:uid="{042BCCE4-9A46-46FD-98A4-43B7D18AB190}"/>
    <cellStyle name="Normal 4 3 2 2 2 2 5 4" xfId="10209" xr:uid="{7A14B00A-7A40-40C8-A3CE-6B598579FC12}"/>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2 2 2" xfId="16985" xr:uid="{07026D5F-0559-45E3-B108-8DB95FD2AB6F}"/>
    <cellStyle name="Normal 4 3 2 2 2 2 6 2 3" xfId="12767" xr:uid="{7806E225-F822-4DD6-8C6C-7D8B463D4406}"/>
    <cellStyle name="Normal 4 3 2 2 2 2 6 3" xfId="6398" xr:uid="{00000000-0005-0000-0000-00002F140000}"/>
    <cellStyle name="Normal 4 3 2 2 2 2 6 3 2" xfId="14840" xr:uid="{20E7995E-44EE-4729-B04D-AABC28DC1C09}"/>
    <cellStyle name="Normal 4 3 2 2 2 2 6 4" xfId="10622" xr:uid="{9F76041B-0A39-4DB0-9AD2-8597B21979E3}"/>
    <cellStyle name="Normal 4 3 2 2 2 2 7" xfId="2527" xr:uid="{00000000-0005-0000-0000-000030140000}"/>
    <cellStyle name="Normal 4 3 2 2 2 2 7 2" xfId="6811" xr:uid="{00000000-0005-0000-0000-000031140000}"/>
    <cellStyle name="Normal 4 3 2 2 2 2 7 2 2" xfId="15253" xr:uid="{0AEEA343-3EDE-4081-BBD3-D0C70B3A554F}"/>
    <cellStyle name="Normal 4 3 2 2 2 2 7 3" xfId="11035" xr:uid="{C0A58FCC-C014-4F03-B218-AF59C89CB3E4}"/>
    <cellStyle name="Normal 4 3 2 2 2 2 8" xfId="4746" xr:uid="{00000000-0005-0000-0000-000032140000}"/>
    <cellStyle name="Normal 4 3 2 2 2 2 8 2" xfId="13188" xr:uid="{EEBC5D39-989D-4EE7-90D2-BF525CA821E3}"/>
    <cellStyle name="Normal 4 3 2 2 2 2 9" xfId="8970" xr:uid="{B342AEE3-2C09-4A4F-94F2-1D771E9E0F9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2 2 2" xfId="15748" xr:uid="{A6B2F098-B1B3-4C99-BFBE-E4BF92CE8A78}"/>
    <cellStyle name="Normal 4 3 2 2 2 3 2 2 3" xfId="11530" xr:uid="{FFD9C74D-1F39-4CC5-BCB0-70577A7474E8}"/>
    <cellStyle name="Normal 4 3 2 2 2 3 2 3" xfId="5161" xr:uid="{00000000-0005-0000-0000-000037140000}"/>
    <cellStyle name="Normal 4 3 2 2 2 3 2 3 2" xfId="13603" xr:uid="{F0F9F74B-C846-400E-A81D-BD4120D19E03}"/>
    <cellStyle name="Normal 4 3 2 2 2 3 2 4" xfId="9385" xr:uid="{14369426-6545-47E6-B486-CD506E5E93FC}"/>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2 2 2" xfId="16161" xr:uid="{81A288CA-BC1F-48CE-B445-F74BCEC7E887}"/>
    <cellStyle name="Normal 4 3 2 2 2 3 3 2 3" xfId="11943" xr:uid="{36B68D75-B91C-4EF4-9076-C0C2068A939A}"/>
    <cellStyle name="Normal 4 3 2 2 2 3 3 3" xfId="5574" xr:uid="{00000000-0005-0000-0000-00003B140000}"/>
    <cellStyle name="Normal 4 3 2 2 2 3 3 3 2" xfId="14016" xr:uid="{0F0497AF-2520-4CFB-85A2-4245822BE0A4}"/>
    <cellStyle name="Normal 4 3 2 2 2 3 3 4" xfId="9798" xr:uid="{2E78C4C4-1868-4E68-ADA9-A0C84E19973A}"/>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2 2 2" xfId="16574" xr:uid="{5728831B-07E9-4669-A776-EA30B163870C}"/>
    <cellStyle name="Normal 4 3 2 2 2 3 4 2 3" xfId="12356" xr:uid="{3C749FD3-29D1-49D6-A9FB-17B5C23ABB12}"/>
    <cellStyle name="Normal 4 3 2 2 2 3 4 3" xfId="5987" xr:uid="{00000000-0005-0000-0000-00003F140000}"/>
    <cellStyle name="Normal 4 3 2 2 2 3 4 3 2" xfId="14429" xr:uid="{2221D658-5FD4-4EF3-B32A-17AFD6C267E7}"/>
    <cellStyle name="Normal 4 3 2 2 2 3 4 4" xfId="10211" xr:uid="{E551F4BB-B0A4-4CFE-B281-15888B08873C}"/>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2 2 2" xfId="16987" xr:uid="{99BF6E24-F0D9-4CA9-AA43-2F7E271CC809}"/>
    <cellStyle name="Normal 4 3 2 2 2 3 5 2 3" xfId="12769" xr:uid="{4B284B4F-FC2D-4973-87FF-8244A5FA0D98}"/>
    <cellStyle name="Normal 4 3 2 2 2 3 5 3" xfId="6400" xr:uid="{00000000-0005-0000-0000-000043140000}"/>
    <cellStyle name="Normal 4 3 2 2 2 3 5 3 2" xfId="14842" xr:uid="{B5A7A3E0-DF7E-4B4F-8FCB-44B10D8ED60F}"/>
    <cellStyle name="Normal 4 3 2 2 2 3 5 4" xfId="10624" xr:uid="{15A36C26-BD30-4D18-8599-0490A45EF53F}"/>
    <cellStyle name="Normal 4 3 2 2 2 3 6" xfId="2529" xr:uid="{00000000-0005-0000-0000-000044140000}"/>
    <cellStyle name="Normal 4 3 2 2 2 3 6 2" xfId="6813" xr:uid="{00000000-0005-0000-0000-000045140000}"/>
    <cellStyle name="Normal 4 3 2 2 2 3 6 2 2" xfId="15255" xr:uid="{5769B03C-E134-4A5A-8E2F-110056F3F620}"/>
    <cellStyle name="Normal 4 3 2 2 2 3 6 3" xfId="11037" xr:uid="{02C7E9A7-2FFB-4A94-B947-43A7BB2F4331}"/>
    <cellStyle name="Normal 4 3 2 2 2 3 7" xfId="4748" xr:uid="{00000000-0005-0000-0000-000046140000}"/>
    <cellStyle name="Normal 4 3 2 2 2 3 7 2" xfId="13190" xr:uid="{B20F7921-E844-4BAA-99F3-E6F8A81CB802}"/>
    <cellStyle name="Normal 4 3 2 2 2 3 8" xfId="8972" xr:uid="{C26D3719-AFD2-4A6D-9BF0-4A4E49A4B8D6}"/>
    <cellStyle name="Normal 4 3 2 2 2 4" xfId="844" xr:uid="{00000000-0005-0000-0000-000047140000}"/>
    <cellStyle name="Normal 4 3 2 2 2 4 2" xfId="3080" xr:uid="{00000000-0005-0000-0000-000048140000}"/>
    <cellStyle name="Normal 4 3 2 2 2 4 2 2" xfId="7303" xr:uid="{00000000-0005-0000-0000-000049140000}"/>
    <cellStyle name="Normal 4 3 2 2 2 4 2 2 2" xfId="15745" xr:uid="{FF477873-BCA9-4274-8E2D-D3733D5E499B}"/>
    <cellStyle name="Normal 4 3 2 2 2 4 2 3" xfId="11527" xr:uid="{52CCF4BF-F0A8-4512-AC63-8220B0B2F2D2}"/>
    <cellStyle name="Normal 4 3 2 2 2 4 3" xfId="5158" xr:uid="{00000000-0005-0000-0000-00004A140000}"/>
    <cellStyle name="Normal 4 3 2 2 2 4 3 2" xfId="13600" xr:uid="{6A92854A-6821-44FB-9722-073EEC1BA901}"/>
    <cellStyle name="Normal 4 3 2 2 2 4 4" xfId="9382" xr:uid="{B62283FC-0DB8-4FEA-9132-0136F09B807F}"/>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2 2 2" xfId="16158" xr:uid="{7BA7FD7F-EB21-40F8-896A-C5ECA978C808}"/>
    <cellStyle name="Normal 4 3 2 2 2 5 2 3" xfId="11940" xr:uid="{C838E312-6AC7-46FC-8691-884AFC536970}"/>
    <cellStyle name="Normal 4 3 2 2 2 5 3" xfId="5571" xr:uid="{00000000-0005-0000-0000-00004E140000}"/>
    <cellStyle name="Normal 4 3 2 2 2 5 3 2" xfId="14013" xr:uid="{EDA64E60-7286-4044-85AF-0C8EFAFDC8CB}"/>
    <cellStyle name="Normal 4 3 2 2 2 5 4" xfId="9795" xr:uid="{47A0A94D-A05A-4C3F-B0AA-A6C22E617AFE}"/>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2 2 2" xfId="16571" xr:uid="{2CBCC7EC-EFE9-4A62-92C1-79B409CA592E}"/>
    <cellStyle name="Normal 4 3 2 2 2 6 2 3" xfId="12353" xr:uid="{61E556A6-0124-49B3-929C-692205362A9B}"/>
    <cellStyle name="Normal 4 3 2 2 2 6 3" xfId="5984" xr:uid="{00000000-0005-0000-0000-000052140000}"/>
    <cellStyle name="Normal 4 3 2 2 2 6 3 2" xfId="14426" xr:uid="{856CAA9C-B4C7-4056-B9D9-4D23B39BCA70}"/>
    <cellStyle name="Normal 4 3 2 2 2 6 4" xfId="10208" xr:uid="{9E5504BF-FFAE-4B77-A274-F3FDEC3EF24F}"/>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2 2 2" xfId="16984" xr:uid="{463A8D99-286B-4F39-8DEC-E91A18DADCE3}"/>
    <cellStyle name="Normal 4 3 2 2 2 7 2 3" xfId="12766" xr:uid="{F26D5E50-A0D1-4BFE-8897-7F418E017449}"/>
    <cellStyle name="Normal 4 3 2 2 2 7 3" xfId="6397" xr:uid="{00000000-0005-0000-0000-000056140000}"/>
    <cellStyle name="Normal 4 3 2 2 2 7 3 2" xfId="14839" xr:uid="{57535913-2CAA-407D-92FE-68E746E69F04}"/>
    <cellStyle name="Normal 4 3 2 2 2 7 4" xfId="10621" xr:uid="{B1506140-9FCE-4EF0-A7B8-5EEB176188C1}"/>
    <cellStyle name="Normal 4 3 2 2 2 8" xfId="2526" xr:uid="{00000000-0005-0000-0000-000057140000}"/>
    <cellStyle name="Normal 4 3 2 2 2 8 2" xfId="6810" xr:uid="{00000000-0005-0000-0000-000058140000}"/>
    <cellStyle name="Normal 4 3 2 2 2 8 2 2" xfId="15252" xr:uid="{9F54B38E-0F21-44D8-92C5-53C2EDB638B6}"/>
    <cellStyle name="Normal 4 3 2 2 2 8 3" xfId="11034" xr:uid="{5933A3C1-8299-4246-8EF4-B6797A18D836}"/>
    <cellStyle name="Normal 4 3 2 2 2 9" xfId="4745" xr:uid="{00000000-0005-0000-0000-000059140000}"/>
    <cellStyle name="Normal 4 3 2 2 2 9 2" xfId="13187" xr:uid="{914E8BF7-4099-4B83-BAAB-1C726C8EEFDE}"/>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10" xfId="8973" xr:uid="{3C513A99-2240-4A29-A637-8D7AF01920C3}"/>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2 2 2" xfId="15751" xr:uid="{92EA463B-D51C-46E0-A321-07DBFC2BFA0D}"/>
    <cellStyle name="Normal 4 3 3 2 2 2 2 3" xfId="11533" xr:uid="{E790024F-F95D-4D7B-A608-899C383F9A53}"/>
    <cellStyle name="Normal 4 3 3 2 2 2 3" xfId="5164" xr:uid="{00000000-0005-0000-0000-000063140000}"/>
    <cellStyle name="Normal 4 3 3 2 2 2 3 2" xfId="13606" xr:uid="{14530591-386E-43AD-95F3-14A1A9A9C651}"/>
    <cellStyle name="Normal 4 3 3 2 2 2 4" xfId="9388" xr:uid="{433A7DC6-FA44-426C-B74F-96A7B14AE1B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2 2 2" xfId="16164" xr:uid="{A1740F59-104D-4A1A-BFFF-5F5DAD9A11C1}"/>
    <cellStyle name="Normal 4 3 3 2 2 3 2 3" xfId="11946" xr:uid="{58D38940-BD99-40FB-A4BA-725EDCAEE503}"/>
    <cellStyle name="Normal 4 3 3 2 2 3 3" xfId="5577" xr:uid="{00000000-0005-0000-0000-000067140000}"/>
    <cellStyle name="Normal 4 3 3 2 2 3 3 2" xfId="14019" xr:uid="{65DED0E2-26BB-44EF-8F08-5D7FA7E0523E}"/>
    <cellStyle name="Normal 4 3 3 2 2 3 4" xfId="9801" xr:uid="{D6F0F66E-521E-48D3-99C6-6A25A0B05FE3}"/>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2 2 2" xfId="16577" xr:uid="{81EE3AB5-660F-4E84-A0B7-F65457B8438C}"/>
    <cellStyle name="Normal 4 3 3 2 2 4 2 3" xfId="12359" xr:uid="{C20628FE-E87C-4DD8-98AC-6CE6C9FEC68F}"/>
    <cellStyle name="Normal 4 3 3 2 2 4 3" xfId="5990" xr:uid="{00000000-0005-0000-0000-00006B140000}"/>
    <cellStyle name="Normal 4 3 3 2 2 4 3 2" xfId="14432" xr:uid="{A67C54B2-4799-4AFE-B223-7829D704A6EF}"/>
    <cellStyle name="Normal 4 3 3 2 2 4 4" xfId="10214" xr:uid="{C095AB8F-5D44-4F0D-9DE2-D62C3154E643}"/>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2 2 2" xfId="16990" xr:uid="{779EA4C1-48E9-4E2B-978B-3B904225B23D}"/>
    <cellStyle name="Normal 4 3 3 2 2 5 2 3" xfId="12772" xr:uid="{9F0734FD-C9AE-4FE3-A29A-41FFE294193B}"/>
    <cellStyle name="Normal 4 3 3 2 2 5 3" xfId="6403" xr:uid="{00000000-0005-0000-0000-00006F140000}"/>
    <cellStyle name="Normal 4 3 3 2 2 5 3 2" xfId="14845" xr:uid="{E35DE127-119C-40AC-A8AF-76B1FBBBF50F}"/>
    <cellStyle name="Normal 4 3 3 2 2 5 4" xfId="10627" xr:uid="{E28B5A23-D67B-41A8-A37D-9D447616D3AE}"/>
    <cellStyle name="Normal 4 3 3 2 2 6" xfId="2532" xr:uid="{00000000-0005-0000-0000-000070140000}"/>
    <cellStyle name="Normal 4 3 3 2 2 6 2" xfId="6816" xr:uid="{00000000-0005-0000-0000-000071140000}"/>
    <cellStyle name="Normal 4 3 3 2 2 6 2 2" xfId="15258" xr:uid="{1A00E2EA-D58A-4EC9-8EF4-900BC34013C6}"/>
    <cellStyle name="Normal 4 3 3 2 2 6 3" xfId="11040" xr:uid="{EF0464C4-09E5-414F-A5BB-0830405C7097}"/>
    <cellStyle name="Normal 4 3 3 2 2 7" xfId="4751" xr:uid="{00000000-0005-0000-0000-000072140000}"/>
    <cellStyle name="Normal 4 3 3 2 2 7 2" xfId="13193" xr:uid="{FA7ED6F2-4AE6-44E0-A838-3FBDD112C21C}"/>
    <cellStyle name="Normal 4 3 3 2 2 8" xfId="8975" xr:uid="{82017337-9A8B-4FC7-8DFB-B85B352B9049}"/>
    <cellStyle name="Normal 4 3 3 2 3" xfId="850" xr:uid="{00000000-0005-0000-0000-000073140000}"/>
    <cellStyle name="Normal 4 3 3 2 3 2" xfId="3085" xr:uid="{00000000-0005-0000-0000-000074140000}"/>
    <cellStyle name="Normal 4 3 3 2 3 2 2" xfId="7308" xr:uid="{00000000-0005-0000-0000-000075140000}"/>
    <cellStyle name="Normal 4 3 3 2 3 2 2 2" xfId="15750" xr:uid="{D334535B-61A8-42B0-B644-B9FEF558D083}"/>
    <cellStyle name="Normal 4 3 3 2 3 2 3" xfId="11532" xr:uid="{64930EBD-AB68-4749-A838-1AE16215AF84}"/>
    <cellStyle name="Normal 4 3 3 2 3 3" xfId="5163" xr:uid="{00000000-0005-0000-0000-000076140000}"/>
    <cellStyle name="Normal 4 3 3 2 3 3 2" xfId="13605" xr:uid="{3737438A-EEE2-48A1-9546-8065446DFDCE}"/>
    <cellStyle name="Normal 4 3 3 2 3 4" xfId="9387" xr:uid="{D1CC61B1-7B52-45F8-955C-35350EADC748}"/>
    <cellStyle name="Normal 4 3 3 2 4" xfId="1268" xr:uid="{00000000-0005-0000-0000-000077140000}"/>
    <cellStyle name="Normal 4 3 3 2 4 2" xfId="3498" xr:uid="{00000000-0005-0000-0000-000078140000}"/>
    <cellStyle name="Normal 4 3 3 2 4 2 2" xfId="7721" xr:uid="{00000000-0005-0000-0000-000079140000}"/>
    <cellStyle name="Normal 4 3 3 2 4 2 2 2" xfId="16163" xr:uid="{6BBC04E6-B24B-4AAE-AD65-B17DE7E253A9}"/>
    <cellStyle name="Normal 4 3 3 2 4 2 3" xfId="11945" xr:uid="{3279118C-4666-4609-90C2-5D5E8FFA6F9F}"/>
    <cellStyle name="Normal 4 3 3 2 4 3" xfId="5576" xr:uid="{00000000-0005-0000-0000-00007A140000}"/>
    <cellStyle name="Normal 4 3 3 2 4 3 2" xfId="14018" xr:uid="{82430A92-2D6D-4015-91FD-48C76EB6D3DE}"/>
    <cellStyle name="Normal 4 3 3 2 4 4" xfId="9800" xr:uid="{85794542-750A-40E0-B737-2652708F27C5}"/>
    <cellStyle name="Normal 4 3 3 2 5" xfId="1681" xr:uid="{00000000-0005-0000-0000-00007B140000}"/>
    <cellStyle name="Normal 4 3 3 2 5 2" xfId="3911" xr:uid="{00000000-0005-0000-0000-00007C140000}"/>
    <cellStyle name="Normal 4 3 3 2 5 2 2" xfId="8134" xr:uid="{00000000-0005-0000-0000-00007D140000}"/>
    <cellStyle name="Normal 4 3 3 2 5 2 2 2" xfId="16576" xr:uid="{7DC7ED45-DD25-4A55-98FB-949477B9339A}"/>
    <cellStyle name="Normal 4 3 3 2 5 2 3" xfId="12358" xr:uid="{84EDA0A0-4D84-49D2-B39A-016E0851F1F0}"/>
    <cellStyle name="Normal 4 3 3 2 5 3" xfId="5989" xr:uid="{00000000-0005-0000-0000-00007E140000}"/>
    <cellStyle name="Normal 4 3 3 2 5 3 2" xfId="14431" xr:uid="{A6B7FB53-5EB3-4833-A8E0-19DF547B9FE8}"/>
    <cellStyle name="Normal 4 3 3 2 5 4" xfId="10213" xr:uid="{85A79019-F8D4-4189-A492-9512B7FB7E56}"/>
    <cellStyle name="Normal 4 3 3 2 6" xfId="2095" xr:uid="{00000000-0005-0000-0000-00007F140000}"/>
    <cellStyle name="Normal 4 3 3 2 6 2" xfId="4324" xr:uid="{00000000-0005-0000-0000-000080140000}"/>
    <cellStyle name="Normal 4 3 3 2 6 2 2" xfId="8547" xr:uid="{00000000-0005-0000-0000-000081140000}"/>
    <cellStyle name="Normal 4 3 3 2 6 2 2 2" xfId="16989" xr:uid="{67A6A067-7A51-495A-AC5B-C2F80C703564}"/>
    <cellStyle name="Normal 4 3 3 2 6 2 3" xfId="12771" xr:uid="{FA910565-ED22-4221-9BFD-778799A355AF}"/>
    <cellStyle name="Normal 4 3 3 2 6 3" xfId="6402" xr:uid="{00000000-0005-0000-0000-000082140000}"/>
    <cellStyle name="Normal 4 3 3 2 6 3 2" xfId="14844" xr:uid="{A489B8B7-FD09-4AC1-B7AD-38DE923FB0A1}"/>
    <cellStyle name="Normal 4 3 3 2 6 4" xfId="10626" xr:uid="{8B28194D-B709-4A5A-8878-C364C4EC0DEE}"/>
    <cellStyle name="Normal 4 3 3 2 7" xfId="2531" xr:uid="{00000000-0005-0000-0000-000083140000}"/>
    <cellStyle name="Normal 4 3 3 2 7 2" xfId="6815" xr:uid="{00000000-0005-0000-0000-000084140000}"/>
    <cellStyle name="Normal 4 3 3 2 7 2 2" xfId="15257" xr:uid="{346315EA-1913-415B-AA4E-0C4079DE3918}"/>
    <cellStyle name="Normal 4 3 3 2 7 3" xfId="11039" xr:uid="{1F85A0E6-8B55-4B2F-920A-10A453B6A5B0}"/>
    <cellStyle name="Normal 4 3 3 2 8" xfId="4750" xr:uid="{00000000-0005-0000-0000-000085140000}"/>
    <cellStyle name="Normal 4 3 3 2 8 2" xfId="13192" xr:uid="{BBEADD45-5CB8-4418-BB30-4785EF11E414}"/>
    <cellStyle name="Normal 4 3 3 2 9" xfId="8974" xr:uid="{570B0B2A-7500-49AC-B6A5-E0E45CCB353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2 2 2" xfId="15752" xr:uid="{95E45741-4923-474D-A673-D24524F9B626}"/>
    <cellStyle name="Normal 4 3 3 3 2 2 3" xfId="11534" xr:uid="{A4345CC5-9D1C-430A-BABA-DDC98373E6BB}"/>
    <cellStyle name="Normal 4 3 3 3 2 3" xfId="5165" xr:uid="{00000000-0005-0000-0000-00008A140000}"/>
    <cellStyle name="Normal 4 3 3 3 2 3 2" xfId="13607" xr:uid="{C90B73CE-B198-49F9-BD19-06588489461A}"/>
    <cellStyle name="Normal 4 3 3 3 2 4" xfId="9389" xr:uid="{459A4B2A-55E0-402A-91CD-44EF975801D9}"/>
    <cellStyle name="Normal 4 3 3 3 3" xfId="1270" xr:uid="{00000000-0005-0000-0000-00008B140000}"/>
    <cellStyle name="Normal 4 3 3 3 3 2" xfId="3500" xr:uid="{00000000-0005-0000-0000-00008C140000}"/>
    <cellStyle name="Normal 4 3 3 3 3 2 2" xfId="7723" xr:uid="{00000000-0005-0000-0000-00008D140000}"/>
    <cellStyle name="Normal 4 3 3 3 3 2 2 2" xfId="16165" xr:uid="{71A5A0C0-29C0-44E5-94E9-684349FF659E}"/>
    <cellStyle name="Normal 4 3 3 3 3 2 3" xfId="11947" xr:uid="{D822BCEA-4100-4AC1-AE45-CEBD37764B66}"/>
    <cellStyle name="Normal 4 3 3 3 3 3" xfId="5578" xr:uid="{00000000-0005-0000-0000-00008E140000}"/>
    <cellStyle name="Normal 4 3 3 3 3 3 2" xfId="14020" xr:uid="{D178DF87-11A6-4754-8F6A-897A864076F5}"/>
    <cellStyle name="Normal 4 3 3 3 3 4" xfId="9802" xr:uid="{9A8130F0-CA54-4B98-A6F4-0B1066D09D21}"/>
    <cellStyle name="Normal 4 3 3 3 4" xfId="1683" xr:uid="{00000000-0005-0000-0000-00008F140000}"/>
    <cellStyle name="Normal 4 3 3 3 4 2" xfId="3913" xr:uid="{00000000-0005-0000-0000-000090140000}"/>
    <cellStyle name="Normal 4 3 3 3 4 2 2" xfId="8136" xr:uid="{00000000-0005-0000-0000-000091140000}"/>
    <cellStyle name="Normal 4 3 3 3 4 2 2 2" xfId="16578" xr:uid="{5C6C84EB-08AF-4178-B20F-1E18108689DB}"/>
    <cellStyle name="Normal 4 3 3 3 4 2 3" xfId="12360" xr:uid="{33DDCB42-6D30-4C7A-BD29-4CD8E9A90982}"/>
    <cellStyle name="Normal 4 3 3 3 4 3" xfId="5991" xr:uid="{00000000-0005-0000-0000-000092140000}"/>
    <cellStyle name="Normal 4 3 3 3 4 3 2" xfId="14433" xr:uid="{39B3A701-F65F-43BA-BEA0-4DFE44DDE36F}"/>
    <cellStyle name="Normal 4 3 3 3 4 4" xfId="10215" xr:uid="{79CAD524-C458-4FDB-8069-002A27E13A1C}"/>
    <cellStyle name="Normal 4 3 3 3 5" xfId="2097" xr:uid="{00000000-0005-0000-0000-000093140000}"/>
    <cellStyle name="Normal 4 3 3 3 5 2" xfId="4326" xr:uid="{00000000-0005-0000-0000-000094140000}"/>
    <cellStyle name="Normal 4 3 3 3 5 2 2" xfId="8549" xr:uid="{00000000-0005-0000-0000-000095140000}"/>
    <cellStyle name="Normal 4 3 3 3 5 2 2 2" xfId="16991" xr:uid="{C24E68C1-726C-4711-83CB-01CABB1FBE48}"/>
    <cellStyle name="Normal 4 3 3 3 5 2 3" xfId="12773" xr:uid="{5E362448-3FDC-4B59-9810-7844E240DE9D}"/>
    <cellStyle name="Normal 4 3 3 3 5 3" xfId="6404" xr:uid="{00000000-0005-0000-0000-000096140000}"/>
    <cellStyle name="Normal 4 3 3 3 5 3 2" xfId="14846" xr:uid="{DFC8C7A0-69F3-4981-9A4A-E3C54DE744BD}"/>
    <cellStyle name="Normal 4 3 3 3 5 4" xfId="10628" xr:uid="{57628828-A95A-456F-B0DA-733236E2A6EE}"/>
    <cellStyle name="Normal 4 3 3 3 6" xfId="2533" xr:uid="{00000000-0005-0000-0000-000097140000}"/>
    <cellStyle name="Normal 4 3 3 3 6 2" xfId="6817" xr:uid="{00000000-0005-0000-0000-000098140000}"/>
    <cellStyle name="Normal 4 3 3 3 6 2 2" xfId="15259" xr:uid="{F7318536-492D-47EE-9D51-E19F2FB1BC4D}"/>
    <cellStyle name="Normal 4 3 3 3 6 3" xfId="11041" xr:uid="{3F799341-A2B1-4BBB-8114-E1FA32EBAD39}"/>
    <cellStyle name="Normal 4 3 3 3 7" xfId="4752" xr:uid="{00000000-0005-0000-0000-000099140000}"/>
    <cellStyle name="Normal 4 3 3 3 7 2" xfId="13194" xr:uid="{A289AF5F-D15D-4D1E-82D1-AE9BD39D6D9F}"/>
    <cellStyle name="Normal 4 3 3 3 8" xfId="8976" xr:uid="{9B0E39DE-C42E-41C9-9471-545186A2224D}"/>
    <cellStyle name="Normal 4 3 3 4" xfId="849" xr:uid="{00000000-0005-0000-0000-00009A140000}"/>
    <cellStyle name="Normal 4 3 3 4 2" xfId="3084" xr:uid="{00000000-0005-0000-0000-00009B140000}"/>
    <cellStyle name="Normal 4 3 3 4 2 2" xfId="7307" xr:uid="{00000000-0005-0000-0000-00009C140000}"/>
    <cellStyle name="Normal 4 3 3 4 2 2 2" xfId="15749" xr:uid="{E5DD2E57-FF55-4BE3-AD07-CE1A470E846D}"/>
    <cellStyle name="Normal 4 3 3 4 2 3" xfId="11531" xr:uid="{762EBE47-910D-4C40-8E98-1BE3562683CD}"/>
    <cellStyle name="Normal 4 3 3 4 3" xfId="5162" xr:uid="{00000000-0005-0000-0000-00009D140000}"/>
    <cellStyle name="Normal 4 3 3 4 3 2" xfId="13604" xr:uid="{3E45E20F-D6F7-4B6B-B380-A638B1C1914E}"/>
    <cellStyle name="Normal 4 3 3 4 4" xfId="9386" xr:uid="{0CFE0944-AB0A-4573-9FEF-1916BC592849}"/>
    <cellStyle name="Normal 4 3 3 5" xfId="1267" xr:uid="{00000000-0005-0000-0000-00009E140000}"/>
    <cellStyle name="Normal 4 3 3 5 2" xfId="3497" xr:uid="{00000000-0005-0000-0000-00009F140000}"/>
    <cellStyle name="Normal 4 3 3 5 2 2" xfId="7720" xr:uid="{00000000-0005-0000-0000-0000A0140000}"/>
    <cellStyle name="Normal 4 3 3 5 2 2 2" xfId="16162" xr:uid="{EFD069BA-A33E-49AC-9D4C-24CA945804A3}"/>
    <cellStyle name="Normal 4 3 3 5 2 3" xfId="11944" xr:uid="{0ACAEE4E-2E96-4391-A673-DA91E653183B}"/>
    <cellStyle name="Normal 4 3 3 5 3" xfId="5575" xr:uid="{00000000-0005-0000-0000-0000A1140000}"/>
    <cellStyle name="Normal 4 3 3 5 3 2" xfId="14017" xr:uid="{66561F94-8376-4007-ABF8-B5B508F19F68}"/>
    <cellStyle name="Normal 4 3 3 5 4" xfId="9799" xr:uid="{26967E08-018A-4325-AEE0-2ABBB16F5F75}"/>
    <cellStyle name="Normal 4 3 3 6" xfId="1680" xr:uid="{00000000-0005-0000-0000-0000A2140000}"/>
    <cellStyle name="Normal 4 3 3 6 2" xfId="3910" xr:uid="{00000000-0005-0000-0000-0000A3140000}"/>
    <cellStyle name="Normal 4 3 3 6 2 2" xfId="8133" xr:uid="{00000000-0005-0000-0000-0000A4140000}"/>
    <cellStyle name="Normal 4 3 3 6 2 2 2" xfId="16575" xr:uid="{2EEF1032-575B-474B-824C-A737606235E5}"/>
    <cellStyle name="Normal 4 3 3 6 2 3" xfId="12357" xr:uid="{22422B21-01BC-4462-B32B-D4EC3A637F15}"/>
    <cellStyle name="Normal 4 3 3 6 3" xfId="5988" xr:uid="{00000000-0005-0000-0000-0000A5140000}"/>
    <cellStyle name="Normal 4 3 3 6 3 2" xfId="14430" xr:uid="{F7A4B419-34FA-4720-8B25-8FA4861B510F}"/>
    <cellStyle name="Normal 4 3 3 6 4" xfId="10212" xr:uid="{5E1FEBB4-39FE-44DF-98B6-D8B80EC4F3BA}"/>
    <cellStyle name="Normal 4 3 3 7" xfId="2094" xr:uid="{00000000-0005-0000-0000-0000A6140000}"/>
    <cellStyle name="Normal 4 3 3 7 2" xfId="4323" xr:uid="{00000000-0005-0000-0000-0000A7140000}"/>
    <cellStyle name="Normal 4 3 3 7 2 2" xfId="8546" xr:uid="{00000000-0005-0000-0000-0000A8140000}"/>
    <cellStyle name="Normal 4 3 3 7 2 2 2" xfId="16988" xr:uid="{14329A55-1875-444D-A535-ACDFDFD798F1}"/>
    <cellStyle name="Normal 4 3 3 7 2 3" xfId="12770" xr:uid="{8BE0C91B-23D2-47EE-A2BA-223C81454B93}"/>
    <cellStyle name="Normal 4 3 3 7 3" xfId="6401" xr:uid="{00000000-0005-0000-0000-0000A9140000}"/>
    <cellStyle name="Normal 4 3 3 7 3 2" xfId="14843" xr:uid="{14C5B8F9-9F0C-4BA8-9FA2-F0110691A412}"/>
    <cellStyle name="Normal 4 3 3 7 4" xfId="10625" xr:uid="{B73427E2-C03D-49C3-BB1B-D6185615597F}"/>
    <cellStyle name="Normal 4 3 3 8" xfId="2530" xr:uid="{00000000-0005-0000-0000-0000AA140000}"/>
    <cellStyle name="Normal 4 3 3 8 2" xfId="6814" xr:uid="{00000000-0005-0000-0000-0000AB140000}"/>
    <cellStyle name="Normal 4 3 3 8 2 2" xfId="15256" xr:uid="{3F24D5BA-7183-404D-B699-EF537B5F53D9}"/>
    <cellStyle name="Normal 4 3 3 8 3" xfId="11038" xr:uid="{643CD8B8-86C0-4E98-ABA7-44AD4258B735}"/>
    <cellStyle name="Normal 4 3 3 9" xfId="4749" xr:uid="{00000000-0005-0000-0000-0000AC140000}"/>
    <cellStyle name="Normal 4 3 3 9 2" xfId="13191" xr:uid="{238AE068-4F9B-499A-A9C1-C561619196E0}"/>
    <cellStyle name="Normal 4 3 4" xfId="842" xr:uid="{00000000-0005-0000-0000-0000AD140000}"/>
    <cellStyle name="Normal 4 3 4 2" xfId="3079" xr:uid="{00000000-0005-0000-0000-0000AE140000}"/>
    <cellStyle name="Normal 4 3 4 2 2" xfId="7302" xr:uid="{00000000-0005-0000-0000-0000AF140000}"/>
    <cellStyle name="Normal 4 3 4 2 2 2" xfId="15744" xr:uid="{F480CB49-5AD1-4D22-9E6E-A4AEDA76FF69}"/>
    <cellStyle name="Normal 4 3 4 2 3" xfId="11526" xr:uid="{F5573EC4-821A-4F74-B903-7454A0EAF49B}"/>
    <cellStyle name="Normal 4 3 4 3" xfId="5157" xr:uid="{00000000-0005-0000-0000-0000B0140000}"/>
    <cellStyle name="Normal 4 3 4 3 2" xfId="13599" xr:uid="{864F512F-E526-4C43-ACF2-CF920D8EE686}"/>
    <cellStyle name="Normal 4 3 4 4" xfId="9381" xr:uid="{593C849E-B5D1-4CF5-851C-A21E727D21D9}"/>
    <cellStyle name="Normal 4 3 5" xfId="1262" xr:uid="{00000000-0005-0000-0000-0000B1140000}"/>
    <cellStyle name="Normal 4 3 5 2" xfId="3492" xr:uid="{00000000-0005-0000-0000-0000B2140000}"/>
    <cellStyle name="Normal 4 3 5 2 2" xfId="7715" xr:uid="{00000000-0005-0000-0000-0000B3140000}"/>
    <cellStyle name="Normal 4 3 5 2 2 2" xfId="16157" xr:uid="{3755BC9C-525D-47CF-9E74-DCCFCB9E73D8}"/>
    <cellStyle name="Normal 4 3 5 2 3" xfId="11939" xr:uid="{56A75CFA-8C9A-4454-B548-A2865B860FF9}"/>
    <cellStyle name="Normal 4 3 5 3" xfId="5570" xr:uid="{00000000-0005-0000-0000-0000B4140000}"/>
    <cellStyle name="Normal 4 3 5 3 2" xfId="14012" xr:uid="{E5A75D18-554D-4446-9742-14B0D7FEB195}"/>
    <cellStyle name="Normal 4 3 5 4" xfId="9794" xr:uid="{835088EF-C856-4B5C-B437-8D7B22A4E334}"/>
    <cellStyle name="Normal 4 3 6" xfId="1675" xr:uid="{00000000-0005-0000-0000-0000B5140000}"/>
    <cellStyle name="Normal 4 3 6 2" xfId="3905" xr:uid="{00000000-0005-0000-0000-0000B6140000}"/>
    <cellStyle name="Normal 4 3 6 2 2" xfId="8128" xr:uid="{00000000-0005-0000-0000-0000B7140000}"/>
    <cellStyle name="Normal 4 3 6 2 2 2" xfId="16570" xr:uid="{1DBE8329-72A6-4135-AA56-1929D1E7914D}"/>
    <cellStyle name="Normal 4 3 6 2 3" xfId="12352" xr:uid="{9F78B056-AE8D-4E15-A2DE-448EA9589536}"/>
    <cellStyle name="Normal 4 3 6 3" xfId="5983" xr:uid="{00000000-0005-0000-0000-0000B8140000}"/>
    <cellStyle name="Normal 4 3 6 3 2" xfId="14425" xr:uid="{9D3460A7-445D-456C-9037-39467239683E}"/>
    <cellStyle name="Normal 4 3 6 4" xfId="10207" xr:uid="{BD7E64A0-B081-4169-8F25-B3A30BBE9758}"/>
    <cellStyle name="Normal 4 3 7" xfId="2089" xr:uid="{00000000-0005-0000-0000-0000B9140000}"/>
    <cellStyle name="Normal 4 3 7 2" xfId="4318" xr:uid="{00000000-0005-0000-0000-0000BA140000}"/>
    <cellStyle name="Normal 4 3 7 2 2" xfId="8541" xr:uid="{00000000-0005-0000-0000-0000BB140000}"/>
    <cellStyle name="Normal 4 3 7 2 2 2" xfId="16983" xr:uid="{BBA6D7D9-67A3-436C-95D7-3F3B6E8A15FF}"/>
    <cellStyle name="Normal 4 3 7 2 3" xfId="12765" xr:uid="{77EA0751-AEB0-4397-889C-CCEB0D0F0918}"/>
    <cellStyle name="Normal 4 3 7 3" xfId="6396" xr:uid="{00000000-0005-0000-0000-0000BC140000}"/>
    <cellStyle name="Normal 4 3 7 3 2" xfId="14838" xr:uid="{F16C6712-7878-4E7C-B883-0740E35575F1}"/>
    <cellStyle name="Normal 4 3 7 4" xfId="10620" xr:uid="{886CC497-FD7A-488F-8E67-7BD67C8F06EF}"/>
    <cellStyle name="Normal 4 3 8" xfId="2525" xr:uid="{00000000-0005-0000-0000-0000BD140000}"/>
    <cellStyle name="Normal 4 3 8 2" xfId="6809" xr:uid="{00000000-0005-0000-0000-0000BE140000}"/>
    <cellStyle name="Normal 4 3 8 2 2" xfId="15251" xr:uid="{A3987BCD-C2A9-4C49-8692-635457F5C0DE}"/>
    <cellStyle name="Normal 4 3 8 3" xfId="11033" xr:uid="{3E4E0425-AEBB-4095-96E4-E503F533ECEB}"/>
    <cellStyle name="Normal 4 3 9" xfId="4744" xr:uid="{00000000-0005-0000-0000-0000BF140000}"/>
    <cellStyle name="Normal 4 3 9 2" xfId="13186" xr:uid="{0BDAE132-6303-44D7-9877-C131DBEB51C4}"/>
    <cellStyle name="Normal 4 4" xfId="378" xr:uid="{00000000-0005-0000-0000-0000C0140000}"/>
    <cellStyle name="Normal 4 4 10" xfId="2534" xr:uid="{00000000-0005-0000-0000-0000C1140000}"/>
    <cellStyle name="Normal 4 4 10 2" xfId="6818" xr:uid="{00000000-0005-0000-0000-0000C2140000}"/>
    <cellStyle name="Normal 4 4 10 2 2" xfId="15260" xr:uid="{21BAFF1B-2B01-4DF3-8F7B-F40C2C552406}"/>
    <cellStyle name="Normal 4 4 10 3" xfId="11042" xr:uid="{CAE953A0-0964-4270-B889-BED445718687}"/>
    <cellStyle name="Normal 4 4 11" xfId="4753" xr:uid="{00000000-0005-0000-0000-0000C3140000}"/>
    <cellStyle name="Normal 4 4 11 2" xfId="13195" xr:uid="{0AAE817A-03CC-4ED3-BB5F-C743748BBA19}"/>
    <cellStyle name="Normal 4 4 12" xfId="8977" xr:uid="{EE865F3B-D99A-4718-A9DA-DCF9FB249072}"/>
    <cellStyle name="Normal 4 4 2" xfId="379" xr:uid="{00000000-0005-0000-0000-0000C4140000}"/>
    <cellStyle name="Normal 4 4 2 10" xfId="4754" xr:uid="{00000000-0005-0000-0000-0000C5140000}"/>
    <cellStyle name="Normal 4 4 2 10 2" xfId="13196" xr:uid="{E61ABFFC-22AF-4150-8B19-968F7D9D123F}"/>
    <cellStyle name="Normal 4 4 2 11" xfId="8978" xr:uid="{92BBFCA9-C6A1-4C43-86CC-B1B556476E25}"/>
    <cellStyle name="Normal 4 4 2 2" xfId="380" xr:uid="{00000000-0005-0000-0000-0000C6140000}"/>
    <cellStyle name="Normal 4 4 2 2 10" xfId="8979" xr:uid="{E256D378-64BA-4F67-AD61-C34C804CFD69}"/>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2 2 2" xfId="15757" xr:uid="{42A059FB-2ADC-4AEA-8A15-0C5D2879B5D6}"/>
    <cellStyle name="Normal 4 4 2 2 2 2 2 2 3" xfId="11539" xr:uid="{342758A3-31BE-4890-BABC-622FFC006E94}"/>
    <cellStyle name="Normal 4 4 2 2 2 2 2 3" xfId="5170" xr:uid="{00000000-0005-0000-0000-0000CC140000}"/>
    <cellStyle name="Normal 4 4 2 2 2 2 2 3 2" xfId="13612" xr:uid="{B597B2AE-2B80-4CC8-8379-FC5FA0405873}"/>
    <cellStyle name="Normal 4 4 2 2 2 2 2 4" xfId="9394" xr:uid="{1505311D-4D0E-42ED-8FD9-DA42D516D712}"/>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2 2 2" xfId="16170" xr:uid="{BB232C9C-F6A1-43A4-8EA7-CF6CD47CF9A9}"/>
    <cellStyle name="Normal 4 4 2 2 2 2 3 2 3" xfId="11952" xr:uid="{AD6366AF-DF5C-45EC-9177-7AA1835AAE97}"/>
    <cellStyle name="Normal 4 4 2 2 2 2 3 3" xfId="5583" xr:uid="{00000000-0005-0000-0000-0000D0140000}"/>
    <cellStyle name="Normal 4 4 2 2 2 2 3 3 2" xfId="14025" xr:uid="{EBB22D55-420F-4F5A-B1EC-F0ECC5F9D21D}"/>
    <cellStyle name="Normal 4 4 2 2 2 2 3 4" xfId="9807" xr:uid="{A2BD33B3-0A3D-4DC7-8912-E38B21D0B056}"/>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2 2 2" xfId="16583" xr:uid="{F611888C-4EDC-4D6F-BF46-58649B0FBBC1}"/>
    <cellStyle name="Normal 4 4 2 2 2 2 4 2 3" xfId="12365" xr:uid="{9413D1B0-BD73-470F-B010-B3DB9EBC4FF6}"/>
    <cellStyle name="Normal 4 4 2 2 2 2 4 3" xfId="5996" xr:uid="{00000000-0005-0000-0000-0000D4140000}"/>
    <cellStyle name="Normal 4 4 2 2 2 2 4 3 2" xfId="14438" xr:uid="{29231734-6B9B-4B84-9886-02813588E620}"/>
    <cellStyle name="Normal 4 4 2 2 2 2 4 4" xfId="10220" xr:uid="{732156D1-92B1-4944-ACD1-F41DB42BE356}"/>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2 2 2" xfId="16996" xr:uid="{DC844903-2127-4F2C-8699-58E802ABC206}"/>
    <cellStyle name="Normal 4 4 2 2 2 2 5 2 3" xfId="12778" xr:uid="{E1B5CD25-DD8E-4D2B-8779-D66DF4FB5A4D}"/>
    <cellStyle name="Normal 4 4 2 2 2 2 5 3" xfId="6409" xr:uid="{00000000-0005-0000-0000-0000D8140000}"/>
    <cellStyle name="Normal 4 4 2 2 2 2 5 3 2" xfId="14851" xr:uid="{F9CB0AA5-89B0-491D-9356-A10904C85979}"/>
    <cellStyle name="Normal 4 4 2 2 2 2 5 4" xfId="10633" xr:uid="{95E1D67E-7E77-428A-BCDA-0054427ACA72}"/>
    <cellStyle name="Normal 4 4 2 2 2 2 6" xfId="2538" xr:uid="{00000000-0005-0000-0000-0000D9140000}"/>
    <cellStyle name="Normal 4 4 2 2 2 2 6 2" xfId="6822" xr:uid="{00000000-0005-0000-0000-0000DA140000}"/>
    <cellStyle name="Normal 4 4 2 2 2 2 6 2 2" xfId="15264" xr:uid="{7FEB5498-631F-46DC-A5ED-A62DE8836868}"/>
    <cellStyle name="Normal 4 4 2 2 2 2 6 3" xfId="11046" xr:uid="{B22C600D-00BF-4E15-A8F4-6C487298ED2E}"/>
    <cellStyle name="Normal 4 4 2 2 2 2 7" xfId="4757" xr:uid="{00000000-0005-0000-0000-0000DB140000}"/>
    <cellStyle name="Normal 4 4 2 2 2 2 7 2" xfId="13199" xr:uid="{C92E050F-5DDE-4DA1-8729-0CCB67241780}"/>
    <cellStyle name="Normal 4 4 2 2 2 2 8" xfId="8981" xr:uid="{430DA535-2B2E-4B1D-94AC-8A34437139C1}"/>
    <cellStyle name="Normal 4 4 2 2 2 3" xfId="856" xr:uid="{00000000-0005-0000-0000-0000DC140000}"/>
    <cellStyle name="Normal 4 4 2 2 2 3 2" xfId="3091" xr:uid="{00000000-0005-0000-0000-0000DD140000}"/>
    <cellStyle name="Normal 4 4 2 2 2 3 2 2" xfId="7314" xr:uid="{00000000-0005-0000-0000-0000DE140000}"/>
    <cellStyle name="Normal 4 4 2 2 2 3 2 2 2" xfId="15756" xr:uid="{479287E4-43CB-4F5E-8699-467092B2D0B1}"/>
    <cellStyle name="Normal 4 4 2 2 2 3 2 3" xfId="11538" xr:uid="{3B961395-B771-4365-8EA1-739CD553084C}"/>
    <cellStyle name="Normal 4 4 2 2 2 3 3" xfId="5169" xr:uid="{00000000-0005-0000-0000-0000DF140000}"/>
    <cellStyle name="Normal 4 4 2 2 2 3 3 2" xfId="13611" xr:uid="{F64A30EE-EF24-44E6-ABAE-EF4F6F5F9A79}"/>
    <cellStyle name="Normal 4 4 2 2 2 3 4" xfId="9393" xr:uid="{8184352B-F083-4571-91B7-0700F5B03F9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2 2 2" xfId="16169" xr:uid="{83E19131-E1C2-4CDD-B054-10A0E45B5D1A}"/>
    <cellStyle name="Normal 4 4 2 2 2 4 2 3" xfId="11951" xr:uid="{033D5644-507E-43A9-8D3F-4198D4E5EA2D}"/>
    <cellStyle name="Normal 4 4 2 2 2 4 3" xfId="5582" xr:uid="{00000000-0005-0000-0000-0000E3140000}"/>
    <cellStyle name="Normal 4 4 2 2 2 4 3 2" xfId="14024" xr:uid="{A6C3DC0F-A34C-434D-BB8D-E23C7C35EC48}"/>
    <cellStyle name="Normal 4 4 2 2 2 4 4" xfId="9806" xr:uid="{AD75DF21-02E0-4435-85A2-2749945608AF}"/>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2 2 2" xfId="16582" xr:uid="{AAD878F3-E038-449B-8424-6A1A82787102}"/>
    <cellStyle name="Normal 4 4 2 2 2 5 2 3" xfId="12364" xr:uid="{A1E4DE16-AAA2-4BC8-A334-644F04FE9A7A}"/>
    <cellStyle name="Normal 4 4 2 2 2 5 3" xfId="5995" xr:uid="{00000000-0005-0000-0000-0000E7140000}"/>
    <cellStyle name="Normal 4 4 2 2 2 5 3 2" xfId="14437" xr:uid="{B28B0088-D026-46D0-B885-B60F98FA1FDD}"/>
    <cellStyle name="Normal 4 4 2 2 2 5 4" xfId="10219" xr:uid="{911E93A0-7A65-4683-92B9-205A0BC83B1D}"/>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2 2 2" xfId="16995" xr:uid="{F2CFC21C-EE4A-4491-82D9-79B4B5B7168B}"/>
    <cellStyle name="Normal 4 4 2 2 2 6 2 3" xfId="12777" xr:uid="{67A78A7C-EB55-4939-98B2-080325B677C7}"/>
    <cellStyle name="Normal 4 4 2 2 2 6 3" xfId="6408" xr:uid="{00000000-0005-0000-0000-0000EB140000}"/>
    <cellStyle name="Normal 4 4 2 2 2 6 3 2" xfId="14850" xr:uid="{769FA213-5E4A-4FB8-893B-B1827CFE9339}"/>
    <cellStyle name="Normal 4 4 2 2 2 6 4" xfId="10632" xr:uid="{3B5BFC1A-2F9C-4BD5-BBD8-911A3D1EC721}"/>
    <cellStyle name="Normal 4 4 2 2 2 7" xfId="2537" xr:uid="{00000000-0005-0000-0000-0000EC140000}"/>
    <cellStyle name="Normal 4 4 2 2 2 7 2" xfId="6821" xr:uid="{00000000-0005-0000-0000-0000ED140000}"/>
    <cellStyle name="Normal 4 4 2 2 2 7 2 2" xfId="15263" xr:uid="{F34CB793-FF67-40DD-9BE1-D955C573796C}"/>
    <cellStyle name="Normal 4 4 2 2 2 7 3" xfId="11045" xr:uid="{F4DE8550-480F-4519-B032-4C80C01F7231}"/>
    <cellStyle name="Normal 4 4 2 2 2 8" xfId="4756" xr:uid="{00000000-0005-0000-0000-0000EE140000}"/>
    <cellStyle name="Normal 4 4 2 2 2 8 2" xfId="13198" xr:uid="{6DB67FE3-7D63-4CBD-BE74-443446078123}"/>
    <cellStyle name="Normal 4 4 2 2 2 9" xfId="8980" xr:uid="{1220BD12-87C9-493B-8A94-45CC1C1BA309}"/>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2 2 2" xfId="15758" xr:uid="{284A402A-A581-47E7-BEE4-23984AA9C386}"/>
    <cellStyle name="Normal 4 4 2 2 3 2 2 3" xfId="11540" xr:uid="{679EC27B-076D-4897-A022-4BEB5DC5B010}"/>
    <cellStyle name="Normal 4 4 2 2 3 2 3" xfId="5171" xr:uid="{00000000-0005-0000-0000-0000F3140000}"/>
    <cellStyle name="Normal 4 4 2 2 3 2 3 2" xfId="13613" xr:uid="{76AFA05E-99BE-4A82-B470-75710C079638}"/>
    <cellStyle name="Normal 4 4 2 2 3 2 4" xfId="9395" xr:uid="{2A37A97B-C7C3-4567-813F-FFF9A51CEB49}"/>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2 2 2" xfId="16171" xr:uid="{F3D097AE-0959-4C63-A1D5-B7F322EFFDB7}"/>
    <cellStyle name="Normal 4 4 2 2 3 3 2 3" xfId="11953" xr:uid="{61C22BEC-E1D2-4B20-9D9B-F8F9FA73FF46}"/>
    <cellStyle name="Normal 4 4 2 2 3 3 3" xfId="5584" xr:uid="{00000000-0005-0000-0000-0000F7140000}"/>
    <cellStyle name="Normal 4 4 2 2 3 3 3 2" xfId="14026" xr:uid="{56C762DB-D4BF-47C8-9BEE-24153434252B}"/>
    <cellStyle name="Normal 4 4 2 2 3 3 4" xfId="9808" xr:uid="{41D18EDD-AC26-4865-93C9-54EB871FA073}"/>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2 2 2" xfId="16584" xr:uid="{1D22CBF6-6869-4589-8CCE-7E9EBE672973}"/>
    <cellStyle name="Normal 4 4 2 2 3 4 2 3" xfId="12366" xr:uid="{5F898B83-C784-4476-B1D8-2D5D3CF5D324}"/>
    <cellStyle name="Normal 4 4 2 2 3 4 3" xfId="5997" xr:uid="{00000000-0005-0000-0000-0000FB140000}"/>
    <cellStyle name="Normal 4 4 2 2 3 4 3 2" xfId="14439" xr:uid="{1E7A6F53-DA04-40BA-A9A1-40BFF873C595}"/>
    <cellStyle name="Normal 4 4 2 2 3 4 4" xfId="10221" xr:uid="{A18B2C8E-C1C1-4EEB-92EB-C3C4301329A4}"/>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2 2 2" xfId="16997" xr:uid="{C14EFEB6-B774-46EA-969D-01D453F91ACC}"/>
    <cellStyle name="Normal 4 4 2 2 3 5 2 3" xfId="12779" xr:uid="{7D1422F1-F46D-451D-915B-D3AE36D97A92}"/>
    <cellStyle name="Normal 4 4 2 2 3 5 3" xfId="6410" xr:uid="{00000000-0005-0000-0000-0000FF140000}"/>
    <cellStyle name="Normal 4 4 2 2 3 5 3 2" xfId="14852" xr:uid="{C621F9F0-86BA-4447-BC3F-7B611873A53F}"/>
    <cellStyle name="Normal 4 4 2 2 3 5 4" xfId="10634" xr:uid="{0D608D8A-9A9D-4A38-A251-3EF08ABDF52A}"/>
    <cellStyle name="Normal 4 4 2 2 3 6" xfId="2539" xr:uid="{00000000-0005-0000-0000-000000150000}"/>
    <cellStyle name="Normal 4 4 2 2 3 6 2" xfId="6823" xr:uid="{00000000-0005-0000-0000-000001150000}"/>
    <cellStyle name="Normal 4 4 2 2 3 6 2 2" xfId="15265" xr:uid="{F7051E36-C069-4EED-A6C4-6DA2DC818CBA}"/>
    <cellStyle name="Normal 4 4 2 2 3 6 3" xfId="11047" xr:uid="{FEAC682C-DFD4-4C95-AF0F-C1CF3A54979F}"/>
    <cellStyle name="Normal 4 4 2 2 3 7" xfId="4758" xr:uid="{00000000-0005-0000-0000-000002150000}"/>
    <cellStyle name="Normal 4 4 2 2 3 7 2" xfId="13200" xr:uid="{D7B53FA8-6822-4248-A9C7-989E5FFBA1A4}"/>
    <cellStyle name="Normal 4 4 2 2 3 8" xfId="8982" xr:uid="{5AF91F54-3663-4B52-8E31-22F5F2349AA7}"/>
    <cellStyle name="Normal 4 4 2 2 4" xfId="855" xr:uid="{00000000-0005-0000-0000-000003150000}"/>
    <cellStyle name="Normal 4 4 2 2 4 2" xfId="3090" xr:uid="{00000000-0005-0000-0000-000004150000}"/>
    <cellStyle name="Normal 4 4 2 2 4 2 2" xfId="7313" xr:uid="{00000000-0005-0000-0000-000005150000}"/>
    <cellStyle name="Normal 4 4 2 2 4 2 2 2" xfId="15755" xr:uid="{4E2E847E-4009-4F51-9264-5353724F0EF5}"/>
    <cellStyle name="Normal 4 4 2 2 4 2 3" xfId="11537" xr:uid="{BB58B3F4-4AFC-42AF-8742-9A0679648656}"/>
    <cellStyle name="Normal 4 4 2 2 4 3" xfId="5168" xr:uid="{00000000-0005-0000-0000-000006150000}"/>
    <cellStyle name="Normal 4 4 2 2 4 3 2" xfId="13610" xr:uid="{F20013C0-D936-4AC6-83FB-B2BD2CE4427A}"/>
    <cellStyle name="Normal 4 4 2 2 4 4" xfId="9392" xr:uid="{D386E4C9-9121-47BD-AE0D-9B797D710F83}"/>
    <cellStyle name="Normal 4 4 2 2 5" xfId="1273" xr:uid="{00000000-0005-0000-0000-000007150000}"/>
    <cellStyle name="Normal 4 4 2 2 5 2" xfId="3503" xr:uid="{00000000-0005-0000-0000-000008150000}"/>
    <cellStyle name="Normal 4 4 2 2 5 2 2" xfId="7726" xr:uid="{00000000-0005-0000-0000-000009150000}"/>
    <cellStyle name="Normal 4 4 2 2 5 2 2 2" xfId="16168" xr:uid="{0442C702-F89D-4AFB-B005-8B0BEB6AD1C5}"/>
    <cellStyle name="Normal 4 4 2 2 5 2 3" xfId="11950" xr:uid="{738EABBB-5CE1-4A79-AF7E-CB7B8727071D}"/>
    <cellStyle name="Normal 4 4 2 2 5 3" xfId="5581" xr:uid="{00000000-0005-0000-0000-00000A150000}"/>
    <cellStyle name="Normal 4 4 2 2 5 3 2" xfId="14023" xr:uid="{CA083F8A-FE58-4908-A3CF-DE3198AB68EC}"/>
    <cellStyle name="Normal 4 4 2 2 5 4" xfId="9805" xr:uid="{0179F904-F484-47F2-A889-023BF9B502AA}"/>
    <cellStyle name="Normal 4 4 2 2 6" xfId="1686" xr:uid="{00000000-0005-0000-0000-00000B150000}"/>
    <cellStyle name="Normal 4 4 2 2 6 2" xfId="3916" xr:uid="{00000000-0005-0000-0000-00000C150000}"/>
    <cellStyle name="Normal 4 4 2 2 6 2 2" xfId="8139" xr:uid="{00000000-0005-0000-0000-00000D150000}"/>
    <cellStyle name="Normal 4 4 2 2 6 2 2 2" xfId="16581" xr:uid="{7A2BE9D2-3E02-4775-9084-7B703EA13727}"/>
    <cellStyle name="Normal 4 4 2 2 6 2 3" xfId="12363" xr:uid="{3233D9F0-A988-4AC7-8EEC-8313FA068365}"/>
    <cellStyle name="Normal 4 4 2 2 6 3" xfId="5994" xr:uid="{00000000-0005-0000-0000-00000E150000}"/>
    <cellStyle name="Normal 4 4 2 2 6 3 2" xfId="14436" xr:uid="{980C9E41-5938-4FA4-AD21-FBBFDC9B788E}"/>
    <cellStyle name="Normal 4 4 2 2 6 4" xfId="10218" xr:uid="{54D55E10-5C56-4CD4-AB25-ED1B6C50D389}"/>
    <cellStyle name="Normal 4 4 2 2 7" xfId="2100" xr:uid="{00000000-0005-0000-0000-00000F150000}"/>
    <cellStyle name="Normal 4 4 2 2 7 2" xfId="4329" xr:uid="{00000000-0005-0000-0000-000010150000}"/>
    <cellStyle name="Normal 4 4 2 2 7 2 2" xfId="8552" xr:uid="{00000000-0005-0000-0000-000011150000}"/>
    <cellStyle name="Normal 4 4 2 2 7 2 2 2" xfId="16994" xr:uid="{A4B12E90-7951-4F69-8639-625F548601F3}"/>
    <cellStyle name="Normal 4 4 2 2 7 2 3" xfId="12776" xr:uid="{ED212166-86F5-4A84-9B48-FF8E6B4F0293}"/>
    <cellStyle name="Normal 4 4 2 2 7 3" xfId="6407" xr:uid="{00000000-0005-0000-0000-000012150000}"/>
    <cellStyle name="Normal 4 4 2 2 7 3 2" xfId="14849" xr:uid="{0A8FBA4E-FDB6-40B5-B304-78E9C327612B}"/>
    <cellStyle name="Normal 4 4 2 2 7 4" xfId="10631" xr:uid="{C069BE22-C630-4315-A840-6DC7018197F1}"/>
    <cellStyle name="Normal 4 4 2 2 8" xfId="2536" xr:uid="{00000000-0005-0000-0000-000013150000}"/>
    <cellStyle name="Normal 4 4 2 2 8 2" xfId="6820" xr:uid="{00000000-0005-0000-0000-000014150000}"/>
    <cellStyle name="Normal 4 4 2 2 8 2 2" xfId="15262" xr:uid="{CF083E4E-6BCC-4C8A-9546-C0598DC38CED}"/>
    <cellStyle name="Normal 4 4 2 2 8 3" xfId="11044" xr:uid="{E39C3C18-AAE5-46DF-8A94-47BAB79F7CF4}"/>
    <cellStyle name="Normal 4 4 2 2 9" xfId="4755" xr:uid="{00000000-0005-0000-0000-000015150000}"/>
    <cellStyle name="Normal 4 4 2 2 9 2" xfId="13197" xr:uid="{4E453599-6113-47A3-85AB-2F04588016FD}"/>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2 2 2" xfId="15760" xr:uid="{0DDDFF2C-31F8-4EA2-ADBC-B57DD7A2E8B2}"/>
    <cellStyle name="Normal 4 4 2 3 2 2 2 3" xfId="11542" xr:uid="{712FE04B-C4BB-4F7F-B916-890822BAD330}"/>
    <cellStyle name="Normal 4 4 2 3 2 2 3" xfId="5173" xr:uid="{00000000-0005-0000-0000-00001B150000}"/>
    <cellStyle name="Normal 4 4 2 3 2 2 3 2" xfId="13615" xr:uid="{1090E5BF-6311-412A-BC7A-201810E702C1}"/>
    <cellStyle name="Normal 4 4 2 3 2 2 4" xfId="9397" xr:uid="{DAB05498-F39A-49BA-8EB7-D660046A35A3}"/>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2 2 2" xfId="16173" xr:uid="{057B6C18-ECFA-4183-B7BA-BBD36F4D9979}"/>
    <cellStyle name="Normal 4 4 2 3 2 3 2 3" xfId="11955" xr:uid="{12B269A8-B242-4B9F-98D1-58472FD469B2}"/>
    <cellStyle name="Normal 4 4 2 3 2 3 3" xfId="5586" xr:uid="{00000000-0005-0000-0000-00001F150000}"/>
    <cellStyle name="Normal 4 4 2 3 2 3 3 2" xfId="14028" xr:uid="{33B9AD37-FA12-490F-917B-02CD46D6154D}"/>
    <cellStyle name="Normal 4 4 2 3 2 3 4" xfId="9810" xr:uid="{5EF6DD13-FC95-415D-9762-010D6E90B51B}"/>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2 2 2" xfId="16586" xr:uid="{1DD85A53-7CFC-4F1E-A227-131FBBEB3E9B}"/>
    <cellStyle name="Normal 4 4 2 3 2 4 2 3" xfId="12368" xr:uid="{A132E459-599D-4D25-AD54-9B2586F183D5}"/>
    <cellStyle name="Normal 4 4 2 3 2 4 3" xfId="5999" xr:uid="{00000000-0005-0000-0000-000023150000}"/>
    <cellStyle name="Normal 4 4 2 3 2 4 3 2" xfId="14441" xr:uid="{DDD1A78C-52F8-4BBB-87A9-82C79270137E}"/>
    <cellStyle name="Normal 4 4 2 3 2 4 4" xfId="10223" xr:uid="{272FF693-8229-4922-B8F1-BABFC475D961}"/>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2 2 2" xfId="16999" xr:uid="{B857B28B-522E-48B1-8CE5-6DC986F6B7F7}"/>
    <cellStyle name="Normal 4 4 2 3 2 5 2 3" xfId="12781" xr:uid="{FC34735F-AC16-4771-975B-F36CDC3AC166}"/>
    <cellStyle name="Normal 4 4 2 3 2 5 3" xfId="6412" xr:uid="{00000000-0005-0000-0000-000027150000}"/>
    <cellStyle name="Normal 4 4 2 3 2 5 3 2" xfId="14854" xr:uid="{827D8625-A516-4FCA-8E6F-81F1FEF818F6}"/>
    <cellStyle name="Normal 4 4 2 3 2 5 4" xfId="10636" xr:uid="{993CE4FE-1B4D-4E09-B2F4-DE55147DBB0D}"/>
    <cellStyle name="Normal 4 4 2 3 2 6" xfId="2541" xr:uid="{00000000-0005-0000-0000-000028150000}"/>
    <cellStyle name="Normal 4 4 2 3 2 6 2" xfId="6825" xr:uid="{00000000-0005-0000-0000-000029150000}"/>
    <cellStyle name="Normal 4 4 2 3 2 6 2 2" xfId="15267" xr:uid="{4ABEDAC5-96B4-4D98-B920-6878FB00195D}"/>
    <cellStyle name="Normal 4 4 2 3 2 6 3" xfId="11049" xr:uid="{61DBFB99-4881-4F1B-A64E-F58A7387AF99}"/>
    <cellStyle name="Normal 4 4 2 3 2 7" xfId="4760" xr:uid="{00000000-0005-0000-0000-00002A150000}"/>
    <cellStyle name="Normal 4 4 2 3 2 7 2" xfId="13202" xr:uid="{2FB15A0C-08CD-42EE-BC93-BEEA6C09A61C}"/>
    <cellStyle name="Normal 4 4 2 3 2 8" xfId="8984" xr:uid="{1E48115F-320F-4654-A087-64E1F2D7A75C}"/>
    <cellStyle name="Normal 4 4 2 3 3" xfId="859" xr:uid="{00000000-0005-0000-0000-00002B150000}"/>
    <cellStyle name="Normal 4 4 2 3 3 2" xfId="3094" xr:uid="{00000000-0005-0000-0000-00002C150000}"/>
    <cellStyle name="Normal 4 4 2 3 3 2 2" xfId="7317" xr:uid="{00000000-0005-0000-0000-00002D150000}"/>
    <cellStyle name="Normal 4 4 2 3 3 2 2 2" xfId="15759" xr:uid="{5CC06C50-2D3A-4A65-98ED-5760A3A87E7E}"/>
    <cellStyle name="Normal 4 4 2 3 3 2 3" xfId="11541" xr:uid="{ACE82847-97BC-4877-B050-C877C84F01FE}"/>
    <cellStyle name="Normal 4 4 2 3 3 3" xfId="5172" xr:uid="{00000000-0005-0000-0000-00002E150000}"/>
    <cellStyle name="Normal 4 4 2 3 3 3 2" xfId="13614" xr:uid="{18F9F956-82A4-4799-BCC0-4BA2B10E26EB}"/>
    <cellStyle name="Normal 4 4 2 3 3 4" xfId="9396" xr:uid="{E1FD4A08-447F-427F-B9AD-F96DFBCE1B9E}"/>
    <cellStyle name="Normal 4 4 2 3 4" xfId="1277" xr:uid="{00000000-0005-0000-0000-00002F150000}"/>
    <cellStyle name="Normal 4 4 2 3 4 2" xfId="3507" xr:uid="{00000000-0005-0000-0000-000030150000}"/>
    <cellStyle name="Normal 4 4 2 3 4 2 2" xfId="7730" xr:uid="{00000000-0005-0000-0000-000031150000}"/>
    <cellStyle name="Normal 4 4 2 3 4 2 2 2" xfId="16172" xr:uid="{178F7EF1-2C84-4744-BAA1-D14F18F7B2B1}"/>
    <cellStyle name="Normal 4 4 2 3 4 2 3" xfId="11954" xr:uid="{3027B356-553B-48CA-BAC3-446A3D770D9A}"/>
    <cellStyle name="Normal 4 4 2 3 4 3" xfId="5585" xr:uid="{00000000-0005-0000-0000-000032150000}"/>
    <cellStyle name="Normal 4 4 2 3 4 3 2" xfId="14027" xr:uid="{374304D2-A412-4D0F-8C08-D61F1AF94080}"/>
    <cellStyle name="Normal 4 4 2 3 4 4" xfId="9809" xr:uid="{FACDD040-91AA-4272-B785-57928760FDC6}"/>
    <cellStyle name="Normal 4 4 2 3 5" xfId="1690" xr:uid="{00000000-0005-0000-0000-000033150000}"/>
    <cellStyle name="Normal 4 4 2 3 5 2" xfId="3920" xr:uid="{00000000-0005-0000-0000-000034150000}"/>
    <cellStyle name="Normal 4 4 2 3 5 2 2" xfId="8143" xr:uid="{00000000-0005-0000-0000-000035150000}"/>
    <cellStyle name="Normal 4 4 2 3 5 2 2 2" xfId="16585" xr:uid="{B22E9935-D7A8-4B69-8860-8B34EF8A146C}"/>
    <cellStyle name="Normal 4 4 2 3 5 2 3" xfId="12367" xr:uid="{FC7E195A-0863-4BB2-A60B-7423B28010B3}"/>
    <cellStyle name="Normal 4 4 2 3 5 3" xfId="5998" xr:uid="{00000000-0005-0000-0000-000036150000}"/>
    <cellStyle name="Normal 4 4 2 3 5 3 2" xfId="14440" xr:uid="{CD5A54A6-42C1-4493-BD2B-C7099FE91D92}"/>
    <cellStyle name="Normal 4 4 2 3 5 4" xfId="10222" xr:uid="{9C28A9E4-23B6-431F-8D2B-54A250482FAB}"/>
    <cellStyle name="Normal 4 4 2 3 6" xfId="2104" xr:uid="{00000000-0005-0000-0000-000037150000}"/>
    <cellStyle name="Normal 4 4 2 3 6 2" xfId="4333" xr:uid="{00000000-0005-0000-0000-000038150000}"/>
    <cellStyle name="Normal 4 4 2 3 6 2 2" xfId="8556" xr:uid="{00000000-0005-0000-0000-000039150000}"/>
    <cellStyle name="Normal 4 4 2 3 6 2 2 2" xfId="16998" xr:uid="{1C484F3B-0EF5-468E-A754-3AB7AD601411}"/>
    <cellStyle name="Normal 4 4 2 3 6 2 3" xfId="12780" xr:uid="{50C29D47-386C-4C85-8F13-3D3116DE3A90}"/>
    <cellStyle name="Normal 4 4 2 3 6 3" xfId="6411" xr:uid="{00000000-0005-0000-0000-00003A150000}"/>
    <cellStyle name="Normal 4 4 2 3 6 3 2" xfId="14853" xr:uid="{E5009185-4FDF-4FC4-AD1A-2B768BA9BF2E}"/>
    <cellStyle name="Normal 4 4 2 3 6 4" xfId="10635" xr:uid="{30E90FE9-6B27-4B5E-AC76-4A53A7C7D09C}"/>
    <cellStyle name="Normal 4 4 2 3 7" xfId="2540" xr:uid="{00000000-0005-0000-0000-00003B150000}"/>
    <cellStyle name="Normal 4 4 2 3 7 2" xfId="6824" xr:uid="{00000000-0005-0000-0000-00003C150000}"/>
    <cellStyle name="Normal 4 4 2 3 7 2 2" xfId="15266" xr:uid="{8A0E50CF-5C3B-49D2-9C50-A3A66A773B73}"/>
    <cellStyle name="Normal 4 4 2 3 7 3" xfId="11048" xr:uid="{5D260599-4CF4-4442-A2D2-AB225E6068F7}"/>
    <cellStyle name="Normal 4 4 2 3 8" xfId="4759" xr:uid="{00000000-0005-0000-0000-00003D150000}"/>
    <cellStyle name="Normal 4 4 2 3 8 2" xfId="13201" xr:uid="{A1407C79-B5D8-47B2-91E6-0046A5E51F11}"/>
    <cellStyle name="Normal 4 4 2 3 9" xfId="8983" xr:uid="{223A39D7-4A1D-475B-B6BC-60321FBD730B}"/>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2 2 2" xfId="15761" xr:uid="{DC2D0D2F-6287-4F27-841A-754FF2A6CCA0}"/>
    <cellStyle name="Normal 4 4 2 4 2 2 3" xfId="11543" xr:uid="{F51FC0D4-ADDD-46C1-9F95-06149FFA39B2}"/>
    <cellStyle name="Normal 4 4 2 4 2 3" xfId="5174" xr:uid="{00000000-0005-0000-0000-000042150000}"/>
    <cellStyle name="Normal 4 4 2 4 2 3 2" xfId="13616" xr:uid="{B10FD542-2EFA-40CD-92F1-C43A297C48EC}"/>
    <cellStyle name="Normal 4 4 2 4 2 4" xfId="9398" xr:uid="{564B33A9-1FC3-4B5D-B2FD-515A100B9778}"/>
    <cellStyle name="Normal 4 4 2 4 3" xfId="1279" xr:uid="{00000000-0005-0000-0000-000043150000}"/>
    <cellStyle name="Normal 4 4 2 4 3 2" xfId="3509" xr:uid="{00000000-0005-0000-0000-000044150000}"/>
    <cellStyle name="Normal 4 4 2 4 3 2 2" xfId="7732" xr:uid="{00000000-0005-0000-0000-000045150000}"/>
    <cellStyle name="Normal 4 4 2 4 3 2 2 2" xfId="16174" xr:uid="{D3E8BC24-3097-4467-B98D-995AE51EC733}"/>
    <cellStyle name="Normal 4 4 2 4 3 2 3" xfId="11956" xr:uid="{7A7EB7BC-CD5B-40F5-96F6-48E9E5EA2519}"/>
    <cellStyle name="Normal 4 4 2 4 3 3" xfId="5587" xr:uid="{00000000-0005-0000-0000-000046150000}"/>
    <cellStyle name="Normal 4 4 2 4 3 3 2" xfId="14029" xr:uid="{926212F9-069B-4A83-96E6-2BF8EAB7D69E}"/>
    <cellStyle name="Normal 4 4 2 4 3 4" xfId="9811" xr:uid="{B50BE55D-8D28-4A1F-A01F-8C2C491B9C01}"/>
    <cellStyle name="Normal 4 4 2 4 4" xfId="1692" xr:uid="{00000000-0005-0000-0000-000047150000}"/>
    <cellStyle name="Normal 4 4 2 4 4 2" xfId="3922" xr:uid="{00000000-0005-0000-0000-000048150000}"/>
    <cellStyle name="Normal 4 4 2 4 4 2 2" xfId="8145" xr:uid="{00000000-0005-0000-0000-000049150000}"/>
    <cellStyle name="Normal 4 4 2 4 4 2 2 2" xfId="16587" xr:uid="{417DC23A-9DD2-44D6-8011-14B366941332}"/>
    <cellStyle name="Normal 4 4 2 4 4 2 3" xfId="12369" xr:uid="{1B93334B-3E94-4BCF-88A3-6D324888525F}"/>
    <cellStyle name="Normal 4 4 2 4 4 3" xfId="6000" xr:uid="{00000000-0005-0000-0000-00004A150000}"/>
    <cellStyle name="Normal 4 4 2 4 4 3 2" xfId="14442" xr:uid="{5B003428-331C-4FF1-BEA8-61D2D0AF7882}"/>
    <cellStyle name="Normal 4 4 2 4 4 4" xfId="10224" xr:uid="{0FD3698A-9652-4BE6-A535-1CBF9E80E763}"/>
    <cellStyle name="Normal 4 4 2 4 5" xfId="2106" xr:uid="{00000000-0005-0000-0000-00004B150000}"/>
    <cellStyle name="Normal 4 4 2 4 5 2" xfId="4335" xr:uid="{00000000-0005-0000-0000-00004C150000}"/>
    <cellStyle name="Normal 4 4 2 4 5 2 2" xfId="8558" xr:uid="{00000000-0005-0000-0000-00004D150000}"/>
    <cellStyle name="Normal 4 4 2 4 5 2 2 2" xfId="17000" xr:uid="{182615C1-CDAC-442E-9594-72058612F925}"/>
    <cellStyle name="Normal 4 4 2 4 5 2 3" xfId="12782" xr:uid="{E313507E-D578-42E5-AF91-E81604C1B767}"/>
    <cellStyle name="Normal 4 4 2 4 5 3" xfId="6413" xr:uid="{00000000-0005-0000-0000-00004E150000}"/>
    <cellStyle name="Normal 4 4 2 4 5 3 2" xfId="14855" xr:uid="{B92F1173-1AB6-48C1-9DA6-CBCEB7EEDC0C}"/>
    <cellStyle name="Normal 4 4 2 4 5 4" xfId="10637" xr:uid="{1ADCE208-C51C-4054-9C3A-CF448521A0DD}"/>
    <cellStyle name="Normal 4 4 2 4 6" xfId="2542" xr:uid="{00000000-0005-0000-0000-00004F150000}"/>
    <cellStyle name="Normal 4 4 2 4 6 2" xfId="6826" xr:uid="{00000000-0005-0000-0000-000050150000}"/>
    <cellStyle name="Normal 4 4 2 4 6 2 2" xfId="15268" xr:uid="{5111F3DD-D4A8-4261-9823-6630B102D3CF}"/>
    <cellStyle name="Normal 4 4 2 4 6 3" xfId="11050" xr:uid="{A34B2CB1-987B-4C45-810B-254544291651}"/>
    <cellStyle name="Normal 4 4 2 4 7" xfId="4761" xr:uid="{00000000-0005-0000-0000-000051150000}"/>
    <cellStyle name="Normal 4 4 2 4 7 2" xfId="13203" xr:uid="{8B934E70-E984-43A6-97B8-D992D975B7EE}"/>
    <cellStyle name="Normal 4 4 2 4 8" xfId="8985" xr:uid="{5857224B-AF76-49C6-B15C-1537410133C1}"/>
    <cellStyle name="Normal 4 4 2 5" xfId="854" xr:uid="{00000000-0005-0000-0000-000052150000}"/>
    <cellStyle name="Normal 4 4 2 5 2" xfId="3089" xr:uid="{00000000-0005-0000-0000-000053150000}"/>
    <cellStyle name="Normal 4 4 2 5 2 2" xfId="7312" xr:uid="{00000000-0005-0000-0000-000054150000}"/>
    <cellStyle name="Normal 4 4 2 5 2 2 2" xfId="15754" xr:uid="{A0233436-8AF7-4BF1-802A-989BBBA5F70C}"/>
    <cellStyle name="Normal 4 4 2 5 2 3" xfId="11536" xr:uid="{23BCDADC-304C-4F94-9212-F5100CAFA6A5}"/>
    <cellStyle name="Normal 4 4 2 5 3" xfId="5167" xr:uid="{00000000-0005-0000-0000-000055150000}"/>
    <cellStyle name="Normal 4 4 2 5 3 2" xfId="13609" xr:uid="{ED4A6904-D8BB-4125-B489-2B72D4600279}"/>
    <cellStyle name="Normal 4 4 2 5 4" xfId="9391" xr:uid="{0C5191A4-FE7F-4297-AE2F-A532424A4397}"/>
    <cellStyle name="Normal 4 4 2 6" xfId="1272" xr:uid="{00000000-0005-0000-0000-000056150000}"/>
    <cellStyle name="Normal 4 4 2 6 2" xfId="3502" xr:uid="{00000000-0005-0000-0000-000057150000}"/>
    <cellStyle name="Normal 4 4 2 6 2 2" xfId="7725" xr:uid="{00000000-0005-0000-0000-000058150000}"/>
    <cellStyle name="Normal 4 4 2 6 2 2 2" xfId="16167" xr:uid="{5539095C-FA15-4BC9-A200-AACA6F4D4053}"/>
    <cellStyle name="Normal 4 4 2 6 2 3" xfId="11949" xr:uid="{3A6580FB-1882-47FD-9703-19E3D7C234EF}"/>
    <cellStyle name="Normal 4 4 2 6 3" xfId="5580" xr:uid="{00000000-0005-0000-0000-000059150000}"/>
    <cellStyle name="Normal 4 4 2 6 3 2" xfId="14022" xr:uid="{FE058A82-489E-4083-94EA-D6930C762677}"/>
    <cellStyle name="Normal 4 4 2 6 4" xfId="9804" xr:uid="{6D7FD82C-7FB5-4171-9B9C-AD8937BEB8A3}"/>
    <cellStyle name="Normal 4 4 2 7" xfId="1685" xr:uid="{00000000-0005-0000-0000-00005A150000}"/>
    <cellStyle name="Normal 4 4 2 7 2" xfId="3915" xr:uid="{00000000-0005-0000-0000-00005B150000}"/>
    <cellStyle name="Normal 4 4 2 7 2 2" xfId="8138" xr:uid="{00000000-0005-0000-0000-00005C150000}"/>
    <cellStyle name="Normal 4 4 2 7 2 2 2" xfId="16580" xr:uid="{DA4E28E2-F6ED-4C2C-845D-94431BEEF433}"/>
    <cellStyle name="Normal 4 4 2 7 2 3" xfId="12362" xr:uid="{8A207334-CC54-4CFF-92F6-B5D141C166E8}"/>
    <cellStyle name="Normal 4 4 2 7 3" xfId="5993" xr:uid="{00000000-0005-0000-0000-00005D150000}"/>
    <cellStyle name="Normal 4 4 2 7 3 2" xfId="14435" xr:uid="{9DCA549A-0AC2-469A-A89B-3952FBAE9DAD}"/>
    <cellStyle name="Normal 4 4 2 7 4" xfId="10217" xr:uid="{E574855B-1DC7-43D4-9CC8-7E748C4A9A19}"/>
    <cellStyle name="Normal 4 4 2 8" xfId="2099" xr:uid="{00000000-0005-0000-0000-00005E150000}"/>
    <cellStyle name="Normal 4 4 2 8 2" xfId="4328" xr:uid="{00000000-0005-0000-0000-00005F150000}"/>
    <cellStyle name="Normal 4 4 2 8 2 2" xfId="8551" xr:uid="{00000000-0005-0000-0000-000060150000}"/>
    <cellStyle name="Normal 4 4 2 8 2 2 2" xfId="16993" xr:uid="{2FC00EC4-0A5C-4074-95D3-ED71A6BA588D}"/>
    <cellStyle name="Normal 4 4 2 8 2 3" xfId="12775" xr:uid="{0A81A0BE-3550-424F-967C-FD0230CD4BD1}"/>
    <cellStyle name="Normal 4 4 2 8 3" xfId="6406" xr:uid="{00000000-0005-0000-0000-000061150000}"/>
    <cellStyle name="Normal 4 4 2 8 3 2" xfId="14848" xr:uid="{A0E07F21-5E92-4F6D-B338-71EF05482233}"/>
    <cellStyle name="Normal 4 4 2 8 4" xfId="10630" xr:uid="{C4344EDF-A68F-4781-805B-AF35490FA99B}"/>
    <cellStyle name="Normal 4 4 2 9" xfId="2535" xr:uid="{00000000-0005-0000-0000-000062150000}"/>
    <cellStyle name="Normal 4 4 2 9 2" xfId="6819" xr:uid="{00000000-0005-0000-0000-000063150000}"/>
    <cellStyle name="Normal 4 4 2 9 2 2" xfId="15261" xr:uid="{2B609850-2600-46EB-BB44-AB93462FB350}"/>
    <cellStyle name="Normal 4 4 2 9 3" xfId="11043" xr:uid="{6C1C92DD-79FA-454E-9FE9-E792DD914A95}"/>
    <cellStyle name="Normal 4 4 3" xfId="387" xr:uid="{00000000-0005-0000-0000-000064150000}"/>
    <cellStyle name="Normal 4 4 3 10" xfId="8986" xr:uid="{4E6D14AE-D204-4892-8CCD-6760CBDFCC53}"/>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2 2 2" xfId="15764" xr:uid="{5AD56A2D-F1CB-42E2-A6E0-38B89E424259}"/>
    <cellStyle name="Normal 4 4 3 2 2 2 2 3" xfId="11546" xr:uid="{7DFC5080-62DD-40E2-8C62-A6642EC3A345}"/>
    <cellStyle name="Normal 4 4 3 2 2 2 3" xfId="5177" xr:uid="{00000000-0005-0000-0000-00006A150000}"/>
    <cellStyle name="Normal 4 4 3 2 2 2 3 2" xfId="13619" xr:uid="{F5A27D78-8BDF-4C7C-A4F9-E10450D83CA3}"/>
    <cellStyle name="Normal 4 4 3 2 2 2 4" xfId="9401" xr:uid="{22033C7E-409C-46CD-B9F1-47B9C0BE9815}"/>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2 2 2" xfId="16177" xr:uid="{1D3BF51F-89A5-4CF5-97CE-F833DECB25C2}"/>
    <cellStyle name="Normal 4 4 3 2 2 3 2 3" xfId="11959" xr:uid="{8E3A5964-747E-448F-84C2-8838BCF19ACF}"/>
    <cellStyle name="Normal 4 4 3 2 2 3 3" xfId="5590" xr:uid="{00000000-0005-0000-0000-00006E150000}"/>
    <cellStyle name="Normal 4 4 3 2 2 3 3 2" xfId="14032" xr:uid="{797BC538-15BC-40DF-B1BF-FF66B160E554}"/>
    <cellStyle name="Normal 4 4 3 2 2 3 4" xfId="9814" xr:uid="{666D60D7-0F0A-4CFE-85A3-3B7482C0996A}"/>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2 2 2" xfId="16590" xr:uid="{8358D8CE-2C99-4E41-A440-FD7E586BCBA1}"/>
    <cellStyle name="Normal 4 4 3 2 2 4 2 3" xfId="12372" xr:uid="{D9C1A81B-36EF-4E01-9366-09BA0725C2EA}"/>
    <cellStyle name="Normal 4 4 3 2 2 4 3" xfId="6003" xr:uid="{00000000-0005-0000-0000-000072150000}"/>
    <cellStyle name="Normal 4 4 3 2 2 4 3 2" xfId="14445" xr:uid="{A2A1E452-AFEB-4D10-8563-B37AC9978DF7}"/>
    <cellStyle name="Normal 4 4 3 2 2 4 4" xfId="10227" xr:uid="{F2E3E5EE-C373-4CB2-A59B-AE53EBCAA025}"/>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2 2 2" xfId="17003" xr:uid="{9BBA0054-6094-4BBB-84E4-FF546B7DD90E}"/>
    <cellStyle name="Normal 4 4 3 2 2 5 2 3" xfId="12785" xr:uid="{60A05F0A-F38D-4425-A6DD-D8EA37621145}"/>
    <cellStyle name="Normal 4 4 3 2 2 5 3" xfId="6416" xr:uid="{00000000-0005-0000-0000-000076150000}"/>
    <cellStyle name="Normal 4 4 3 2 2 5 3 2" xfId="14858" xr:uid="{5D3099C1-3786-43E9-AFA1-A9A0406343CE}"/>
    <cellStyle name="Normal 4 4 3 2 2 5 4" xfId="10640" xr:uid="{A4C2BEA8-40F8-42A1-BE29-BD6E979D880B}"/>
    <cellStyle name="Normal 4 4 3 2 2 6" xfId="2545" xr:uid="{00000000-0005-0000-0000-000077150000}"/>
    <cellStyle name="Normal 4 4 3 2 2 6 2" xfId="6829" xr:uid="{00000000-0005-0000-0000-000078150000}"/>
    <cellStyle name="Normal 4 4 3 2 2 6 2 2" xfId="15271" xr:uid="{8D99A022-4AE7-42F0-A4AD-A77432AA5AB2}"/>
    <cellStyle name="Normal 4 4 3 2 2 6 3" xfId="11053" xr:uid="{9905031D-99A8-4D7E-8762-CA1ADACDE278}"/>
    <cellStyle name="Normal 4 4 3 2 2 7" xfId="4764" xr:uid="{00000000-0005-0000-0000-000079150000}"/>
    <cellStyle name="Normal 4 4 3 2 2 7 2" xfId="13206" xr:uid="{68C11DE0-7FC6-4B57-A5AB-55C64162E19B}"/>
    <cellStyle name="Normal 4 4 3 2 2 8" xfId="8988" xr:uid="{C2D8679C-0B3B-45E3-A115-C5CD1875B8E7}"/>
    <cellStyle name="Normal 4 4 3 2 3" xfId="863" xr:uid="{00000000-0005-0000-0000-00007A150000}"/>
    <cellStyle name="Normal 4 4 3 2 3 2" xfId="3098" xr:uid="{00000000-0005-0000-0000-00007B150000}"/>
    <cellStyle name="Normal 4 4 3 2 3 2 2" xfId="7321" xr:uid="{00000000-0005-0000-0000-00007C150000}"/>
    <cellStyle name="Normal 4 4 3 2 3 2 2 2" xfId="15763" xr:uid="{8765CF70-575E-4CCE-8C11-152168CDAD56}"/>
    <cellStyle name="Normal 4 4 3 2 3 2 3" xfId="11545" xr:uid="{8FF2A37B-127F-459C-8F57-4AC70A02EBDF}"/>
    <cellStyle name="Normal 4 4 3 2 3 3" xfId="5176" xr:uid="{00000000-0005-0000-0000-00007D150000}"/>
    <cellStyle name="Normal 4 4 3 2 3 3 2" xfId="13618" xr:uid="{D5342C1E-E34E-4938-BC62-454B09B7AA74}"/>
    <cellStyle name="Normal 4 4 3 2 3 4" xfId="9400" xr:uid="{F2A8BAA6-619B-4C09-8636-43906CC1E503}"/>
    <cellStyle name="Normal 4 4 3 2 4" xfId="1281" xr:uid="{00000000-0005-0000-0000-00007E150000}"/>
    <cellStyle name="Normal 4 4 3 2 4 2" xfId="3511" xr:uid="{00000000-0005-0000-0000-00007F150000}"/>
    <cellStyle name="Normal 4 4 3 2 4 2 2" xfId="7734" xr:uid="{00000000-0005-0000-0000-000080150000}"/>
    <cellStyle name="Normal 4 4 3 2 4 2 2 2" xfId="16176" xr:uid="{8446C6DA-A809-429E-B08A-8DB8A493B3E0}"/>
    <cellStyle name="Normal 4 4 3 2 4 2 3" xfId="11958" xr:uid="{9F439953-2A65-4A9A-A932-13D6A043C2BE}"/>
    <cellStyle name="Normal 4 4 3 2 4 3" xfId="5589" xr:uid="{00000000-0005-0000-0000-000081150000}"/>
    <cellStyle name="Normal 4 4 3 2 4 3 2" xfId="14031" xr:uid="{1CDCD526-39C7-46EE-A279-6CE1D69CADC0}"/>
    <cellStyle name="Normal 4 4 3 2 4 4" xfId="9813" xr:uid="{FCAC3F16-C90F-4E33-93D6-0CCEC9AEDA3B}"/>
    <cellStyle name="Normal 4 4 3 2 5" xfId="1694" xr:uid="{00000000-0005-0000-0000-000082150000}"/>
    <cellStyle name="Normal 4 4 3 2 5 2" xfId="3924" xr:uid="{00000000-0005-0000-0000-000083150000}"/>
    <cellStyle name="Normal 4 4 3 2 5 2 2" xfId="8147" xr:uid="{00000000-0005-0000-0000-000084150000}"/>
    <cellStyle name="Normal 4 4 3 2 5 2 2 2" xfId="16589" xr:uid="{F3B5D23F-FD9B-488C-9156-8F70A71E8F98}"/>
    <cellStyle name="Normal 4 4 3 2 5 2 3" xfId="12371" xr:uid="{493912E1-761C-4E49-BDCF-2776788D2570}"/>
    <cellStyle name="Normal 4 4 3 2 5 3" xfId="6002" xr:uid="{00000000-0005-0000-0000-000085150000}"/>
    <cellStyle name="Normal 4 4 3 2 5 3 2" xfId="14444" xr:uid="{29D7F2A1-DD32-408F-AF37-FA2178BB4EEC}"/>
    <cellStyle name="Normal 4 4 3 2 5 4" xfId="10226" xr:uid="{32755F3C-AF64-46C6-8969-85CD89793969}"/>
    <cellStyle name="Normal 4 4 3 2 6" xfId="2108" xr:uid="{00000000-0005-0000-0000-000086150000}"/>
    <cellStyle name="Normal 4 4 3 2 6 2" xfId="4337" xr:uid="{00000000-0005-0000-0000-000087150000}"/>
    <cellStyle name="Normal 4 4 3 2 6 2 2" xfId="8560" xr:uid="{00000000-0005-0000-0000-000088150000}"/>
    <cellStyle name="Normal 4 4 3 2 6 2 2 2" xfId="17002" xr:uid="{9622411F-77EE-4382-B8B0-DF262BE1DC24}"/>
    <cellStyle name="Normal 4 4 3 2 6 2 3" xfId="12784" xr:uid="{6AF8D241-7832-479A-9BF9-C8CE0A4EB673}"/>
    <cellStyle name="Normal 4 4 3 2 6 3" xfId="6415" xr:uid="{00000000-0005-0000-0000-000089150000}"/>
    <cellStyle name="Normal 4 4 3 2 6 3 2" xfId="14857" xr:uid="{FCAF733E-80CE-4DB1-9E3C-C0ED3C83D815}"/>
    <cellStyle name="Normal 4 4 3 2 6 4" xfId="10639" xr:uid="{17F54153-94F8-494E-B13B-25B50484FD10}"/>
    <cellStyle name="Normal 4 4 3 2 7" xfId="2544" xr:uid="{00000000-0005-0000-0000-00008A150000}"/>
    <cellStyle name="Normal 4 4 3 2 7 2" xfId="6828" xr:uid="{00000000-0005-0000-0000-00008B150000}"/>
    <cellStyle name="Normal 4 4 3 2 7 2 2" xfId="15270" xr:uid="{83F64760-33C6-4D62-B63C-5A34ACC50D22}"/>
    <cellStyle name="Normal 4 4 3 2 7 3" xfId="11052" xr:uid="{C409DF35-FB54-405E-AF5C-08F5642BBF77}"/>
    <cellStyle name="Normal 4 4 3 2 8" xfId="4763" xr:uid="{00000000-0005-0000-0000-00008C150000}"/>
    <cellStyle name="Normal 4 4 3 2 8 2" xfId="13205" xr:uid="{4DF2CB1C-6AD6-49FB-BC3B-D9A927B55C05}"/>
    <cellStyle name="Normal 4 4 3 2 9" xfId="8987" xr:uid="{47D90D7D-383B-403B-A63B-EBE4A12BEFAA}"/>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2 2 2" xfId="15765" xr:uid="{A7302D72-F006-4FFE-AB53-3870248FDAAF}"/>
    <cellStyle name="Normal 4 4 3 3 2 2 3" xfId="11547" xr:uid="{BFE45A81-E752-402C-88DA-EFA00FDF6A98}"/>
    <cellStyle name="Normal 4 4 3 3 2 3" xfId="5178" xr:uid="{00000000-0005-0000-0000-000091150000}"/>
    <cellStyle name="Normal 4 4 3 3 2 3 2" xfId="13620" xr:uid="{BCD84D1C-612E-4CED-B459-D9D20948C8DD}"/>
    <cellStyle name="Normal 4 4 3 3 2 4" xfId="9402" xr:uid="{8C5DD097-EC02-4785-81AB-BD75A61A7717}"/>
    <cellStyle name="Normal 4 4 3 3 3" xfId="1283" xr:uid="{00000000-0005-0000-0000-000092150000}"/>
    <cellStyle name="Normal 4 4 3 3 3 2" xfId="3513" xr:uid="{00000000-0005-0000-0000-000093150000}"/>
    <cellStyle name="Normal 4 4 3 3 3 2 2" xfId="7736" xr:uid="{00000000-0005-0000-0000-000094150000}"/>
    <cellStyle name="Normal 4 4 3 3 3 2 2 2" xfId="16178" xr:uid="{BE43D45A-E234-4CA1-AA28-E891F4A6AF18}"/>
    <cellStyle name="Normal 4 4 3 3 3 2 3" xfId="11960" xr:uid="{B40907AF-C0BC-41B6-9A88-8B703A39104B}"/>
    <cellStyle name="Normal 4 4 3 3 3 3" xfId="5591" xr:uid="{00000000-0005-0000-0000-000095150000}"/>
    <cellStyle name="Normal 4 4 3 3 3 3 2" xfId="14033" xr:uid="{31E2DAEB-1769-4629-A7B8-D6C6D860AF0A}"/>
    <cellStyle name="Normal 4 4 3 3 3 4" xfId="9815" xr:uid="{E417535B-0255-4CD8-8851-6C48E0031F34}"/>
    <cellStyle name="Normal 4 4 3 3 4" xfId="1696" xr:uid="{00000000-0005-0000-0000-000096150000}"/>
    <cellStyle name="Normal 4 4 3 3 4 2" xfId="3926" xr:uid="{00000000-0005-0000-0000-000097150000}"/>
    <cellStyle name="Normal 4 4 3 3 4 2 2" xfId="8149" xr:uid="{00000000-0005-0000-0000-000098150000}"/>
    <cellStyle name="Normal 4 4 3 3 4 2 2 2" xfId="16591" xr:uid="{F909A179-472F-43AA-A6E6-4F3BBB5312A1}"/>
    <cellStyle name="Normal 4 4 3 3 4 2 3" xfId="12373" xr:uid="{210A3F70-E887-45B1-8894-E2F1CE5F9148}"/>
    <cellStyle name="Normal 4 4 3 3 4 3" xfId="6004" xr:uid="{00000000-0005-0000-0000-000099150000}"/>
    <cellStyle name="Normal 4 4 3 3 4 3 2" xfId="14446" xr:uid="{6A5DBF3F-AD45-4820-8947-48756DAE99AB}"/>
    <cellStyle name="Normal 4 4 3 3 4 4" xfId="10228" xr:uid="{C970A288-535D-48AA-800F-EFB0DD9480FF}"/>
    <cellStyle name="Normal 4 4 3 3 5" xfId="2110" xr:uid="{00000000-0005-0000-0000-00009A150000}"/>
    <cellStyle name="Normal 4 4 3 3 5 2" xfId="4339" xr:uid="{00000000-0005-0000-0000-00009B150000}"/>
    <cellStyle name="Normal 4 4 3 3 5 2 2" xfId="8562" xr:uid="{00000000-0005-0000-0000-00009C150000}"/>
    <cellStyle name="Normal 4 4 3 3 5 2 2 2" xfId="17004" xr:uid="{1EF0DD52-D623-46B5-AD39-EE66B9D69081}"/>
    <cellStyle name="Normal 4 4 3 3 5 2 3" xfId="12786" xr:uid="{95D2DA82-2175-478F-BD7B-00379563FC01}"/>
    <cellStyle name="Normal 4 4 3 3 5 3" xfId="6417" xr:uid="{00000000-0005-0000-0000-00009D150000}"/>
    <cellStyle name="Normal 4 4 3 3 5 3 2" xfId="14859" xr:uid="{FC1CEC65-911B-4A2C-A1D7-A41DC529E797}"/>
    <cellStyle name="Normal 4 4 3 3 5 4" xfId="10641" xr:uid="{749D7C78-096B-470F-A2F8-51CFD7FF0D07}"/>
    <cellStyle name="Normal 4 4 3 3 6" xfId="2546" xr:uid="{00000000-0005-0000-0000-00009E150000}"/>
    <cellStyle name="Normal 4 4 3 3 6 2" xfId="6830" xr:uid="{00000000-0005-0000-0000-00009F150000}"/>
    <cellStyle name="Normal 4 4 3 3 6 2 2" xfId="15272" xr:uid="{0C1D2112-6749-4A5D-BB16-5595F2F45544}"/>
    <cellStyle name="Normal 4 4 3 3 6 3" xfId="11054" xr:uid="{9DB2613F-6F33-440F-8ABF-246875A3224B}"/>
    <cellStyle name="Normal 4 4 3 3 7" xfId="4765" xr:uid="{00000000-0005-0000-0000-0000A0150000}"/>
    <cellStyle name="Normal 4 4 3 3 7 2" xfId="13207" xr:uid="{A4C0D23A-2539-436B-B513-F71E2E118513}"/>
    <cellStyle name="Normal 4 4 3 3 8" xfId="8989" xr:uid="{7980FD28-57AC-4EDD-B2E2-D16C8340EA39}"/>
    <cellStyle name="Normal 4 4 3 4" xfId="862" xr:uid="{00000000-0005-0000-0000-0000A1150000}"/>
    <cellStyle name="Normal 4 4 3 4 2" xfId="3097" xr:uid="{00000000-0005-0000-0000-0000A2150000}"/>
    <cellStyle name="Normal 4 4 3 4 2 2" xfId="7320" xr:uid="{00000000-0005-0000-0000-0000A3150000}"/>
    <cellStyle name="Normal 4 4 3 4 2 2 2" xfId="15762" xr:uid="{497F3E40-104C-450A-B274-A8E22B866DD9}"/>
    <cellStyle name="Normal 4 4 3 4 2 3" xfId="11544" xr:uid="{BE9B8AC3-7666-4995-BAA9-680486DC9A69}"/>
    <cellStyle name="Normal 4 4 3 4 3" xfId="5175" xr:uid="{00000000-0005-0000-0000-0000A4150000}"/>
    <cellStyle name="Normal 4 4 3 4 3 2" xfId="13617" xr:uid="{B45246A1-0402-447D-ADBC-DF3090F20416}"/>
    <cellStyle name="Normal 4 4 3 4 4" xfId="9399" xr:uid="{9E6EFCE3-68DC-480C-8B17-8E99F4E40E9F}"/>
    <cellStyle name="Normal 4 4 3 5" xfId="1280" xr:uid="{00000000-0005-0000-0000-0000A5150000}"/>
    <cellStyle name="Normal 4 4 3 5 2" xfId="3510" xr:uid="{00000000-0005-0000-0000-0000A6150000}"/>
    <cellStyle name="Normal 4 4 3 5 2 2" xfId="7733" xr:uid="{00000000-0005-0000-0000-0000A7150000}"/>
    <cellStyle name="Normal 4 4 3 5 2 2 2" xfId="16175" xr:uid="{825E3E27-E833-4481-B9E7-27F288E7A7D3}"/>
    <cellStyle name="Normal 4 4 3 5 2 3" xfId="11957" xr:uid="{61D0FB19-DAE8-4CD6-BAD0-FD24E57CA7BC}"/>
    <cellStyle name="Normal 4 4 3 5 3" xfId="5588" xr:uid="{00000000-0005-0000-0000-0000A8150000}"/>
    <cellStyle name="Normal 4 4 3 5 3 2" xfId="14030" xr:uid="{E0DEBB33-994C-4EB9-8BA8-7DFD0AB01829}"/>
    <cellStyle name="Normal 4 4 3 5 4" xfId="9812" xr:uid="{573B5323-3266-4A62-8716-F2FF21F2D151}"/>
    <cellStyle name="Normal 4 4 3 6" xfId="1693" xr:uid="{00000000-0005-0000-0000-0000A9150000}"/>
    <cellStyle name="Normal 4 4 3 6 2" xfId="3923" xr:uid="{00000000-0005-0000-0000-0000AA150000}"/>
    <cellStyle name="Normal 4 4 3 6 2 2" xfId="8146" xr:uid="{00000000-0005-0000-0000-0000AB150000}"/>
    <cellStyle name="Normal 4 4 3 6 2 2 2" xfId="16588" xr:uid="{DA06B554-19ED-4149-90FD-AA847263D2B6}"/>
    <cellStyle name="Normal 4 4 3 6 2 3" xfId="12370" xr:uid="{222324EA-0114-40A7-8A89-B460BB7E93E2}"/>
    <cellStyle name="Normal 4 4 3 6 3" xfId="6001" xr:uid="{00000000-0005-0000-0000-0000AC150000}"/>
    <cellStyle name="Normal 4 4 3 6 3 2" xfId="14443" xr:uid="{E182683C-715B-46AD-AF25-5C01CD984A4A}"/>
    <cellStyle name="Normal 4 4 3 6 4" xfId="10225" xr:uid="{EC4D7210-378B-4A33-BD75-4749DD85F3A8}"/>
    <cellStyle name="Normal 4 4 3 7" xfId="2107" xr:uid="{00000000-0005-0000-0000-0000AD150000}"/>
    <cellStyle name="Normal 4 4 3 7 2" xfId="4336" xr:uid="{00000000-0005-0000-0000-0000AE150000}"/>
    <cellStyle name="Normal 4 4 3 7 2 2" xfId="8559" xr:uid="{00000000-0005-0000-0000-0000AF150000}"/>
    <cellStyle name="Normal 4 4 3 7 2 2 2" xfId="17001" xr:uid="{97A399E1-ADA2-4AAE-87A8-44A72C3EDF41}"/>
    <cellStyle name="Normal 4 4 3 7 2 3" xfId="12783" xr:uid="{38B10411-7346-4931-AD34-9B6368343336}"/>
    <cellStyle name="Normal 4 4 3 7 3" xfId="6414" xr:uid="{00000000-0005-0000-0000-0000B0150000}"/>
    <cellStyle name="Normal 4 4 3 7 3 2" xfId="14856" xr:uid="{263E9E4B-AC0D-4CED-915F-4204BD23669F}"/>
    <cellStyle name="Normal 4 4 3 7 4" xfId="10638" xr:uid="{55DC6E92-54E6-4DAA-85B8-861D42761E70}"/>
    <cellStyle name="Normal 4 4 3 8" xfId="2543" xr:uid="{00000000-0005-0000-0000-0000B1150000}"/>
    <cellStyle name="Normal 4 4 3 8 2" xfId="6827" xr:uid="{00000000-0005-0000-0000-0000B2150000}"/>
    <cellStyle name="Normal 4 4 3 8 2 2" xfId="15269" xr:uid="{6316A7DF-2DFC-4007-865D-BCE50C669DDB}"/>
    <cellStyle name="Normal 4 4 3 8 3" xfId="11051" xr:uid="{5F89125C-DBC3-4F51-B007-E6BEA0FB96EB}"/>
    <cellStyle name="Normal 4 4 3 9" xfId="4762" xr:uid="{00000000-0005-0000-0000-0000B3150000}"/>
    <cellStyle name="Normal 4 4 3 9 2" xfId="13204" xr:uid="{EA9615BD-7921-4799-BA9C-DC1D8F24AB09}"/>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2 2 2" xfId="15767" xr:uid="{693307BA-5CA7-4EA9-A7A8-DF13970181FF}"/>
    <cellStyle name="Normal 4 4 4 2 2 2 3" xfId="11549" xr:uid="{33E3BA6A-278F-43AF-BD1D-F45059D4E8EF}"/>
    <cellStyle name="Normal 4 4 4 2 2 3" xfId="5180" xr:uid="{00000000-0005-0000-0000-0000B9150000}"/>
    <cellStyle name="Normal 4 4 4 2 2 3 2" xfId="13622" xr:uid="{C44D12CE-C4B9-4181-8D20-E40F4DF5258E}"/>
    <cellStyle name="Normal 4 4 4 2 2 4" xfId="9404" xr:uid="{9BC851C6-6CF9-4AEA-9621-5200456AAC00}"/>
    <cellStyle name="Normal 4 4 4 2 3" xfId="1285" xr:uid="{00000000-0005-0000-0000-0000BA150000}"/>
    <cellStyle name="Normal 4 4 4 2 3 2" xfId="3515" xr:uid="{00000000-0005-0000-0000-0000BB150000}"/>
    <cellStyle name="Normal 4 4 4 2 3 2 2" xfId="7738" xr:uid="{00000000-0005-0000-0000-0000BC150000}"/>
    <cellStyle name="Normal 4 4 4 2 3 2 2 2" xfId="16180" xr:uid="{8057A8D9-535E-4563-B2BE-31839CA68265}"/>
    <cellStyle name="Normal 4 4 4 2 3 2 3" xfId="11962" xr:uid="{FD19BEE4-89B0-4807-9111-44BB07AB9521}"/>
    <cellStyle name="Normal 4 4 4 2 3 3" xfId="5593" xr:uid="{00000000-0005-0000-0000-0000BD150000}"/>
    <cellStyle name="Normal 4 4 4 2 3 3 2" xfId="14035" xr:uid="{01CA28D5-F5A8-47E8-8DB5-27B864711B50}"/>
    <cellStyle name="Normal 4 4 4 2 3 4" xfId="9817" xr:uid="{9EA12F2D-35D4-4A9C-AB2D-9B86D9A24F34}"/>
    <cellStyle name="Normal 4 4 4 2 4" xfId="1698" xr:uid="{00000000-0005-0000-0000-0000BE150000}"/>
    <cellStyle name="Normal 4 4 4 2 4 2" xfId="3928" xr:uid="{00000000-0005-0000-0000-0000BF150000}"/>
    <cellStyle name="Normal 4 4 4 2 4 2 2" xfId="8151" xr:uid="{00000000-0005-0000-0000-0000C0150000}"/>
    <cellStyle name="Normal 4 4 4 2 4 2 2 2" xfId="16593" xr:uid="{D5A22F4C-1420-4349-B073-97DE65F358D4}"/>
    <cellStyle name="Normal 4 4 4 2 4 2 3" xfId="12375" xr:uid="{132A137F-563A-4CA5-8286-FCC66B609A22}"/>
    <cellStyle name="Normal 4 4 4 2 4 3" xfId="6006" xr:uid="{00000000-0005-0000-0000-0000C1150000}"/>
    <cellStyle name="Normal 4 4 4 2 4 3 2" xfId="14448" xr:uid="{731A0BAF-8F3D-4AB1-86B8-AFE68068F66D}"/>
    <cellStyle name="Normal 4 4 4 2 4 4" xfId="10230" xr:uid="{902B2702-8190-4804-B5C1-9D800F9AC25D}"/>
    <cellStyle name="Normal 4 4 4 2 5" xfId="2112" xr:uid="{00000000-0005-0000-0000-0000C2150000}"/>
    <cellStyle name="Normal 4 4 4 2 5 2" xfId="4341" xr:uid="{00000000-0005-0000-0000-0000C3150000}"/>
    <cellStyle name="Normal 4 4 4 2 5 2 2" xfId="8564" xr:uid="{00000000-0005-0000-0000-0000C4150000}"/>
    <cellStyle name="Normal 4 4 4 2 5 2 2 2" xfId="17006" xr:uid="{4F144FCA-FB1B-49D0-9E55-E87D735EE174}"/>
    <cellStyle name="Normal 4 4 4 2 5 2 3" xfId="12788" xr:uid="{D376BBE6-A418-40AE-925F-E40EAC1FBB9E}"/>
    <cellStyle name="Normal 4 4 4 2 5 3" xfId="6419" xr:uid="{00000000-0005-0000-0000-0000C5150000}"/>
    <cellStyle name="Normal 4 4 4 2 5 3 2" xfId="14861" xr:uid="{4E2A02E4-9382-4DAE-A003-CA424A220685}"/>
    <cellStyle name="Normal 4 4 4 2 5 4" xfId="10643" xr:uid="{B397DAFE-3F48-4123-8D5D-9ED03060CA7D}"/>
    <cellStyle name="Normal 4 4 4 2 6" xfId="2548" xr:uid="{00000000-0005-0000-0000-0000C6150000}"/>
    <cellStyle name="Normal 4 4 4 2 6 2" xfId="6832" xr:uid="{00000000-0005-0000-0000-0000C7150000}"/>
    <cellStyle name="Normal 4 4 4 2 6 2 2" xfId="15274" xr:uid="{CCD33D67-87F0-4AE9-8E39-5D5505C732AE}"/>
    <cellStyle name="Normal 4 4 4 2 6 3" xfId="11056" xr:uid="{FB89936F-3E0A-40DE-9C4D-C05CDB0A79F3}"/>
    <cellStyle name="Normal 4 4 4 2 7" xfId="4767" xr:uid="{00000000-0005-0000-0000-0000C8150000}"/>
    <cellStyle name="Normal 4 4 4 2 7 2" xfId="13209" xr:uid="{9B690EC5-0BE5-4998-B001-DBBC156D0427}"/>
    <cellStyle name="Normal 4 4 4 2 8" xfId="8991" xr:uid="{A799A840-E88B-4A51-B8F3-11F3B8378577}"/>
    <cellStyle name="Normal 4 4 4 3" xfId="866" xr:uid="{00000000-0005-0000-0000-0000C9150000}"/>
    <cellStyle name="Normal 4 4 4 3 2" xfId="3101" xr:uid="{00000000-0005-0000-0000-0000CA150000}"/>
    <cellStyle name="Normal 4 4 4 3 2 2" xfId="7324" xr:uid="{00000000-0005-0000-0000-0000CB150000}"/>
    <cellStyle name="Normal 4 4 4 3 2 2 2" xfId="15766" xr:uid="{7DF9B607-E376-42D6-B54F-8C30F4213592}"/>
    <cellStyle name="Normal 4 4 4 3 2 3" xfId="11548" xr:uid="{C49AAA4B-2CA9-41C4-9791-35DC8E4FA4D0}"/>
    <cellStyle name="Normal 4 4 4 3 3" xfId="5179" xr:uid="{00000000-0005-0000-0000-0000CC150000}"/>
    <cellStyle name="Normal 4 4 4 3 3 2" xfId="13621" xr:uid="{BAC35D87-AB9D-4862-A4C3-7468DB1C1B81}"/>
    <cellStyle name="Normal 4 4 4 3 4" xfId="9403" xr:uid="{63C5A25F-8BCD-4CD7-957A-E5AC291B75F2}"/>
    <cellStyle name="Normal 4 4 4 4" xfId="1284" xr:uid="{00000000-0005-0000-0000-0000CD150000}"/>
    <cellStyle name="Normal 4 4 4 4 2" xfId="3514" xr:uid="{00000000-0005-0000-0000-0000CE150000}"/>
    <cellStyle name="Normal 4 4 4 4 2 2" xfId="7737" xr:uid="{00000000-0005-0000-0000-0000CF150000}"/>
    <cellStyle name="Normal 4 4 4 4 2 2 2" xfId="16179" xr:uid="{301C7A6C-505C-4659-A684-A7799AE09AF3}"/>
    <cellStyle name="Normal 4 4 4 4 2 3" xfId="11961" xr:uid="{A8931854-822C-468E-9693-707C947957AC}"/>
    <cellStyle name="Normal 4 4 4 4 3" xfId="5592" xr:uid="{00000000-0005-0000-0000-0000D0150000}"/>
    <cellStyle name="Normal 4 4 4 4 3 2" xfId="14034" xr:uid="{F64D0B8E-887F-4DB1-9264-354A5606591A}"/>
    <cellStyle name="Normal 4 4 4 4 4" xfId="9816" xr:uid="{4F2BF093-41D1-4F25-86E3-F069BD702718}"/>
    <cellStyle name="Normal 4 4 4 5" xfId="1697" xr:uid="{00000000-0005-0000-0000-0000D1150000}"/>
    <cellStyle name="Normal 4 4 4 5 2" xfId="3927" xr:uid="{00000000-0005-0000-0000-0000D2150000}"/>
    <cellStyle name="Normal 4 4 4 5 2 2" xfId="8150" xr:uid="{00000000-0005-0000-0000-0000D3150000}"/>
    <cellStyle name="Normal 4 4 4 5 2 2 2" xfId="16592" xr:uid="{36416BE7-C98E-4A04-B0FD-72D1775C7250}"/>
    <cellStyle name="Normal 4 4 4 5 2 3" xfId="12374" xr:uid="{D6107670-E9BB-4AFA-8B14-417C99EDBE9B}"/>
    <cellStyle name="Normal 4 4 4 5 3" xfId="6005" xr:uid="{00000000-0005-0000-0000-0000D4150000}"/>
    <cellStyle name="Normal 4 4 4 5 3 2" xfId="14447" xr:uid="{871E2C97-51FF-441A-9FE0-FE27FBE9F09C}"/>
    <cellStyle name="Normal 4 4 4 5 4" xfId="10229" xr:uid="{126558D5-2B69-4A64-9F1D-173A25F0DCC3}"/>
    <cellStyle name="Normal 4 4 4 6" xfId="2111" xr:uid="{00000000-0005-0000-0000-0000D5150000}"/>
    <cellStyle name="Normal 4 4 4 6 2" xfId="4340" xr:uid="{00000000-0005-0000-0000-0000D6150000}"/>
    <cellStyle name="Normal 4 4 4 6 2 2" xfId="8563" xr:uid="{00000000-0005-0000-0000-0000D7150000}"/>
    <cellStyle name="Normal 4 4 4 6 2 2 2" xfId="17005" xr:uid="{871AC798-156F-40A8-A594-2735F9A46802}"/>
    <cellStyle name="Normal 4 4 4 6 2 3" xfId="12787" xr:uid="{5B4CC82D-2531-433C-8124-5679197CA317}"/>
    <cellStyle name="Normal 4 4 4 6 3" xfId="6418" xr:uid="{00000000-0005-0000-0000-0000D8150000}"/>
    <cellStyle name="Normal 4 4 4 6 3 2" xfId="14860" xr:uid="{3D0DA8C9-D199-4676-BBE4-F49323364C47}"/>
    <cellStyle name="Normal 4 4 4 6 4" xfId="10642" xr:uid="{4E14C32D-4B38-4EF6-8960-25352DF6C862}"/>
    <cellStyle name="Normal 4 4 4 7" xfId="2547" xr:uid="{00000000-0005-0000-0000-0000D9150000}"/>
    <cellStyle name="Normal 4 4 4 7 2" xfId="6831" xr:uid="{00000000-0005-0000-0000-0000DA150000}"/>
    <cellStyle name="Normal 4 4 4 7 2 2" xfId="15273" xr:uid="{DB003F6B-4BE8-4ADE-AE49-9CBECFAC0EFD}"/>
    <cellStyle name="Normal 4 4 4 7 3" xfId="11055" xr:uid="{E3F79ED3-77CF-4CC7-8BB3-35E9B271FC4F}"/>
    <cellStyle name="Normal 4 4 4 8" xfId="4766" xr:uid="{00000000-0005-0000-0000-0000DB150000}"/>
    <cellStyle name="Normal 4 4 4 8 2" xfId="13208" xr:uid="{54B10736-2935-40F0-9140-ADAF258390D3}"/>
    <cellStyle name="Normal 4 4 4 9" xfId="8990" xr:uid="{FF074722-495E-4507-BA6C-B30C7D0EDC01}"/>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2 2 2" xfId="15768" xr:uid="{D29BFC44-2F35-4017-9DC4-F6853BF045D9}"/>
    <cellStyle name="Normal 4 4 5 2 2 3" xfId="11550" xr:uid="{99B45AEF-47F7-4D04-BF52-17282779DDC6}"/>
    <cellStyle name="Normal 4 4 5 2 3" xfId="5181" xr:uid="{00000000-0005-0000-0000-0000E0150000}"/>
    <cellStyle name="Normal 4 4 5 2 3 2" xfId="13623" xr:uid="{36C439A3-FAE1-4993-9D10-D6F1C4FD97BF}"/>
    <cellStyle name="Normal 4 4 5 2 4" xfId="9405" xr:uid="{86307264-5759-4C90-9C94-A7CD32D5F3FC}"/>
    <cellStyle name="Normal 4 4 5 3" xfId="1286" xr:uid="{00000000-0005-0000-0000-0000E1150000}"/>
    <cellStyle name="Normal 4 4 5 3 2" xfId="3516" xr:uid="{00000000-0005-0000-0000-0000E2150000}"/>
    <cellStyle name="Normal 4 4 5 3 2 2" xfId="7739" xr:uid="{00000000-0005-0000-0000-0000E3150000}"/>
    <cellStyle name="Normal 4 4 5 3 2 2 2" xfId="16181" xr:uid="{091F9ADB-7995-4A43-B2AB-E6FACBD09F73}"/>
    <cellStyle name="Normal 4 4 5 3 2 3" xfId="11963" xr:uid="{C90AEE2B-DCA3-4109-8705-382A43BD9D2C}"/>
    <cellStyle name="Normal 4 4 5 3 3" xfId="5594" xr:uid="{00000000-0005-0000-0000-0000E4150000}"/>
    <cellStyle name="Normal 4 4 5 3 3 2" xfId="14036" xr:uid="{229E2CFE-648A-4A69-970D-60DE12A614CF}"/>
    <cellStyle name="Normal 4 4 5 3 4" xfId="9818" xr:uid="{70EDCD27-EA33-4F92-A08D-A7F78CCD9F0E}"/>
    <cellStyle name="Normal 4 4 5 4" xfId="1699" xr:uid="{00000000-0005-0000-0000-0000E5150000}"/>
    <cellStyle name="Normal 4 4 5 4 2" xfId="3929" xr:uid="{00000000-0005-0000-0000-0000E6150000}"/>
    <cellStyle name="Normal 4 4 5 4 2 2" xfId="8152" xr:uid="{00000000-0005-0000-0000-0000E7150000}"/>
    <cellStyle name="Normal 4 4 5 4 2 2 2" xfId="16594" xr:uid="{646E316A-9534-4C13-A0EE-89743527A41F}"/>
    <cellStyle name="Normal 4 4 5 4 2 3" xfId="12376" xr:uid="{DA4FB7A8-FFD6-4030-A27E-057BEE333957}"/>
    <cellStyle name="Normal 4 4 5 4 3" xfId="6007" xr:uid="{00000000-0005-0000-0000-0000E8150000}"/>
    <cellStyle name="Normal 4 4 5 4 3 2" xfId="14449" xr:uid="{CBA8163F-0517-4223-9FD6-0CB9FB77DC2F}"/>
    <cellStyle name="Normal 4 4 5 4 4" xfId="10231" xr:uid="{3F721063-FB42-4544-B50C-487C273FACB9}"/>
    <cellStyle name="Normal 4 4 5 5" xfId="2113" xr:uid="{00000000-0005-0000-0000-0000E9150000}"/>
    <cellStyle name="Normal 4 4 5 5 2" xfId="4342" xr:uid="{00000000-0005-0000-0000-0000EA150000}"/>
    <cellStyle name="Normal 4 4 5 5 2 2" xfId="8565" xr:uid="{00000000-0005-0000-0000-0000EB150000}"/>
    <cellStyle name="Normal 4 4 5 5 2 2 2" xfId="17007" xr:uid="{674B0A00-2676-41C7-AB7A-C7E30F8A511E}"/>
    <cellStyle name="Normal 4 4 5 5 2 3" xfId="12789" xr:uid="{21E6E79D-167B-441B-8C6C-EEF82526ECF2}"/>
    <cellStyle name="Normal 4 4 5 5 3" xfId="6420" xr:uid="{00000000-0005-0000-0000-0000EC150000}"/>
    <cellStyle name="Normal 4 4 5 5 3 2" xfId="14862" xr:uid="{1A2FCCD6-EF1A-437F-8C0F-78E0A2E88276}"/>
    <cellStyle name="Normal 4 4 5 5 4" xfId="10644" xr:uid="{80C7A867-B61E-476D-9D72-53D77F4E5FDC}"/>
    <cellStyle name="Normal 4 4 5 6" xfId="2549" xr:uid="{00000000-0005-0000-0000-0000ED150000}"/>
    <cellStyle name="Normal 4 4 5 6 2" xfId="6833" xr:uid="{00000000-0005-0000-0000-0000EE150000}"/>
    <cellStyle name="Normal 4 4 5 6 2 2" xfId="15275" xr:uid="{4EB1F477-A01B-4C1B-8A72-86BFF61FAC58}"/>
    <cellStyle name="Normal 4 4 5 6 3" xfId="11057" xr:uid="{AAE8F285-9FEE-4E46-A81E-1F4262E2DC58}"/>
    <cellStyle name="Normal 4 4 5 7" xfId="4768" xr:uid="{00000000-0005-0000-0000-0000EF150000}"/>
    <cellStyle name="Normal 4 4 5 7 2" xfId="13210" xr:uid="{2B40E249-4355-4979-90A6-B19DAB72DAA4}"/>
    <cellStyle name="Normal 4 4 5 8" xfId="8992" xr:uid="{B17CC36A-00BD-4B8E-92F2-9EE6A1A2D916}"/>
    <cellStyle name="Normal 4 4 6" xfId="853" xr:uid="{00000000-0005-0000-0000-0000F0150000}"/>
    <cellStyle name="Normal 4 4 6 2" xfId="3088" xr:uid="{00000000-0005-0000-0000-0000F1150000}"/>
    <cellStyle name="Normal 4 4 6 2 2" xfId="7311" xr:uid="{00000000-0005-0000-0000-0000F2150000}"/>
    <cellStyle name="Normal 4 4 6 2 2 2" xfId="15753" xr:uid="{B40E97B7-70D8-4E6F-88E5-7BD1B9CA9AAB}"/>
    <cellStyle name="Normal 4 4 6 2 3" xfId="11535" xr:uid="{81A99BFB-58D2-4021-AB8C-6284A44774F6}"/>
    <cellStyle name="Normal 4 4 6 3" xfId="5166" xr:uid="{00000000-0005-0000-0000-0000F3150000}"/>
    <cellStyle name="Normal 4 4 6 3 2" xfId="13608" xr:uid="{FBB68662-B93C-4A7B-B65F-BC7BA3E71AB7}"/>
    <cellStyle name="Normal 4 4 6 4" xfId="9390" xr:uid="{19127F17-3991-4319-A74E-B9625EC626D7}"/>
    <cellStyle name="Normal 4 4 7" xfId="1271" xr:uid="{00000000-0005-0000-0000-0000F4150000}"/>
    <cellStyle name="Normal 4 4 7 2" xfId="3501" xr:uid="{00000000-0005-0000-0000-0000F5150000}"/>
    <cellStyle name="Normal 4 4 7 2 2" xfId="7724" xr:uid="{00000000-0005-0000-0000-0000F6150000}"/>
    <cellStyle name="Normal 4 4 7 2 2 2" xfId="16166" xr:uid="{445D7ED3-FF86-42A6-852D-FF6AF9C955C6}"/>
    <cellStyle name="Normal 4 4 7 2 3" xfId="11948" xr:uid="{2B46C3B3-F841-40CC-8C13-44F6BF34A7B2}"/>
    <cellStyle name="Normal 4 4 7 3" xfId="5579" xr:uid="{00000000-0005-0000-0000-0000F7150000}"/>
    <cellStyle name="Normal 4 4 7 3 2" xfId="14021" xr:uid="{858D1E9C-F29B-4439-B987-799AB3F06092}"/>
    <cellStyle name="Normal 4 4 7 4" xfId="9803" xr:uid="{397871EA-C06A-4B8F-818F-0F9F082E7264}"/>
    <cellStyle name="Normal 4 4 8" xfId="1684" xr:uid="{00000000-0005-0000-0000-0000F8150000}"/>
    <cellStyle name="Normal 4 4 8 2" xfId="3914" xr:uid="{00000000-0005-0000-0000-0000F9150000}"/>
    <cellStyle name="Normal 4 4 8 2 2" xfId="8137" xr:uid="{00000000-0005-0000-0000-0000FA150000}"/>
    <cellStyle name="Normal 4 4 8 2 2 2" xfId="16579" xr:uid="{FC461F71-78BA-438C-9531-AE8EFF0679A0}"/>
    <cellStyle name="Normal 4 4 8 2 3" xfId="12361" xr:uid="{5CDC6CE7-A6A7-46ED-B931-70E5C981F8A7}"/>
    <cellStyle name="Normal 4 4 8 3" xfId="5992" xr:uid="{00000000-0005-0000-0000-0000FB150000}"/>
    <cellStyle name="Normal 4 4 8 3 2" xfId="14434" xr:uid="{8D7528BF-2DC6-460F-B660-77A008B7A328}"/>
    <cellStyle name="Normal 4 4 8 4" xfId="10216" xr:uid="{902EB6D1-D0A3-4BB2-80B5-6A06ED448C20}"/>
    <cellStyle name="Normal 4 4 9" xfId="2098" xr:uid="{00000000-0005-0000-0000-0000FC150000}"/>
    <cellStyle name="Normal 4 4 9 2" xfId="4327" xr:uid="{00000000-0005-0000-0000-0000FD150000}"/>
    <cellStyle name="Normal 4 4 9 2 2" xfId="8550" xr:uid="{00000000-0005-0000-0000-0000FE150000}"/>
    <cellStyle name="Normal 4 4 9 2 2 2" xfId="16992" xr:uid="{F5DC8DB1-9810-4824-AE15-4C6693032F6B}"/>
    <cellStyle name="Normal 4 4 9 2 3" xfId="12774" xr:uid="{94641AAE-EB73-4976-A1DB-282EBFCEEB46}"/>
    <cellStyle name="Normal 4 4 9 3" xfId="6405" xr:uid="{00000000-0005-0000-0000-0000FF150000}"/>
    <cellStyle name="Normal 4 4 9 3 2" xfId="14847" xr:uid="{7D74F8A2-E143-42DF-914D-1B7642EF8B70}"/>
    <cellStyle name="Normal 4 4 9 4" xfId="10629" xr:uid="{02ED0D09-3FAB-4B4E-8524-831FD38CA3C6}"/>
    <cellStyle name="Normal 4 5" xfId="394" xr:uid="{00000000-0005-0000-0000-000000160000}"/>
    <cellStyle name="Normal 4 6" xfId="395" xr:uid="{00000000-0005-0000-0000-000001160000}"/>
    <cellStyle name="Normal 4 6 10" xfId="4769" xr:uid="{00000000-0005-0000-0000-000002160000}"/>
    <cellStyle name="Normal 4 6 10 2" xfId="13211" xr:uid="{CF99D988-5231-4000-9EA1-1477AF2DC30C}"/>
    <cellStyle name="Normal 4 6 11" xfId="8993" xr:uid="{FB4DF9A7-253B-416A-90BB-54B6C43973D5}"/>
    <cellStyle name="Normal 4 6 2" xfId="396" xr:uid="{00000000-0005-0000-0000-000003160000}"/>
    <cellStyle name="Normal 4 6 2 10" xfId="8994" xr:uid="{AE608D54-7CC0-45CD-A8C7-144D89B347B2}"/>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2 2 2" xfId="15772" xr:uid="{D3293D96-A05F-4FF5-A482-CF93FC007461}"/>
    <cellStyle name="Normal 4 6 2 2 2 2 2 3" xfId="11554" xr:uid="{2417A08E-D4CC-48C4-A445-16834C2CDCF1}"/>
    <cellStyle name="Normal 4 6 2 2 2 2 3" xfId="5185" xr:uid="{00000000-0005-0000-0000-000009160000}"/>
    <cellStyle name="Normal 4 6 2 2 2 2 3 2" xfId="13627" xr:uid="{7D59CF7E-B8FF-4074-A854-B2E1B1230334}"/>
    <cellStyle name="Normal 4 6 2 2 2 2 4" xfId="9409" xr:uid="{32D8F7E2-56C5-4E02-ADBD-3EE9F541F7DD}"/>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2 2 2" xfId="16185" xr:uid="{6328C412-D2BF-450A-B4C9-B1568B9E8266}"/>
    <cellStyle name="Normal 4 6 2 2 2 3 2 3" xfId="11967" xr:uid="{6FE0AA95-DDBE-4E35-90EA-008FB09547BD}"/>
    <cellStyle name="Normal 4 6 2 2 2 3 3" xfId="5598" xr:uid="{00000000-0005-0000-0000-00000D160000}"/>
    <cellStyle name="Normal 4 6 2 2 2 3 3 2" xfId="14040" xr:uid="{6770DE2D-1349-43DA-8A9B-5720A7C976F2}"/>
    <cellStyle name="Normal 4 6 2 2 2 3 4" xfId="9822" xr:uid="{EC47BF06-3786-4874-93C0-10B4DBFB3665}"/>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2 2 2" xfId="16598" xr:uid="{6216D13C-499B-4A0A-B939-726E281131DC}"/>
    <cellStyle name="Normal 4 6 2 2 2 4 2 3" xfId="12380" xr:uid="{38B45847-7518-4C46-A7E0-C2809BAC4C10}"/>
    <cellStyle name="Normal 4 6 2 2 2 4 3" xfId="6011" xr:uid="{00000000-0005-0000-0000-000011160000}"/>
    <cellStyle name="Normal 4 6 2 2 2 4 3 2" xfId="14453" xr:uid="{BA91B9D9-C3B5-4E21-81F9-D62A9AE2D69C}"/>
    <cellStyle name="Normal 4 6 2 2 2 4 4" xfId="10235" xr:uid="{3E1A442F-305C-4B95-976D-21AE9AA5B14C}"/>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2 2 2" xfId="17011" xr:uid="{FBD9B48E-94DE-471B-A784-10C03B846B77}"/>
    <cellStyle name="Normal 4 6 2 2 2 5 2 3" xfId="12793" xr:uid="{AC1AA209-AC85-4785-8C8E-A2EBCEAE2AF8}"/>
    <cellStyle name="Normal 4 6 2 2 2 5 3" xfId="6424" xr:uid="{00000000-0005-0000-0000-000015160000}"/>
    <cellStyle name="Normal 4 6 2 2 2 5 3 2" xfId="14866" xr:uid="{FA2B8044-F901-4D0E-8D0B-9FB8A55C4A6E}"/>
    <cellStyle name="Normal 4 6 2 2 2 5 4" xfId="10648" xr:uid="{2E000450-4F2A-4354-A704-A6B1EDB2BC97}"/>
    <cellStyle name="Normal 4 6 2 2 2 6" xfId="2553" xr:uid="{00000000-0005-0000-0000-000016160000}"/>
    <cellStyle name="Normal 4 6 2 2 2 6 2" xfId="6837" xr:uid="{00000000-0005-0000-0000-000017160000}"/>
    <cellStyle name="Normal 4 6 2 2 2 6 2 2" xfId="15279" xr:uid="{4F6884E8-3508-41C3-B0E9-FF710287F753}"/>
    <cellStyle name="Normal 4 6 2 2 2 6 3" xfId="11061" xr:uid="{D5320BFE-292E-4749-8C0C-F11375D9B82B}"/>
    <cellStyle name="Normal 4 6 2 2 2 7" xfId="4772" xr:uid="{00000000-0005-0000-0000-000018160000}"/>
    <cellStyle name="Normal 4 6 2 2 2 7 2" xfId="13214" xr:uid="{E7D57203-6DD2-4D10-9227-B951D686BC3F}"/>
    <cellStyle name="Normal 4 6 2 2 2 8" xfId="8996" xr:uid="{74D08A49-4D8B-48E6-9D5F-06A9815ED1A2}"/>
    <cellStyle name="Normal 4 6 2 2 3" xfId="871" xr:uid="{00000000-0005-0000-0000-000019160000}"/>
    <cellStyle name="Normal 4 6 2 2 3 2" xfId="3106" xr:uid="{00000000-0005-0000-0000-00001A160000}"/>
    <cellStyle name="Normal 4 6 2 2 3 2 2" xfId="7329" xr:uid="{00000000-0005-0000-0000-00001B160000}"/>
    <cellStyle name="Normal 4 6 2 2 3 2 2 2" xfId="15771" xr:uid="{958A8950-179C-413D-9BC4-DAC0875DDEB5}"/>
    <cellStyle name="Normal 4 6 2 2 3 2 3" xfId="11553" xr:uid="{D2B9AC18-391A-4825-83A7-4596F38B978C}"/>
    <cellStyle name="Normal 4 6 2 2 3 3" xfId="5184" xr:uid="{00000000-0005-0000-0000-00001C160000}"/>
    <cellStyle name="Normal 4 6 2 2 3 3 2" xfId="13626" xr:uid="{64A8648F-E500-47F8-A658-7A1CD8108552}"/>
    <cellStyle name="Normal 4 6 2 2 3 4" xfId="9408" xr:uid="{43A17B61-A572-4676-A7CD-A01A9A13FF80}"/>
    <cellStyle name="Normal 4 6 2 2 4" xfId="1289" xr:uid="{00000000-0005-0000-0000-00001D160000}"/>
    <cellStyle name="Normal 4 6 2 2 4 2" xfId="3519" xr:uid="{00000000-0005-0000-0000-00001E160000}"/>
    <cellStyle name="Normal 4 6 2 2 4 2 2" xfId="7742" xr:uid="{00000000-0005-0000-0000-00001F160000}"/>
    <cellStyle name="Normal 4 6 2 2 4 2 2 2" xfId="16184" xr:uid="{D9A6C3C4-6CEF-4B96-A7A3-F31957B9617A}"/>
    <cellStyle name="Normal 4 6 2 2 4 2 3" xfId="11966" xr:uid="{57202480-E779-4F8A-AAF8-9B34920ABB73}"/>
    <cellStyle name="Normal 4 6 2 2 4 3" xfId="5597" xr:uid="{00000000-0005-0000-0000-000020160000}"/>
    <cellStyle name="Normal 4 6 2 2 4 3 2" xfId="14039" xr:uid="{A007A2F7-642F-4A80-8FEF-C7E6D5612E74}"/>
    <cellStyle name="Normal 4 6 2 2 4 4" xfId="9821" xr:uid="{7AA744B0-CFC9-4C40-A7B9-1F090C4109C0}"/>
    <cellStyle name="Normal 4 6 2 2 5" xfId="1702" xr:uid="{00000000-0005-0000-0000-000021160000}"/>
    <cellStyle name="Normal 4 6 2 2 5 2" xfId="3932" xr:uid="{00000000-0005-0000-0000-000022160000}"/>
    <cellStyle name="Normal 4 6 2 2 5 2 2" xfId="8155" xr:uid="{00000000-0005-0000-0000-000023160000}"/>
    <cellStyle name="Normal 4 6 2 2 5 2 2 2" xfId="16597" xr:uid="{37F060B8-9C2B-4F97-AB80-6F9C557715B1}"/>
    <cellStyle name="Normal 4 6 2 2 5 2 3" xfId="12379" xr:uid="{B8C027C7-E93F-4D58-AA80-5082894B0EFC}"/>
    <cellStyle name="Normal 4 6 2 2 5 3" xfId="6010" xr:uid="{00000000-0005-0000-0000-000024160000}"/>
    <cellStyle name="Normal 4 6 2 2 5 3 2" xfId="14452" xr:uid="{8EA03594-2A25-42A5-B05C-93C3CB421A05}"/>
    <cellStyle name="Normal 4 6 2 2 5 4" xfId="10234" xr:uid="{0FE7A336-CF8B-40EB-B220-E57A9D429A27}"/>
    <cellStyle name="Normal 4 6 2 2 6" xfId="2116" xr:uid="{00000000-0005-0000-0000-000025160000}"/>
    <cellStyle name="Normal 4 6 2 2 6 2" xfId="4345" xr:uid="{00000000-0005-0000-0000-000026160000}"/>
    <cellStyle name="Normal 4 6 2 2 6 2 2" xfId="8568" xr:uid="{00000000-0005-0000-0000-000027160000}"/>
    <cellStyle name="Normal 4 6 2 2 6 2 2 2" xfId="17010" xr:uid="{B5DBE469-5779-4AC1-8ED1-743B72330537}"/>
    <cellStyle name="Normal 4 6 2 2 6 2 3" xfId="12792" xr:uid="{67BCA074-86E2-437D-A380-FDB96231867C}"/>
    <cellStyle name="Normal 4 6 2 2 6 3" xfId="6423" xr:uid="{00000000-0005-0000-0000-000028160000}"/>
    <cellStyle name="Normal 4 6 2 2 6 3 2" xfId="14865" xr:uid="{7C8E1936-0E13-4E46-A038-A9943A8B14F4}"/>
    <cellStyle name="Normal 4 6 2 2 6 4" xfId="10647" xr:uid="{2929F6AD-B58D-4530-BD58-563894C7A040}"/>
    <cellStyle name="Normal 4 6 2 2 7" xfId="2552" xr:uid="{00000000-0005-0000-0000-000029160000}"/>
    <cellStyle name="Normal 4 6 2 2 7 2" xfId="6836" xr:uid="{00000000-0005-0000-0000-00002A160000}"/>
    <cellStyle name="Normal 4 6 2 2 7 2 2" xfId="15278" xr:uid="{BB459806-9606-4D31-AFC0-5592DB5A85FA}"/>
    <cellStyle name="Normal 4 6 2 2 7 3" xfId="11060" xr:uid="{E27B2499-C52E-4184-A124-C0AF424C3239}"/>
    <cellStyle name="Normal 4 6 2 2 8" xfId="4771" xr:uid="{00000000-0005-0000-0000-00002B160000}"/>
    <cellStyle name="Normal 4 6 2 2 8 2" xfId="13213" xr:uid="{B1EB52B2-4EAA-4A09-ABB2-9B2B97B1F65E}"/>
    <cellStyle name="Normal 4 6 2 2 9" xfId="8995" xr:uid="{67F43912-01F5-4195-99FD-EAFC0C85515F}"/>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2 2 2" xfId="15773" xr:uid="{8C8A662C-1C47-4792-8492-C8980AC7117F}"/>
    <cellStyle name="Normal 4 6 2 3 2 2 3" xfId="11555" xr:uid="{95270DF1-6FB6-4CC4-BA55-241CAE39D288}"/>
    <cellStyle name="Normal 4 6 2 3 2 3" xfId="5186" xr:uid="{00000000-0005-0000-0000-000030160000}"/>
    <cellStyle name="Normal 4 6 2 3 2 3 2" xfId="13628" xr:uid="{7868F660-88E4-4E21-BE68-B2AAC6EE404E}"/>
    <cellStyle name="Normal 4 6 2 3 2 4" xfId="9410" xr:uid="{462EA11C-8A91-4F67-9E7D-6AD8466E0EB9}"/>
    <cellStyle name="Normal 4 6 2 3 3" xfId="1291" xr:uid="{00000000-0005-0000-0000-000031160000}"/>
    <cellStyle name="Normal 4 6 2 3 3 2" xfId="3521" xr:uid="{00000000-0005-0000-0000-000032160000}"/>
    <cellStyle name="Normal 4 6 2 3 3 2 2" xfId="7744" xr:uid="{00000000-0005-0000-0000-000033160000}"/>
    <cellStyle name="Normal 4 6 2 3 3 2 2 2" xfId="16186" xr:uid="{77652C60-563A-4EE6-90C0-09FC656B1B29}"/>
    <cellStyle name="Normal 4 6 2 3 3 2 3" xfId="11968" xr:uid="{7F58D176-9E9F-46F8-9101-B221AB7A4D93}"/>
    <cellStyle name="Normal 4 6 2 3 3 3" xfId="5599" xr:uid="{00000000-0005-0000-0000-000034160000}"/>
    <cellStyle name="Normal 4 6 2 3 3 3 2" xfId="14041" xr:uid="{0CF0C319-ECA5-4161-B2D3-F9F95E8E7421}"/>
    <cellStyle name="Normal 4 6 2 3 3 4" xfId="9823" xr:uid="{97E11B49-B2BB-40D4-A115-82C08CC8BB60}"/>
    <cellStyle name="Normal 4 6 2 3 4" xfId="1704" xr:uid="{00000000-0005-0000-0000-000035160000}"/>
    <cellStyle name="Normal 4 6 2 3 4 2" xfId="3934" xr:uid="{00000000-0005-0000-0000-000036160000}"/>
    <cellStyle name="Normal 4 6 2 3 4 2 2" xfId="8157" xr:uid="{00000000-0005-0000-0000-000037160000}"/>
    <cellStyle name="Normal 4 6 2 3 4 2 2 2" xfId="16599" xr:uid="{5FA13DC0-FAD3-41A4-A1D3-F245D01E532A}"/>
    <cellStyle name="Normal 4 6 2 3 4 2 3" xfId="12381" xr:uid="{A500C2C9-628E-40D2-B826-183D6F6BE042}"/>
    <cellStyle name="Normal 4 6 2 3 4 3" xfId="6012" xr:uid="{00000000-0005-0000-0000-000038160000}"/>
    <cellStyle name="Normal 4 6 2 3 4 3 2" xfId="14454" xr:uid="{ADE7719C-F2FD-4648-9718-FEB68544A24A}"/>
    <cellStyle name="Normal 4 6 2 3 4 4" xfId="10236" xr:uid="{D519B07B-529E-4234-B177-06B0FEB3AC53}"/>
    <cellStyle name="Normal 4 6 2 3 5" xfId="2118" xr:uid="{00000000-0005-0000-0000-000039160000}"/>
    <cellStyle name="Normal 4 6 2 3 5 2" xfId="4347" xr:uid="{00000000-0005-0000-0000-00003A160000}"/>
    <cellStyle name="Normal 4 6 2 3 5 2 2" xfId="8570" xr:uid="{00000000-0005-0000-0000-00003B160000}"/>
    <cellStyle name="Normal 4 6 2 3 5 2 2 2" xfId="17012" xr:uid="{355EF4B2-E1D9-4C45-8C1B-B85A9B12EFF4}"/>
    <cellStyle name="Normal 4 6 2 3 5 2 3" xfId="12794" xr:uid="{5E01B509-31BC-4115-83BD-BF0280155F7C}"/>
    <cellStyle name="Normal 4 6 2 3 5 3" xfId="6425" xr:uid="{00000000-0005-0000-0000-00003C160000}"/>
    <cellStyle name="Normal 4 6 2 3 5 3 2" xfId="14867" xr:uid="{F5939230-C01A-4199-9A85-4F95B7E95A23}"/>
    <cellStyle name="Normal 4 6 2 3 5 4" xfId="10649" xr:uid="{D7A27F6B-A430-4364-AD8F-9EB694722A3A}"/>
    <cellStyle name="Normal 4 6 2 3 6" xfId="2554" xr:uid="{00000000-0005-0000-0000-00003D160000}"/>
    <cellStyle name="Normal 4 6 2 3 6 2" xfId="6838" xr:uid="{00000000-0005-0000-0000-00003E160000}"/>
    <cellStyle name="Normal 4 6 2 3 6 2 2" xfId="15280" xr:uid="{04FA17B6-DE1B-4169-8678-DF0A7CF9994C}"/>
    <cellStyle name="Normal 4 6 2 3 6 3" xfId="11062" xr:uid="{933FA387-A098-4A44-BCBB-B83D3395154E}"/>
    <cellStyle name="Normal 4 6 2 3 7" xfId="4773" xr:uid="{00000000-0005-0000-0000-00003F160000}"/>
    <cellStyle name="Normal 4 6 2 3 7 2" xfId="13215" xr:uid="{2A0AA09B-7A16-46AF-9F3B-DFF6F0E579E5}"/>
    <cellStyle name="Normal 4 6 2 3 8" xfId="8997" xr:uid="{0BD19D38-A6AE-417C-A086-3CEB50BBCE5C}"/>
    <cellStyle name="Normal 4 6 2 4" xfId="870" xr:uid="{00000000-0005-0000-0000-000040160000}"/>
    <cellStyle name="Normal 4 6 2 4 2" xfId="3105" xr:uid="{00000000-0005-0000-0000-000041160000}"/>
    <cellStyle name="Normal 4 6 2 4 2 2" xfId="7328" xr:uid="{00000000-0005-0000-0000-000042160000}"/>
    <cellStyle name="Normal 4 6 2 4 2 2 2" xfId="15770" xr:uid="{B63CDB3F-1575-43C2-A7ED-DB0A5942344C}"/>
    <cellStyle name="Normal 4 6 2 4 2 3" xfId="11552" xr:uid="{2F65CA58-0AE5-4B0C-9E35-9D42209918CC}"/>
    <cellStyle name="Normal 4 6 2 4 3" xfId="5183" xr:uid="{00000000-0005-0000-0000-000043160000}"/>
    <cellStyle name="Normal 4 6 2 4 3 2" xfId="13625" xr:uid="{435727B2-D514-4115-AB51-D8AACF7729CC}"/>
    <cellStyle name="Normal 4 6 2 4 4" xfId="9407" xr:uid="{1CF5FC49-F12C-4D45-BB31-A64D71BDC872}"/>
    <cellStyle name="Normal 4 6 2 5" xfId="1288" xr:uid="{00000000-0005-0000-0000-000044160000}"/>
    <cellStyle name="Normal 4 6 2 5 2" xfId="3518" xr:uid="{00000000-0005-0000-0000-000045160000}"/>
    <cellStyle name="Normal 4 6 2 5 2 2" xfId="7741" xr:uid="{00000000-0005-0000-0000-000046160000}"/>
    <cellStyle name="Normal 4 6 2 5 2 2 2" xfId="16183" xr:uid="{71D39BF9-2FA2-4CE8-B809-51789C83C139}"/>
    <cellStyle name="Normal 4 6 2 5 2 3" xfId="11965" xr:uid="{EC84C62A-EFA9-4A2F-80AC-227509E2A3E1}"/>
    <cellStyle name="Normal 4 6 2 5 3" xfId="5596" xr:uid="{00000000-0005-0000-0000-000047160000}"/>
    <cellStyle name="Normal 4 6 2 5 3 2" xfId="14038" xr:uid="{7238BA81-018D-410E-B36E-AD5F1B5D6856}"/>
    <cellStyle name="Normal 4 6 2 5 4" xfId="9820" xr:uid="{691FC9E1-1D6D-4EA6-8FF8-591DBDE48938}"/>
    <cellStyle name="Normal 4 6 2 6" xfId="1701" xr:uid="{00000000-0005-0000-0000-000048160000}"/>
    <cellStyle name="Normal 4 6 2 6 2" xfId="3931" xr:uid="{00000000-0005-0000-0000-000049160000}"/>
    <cellStyle name="Normal 4 6 2 6 2 2" xfId="8154" xr:uid="{00000000-0005-0000-0000-00004A160000}"/>
    <cellStyle name="Normal 4 6 2 6 2 2 2" xfId="16596" xr:uid="{B4D5D394-DDFB-4C45-A86E-4D9969E79DEB}"/>
    <cellStyle name="Normal 4 6 2 6 2 3" xfId="12378" xr:uid="{843C1040-E3D5-4F92-8231-F8F95C6BC630}"/>
    <cellStyle name="Normal 4 6 2 6 3" xfId="6009" xr:uid="{00000000-0005-0000-0000-00004B160000}"/>
    <cellStyle name="Normal 4 6 2 6 3 2" xfId="14451" xr:uid="{F060E93F-FC6E-4260-A2DF-719FF2EB91D2}"/>
    <cellStyle name="Normal 4 6 2 6 4" xfId="10233" xr:uid="{BD6E1CB6-C2DB-4D90-80C5-2DDE26A2259D}"/>
    <cellStyle name="Normal 4 6 2 7" xfId="2115" xr:uid="{00000000-0005-0000-0000-00004C160000}"/>
    <cellStyle name="Normal 4 6 2 7 2" xfId="4344" xr:uid="{00000000-0005-0000-0000-00004D160000}"/>
    <cellStyle name="Normal 4 6 2 7 2 2" xfId="8567" xr:uid="{00000000-0005-0000-0000-00004E160000}"/>
    <cellStyle name="Normal 4 6 2 7 2 2 2" xfId="17009" xr:uid="{994AF27D-10E7-4BD8-9D20-5B8A34B1CA21}"/>
    <cellStyle name="Normal 4 6 2 7 2 3" xfId="12791" xr:uid="{CAABED3F-8B91-4538-AB71-498092BFB232}"/>
    <cellStyle name="Normal 4 6 2 7 3" xfId="6422" xr:uid="{00000000-0005-0000-0000-00004F160000}"/>
    <cellStyle name="Normal 4 6 2 7 3 2" xfId="14864" xr:uid="{C9B83149-6E3D-4FB7-A01B-1BF7BD9B11EA}"/>
    <cellStyle name="Normal 4 6 2 7 4" xfId="10646" xr:uid="{B46DF18B-68EB-4238-8017-C3C3E491209C}"/>
    <cellStyle name="Normal 4 6 2 8" xfId="2551" xr:uid="{00000000-0005-0000-0000-000050160000}"/>
    <cellStyle name="Normal 4 6 2 8 2" xfId="6835" xr:uid="{00000000-0005-0000-0000-000051160000}"/>
    <cellStyle name="Normal 4 6 2 8 2 2" xfId="15277" xr:uid="{00439E97-12DC-4093-BD27-BDA7960F1DA4}"/>
    <cellStyle name="Normal 4 6 2 8 3" xfId="11059" xr:uid="{479DA099-4CD2-48B8-82D3-E4FB227A9620}"/>
    <cellStyle name="Normal 4 6 2 9" xfId="4770" xr:uid="{00000000-0005-0000-0000-000052160000}"/>
    <cellStyle name="Normal 4 6 2 9 2" xfId="13212" xr:uid="{54753381-7351-471C-985C-9492B9D9E292}"/>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2 2 2" xfId="15775" xr:uid="{D2EEA8AF-C08D-46A9-B2A3-05C55921C15A}"/>
    <cellStyle name="Normal 4 6 3 2 2 2 3" xfId="11557" xr:uid="{FA5C14AA-B99D-48EF-B26D-1F33B66D8037}"/>
    <cellStyle name="Normal 4 6 3 2 2 3" xfId="5188" xr:uid="{00000000-0005-0000-0000-000058160000}"/>
    <cellStyle name="Normal 4 6 3 2 2 3 2" xfId="13630" xr:uid="{E907BFA4-0ABB-4E96-8299-60B3AE238358}"/>
    <cellStyle name="Normal 4 6 3 2 2 4" xfId="9412" xr:uid="{88FCDCD1-DCA0-483D-807D-CCAC3AC8FFB5}"/>
    <cellStyle name="Normal 4 6 3 2 3" xfId="1293" xr:uid="{00000000-0005-0000-0000-000059160000}"/>
    <cellStyle name="Normal 4 6 3 2 3 2" xfId="3523" xr:uid="{00000000-0005-0000-0000-00005A160000}"/>
    <cellStyle name="Normal 4 6 3 2 3 2 2" xfId="7746" xr:uid="{00000000-0005-0000-0000-00005B160000}"/>
    <cellStyle name="Normal 4 6 3 2 3 2 2 2" xfId="16188" xr:uid="{502F3FC7-42CC-4F31-BDA4-65C1933F4AA4}"/>
    <cellStyle name="Normal 4 6 3 2 3 2 3" xfId="11970" xr:uid="{6A91889C-0E99-4534-86EA-1FB6FCD2AEB6}"/>
    <cellStyle name="Normal 4 6 3 2 3 3" xfId="5601" xr:uid="{00000000-0005-0000-0000-00005C160000}"/>
    <cellStyle name="Normal 4 6 3 2 3 3 2" xfId="14043" xr:uid="{2B3B7035-C0AD-4702-B0E9-6527137F20A0}"/>
    <cellStyle name="Normal 4 6 3 2 3 4" xfId="9825" xr:uid="{AE997FF9-010A-40C4-A578-E75672EEA274}"/>
    <cellStyle name="Normal 4 6 3 2 4" xfId="1706" xr:uid="{00000000-0005-0000-0000-00005D160000}"/>
    <cellStyle name="Normal 4 6 3 2 4 2" xfId="3936" xr:uid="{00000000-0005-0000-0000-00005E160000}"/>
    <cellStyle name="Normal 4 6 3 2 4 2 2" xfId="8159" xr:uid="{00000000-0005-0000-0000-00005F160000}"/>
    <cellStyle name="Normal 4 6 3 2 4 2 2 2" xfId="16601" xr:uid="{048B8739-D6B5-4341-8F5B-72AB5C61C3AD}"/>
    <cellStyle name="Normal 4 6 3 2 4 2 3" xfId="12383" xr:uid="{080C8F30-C301-4547-88B9-925BDEA98C43}"/>
    <cellStyle name="Normal 4 6 3 2 4 3" xfId="6014" xr:uid="{00000000-0005-0000-0000-000060160000}"/>
    <cellStyle name="Normal 4 6 3 2 4 3 2" xfId="14456" xr:uid="{3CABB251-3D72-4543-8E6E-CD4DE8241E51}"/>
    <cellStyle name="Normal 4 6 3 2 4 4" xfId="10238" xr:uid="{6ACCE32B-CC51-40DC-99A2-ACB1E2195128}"/>
    <cellStyle name="Normal 4 6 3 2 5" xfId="2120" xr:uid="{00000000-0005-0000-0000-000061160000}"/>
    <cellStyle name="Normal 4 6 3 2 5 2" xfId="4349" xr:uid="{00000000-0005-0000-0000-000062160000}"/>
    <cellStyle name="Normal 4 6 3 2 5 2 2" xfId="8572" xr:uid="{00000000-0005-0000-0000-000063160000}"/>
    <cellStyle name="Normal 4 6 3 2 5 2 2 2" xfId="17014" xr:uid="{F77C05D3-12DD-4AE1-9363-EC0047D60107}"/>
    <cellStyle name="Normal 4 6 3 2 5 2 3" xfId="12796" xr:uid="{E7890458-5156-4604-99D4-2F5D661A35EB}"/>
    <cellStyle name="Normal 4 6 3 2 5 3" xfId="6427" xr:uid="{00000000-0005-0000-0000-000064160000}"/>
    <cellStyle name="Normal 4 6 3 2 5 3 2" xfId="14869" xr:uid="{790BF294-C04A-4BCD-A891-31BD48405B05}"/>
    <cellStyle name="Normal 4 6 3 2 5 4" xfId="10651" xr:uid="{BFC64280-C60F-4F85-A2CD-B9DDF8642F9C}"/>
    <cellStyle name="Normal 4 6 3 2 6" xfId="2556" xr:uid="{00000000-0005-0000-0000-000065160000}"/>
    <cellStyle name="Normal 4 6 3 2 6 2" xfId="6840" xr:uid="{00000000-0005-0000-0000-000066160000}"/>
    <cellStyle name="Normal 4 6 3 2 6 2 2" xfId="15282" xr:uid="{A7B6EE83-2CEE-4FDF-A135-E5D04B87BB8C}"/>
    <cellStyle name="Normal 4 6 3 2 6 3" xfId="11064" xr:uid="{ABC65D14-45F0-4DBC-9F98-8372DFEA1031}"/>
    <cellStyle name="Normal 4 6 3 2 7" xfId="4775" xr:uid="{00000000-0005-0000-0000-000067160000}"/>
    <cellStyle name="Normal 4 6 3 2 7 2" xfId="13217" xr:uid="{9AF1DC02-CE4E-4AF3-8394-01C9114FF57F}"/>
    <cellStyle name="Normal 4 6 3 2 8" xfId="8999" xr:uid="{AF83EC2B-8272-4338-8800-CA2D80E6C6A5}"/>
    <cellStyle name="Normal 4 6 3 3" xfId="874" xr:uid="{00000000-0005-0000-0000-000068160000}"/>
    <cellStyle name="Normal 4 6 3 3 2" xfId="3109" xr:uid="{00000000-0005-0000-0000-000069160000}"/>
    <cellStyle name="Normal 4 6 3 3 2 2" xfId="7332" xr:uid="{00000000-0005-0000-0000-00006A160000}"/>
    <cellStyle name="Normal 4 6 3 3 2 2 2" xfId="15774" xr:uid="{C7B0BD49-4D3C-4957-8761-7409DD8C3239}"/>
    <cellStyle name="Normal 4 6 3 3 2 3" xfId="11556" xr:uid="{0476DDFA-74EC-4714-80DC-6E3F8C5DF3B0}"/>
    <cellStyle name="Normal 4 6 3 3 3" xfId="5187" xr:uid="{00000000-0005-0000-0000-00006B160000}"/>
    <cellStyle name="Normal 4 6 3 3 3 2" xfId="13629" xr:uid="{19D1B51A-1E13-4FE3-90EC-08103779DE7C}"/>
    <cellStyle name="Normal 4 6 3 3 4" xfId="9411" xr:uid="{02E79D1B-7BD2-46AE-B62E-40046B73142E}"/>
    <cellStyle name="Normal 4 6 3 4" xfId="1292" xr:uid="{00000000-0005-0000-0000-00006C160000}"/>
    <cellStyle name="Normal 4 6 3 4 2" xfId="3522" xr:uid="{00000000-0005-0000-0000-00006D160000}"/>
    <cellStyle name="Normal 4 6 3 4 2 2" xfId="7745" xr:uid="{00000000-0005-0000-0000-00006E160000}"/>
    <cellStyle name="Normal 4 6 3 4 2 2 2" xfId="16187" xr:uid="{0DDD7994-F8E1-40BD-9AC8-C828DA9BBC4E}"/>
    <cellStyle name="Normal 4 6 3 4 2 3" xfId="11969" xr:uid="{F18C0571-B1A7-4031-A3B8-74C524D442C9}"/>
    <cellStyle name="Normal 4 6 3 4 3" xfId="5600" xr:uid="{00000000-0005-0000-0000-00006F160000}"/>
    <cellStyle name="Normal 4 6 3 4 3 2" xfId="14042" xr:uid="{451AF5F5-DAEB-432A-B31D-3724EAD9C623}"/>
    <cellStyle name="Normal 4 6 3 4 4" xfId="9824" xr:uid="{237A2001-9D61-4090-9B63-36EF1F2144CD}"/>
    <cellStyle name="Normal 4 6 3 5" xfId="1705" xr:uid="{00000000-0005-0000-0000-000070160000}"/>
    <cellStyle name="Normal 4 6 3 5 2" xfId="3935" xr:uid="{00000000-0005-0000-0000-000071160000}"/>
    <cellStyle name="Normal 4 6 3 5 2 2" xfId="8158" xr:uid="{00000000-0005-0000-0000-000072160000}"/>
    <cellStyle name="Normal 4 6 3 5 2 2 2" xfId="16600" xr:uid="{DA231BDD-1AE7-4463-9322-7818476668F5}"/>
    <cellStyle name="Normal 4 6 3 5 2 3" xfId="12382" xr:uid="{967E0F5D-6846-4186-9D90-FF6426800432}"/>
    <cellStyle name="Normal 4 6 3 5 3" xfId="6013" xr:uid="{00000000-0005-0000-0000-000073160000}"/>
    <cellStyle name="Normal 4 6 3 5 3 2" xfId="14455" xr:uid="{6CBAF44D-BDC5-4150-86B9-58B916738207}"/>
    <cellStyle name="Normal 4 6 3 5 4" xfId="10237" xr:uid="{F691E01A-AA4B-45E0-9885-8EBEB26E748E}"/>
    <cellStyle name="Normal 4 6 3 6" xfId="2119" xr:uid="{00000000-0005-0000-0000-000074160000}"/>
    <cellStyle name="Normal 4 6 3 6 2" xfId="4348" xr:uid="{00000000-0005-0000-0000-000075160000}"/>
    <cellStyle name="Normal 4 6 3 6 2 2" xfId="8571" xr:uid="{00000000-0005-0000-0000-000076160000}"/>
    <cellStyle name="Normal 4 6 3 6 2 2 2" xfId="17013" xr:uid="{A5EADA92-38D2-4555-B1EA-09E8B947BCE3}"/>
    <cellStyle name="Normal 4 6 3 6 2 3" xfId="12795" xr:uid="{E99B828C-AD39-47EF-9D4F-645A4D049848}"/>
    <cellStyle name="Normal 4 6 3 6 3" xfId="6426" xr:uid="{00000000-0005-0000-0000-000077160000}"/>
    <cellStyle name="Normal 4 6 3 6 3 2" xfId="14868" xr:uid="{D6CB3A83-4C83-4DAB-9897-32621C82CE46}"/>
    <cellStyle name="Normal 4 6 3 6 4" xfId="10650" xr:uid="{C94E4B34-DCFA-47B9-8BA5-F5837E649A11}"/>
    <cellStyle name="Normal 4 6 3 7" xfId="2555" xr:uid="{00000000-0005-0000-0000-000078160000}"/>
    <cellStyle name="Normal 4 6 3 7 2" xfId="6839" xr:uid="{00000000-0005-0000-0000-000079160000}"/>
    <cellStyle name="Normal 4 6 3 7 2 2" xfId="15281" xr:uid="{C23984EE-A6FA-4627-9E6C-0E0B47DE740B}"/>
    <cellStyle name="Normal 4 6 3 7 3" xfId="11063" xr:uid="{46A5395C-EC4B-4406-9C57-85FC9E1FE9A7}"/>
    <cellStyle name="Normal 4 6 3 8" xfId="4774" xr:uid="{00000000-0005-0000-0000-00007A160000}"/>
    <cellStyle name="Normal 4 6 3 8 2" xfId="13216" xr:uid="{19702064-03D9-482F-BF58-332B8820C838}"/>
    <cellStyle name="Normal 4 6 3 9" xfId="8998" xr:uid="{44F5CDD2-0E3B-473D-92BE-605154CAD308}"/>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2 2 2" xfId="15776" xr:uid="{B65F9980-56C9-48CD-85D0-32FF74C078CE}"/>
    <cellStyle name="Normal 4 6 4 2 2 3" xfId="11558" xr:uid="{41C6CA00-A01A-44A4-8B98-203147FBC3C4}"/>
    <cellStyle name="Normal 4 6 4 2 3" xfId="5189" xr:uid="{00000000-0005-0000-0000-00007F160000}"/>
    <cellStyle name="Normal 4 6 4 2 3 2" xfId="13631" xr:uid="{CE46E5E8-45D9-440B-8474-8241EB433EF1}"/>
    <cellStyle name="Normal 4 6 4 2 4" xfId="9413" xr:uid="{C3C41CE4-892B-42BF-9DD1-4656CA7463D6}"/>
    <cellStyle name="Normal 4 6 4 3" xfId="1294" xr:uid="{00000000-0005-0000-0000-000080160000}"/>
    <cellStyle name="Normal 4 6 4 3 2" xfId="3524" xr:uid="{00000000-0005-0000-0000-000081160000}"/>
    <cellStyle name="Normal 4 6 4 3 2 2" xfId="7747" xr:uid="{00000000-0005-0000-0000-000082160000}"/>
    <cellStyle name="Normal 4 6 4 3 2 2 2" xfId="16189" xr:uid="{E9C13033-DE96-4976-A85A-FD1714795489}"/>
    <cellStyle name="Normal 4 6 4 3 2 3" xfId="11971" xr:uid="{0FEE628B-1208-4B7E-B850-3F6123749FF5}"/>
    <cellStyle name="Normal 4 6 4 3 3" xfId="5602" xr:uid="{00000000-0005-0000-0000-000083160000}"/>
    <cellStyle name="Normal 4 6 4 3 3 2" xfId="14044" xr:uid="{AA9AD882-D797-4CEE-84AC-F922021C927B}"/>
    <cellStyle name="Normal 4 6 4 3 4" xfId="9826" xr:uid="{FC9F4A7F-5B94-477C-A9C9-748067F274D5}"/>
    <cellStyle name="Normal 4 6 4 4" xfId="1707" xr:uid="{00000000-0005-0000-0000-000084160000}"/>
    <cellStyle name="Normal 4 6 4 4 2" xfId="3937" xr:uid="{00000000-0005-0000-0000-000085160000}"/>
    <cellStyle name="Normal 4 6 4 4 2 2" xfId="8160" xr:uid="{00000000-0005-0000-0000-000086160000}"/>
    <cellStyle name="Normal 4 6 4 4 2 2 2" xfId="16602" xr:uid="{A491A842-7876-4D1E-9B61-91D9CF635DA1}"/>
    <cellStyle name="Normal 4 6 4 4 2 3" xfId="12384" xr:uid="{E85BF0A4-8620-4F09-999E-E227F5C90809}"/>
    <cellStyle name="Normal 4 6 4 4 3" xfId="6015" xr:uid="{00000000-0005-0000-0000-000087160000}"/>
    <cellStyle name="Normal 4 6 4 4 3 2" xfId="14457" xr:uid="{D3D99B61-3E32-4056-8A1E-B51078E4D0D1}"/>
    <cellStyle name="Normal 4 6 4 4 4" xfId="10239" xr:uid="{9AD555B7-7735-438B-B3CF-197AE54BE245}"/>
    <cellStyle name="Normal 4 6 4 5" xfId="2121" xr:uid="{00000000-0005-0000-0000-000088160000}"/>
    <cellStyle name="Normal 4 6 4 5 2" xfId="4350" xr:uid="{00000000-0005-0000-0000-000089160000}"/>
    <cellStyle name="Normal 4 6 4 5 2 2" xfId="8573" xr:uid="{00000000-0005-0000-0000-00008A160000}"/>
    <cellStyle name="Normal 4 6 4 5 2 2 2" xfId="17015" xr:uid="{0D515112-CBFC-4F38-8D2D-230F09693807}"/>
    <cellStyle name="Normal 4 6 4 5 2 3" xfId="12797" xr:uid="{C9D3C353-A623-47F9-9224-FAF915DDAA06}"/>
    <cellStyle name="Normal 4 6 4 5 3" xfId="6428" xr:uid="{00000000-0005-0000-0000-00008B160000}"/>
    <cellStyle name="Normal 4 6 4 5 3 2" xfId="14870" xr:uid="{24FF8FDF-E456-42B9-B9D7-828D9F4B7D53}"/>
    <cellStyle name="Normal 4 6 4 5 4" xfId="10652" xr:uid="{9A099F31-8793-474D-AD47-DBE8797428AD}"/>
    <cellStyle name="Normal 4 6 4 6" xfId="2557" xr:uid="{00000000-0005-0000-0000-00008C160000}"/>
    <cellStyle name="Normal 4 6 4 6 2" xfId="6841" xr:uid="{00000000-0005-0000-0000-00008D160000}"/>
    <cellStyle name="Normal 4 6 4 6 2 2" xfId="15283" xr:uid="{DAC9A056-50FD-4062-8362-2E41FD53DB33}"/>
    <cellStyle name="Normal 4 6 4 6 3" xfId="11065" xr:uid="{419E2EA7-A456-4308-80D2-96D4F9FC4BFC}"/>
    <cellStyle name="Normal 4 6 4 7" xfId="4776" xr:uid="{00000000-0005-0000-0000-00008E160000}"/>
    <cellStyle name="Normal 4 6 4 7 2" xfId="13218" xr:uid="{909239BA-7C84-4319-820D-8C6548B19DAE}"/>
    <cellStyle name="Normal 4 6 4 8" xfId="9000" xr:uid="{0360488F-108C-45EF-BE96-3E4084F52C3D}"/>
    <cellStyle name="Normal 4 6 5" xfId="869" xr:uid="{00000000-0005-0000-0000-00008F160000}"/>
    <cellStyle name="Normal 4 6 5 2" xfId="3104" xr:uid="{00000000-0005-0000-0000-000090160000}"/>
    <cellStyle name="Normal 4 6 5 2 2" xfId="7327" xr:uid="{00000000-0005-0000-0000-000091160000}"/>
    <cellStyle name="Normal 4 6 5 2 2 2" xfId="15769" xr:uid="{EABE5A81-D86A-47DC-A4FD-8DEB8EC37B8F}"/>
    <cellStyle name="Normal 4 6 5 2 3" xfId="11551" xr:uid="{DC8F036A-C663-4F73-8F1E-07ED6F5D014F}"/>
    <cellStyle name="Normal 4 6 5 3" xfId="5182" xr:uid="{00000000-0005-0000-0000-000092160000}"/>
    <cellStyle name="Normal 4 6 5 3 2" xfId="13624" xr:uid="{A77BAE0B-14D6-479B-9D2F-9B6B0AE4E14B}"/>
    <cellStyle name="Normal 4 6 5 4" xfId="9406" xr:uid="{0FFE9030-8F03-4291-A026-3633F4E8C5F6}"/>
    <cellStyle name="Normal 4 6 6" xfId="1287" xr:uid="{00000000-0005-0000-0000-000093160000}"/>
    <cellStyle name="Normal 4 6 6 2" xfId="3517" xr:uid="{00000000-0005-0000-0000-000094160000}"/>
    <cellStyle name="Normal 4 6 6 2 2" xfId="7740" xr:uid="{00000000-0005-0000-0000-000095160000}"/>
    <cellStyle name="Normal 4 6 6 2 2 2" xfId="16182" xr:uid="{06CAB5F1-6FA3-4D8E-B03E-79D856554655}"/>
    <cellStyle name="Normal 4 6 6 2 3" xfId="11964" xr:uid="{2E45D734-5177-46C2-BA0B-4E336DECA2FF}"/>
    <cellStyle name="Normal 4 6 6 3" xfId="5595" xr:uid="{00000000-0005-0000-0000-000096160000}"/>
    <cellStyle name="Normal 4 6 6 3 2" xfId="14037" xr:uid="{4CA3A9B9-CBB4-4055-B545-0F022E1D681B}"/>
    <cellStyle name="Normal 4 6 6 4" xfId="9819" xr:uid="{6B38D924-0D0D-4846-95F2-68C1BD78A45F}"/>
    <cellStyle name="Normal 4 6 7" xfId="1700" xr:uid="{00000000-0005-0000-0000-000097160000}"/>
    <cellStyle name="Normal 4 6 7 2" xfId="3930" xr:uid="{00000000-0005-0000-0000-000098160000}"/>
    <cellStyle name="Normal 4 6 7 2 2" xfId="8153" xr:uid="{00000000-0005-0000-0000-000099160000}"/>
    <cellStyle name="Normal 4 6 7 2 2 2" xfId="16595" xr:uid="{78C9CFFF-2C87-477B-AF31-4AFBDFA9828D}"/>
    <cellStyle name="Normal 4 6 7 2 3" xfId="12377" xr:uid="{E7429FC6-9717-472B-90D5-42A9FCFDEE8E}"/>
    <cellStyle name="Normal 4 6 7 3" xfId="6008" xr:uid="{00000000-0005-0000-0000-00009A160000}"/>
    <cellStyle name="Normal 4 6 7 3 2" xfId="14450" xr:uid="{C074F7AC-363F-4FA4-A21E-1DA4AEEB4B50}"/>
    <cellStyle name="Normal 4 6 7 4" xfId="10232" xr:uid="{B55C78B0-5BF9-4378-BA5C-8117E2843D67}"/>
    <cellStyle name="Normal 4 6 8" xfId="2114" xr:uid="{00000000-0005-0000-0000-00009B160000}"/>
    <cellStyle name="Normal 4 6 8 2" xfId="4343" xr:uid="{00000000-0005-0000-0000-00009C160000}"/>
    <cellStyle name="Normal 4 6 8 2 2" xfId="8566" xr:uid="{00000000-0005-0000-0000-00009D160000}"/>
    <cellStyle name="Normal 4 6 8 2 2 2" xfId="17008" xr:uid="{C6BFB9E4-2395-4894-BA43-DABA194FB144}"/>
    <cellStyle name="Normal 4 6 8 2 3" xfId="12790" xr:uid="{997D66C3-00C3-41CA-B8B4-8F37531DF113}"/>
    <cellStyle name="Normal 4 6 8 3" xfId="6421" xr:uid="{00000000-0005-0000-0000-00009E160000}"/>
    <cellStyle name="Normal 4 6 8 3 2" xfId="14863" xr:uid="{2A7C4315-B458-4C40-B301-07C95B24E1DF}"/>
    <cellStyle name="Normal 4 6 8 4" xfId="10645" xr:uid="{6AABB95D-6801-408D-93A7-38A1C8F31527}"/>
    <cellStyle name="Normal 4 6 9" xfId="2550" xr:uid="{00000000-0005-0000-0000-00009F160000}"/>
    <cellStyle name="Normal 4 6 9 2" xfId="6834" xr:uid="{00000000-0005-0000-0000-0000A0160000}"/>
    <cellStyle name="Normal 4 6 9 2 2" xfId="15276" xr:uid="{1B81E3D5-EABF-4952-A361-EE710C5EBC38}"/>
    <cellStyle name="Normal 4 6 9 3" xfId="11058" xr:uid="{D9B01730-1A60-45BE-B7B9-73ECF2841AC2}"/>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2 2 2" xfId="15778" xr:uid="{77C2D6F9-35D1-4E8A-9F93-28EC3F38436D}"/>
    <cellStyle name="Normal 4 7 2 2 2 3" xfId="11560" xr:uid="{BD2ECE63-E0BA-4926-A9F8-3F212F699949}"/>
    <cellStyle name="Normal 4 7 2 2 3" xfId="5191" xr:uid="{00000000-0005-0000-0000-0000A6160000}"/>
    <cellStyle name="Normal 4 7 2 2 3 2" xfId="13633" xr:uid="{DB88C69D-3C09-4E10-BB18-4C0F99849A54}"/>
    <cellStyle name="Normal 4 7 2 2 4" xfId="9415" xr:uid="{144F45FC-87A5-4A4A-9FC6-183109E6F95B}"/>
    <cellStyle name="Normal 4 7 2 3" xfId="1296" xr:uid="{00000000-0005-0000-0000-0000A7160000}"/>
    <cellStyle name="Normal 4 7 2 3 2" xfId="3526" xr:uid="{00000000-0005-0000-0000-0000A8160000}"/>
    <cellStyle name="Normal 4 7 2 3 2 2" xfId="7749" xr:uid="{00000000-0005-0000-0000-0000A9160000}"/>
    <cellStyle name="Normal 4 7 2 3 2 2 2" xfId="16191" xr:uid="{CCE4A5E8-2BDB-412E-B4EA-C35C3CAEAB78}"/>
    <cellStyle name="Normal 4 7 2 3 2 3" xfId="11973" xr:uid="{726C7685-8F69-444C-9277-DB91D5589BC5}"/>
    <cellStyle name="Normal 4 7 2 3 3" xfId="5604" xr:uid="{00000000-0005-0000-0000-0000AA160000}"/>
    <cellStyle name="Normal 4 7 2 3 3 2" xfId="14046" xr:uid="{627E9322-F5F3-4178-847F-F8E6A5DCBB73}"/>
    <cellStyle name="Normal 4 7 2 3 4" xfId="9828" xr:uid="{EBC9452A-7962-49A2-8C97-F3C10B7A8A0F}"/>
    <cellStyle name="Normal 4 7 2 4" xfId="1709" xr:uid="{00000000-0005-0000-0000-0000AB160000}"/>
    <cellStyle name="Normal 4 7 2 4 2" xfId="3939" xr:uid="{00000000-0005-0000-0000-0000AC160000}"/>
    <cellStyle name="Normal 4 7 2 4 2 2" xfId="8162" xr:uid="{00000000-0005-0000-0000-0000AD160000}"/>
    <cellStyle name="Normal 4 7 2 4 2 2 2" xfId="16604" xr:uid="{85B0B689-EE25-4A04-B6B4-6117624C43B1}"/>
    <cellStyle name="Normal 4 7 2 4 2 3" xfId="12386" xr:uid="{BC8027D2-D1E0-44E2-B93C-38E8DCD17AAD}"/>
    <cellStyle name="Normal 4 7 2 4 3" xfId="6017" xr:uid="{00000000-0005-0000-0000-0000AE160000}"/>
    <cellStyle name="Normal 4 7 2 4 3 2" xfId="14459" xr:uid="{297E6497-D45E-468B-B9E8-F72A6C2F9735}"/>
    <cellStyle name="Normal 4 7 2 4 4" xfId="10241" xr:uid="{C09BE50E-733C-4683-A4A7-9A1A4EEB7B78}"/>
    <cellStyle name="Normal 4 7 2 5" xfId="2123" xr:uid="{00000000-0005-0000-0000-0000AF160000}"/>
    <cellStyle name="Normal 4 7 2 5 2" xfId="4352" xr:uid="{00000000-0005-0000-0000-0000B0160000}"/>
    <cellStyle name="Normal 4 7 2 5 2 2" xfId="8575" xr:uid="{00000000-0005-0000-0000-0000B1160000}"/>
    <cellStyle name="Normal 4 7 2 5 2 2 2" xfId="17017" xr:uid="{22716975-B6AD-487D-AE0A-1A84B9ACB523}"/>
    <cellStyle name="Normal 4 7 2 5 2 3" xfId="12799" xr:uid="{15985D32-C1DF-4795-846D-34FA72D3F1F8}"/>
    <cellStyle name="Normal 4 7 2 5 3" xfId="6430" xr:uid="{00000000-0005-0000-0000-0000B2160000}"/>
    <cellStyle name="Normal 4 7 2 5 3 2" xfId="14872" xr:uid="{1B7D0EBC-FA72-46BB-B46C-FD8D86FB66F0}"/>
    <cellStyle name="Normal 4 7 2 5 4" xfId="10654" xr:uid="{ACA36AA7-F2C2-40AA-A3C9-56A607BC7A23}"/>
    <cellStyle name="Normal 4 7 2 6" xfId="2559" xr:uid="{00000000-0005-0000-0000-0000B3160000}"/>
    <cellStyle name="Normal 4 7 2 6 2" xfId="6843" xr:uid="{00000000-0005-0000-0000-0000B4160000}"/>
    <cellStyle name="Normal 4 7 2 6 2 2" xfId="15285" xr:uid="{B8D571E5-3F2F-4C1B-9578-DBD11A9B6FA6}"/>
    <cellStyle name="Normal 4 7 2 6 3" xfId="11067" xr:uid="{2F271BB4-A324-4975-9128-CACF1336D94D}"/>
    <cellStyle name="Normal 4 7 2 7" xfId="4778" xr:uid="{00000000-0005-0000-0000-0000B5160000}"/>
    <cellStyle name="Normal 4 7 2 7 2" xfId="13220" xr:uid="{4619BD56-5613-41FA-B50C-856432840B8D}"/>
    <cellStyle name="Normal 4 7 2 8" xfId="9002" xr:uid="{85222036-F647-4CF4-A458-98A62D157E46}"/>
    <cellStyle name="Normal 4 7 3" xfId="877" xr:uid="{00000000-0005-0000-0000-0000B6160000}"/>
    <cellStyle name="Normal 4 7 3 2" xfId="3112" xr:uid="{00000000-0005-0000-0000-0000B7160000}"/>
    <cellStyle name="Normal 4 7 3 2 2" xfId="7335" xr:uid="{00000000-0005-0000-0000-0000B8160000}"/>
    <cellStyle name="Normal 4 7 3 2 2 2" xfId="15777" xr:uid="{D69540F6-4D15-473A-86FD-CE87CF61943A}"/>
    <cellStyle name="Normal 4 7 3 2 3" xfId="11559" xr:uid="{C5FD65FD-822D-422F-9D1B-D1F1281220A5}"/>
    <cellStyle name="Normal 4 7 3 3" xfId="5190" xr:uid="{00000000-0005-0000-0000-0000B9160000}"/>
    <cellStyle name="Normal 4 7 3 3 2" xfId="13632" xr:uid="{5D051691-E53D-4C57-B6E2-F62A760CA522}"/>
    <cellStyle name="Normal 4 7 3 4" xfId="9414" xr:uid="{71F178F2-22B8-49FC-811C-E5AD733EB813}"/>
    <cellStyle name="Normal 4 7 4" xfId="1295" xr:uid="{00000000-0005-0000-0000-0000BA160000}"/>
    <cellStyle name="Normal 4 7 4 2" xfId="3525" xr:uid="{00000000-0005-0000-0000-0000BB160000}"/>
    <cellStyle name="Normal 4 7 4 2 2" xfId="7748" xr:uid="{00000000-0005-0000-0000-0000BC160000}"/>
    <cellStyle name="Normal 4 7 4 2 2 2" xfId="16190" xr:uid="{1E0D258E-7ECF-4DE4-B1C2-B81351FCA9CA}"/>
    <cellStyle name="Normal 4 7 4 2 3" xfId="11972" xr:uid="{E584B8DE-57EC-48ED-B239-BC0511C0E1DC}"/>
    <cellStyle name="Normal 4 7 4 3" xfId="5603" xr:uid="{00000000-0005-0000-0000-0000BD160000}"/>
    <cellStyle name="Normal 4 7 4 3 2" xfId="14045" xr:uid="{575CBA53-E44D-429D-98A9-54B1AE069552}"/>
    <cellStyle name="Normal 4 7 4 4" xfId="9827" xr:uid="{B2C89437-C9FB-46C6-90F6-03B1BA4B1D13}"/>
    <cellStyle name="Normal 4 7 5" xfId="1708" xr:uid="{00000000-0005-0000-0000-0000BE160000}"/>
    <cellStyle name="Normal 4 7 5 2" xfId="3938" xr:uid="{00000000-0005-0000-0000-0000BF160000}"/>
    <cellStyle name="Normal 4 7 5 2 2" xfId="8161" xr:uid="{00000000-0005-0000-0000-0000C0160000}"/>
    <cellStyle name="Normal 4 7 5 2 2 2" xfId="16603" xr:uid="{29EEAD29-0254-4391-B4ED-EB9D51F5B8F4}"/>
    <cellStyle name="Normal 4 7 5 2 3" xfId="12385" xr:uid="{0FCBEF53-3DE2-4A71-87DA-51864CD8BBC3}"/>
    <cellStyle name="Normal 4 7 5 3" xfId="6016" xr:uid="{00000000-0005-0000-0000-0000C1160000}"/>
    <cellStyle name="Normal 4 7 5 3 2" xfId="14458" xr:uid="{921C2943-283A-456E-B999-3DF51F68EE8A}"/>
    <cellStyle name="Normal 4 7 5 4" xfId="10240" xr:uid="{224FF995-9A22-4AA1-9DC7-61DA6DA34894}"/>
    <cellStyle name="Normal 4 7 6" xfId="2122" xr:uid="{00000000-0005-0000-0000-0000C2160000}"/>
    <cellStyle name="Normal 4 7 6 2" xfId="4351" xr:uid="{00000000-0005-0000-0000-0000C3160000}"/>
    <cellStyle name="Normal 4 7 6 2 2" xfId="8574" xr:uid="{00000000-0005-0000-0000-0000C4160000}"/>
    <cellStyle name="Normal 4 7 6 2 2 2" xfId="17016" xr:uid="{E9EB6794-6E30-4564-9EAC-339AE9B4634F}"/>
    <cellStyle name="Normal 4 7 6 2 3" xfId="12798" xr:uid="{10AB2095-FFCD-4B03-AE10-C3653D45E94E}"/>
    <cellStyle name="Normal 4 7 6 3" xfId="6429" xr:uid="{00000000-0005-0000-0000-0000C5160000}"/>
    <cellStyle name="Normal 4 7 6 3 2" xfId="14871" xr:uid="{58279D04-9D20-45CD-A9E7-E0BD7AEDD3DF}"/>
    <cellStyle name="Normal 4 7 6 4" xfId="10653" xr:uid="{E511A143-98AA-496F-8351-3C65DA341E88}"/>
    <cellStyle name="Normal 4 7 7" xfId="2558" xr:uid="{00000000-0005-0000-0000-0000C6160000}"/>
    <cellStyle name="Normal 4 7 7 2" xfId="6842" xr:uid="{00000000-0005-0000-0000-0000C7160000}"/>
    <cellStyle name="Normal 4 7 7 2 2" xfId="15284" xr:uid="{6742468F-90E2-47B1-8B84-D8723943AF2F}"/>
    <cellStyle name="Normal 4 7 7 3" xfId="11066" xr:uid="{F0D50C85-5421-44EF-9F0D-28D421EB6F89}"/>
    <cellStyle name="Normal 4 7 8" xfId="4777" xr:uid="{00000000-0005-0000-0000-0000C8160000}"/>
    <cellStyle name="Normal 4 7 8 2" xfId="13219" xr:uid="{8F9191C6-2A84-47DE-9E92-1DA1174E21F9}"/>
    <cellStyle name="Normal 4 7 9" xfId="9001" xr:uid="{2378EF74-07EA-4C7D-9270-EBCD26804BCC}"/>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2 2 2" xfId="15779" xr:uid="{E19C8DE2-324A-4997-B102-E26E48AA52B9}"/>
    <cellStyle name="Normal 4 8 2 2 3" xfId="11561" xr:uid="{919A7AFD-4C0C-4B8B-A920-EE31A488AC06}"/>
    <cellStyle name="Normal 4 8 2 3" xfId="5192" xr:uid="{00000000-0005-0000-0000-0000CD160000}"/>
    <cellStyle name="Normal 4 8 2 3 2" xfId="13634" xr:uid="{6C589EE4-4E76-49AC-8003-9AF77BE1ECCB}"/>
    <cellStyle name="Normal 4 8 2 4" xfId="9416" xr:uid="{7A74BF3F-8AB9-4CC5-AF1C-1515ECE19C74}"/>
    <cellStyle name="Normal 4 8 3" xfId="1297" xr:uid="{00000000-0005-0000-0000-0000CE160000}"/>
    <cellStyle name="Normal 4 8 3 2" xfId="3527" xr:uid="{00000000-0005-0000-0000-0000CF160000}"/>
    <cellStyle name="Normal 4 8 3 2 2" xfId="7750" xr:uid="{00000000-0005-0000-0000-0000D0160000}"/>
    <cellStyle name="Normal 4 8 3 2 2 2" xfId="16192" xr:uid="{6D286CB5-0B78-4319-B919-8A06101B3399}"/>
    <cellStyle name="Normal 4 8 3 2 3" xfId="11974" xr:uid="{F57D6B3E-93C4-43BE-AD3F-898E7D74B484}"/>
    <cellStyle name="Normal 4 8 3 3" xfId="5605" xr:uid="{00000000-0005-0000-0000-0000D1160000}"/>
    <cellStyle name="Normal 4 8 3 3 2" xfId="14047" xr:uid="{DE6EC4D8-533A-4260-BF72-D468C5956522}"/>
    <cellStyle name="Normal 4 8 3 4" xfId="9829" xr:uid="{E7015053-EEDA-433B-AA3C-213BA313A615}"/>
    <cellStyle name="Normal 4 8 4" xfId="1710" xr:uid="{00000000-0005-0000-0000-0000D2160000}"/>
    <cellStyle name="Normal 4 8 4 2" xfId="3940" xr:uid="{00000000-0005-0000-0000-0000D3160000}"/>
    <cellStyle name="Normal 4 8 4 2 2" xfId="8163" xr:uid="{00000000-0005-0000-0000-0000D4160000}"/>
    <cellStyle name="Normal 4 8 4 2 2 2" xfId="16605" xr:uid="{B19B7942-20E0-44F8-A840-9D9063530A11}"/>
    <cellStyle name="Normal 4 8 4 2 3" xfId="12387" xr:uid="{C953798D-0F1A-46FC-BEEE-EBE055105F88}"/>
    <cellStyle name="Normal 4 8 4 3" xfId="6018" xr:uid="{00000000-0005-0000-0000-0000D5160000}"/>
    <cellStyle name="Normal 4 8 4 3 2" xfId="14460" xr:uid="{716ED572-69D0-4EFB-A30C-4D2DD7DFC23F}"/>
    <cellStyle name="Normal 4 8 4 4" xfId="10242" xr:uid="{E4629B2A-593E-4721-BE1B-445085860FD6}"/>
    <cellStyle name="Normal 4 8 5" xfId="2124" xr:uid="{00000000-0005-0000-0000-0000D6160000}"/>
    <cellStyle name="Normal 4 8 5 2" xfId="4353" xr:uid="{00000000-0005-0000-0000-0000D7160000}"/>
    <cellStyle name="Normal 4 8 5 2 2" xfId="8576" xr:uid="{00000000-0005-0000-0000-0000D8160000}"/>
    <cellStyle name="Normal 4 8 5 2 2 2" xfId="17018" xr:uid="{FA65C0D4-C768-42F0-B19C-CEE890084D27}"/>
    <cellStyle name="Normal 4 8 5 2 3" xfId="12800" xr:uid="{EBBED984-D70F-4AAA-A3BB-A8BE35743009}"/>
    <cellStyle name="Normal 4 8 5 3" xfId="6431" xr:uid="{00000000-0005-0000-0000-0000D9160000}"/>
    <cellStyle name="Normal 4 8 5 3 2" xfId="14873" xr:uid="{DA1AE82F-F3AF-41D1-B2F7-B4A1170600AE}"/>
    <cellStyle name="Normal 4 8 5 4" xfId="10655" xr:uid="{3E77FBA8-1F08-4004-9B5D-7BC9EFC9179D}"/>
    <cellStyle name="Normal 4 8 6" xfId="2560" xr:uid="{00000000-0005-0000-0000-0000DA160000}"/>
    <cellStyle name="Normal 4 8 6 2" xfId="6844" xr:uid="{00000000-0005-0000-0000-0000DB160000}"/>
    <cellStyle name="Normal 4 8 6 2 2" xfId="15286" xr:uid="{C3F06D25-8912-4AB7-AF8E-269BF362C400}"/>
    <cellStyle name="Normal 4 8 6 3" xfId="11068" xr:uid="{657946FC-F984-46C1-B2AD-B916FA5F8A1F}"/>
    <cellStyle name="Normal 4 8 7" xfId="4779" xr:uid="{00000000-0005-0000-0000-0000DC160000}"/>
    <cellStyle name="Normal 4 8 7 2" xfId="13221" xr:uid="{3232A873-D2AC-427B-9CC1-84C5B8245E69}"/>
    <cellStyle name="Normal 4 8 8" xfId="9003" xr:uid="{EBB4F858-5133-4D33-BDA2-284E41B0E284}"/>
    <cellStyle name="Normal 4 9" xfId="4716" xr:uid="{00000000-0005-0000-0000-0000DD160000}"/>
    <cellStyle name="Normal 4 9 2" xfId="13158" xr:uid="{A7586944-1C9D-4BF7-BB24-2EB95D9A4AD4}"/>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2 2 2" xfId="16606" xr:uid="{CBB824F9-5543-4B3E-BDC5-E314B25411E7}"/>
    <cellStyle name="Normal 5 10 2 3" xfId="12388" xr:uid="{95418557-ABCA-4C2C-9F0D-8DB35D6046BD}"/>
    <cellStyle name="Normal 5 10 3" xfId="6019" xr:uid="{00000000-0005-0000-0000-0000E2160000}"/>
    <cellStyle name="Normal 5 10 3 2" xfId="14461" xr:uid="{7E183595-42AE-47AD-AFB9-4F113F05C9AE}"/>
    <cellStyle name="Normal 5 10 4" xfId="10243" xr:uid="{C0E17DCA-2C06-4977-8C42-F4DCC543AC42}"/>
    <cellStyle name="Normal 5 11" xfId="2125" xr:uid="{00000000-0005-0000-0000-0000E3160000}"/>
    <cellStyle name="Normal 5 11 2" xfId="4354" xr:uid="{00000000-0005-0000-0000-0000E4160000}"/>
    <cellStyle name="Normal 5 11 2 2" xfId="8577" xr:uid="{00000000-0005-0000-0000-0000E5160000}"/>
    <cellStyle name="Normal 5 11 2 2 2" xfId="17019" xr:uid="{763F86F0-D1E0-4471-870B-B9AE0292A286}"/>
    <cellStyle name="Normal 5 11 2 3" xfId="12801" xr:uid="{51E1F15B-973E-44AF-8341-3ABC0EF26416}"/>
    <cellStyle name="Normal 5 11 3" xfId="6432" xr:uid="{00000000-0005-0000-0000-0000E6160000}"/>
    <cellStyle name="Normal 5 11 3 2" xfId="14874" xr:uid="{9E98B578-1ACC-4614-8316-2A4479EA8E37}"/>
    <cellStyle name="Normal 5 11 4" xfId="10656" xr:uid="{6FEB62CF-2BCF-4483-A4F9-8AC1D167D9A6}"/>
    <cellStyle name="Normal 5 12" xfId="2561" xr:uid="{00000000-0005-0000-0000-0000E7160000}"/>
    <cellStyle name="Normal 5 12 2" xfId="6845" xr:uid="{00000000-0005-0000-0000-0000E8160000}"/>
    <cellStyle name="Normal 5 12 2 2" xfId="15287" xr:uid="{77C81F52-98CB-473B-A332-1815F37CC1D7}"/>
    <cellStyle name="Normal 5 12 3" xfId="11069" xr:uid="{B98BCEB5-5908-4053-BC14-5AC81B9EB1E8}"/>
    <cellStyle name="Normal 5 13" xfId="4780" xr:uid="{00000000-0005-0000-0000-0000E9160000}"/>
    <cellStyle name="Normal 5 13 2" xfId="13222" xr:uid="{5E2404EF-F072-4D84-B066-FADE5F93293B}"/>
    <cellStyle name="Normal 5 14" xfId="9004" xr:uid="{B67293D2-AAD1-4682-B9E7-0F367728E644}"/>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2 2 2" xfId="17020" xr:uid="{B88EE94C-FB93-4D17-98DE-777E73F2D30F}"/>
    <cellStyle name="Normal 5 2 10 2 3" xfId="12802" xr:uid="{DCCA8CB4-A88D-4A49-8594-2E9D1F164A2C}"/>
    <cellStyle name="Normal 5 2 10 3" xfId="6433" xr:uid="{00000000-0005-0000-0000-0000EE160000}"/>
    <cellStyle name="Normal 5 2 10 3 2" xfId="14875" xr:uid="{0C802DCB-CF82-47C1-9EDD-636CACCA83F2}"/>
    <cellStyle name="Normal 5 2 10 4" xfId="10657" xr:uid="{2E25C88E-6A32-404B-97A9-27B467F7DB79}"/>
    <cellStyle name="Normal 5 2 11" xfId="2562" xr:uid="{00000000-0005-0000-0000-0000EF160000}"/>
    <cellStyle name="Normal 5 2 11 2" xfId="6846" xr:uid="{00000000-0005-0000-0000-0000F0160000}"/>
    <cellStyle name="Normal 5 2 11 2 2" xfId="15288" xr:uid="{293024F5-343D-4B28-8E7B-19778168DD32}"/>
    <cellStyle name="Normal 5 2 11 3" xfId="11070" xr:uid="{5E227AAB-0619-4944-9B9A-8FD3A3CEBE62}"/>
    <cellStyle name="Normal 5 2 12" xfId="4781" xr:uid="{00000000-0005-0000-0000-0000F1160000}"/>
    <cellStyle name="Normal 5 2 12 2" xfId="13223" xr:uid="{D65C5BBA-7A9A-4009-AC2B-8AF4EDBBDED0}"/>
    <cellStyle name="Normal 5 2 13" xfId="9005" xr:uid="{C125129A-C77C-4759-92B2-04E7EA58F954}"/>
    <cellStyle name="Normal 5 2 2" xfId="408" xr:uid="{00000000-0005-0000-0000-0000F2160000}"/>
    <cellStyle name="Normal 5 2 2 10" xfId="2563" xr:uid="{00000000-0005-0000-0000-0000F3160000}"/>
    <cellStyle name="Normal 5 2 2 10 2" xfId="6847" xr:uid="{00000000-0005-0000-0000-0000F4160000}"/>
    <cellStyle name="Normal 5 2 2 10 2 2" xfId="15289" xr:uid="{F71E6DD4-E7E9-4C19-8F6E-2288653010DA}"/>
    <cellStyle name="Normal 5 2 2 10 3" xfId="11071" xr:uid="{2761BDC6-E87A-4B93-97A0-A06C6112A0E0}"/>
    <cellStyle name="Normal 5 2 2 11" xfId="4782" xr:uid="{00000000-0005-0000-0000-0000F5160000}"/>
    <cellStyle name="Normal 5 2 2 11 2" xfId="13224" xr:uid="{EACD19B0-FBF7-4022-A703-37441035C65B}"/>
    <cellStyle name="Normal 5 2 2 12" xfId="9006" xr:uid="{AAF1F26B-9527-4C2D-8A7E-09B3621190A8}"/>
    <cellStyle name="Normal 5 2 2 2" xfId="409" xr:uid="{00000000-0005-0000-0000-0000F6160000}"/>
    <cellStyle name="Normal 5 2 2 2 10" xfId="4783" xr:uid="{00000000-0005-0000-0000-0000F7160000}"/>
    <cellStyle name="Normal 5 2 2 2 10 2" xfId="13225" xr:uid="{EE23D134-DE82-4CBC-8659-413E4127CB95}"/>
    <cellStyle name="Normal 5 2 2 2 11" xfId="9007" xr:uid="{C0171096-302A-4E28-A29A-B7FDED3FF7D5}"/>
    <cellStyle name="Normal 5 2 2 2 2" xfId="410" xr:uid="{00000000-0005-0000-0000-0000F8160000}"/>
    <cellStyle name="Normal 5 2 2 2 2 10" xfId="9008" xr:uid="{2F505F0A-4991-4771-8A03-06846105AB9D}"/>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2 2 2" xfId="15786" xr:uid="{98D952F3-027B-44BE-A057-6EF1721EB9CF}"/>
    <cellStyle name="Normal 5 2 2 2 2 2 2 2 2 3" xfId="11568" xr:uid="{5A6E16E8-6B31-44DD-8478-BB2BF577A6B0}"/>
    <cellStyle name="Normal 5 2 2 2 2 2 2 2 3" xfId="5199" xr:uid="{00000000-0005-0000-0000-0000FE160000}"/>
    <cellStyle name="Normal 5 2 2 2 2 2 2 2 3 2" xfId="13641" xr:uid="{79E55F80-97D1-4313-AA3E-E3709913DB65}"/>
    <cellStyle name="Normal 5 2 2 2 2 2 2 2 4" xfId="9423" xr:uid="{38B0DBBC-8B7E-4D96-92DE-8A80A6382A61}"/>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2 2 2" xfId="16199" xr:uid="{45A631F4-D743-4BB9-9B36-F3117A2B6C6D}"/>
    <cellStyle name="Normal 5 2 2 2 2 2 2 3 2 3" xfId="11981" xr:uid="{C020E99D-A591-4E75-93A9-8E37121ED543}"/>
    <cellStyle name="Normal 5 2 2 2 2 2 2 3 3" xfId="5612" xr:uid="{00000000-0005-0000-0000-000002170000}"/>
    <cellStyle name="Normal 5 2 2 2 2 2 2 3 3 2" xfId="14054" xr:uid="{5215ADE8-0C4B-46CB-A1BA-6E11D5B14506}"/>
    <cellStyle name="Normal 5 2 2 2 2 2 2 3 4" xfId="9836" xr:uid="{9C60A8E6-24C6-42C0-A480-9C2A416F1CC4}"/>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2 2 2" xfId="16612" xr:uid="{176F6A0E-9F64-44FA-B267-973C2D1F7872}"/>
    <cellStyle name="Normal 5 2 2 2 2 2 2 4 2 3" xfId="12394" xr:uid="{F0FAD296-A22C-4940-AA3A-BC735D3B5A32}"/>
    <cellStyle name="Normal 5 2 2 2 2 2 2 4 3" xfId="6025" xr:uid="{00000000-0005-0000-0000-000006170000}"/>
    <cellStyle name="Normal 5 2 2 2 2 2 2 4 3 2" xfId="14467" xr:uid="{391E8DDE-7004-4F46-89C8-DACD36AE2985}"/>
    <cellStyle name="Normal 5 2 2 2 2 2 2 4 4" xfId="10249" xr:uid="{49C0CAB0-9264-4787-88FB-BE816C208F5F}"/>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2 2 2" xfId="17025" xr:uid="{E97BDDE2-634A-458B-BD59-4483EE37E782}"/>
    <cellStyle name="Normal 5 2 2 2 2 2 2 5 2 3" xfId="12807" xr:uid="{270D32BD-887B-4BE2-B5FF-5596DE16C0F0}"/>
    <cellStyle name="Normal 5 2 2 2 2 2 2 5 3" xfId="6438" xr:uid="{00000000-0005-0000-0000-00000A170000}"/>
    <cellStyle name="Normal 5 2 2 2 2 2 2 5 3 2" xfId="14880" xr:uid="{2578DBDF-7CAB-47DB-835A-09A9FFCE0A6D}"/>
    <cellStyle name="Normal 5 2 2 2 2 2 2 5 4" xfId="10662" xr:uid="{4B3042BC-A3CD-451A-A032-70AC3ABB4F9E}"/>
    <cellStyle name="Normal 5 2 2 2 2 2 2 6" xfId="2567" xr:uid="{00000000-0005-0000-0000-00000B170000}"/>
    <cellStyle name="Normal 5 2 2 2 2 2 2 6 2" xfId="6851" xr:uid="{00000000-0005-0000-0000-00000C170000}"/>
    <cellStyle name="Normal 5 2 2 2 2 2 2 6 2 2" xfId="15293" xr:uid="{129871DD-46FE-4C82-8615-48CA40DE3A99}"/>
    <cellStyle name="Normal 5 2 2 2 2 2 2 6 3" xfId="11075" xr:uid="{2EE58DB4-B673-47B2-A3FA-DE5E30A16C9A}"/>
    <cellStyle name="Normal 5 2 2 2 2 2 2 7" xfId="4786" xr:uid="{00000000-0005-0000-0000-00000D170000}"/>
    <cellStyle name="Normal 5 2 2 2 2 2 2 7 2" xfId="13228" xr:uid="{A999DCA9-A1EA-4A16-8467-9345C424D3A8}"/>
    <cellStyle name="Normal 5 2 2 2 2 2 2 8" xfId="9010" xr:uid="{0D56895E-51AB-46A3-A94C-AE4F07C01547}"/>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2 2 2" xfId="15785" xr:uid="{8B1B8D20-A824-4165-8F4F-B8EBC035C62C}"/>
    <cellStyle name="Normal 5 2 2 2 2 2 3 2 3" xfId="11567" xr:uid="{3D8A1546-3C17-4D10-87A6-B950F0CAEE1F}"/>
    <cellStyle name="Normal 5 2 2 2 2 2 3 3" xfId="5198" xr:uid="{00000000-0005-0000-0000-000011170000}"/>
    <cellStyle name="Normal 5 2 2 2 2 2 3 3 2" xfId="13640" xr:uid="{171D31FB-A11D-4F8E-825D-E74D9C073D29}"/>
    <cellStyle name="Normal 5 2 2 2 2 2 3 4" xfId="9422" xr:uid="{8AF2DE33-8DB9-4D2D-A388-7C5387D1BDAD}"/>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2 2 2" xfId="16198" xr:uid="{A8B44159-CE1D-4235-8CD7-DD4E16D05ACB}"/>
    <cellStyle name="Normal 5 2 2 2 2 2 4 2 3" xfId="11980" xr:uid="{10B7BCAC-AA7F-4697-BCD9-65E7732D6CE4}"/>
    <cellStyle name="Normal 5 2 2 2 2 2 4 3" xfId="5611" xr:uid="{00000000-0005-0000-0000-000015170000}"/>
    <cellStyle name="Normal 5 2 2 2 2 2 4 3 2" xfId="14053" xr:uid="{5B1097A7-00B7-4B28-813A-E4E751EA6810}"/>
    <cellStyle name="Normal 5 2 2 2 2 2 4 4" xfId="9835" xr:uid="{1CF1A08D-0D30-4ACE-A410-208C8C0B4547}"/>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2 2 2" xfId="16611" xr:uid="{55CF905D-B146-496C-A985-B9DB41D55BEF}"/>
    <cellStyle name="Normal 5 2 2 2 2 2 5 2 3" xfId="12393" xr:uid="{800E7104-A1CB-4C02-B784-7939DED86D34}"/>
    <cellStyle name="Normal 5 2 2 2 2 2 5 3" xfId="6024" xr:uid="{00000000-0005-0000-0000-000019170000}"/>
    <cellStyle name="Normal 5 2 2 2 2 2 5 3 2" xfId="14466" xr:uid="{D01E8F77-E408-4412-9A6C-9F932C049B90}"/>
    <cellStyle name="Normal 5 2 2 2 2 2 5 4" xfId="10248" xr:uid="{0DB904D9-63AC-4A3F-91F0-10343E842281}"/>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2 2 2" xfId="17024" xr:uid="{6BBFCCA2-608D-4FB3-8738-A96931CEF6AF}"/>
    <cellStyle name="Normal 5 2 2 2 2 2 6 2 3" xfId="12806" xr:uid="{41F70CFB-72DA-43D9-B139-18C12E9F866C}"/>
    <cellStyle name="Normal 5 2 2 2 2 2 6 3" xfId="6437" xr:uid="{00000000-0005-0000-0000-00001D170000}"/>
    <cellStyle name="Normal 5 2 2 2 2 2 6 3 2" xfId="14879" xr:uid="{D9F6EAA7-99DC-4C64-8607-A7127998CE0F}"/>
    <cellStyle name="Normal 5 2 2 2 2 2 6 4" xfId="10661" xr:uid="{9F492764-0F49-4CE0-8EDF-01E1E3213704}"/>
    <cellStyle name="Normal 5 2 2 2 2 2 7" xfId="2566" xr:uid="{00000000-0005-0000-0000-00001E170000}"/>
    <cellStyle name="Normal 5 2 2 2 2 2 7 2" xfId="6850" xr:uid="{00000000-0005-0000-0000-00001F170000}"/>
    <cellStyle name="Normal 5 2 2 2 2 2 7 2 2" xfId="15292" xr:uid="{978374C2-28ED-4A24-B9F1-FEBB97395E88}"/>
    <cellStyle name="Normal 5 2 2 2 2 2 7 3" xfId="11074" xr:uid="{502D2576-D0BD-4509-B385-75F46DAA6742}"/>
    <cellStyle name="Normal 5 2 2 2 2 2 8" xfId="4785" xr:uid="{00000000-0005-0000-0000-000020170000}"/>
    <cellStyle name="Normal 5 2 2 2 2 2 8 2" xfId="13227" xr:uid="{2A84E598-3694-452A-89C6-E82CEA65B8F5}"/>
    <cellStyle name="Normal 5 2 2 2 2 2 9" xfId="9009" xr:uid="{8CF7569C-BE52-44F5-A6A2-33C9F0CD4E1F}"/>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2 2 2" xfId="15787" xr:uid="{72A18331-F8DA-4CF8-98D2-EC27B6DF84E9}"/>
    <cellStyle name="Normal 5 2 2 2 2 3 2 2 3" xfId="11569" xr:uid="{5D0B159C-03E4-430B-A75F-D2DBA9C4ACB6}"/>
    <cellStyle name="Normal 5 2 2 2 2 3 2 3" xfId="5200" xr:uid="{00000000-0005-0000-0000-000025170000}"/>
    <cellStyle name="Normal 5 2 2 2 2 3 2 3 2" xfId="13642" xr:uid="{387C16F9-971E-42A9-9667-AB2770DB68F0}"/>
    <cellStyle name="Normal 5 2 2 2 2 3 2 4" xfId="9424" xr:uid="{3D4BF64A-3F37-42C8-8C29-D770C52CC093}"/>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2 2 2" xfId="16200" xr:uid="{D17D6281-D6B3-43E8-BC22-BFBDFA186F2F}"/>
    <cellStyle name="Normal 5 2 2 2 2 3 3 2 3" xfId="11982" xr:uid="{3F8DDD9F-8E3C-4B31-B8B9-48804E4C511D}"/>
    <cellStyle name="Normal 5 2 2 2 2 3 3 3" xfId="5613" xr:uid="{00000000-0005-0000-0000-000029170000}"/>
    <cellStyle name="Normal 5 2 2 2 2 3 3 3 2" xfId="14055" xr:uid="{D6E0DEC2-2F0C-4BAF-8DC4-E1C94F3AFCF7}"/>
    <cellStyle name="Normal 5 2 2 2 2 3 3 4" xfId="9837" xr:uid="{7D65AC9B-7B6E-4359-8CED-847CE85BD2D4}"/>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2 2 2" xfId="16613" xr:uid="{C8108387-ED2B-4E1F-874C-94DB2B81E7C7}"/>
    <cellStyle name="Normal 5 2 2 2 2 3 4 2 3" xfId="12395" xr:uid="{B459972A-FD06-4F40-9CA4-878934F20960}"/>
    <cellStyle name="Normal 5 2 2 2 2 3 4 3" xfId="6026" xr:uid="{00000000-0005-0000-0000-00002D170000}"/>
    <cellStyle name="Normal 5 2 2 2 2 3 4 3 2" xfId="14468" xr:uid="{DBDD6BBA-EF02-494E-9AA8-E80F755E2313}"/>
    <cellStyle name="Normal 5 2 2 2 2 3 4 4" xfId="10250" xr:uid="{2DE1A96D-D940-42B9-9468-9CB7C9078793}"/>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2 2 2" xfId="17026" xr:uid="{A592EB3B-4E7C-4275-B3DF-A648120327E2}"/>
    <cellStyle name="Normal 5 2 2 2 2 3 5 2 3" xfId="12808" xr:uid="{EE5E41D0-0767-48AF-8002-B8B60BABAD17}"/>
    <cellStyle name="Normal 5 2 2 2 2 3 5 3" xfId="6439" xr:uid="{00000000-0005-0000-0000-000031170000}"/>
    <cellStyle name="Normal 5 2 2 2 2 3 5 3 2" xfId="14881" xr:uid="{FBC9EF4F-7720-4C61-A2F6-80460479DB55}"/>
    <cellStyle name="Normal 5 2 2 2 2 3 5 4" xfId="10663" xr:uid="{F7DF3A41-C052-43B0-80C7-5EE434D92D37}"/>
    <cellStyle name="Normal 5 2 2 2 2 3 6" xfId="2568" xr:uid="{00000000-0005-0000-0000-000032170000}"/>
    <cellStyle name="Normal 5 2 2 2 2 3 6 2" xfId="6852" xr:uid="{00000000-0005-0000-0000-000033170000}"/>
    <cellStyle name="Normal 5 2 2 2 2 3 6 2 2" xfId="15294" xr:uid="{9AF8B5D5-0704-4952-92D3-CD9815A58746}"/>
    <cellStyle name="Normal 5 2 2 2 2 3 6 3" xfId="11076" xr:uid="{A21DF94B-F042-4397-8DF9-4203371C3C89}"/>
    <cellStyle name="Normal 5 2 2 2 2 3 7" xfId="4787" xr:uid="{00000000-0005-0000-0000-000034170000}"/>
    <cellStyle name="Normal 5 2 2 2 2 3 7 2" xfId="13229" xr:uid="{B45CAA90-5CED-4C39-A6C4-46D1CF8D1081}"/>
    <cellStyle name="Normal 5 2 2 2 2 3 8" xfId="9011" xr:uid="{5406F699-630C-486A-B351-71099C673C49}"/>
    <cellStyle name="Normal 5 2 2 2 2 4" xfId="884" xr:uid="{00000000-0005-0000-0000-000035170000}"/>
    <cellStyle name="Normal 5 2 2 2 2 4 2" xfId="3119" xr:uid="{00000000-0005-0000-0000-000036170000}"/>
    <cellStyle name="Normal 5 2 2 2 2 4 2 2" xfId="7342" xr:uid="{00000000-0005-0000-0000-000037170000}"/>
    <cellStyle name="Normal 5 2 2 2 2 4 2 2 2" xfId="15784" xr:uid="{98AD53A8-BC38-4F22-95D8-45BF8DC58B86}"/>
    <cellStyle name="Normal 5 2 2 2 2 4 2 3" xfId="11566" xr:uid="{E96AC2E0-3D0D-4F4E-BF54-10920A2CA2B8}"/>
    <cellStyle name="Normal 5 2 2 2 2 4 3" xfId="5197" xr:uid="{00000000-0005-0000-0000-000038170000}"/>
    <cellStyle name="Normal 5 2 2 2 2 4 3 2" xfId="13639" xr:uid="{55C8019C-E6A8-4888-B71F-EFA527858512}"/>
    <cellStyle name="Normal 5 2 2 2 2 4 4" xfId="9421" xr:uid="{A344A739-0109-4B07-9047-BB978C994051}"/>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2 2 2" xfId="16197" xr:uid="{4C1DA228-E053-4458-8868-063A89618B46}"/>
    <cellStyle name="Normal 5 2 2 2 2 5 2 3" xfId="11979" xr:uid="{51671714-82A4-4B65-922A-73D482196B38}"/>
    <cellStyle name="Normal 5 2 2 2 2 5 3" xfId="5610" xr:uid="{00000000-0005-0000-0000-00003C170000}"/>
    <cellStyle name="Normal 5 2 2 2 2 5 3 2" xfId="14052" xr:uid="{6B0A57C7-0913-4149-ACCB-616AAA9CB5BF}"/>
    <cellStyle name="Normal 5 2 2 2 2 5 4" xfId="9834" xr:uid="{FC8217B1-CA32-49D5-89E3-F0F4F81D0623}"/>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2 2 2" xfId="16610" xr:uid="{F148EE8D-4A2C-4D6B-A84B-A24F95180BF2}"/>
    <cellStyle name="Normal 5 2 2 2 2 6 2 3" xfId="12392" xr:uid="{AE12DEA3-C277-46E5-9C9B-E7BAFDA3E478}"/>
    <cellStyle name="Normal 5 2 2 2 2 6 3" xfId="6023" xr:uid="{00000000-0005-0000-0000-000040170000}"/>
    <cellStyle name="Normal 5 2 2 2 2 6 3 2" xfId="14465" xr:uid="{729ABCAF-78CF-4F53-BEDF-6ACF3EAD3D46}"/>
    <cellStyle name="Normal 5 2 2 2 2 6 4" xfId="10247" xr:uid="{372FFB8D-E418-4F94-B84C-1094E03CC614}"/>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2 2 2" xfId="17023" xr:uid="{0A7B5F12-2854-47FA-AB4A-24DBC4060301}"/>
    <cellStyle name="Normal 5 2 2 2 2 7 2 3" xfId="12805" xr:uid="{846D682D-02C0-4DF1-A442-1F77F9F202D2}"/>
    <cellStyle name="Normal 5 2 2 2 2 7 3" xfId="6436" xr:uid="{00000000-0005-0000-0000-000044170000}"/>
    <cellStyle name="Normal 5 2 2 2 2 7 3 2" xfId="14878" xr:uid="{7754BAA7-5320-446A-A20A-77853FC50AF5}"/>
    <cellStyle name="Normal 5 2 2 2 2 7 4" xfId="10660" xr:uid="{F973B81D-A5DA-4D06-B56E-A51F1CA7F2BE}"/>
    <cellStyle name="Normal 5 2 2 2 2 8" xfId="2565" xr:uid="{00000000-0005-0000-0000-000045170000}"/>
    <cellStyle name="Normal 5 2 2 2 2 8 2" xfId="6849" xr:uid="{00000000-0005-0000-0000-000046170000}"/>
    <cellStyle name="Normal 5 2 2 2 2 8 2 2" xfId="15291" xr:uid="{38D623C2-231D-4BFC-884E-5B78E6B3010B}"/>
    <cellStyle name="Normal 5 2 2 2 2 8 3" xfId="11073" xr:uid="{094F1AEB-FA91-40DE-A61E-EA53299E5363}"/>
    <cellStyle name="Normal 5 2 2 2 2 9" xfId="4784" xr:uid="{00000000-0005-0000-0000-000047170000}"/>
    <cellStyle name="Normal 5 2 2 2 2 9 2" xfId="13226" xr:uid="{C2BD3E65-F5AB-4559-868B-0308785C8BA9}"/>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2 2 2" xfId="15789" xr:uid="{918A21A1-4119-4A37-876A-DCA1BCD39100}"/>
    <cellStyle name="Normal 5 2 2 2 3 2 2 2 3" xfId="11571" xr:uid="{A016D76F-9269-4318-8BD2-E777058F80E9}"/>
    <cellStyle name="Normal 5 2 2 2 3 2 2 3" xfId="5202" xr:uid="{00000000-0005-0000-0000-00004D170000}"/>
    <cellStyle name="Normal 5 2 2 2 3 2 2 3 2" xfId="13644" xr:uid="{5D85D309-D375-498D-A3A4-FDDA570B3A55}"/>
    <cellStyle name="Normal 5 2 2 2 3 2 2 4" xfId="9426" xr:uid="{2F109E02-1916-4AE5-AA4C-37FF30CE88D6}"/>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2 2 2" xfId="16202" xr:uid="{97F11BF7-6897-439D-BBF3-D1974F592A57}"/>
    <cellStyle name="Normal 5 2 2 2 3 2 3 2 3" xfId="11984" xr:uid="{E2826BCD-1696-4183-9C69-E48AD900DEBD}"/>
    <cellStyle name="Normal 5 2 2 2 3 2 3 3" xfId="5615" xr:uid="{00000000-0005-0000-0000-000051170000}"/>
    <cellStyle name="Normal 5 2 2 2 3 2 3 3 2" xfId="14057" xr:uid="{9CB00560-3527-45C4-87DD-2297939FE8CC}"/>
    <cellStyle name="Normal 5 2 2 2 3 2 3 4" xfId="9839" xr:uid="{D1F34E9D-BDE7-4034-B664-608E97253B36}"/>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2 2 2" xfId="16615" xr:uid="{388256BC-E66E-4E3D-B4A3-9D58CCC8DFC7}"/>
    <cellStyle name="Normal 5 2 2 2 3 2 4 2 3" xfId="12397" xr:uid="{E5273B51-05E2-4206-AB87-0B3E581BDE9C}"/>
    <cellStyle name="Normal 5 2 2 2 3 2 4 3" xfId="6028" xr:uid="{00000000-0005-0000-0000-000055170000}"/>
    <cellStyle name="Normal 5 2 2 2 3 2 4 3 2" xfId="14470" xr:uid="{076FB0FE-27E2-48A8-AF49-00E84EA0D334}"/>
    <cellStyle name="Normal 5 2 2 2 3 2 4 4" xfId="10252" xr:uid="{0BFDCA88-E10F-4404-9481-D8C68F996C35}"/>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2 2 2" xfId="17028" xr:uid="{EF9DD880-5457-4AF6-B929-A5CFDF0723A5}"/>
    <cellStyle name="Normal 5 2 2 2 3 2 5 2 3" xfId="12810" xr:uid="{1136854D-D7D1-473C-B404-D572B2123942}"/>
    <cellStyle name="Normal 5 2 2 2 3 2 5 3" xfId="6441" xr:uid="{00000000-0005-0000-0000-000059170000}"/>
    <cellStyle name="Normal 5 2 2 2 3 2 5 3 2" xfId="14883" xr:uid="{22EFE51E-4334-478A-B4CB-FE0C0F3C4ADE}"/>
    <cellStyle name="Normal 5 2 2 2 3 2 5 4" xfId="10665" xr:uid="{C5F13B7F-438C-4F46-ADCB-6D8A8E3E2EEF}"/>
    <cellStyle name="Normal 5 2 2 2 3 2 6" xfId="2570" xr:uid="{00000000-0005-0000-0000-00005A170000}"/>
    <cellStyle name="Normal 5 2 2 2 3 2 6 2" xfId="6854" xr:uid="{00000000-0005-0000-0000-00005B170000}"/>
    <cellStyle name="Normal 5 2 2 2 3 2 6 2 2" xfId="15296" xr:uid="{10C8627F-D4B2-41F8-9CF6-7A26B44B8C0C}"/>
    <cellStyle name="Normal 5 2 2 2 3 2 6 3" xfId="11078" xr:uid="{92A11D93-910F-4618-BD54-4FD6E9F87ED5}"/>
    <cellStyle name="Normal 5 2 2 2 3 2 7" xfId="4789" xr:uid="{00000000-0005-0000-0000-00005C170000}"/>
    <cellStyle name="Normal 5 2 2 2 3 2 7 2" xfId="13231" xr:uid="{B6A922A1-17CD-4DC5-A37B-DB14DFE615CB}"/>
    <cellStyle name="Normal 5 2 2 2 3 2 8" xfId="9013" xr:uid="{62C6103A-681D-4774-9DA7-E3D8DFE349B9}"/>
    <cellStyle name="Normal 5 2 2 2 3 3" xfId="888" xr:uid="{00000000-0005-0000-0000-00005D170000}"/>
    <cellStyle name="Normal 5 2 2 2 3 3 2" xfId="3123" xr:uid="{00000000-0005-0000-0000-00005E170000}"/>
    <cellStyle name="Normal 5 2 2 2 3 3 2 2" xfId="7346" xr:uid="{00000000-0005-0000-0000-00005F170000}"/>
    <cellStyle name="Normal 5 2 2 2 3 3 2 2 2" xfId="15788" xr:uid="{7AE7472F-F9B1-41A3-A483-FC4A6291366C}"/>
    <cellStyle name="Normal 5 2 2 2 3 3 2 3" xfId="11570" xr:uid="{922373CD-3004-4E57-80A0-50BEC26D3D4B}"/>
    <cellStyle name="Normal 5 2 2 2 3 3 3" xfId="5201" xr:uid="{00000000-0005-0000-0000-000060170000}"/>
    <cellStyle name="Normal 5 2 2 2 3 3 3 2" xfId="13643" xr:uid="{3D68F69B-9548-496F-99A8-B38314FCC757}"/>
    <cellStyle name="Normal 5 2 2 2 3 3 4" xfId="9425" xr:uid="{9313A3BF-1333-4C23-AB71-073E44039D6D}"/>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2 2 2" xfId="16201" xr:uid="{734B19D2-BFFB-4292-9D82-EACE9D7259B9}"/>
    <cellStyle name="Normal 5 2 2 2 3 4 2 3" xfId="11983" xr:uid="{2737E7B4-0278-4800-A656-23290D507E42}"/>
    <cellStyle name="Normal 5 2 2 2 3 4 3" xfId="5614" xr:uid="{00000000-0005-0000-0000-000064170000}"/>
    <cellStyle name="Normal 5 2 2 2 3 4 3 2" xfId="14056" xr:uid="{FA141D84-6B7C-453F-A9C9-C6F0162FB71E}"/>
    <cellStyle name="Normal 5 2 2 2 3 4 4" xfId="9838" xr:uid="{C0155586-DECF-4039-9D4A-25C26DA875C2}"/>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2 2 2" xfId="16614" xr:uid="{6CEA6CD2-C64F-4714-8FFD-54C0EF58EA47}"/>
    <cellStyle name="Normal 5 2 2 2 3 5 2 3" xfId="12396" xr:uid="{1EE8FA5C-6C5A-401F-8C3C-7667FFBBF967}"/>
    <cellStyle name="Normal 5 2 2 2 3 5 3" xfId="6027" xr:uid="{00000000-0005-0000-0000-000068170000}"/>
    <cellStyle name="Normal 5 2 2 2 3 5 3 2" xfId="14469" xr:uid="{3DEE34FA-43F4-4642-B8F4-9AC6AB73B1DF}"/>
    <cellStyle name="Normal 5 2 2 2 3 5 4" xfId="10251" xr:uid="{E2678122-E2E5-4BF7-AE81-0654C50A3F3A}"/>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2 2 2" xfId="17027" xr:uid="{E8959473-2FDB-4765-8F25-6178795B2BAA}"/>
    <cellStyle name="Normal 5 2 2 2 3 6 2 3" xfId="12809" xr:uid="{1A5B462D-5AF7-4C71-B233-4AF4008BB8C2}"/>
    <cellStyle name="Normal 5 2 2 2 3 6 3" xfId="6440" xr:uid="{00000000-0005-0000-0000-00006C170000}"/>
    <cellStyle name="Normal 5 2 2 2 3 6 3 2" xfId="14882" xr:uid="{57805FDC-5E57-4199-BA0E-2F7FCBC4AD0B}"/>
    <cellStyle name="Normal 5 2 2 2 3 6 4" xfId="10664" xr:uid="{5FD07BA3-4B97-425E-B0A6-0E58DE085CA6}"/>
    <cellStyle name="Normal 5 2 2 2 3 7" xfId="2569" xr:uid="{00000000-0005-0000-0000-00006D170000}"/>
    <cellStyle name="Normal 5 2 2 2 3 7 2" xfId="6853" xr:uid="{00000000-0005-0000-0000-00006E170000}"/>
    <cellStyle name="Normal 5 2 2 2 3 7 2 2" xfId="15295" xr:uid="{C6F70D51-60BE-41DB-B582-D491A5EFB51E}"/>
    <cellStyle name="Normal 5 2 2 2 3 7 3" xfId="11077" xr:uid="{09FA380E-D751-481E-A9AA-F614FF509418}"/>
    <cellStyle name="Normal 5 2 2 2 3 8" xfId="4788" xr:uid="{00000000-0005-0000-0000-00006F170000}"/>
    <cellStyle name="Normal 5 2 2 2 3 8 2" xfId="13230" xr:uid="{B410A323-3C55-41F5-8C7A-769013196A51}"/>
    <cellStyle name="Normal 5 2 2 2 3 9" xfId="9012" xr:uid="{5DD5C245-C56D-42CA-9DDF-DDD5B45E3D7A}"/>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2 2 2" xfId="15790" xr:uid="{3CCDC05F-6537-4596-AF2D-7014425EF029}"/>
    <cellStyle name="Normal 5 2 2 2 4 2 2 3" xfId="11572" xr:uid="{3275C917-CA8F-4ABD-90A8-2D28C6824621}"/>
    <cellStyle name="Normal 5 2 2 2 4 2 3" xfId="5203" xr:uid="{00000000-0005-0000-0000-000074170000}"/>
    <cellStyle name="Normal 5 2 2 2 4 2 3 2" xfId="13645" xr:uid="{D5713F03-A98E-4148-906C-EEAC122E56DC}"/>
    <cellStyle name="Normal 5 2 2 2 4 2 4" xfId="9427" xr:uid="{FCAB52DB-213B-49EC-97CB-4D9F9F12167B}"/>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2 2 2" xfId="16203" xr:uid="{5263ED66-786E-4401-B6D9-7C93EF4E2073}"/>
    <cellStyle name="Normal 5 2 2 2 4 3 2 3" xfId="11985" xr:uid="{1CE247ED-EB20-44BE-B7C5-CDEC813AD070}"/>
    <cellStyle name="Normal 5 2 2 2 4 3 3" xfId="5616" xr:uid="{00000000-0005-0000-0000-000078170000}"/>
    <cellStyle name="Normal 5 2 2 2 4 3 3 2" xfId="14058" xr:uid="{1DFFFFAF-9E85-48E7-954F-27F7F4F95F88}"/>
    <cellStyle name="Normal 5 2 2 2 4 3 4" xfId="9840" xr:uid="{CE239BC8-1264-45CC-92CE-9D0EE0D18E8F}"/>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2 2 2" xfId="16616" xr:uid="{57884360-4D93-4B0F-AD77-851726B46AD7}"/>
    <cellStyle name="Normal 5 2 2 2 4 4 2 3" xfId="12398" xr:uid="{0ADBC5FD-3F45-47C7-9882-0949C32531CC}"/>
    <cellStyle name="Normal 5 2 2 2 4 4 3" xfId="6029" xr:uid="{00000000-0005-0000-0000-00007C170000}"/>
    <cellStyle name="Normal 5 2 2 2 4 4 3 2" xfId="14471" xr:uid="{AE5DD817-6DED-4A2F-A373-E4E0085C9863}"/>
    <cellStyle name="Normal 5 2 2 2 4 4 4" xfId="10253" xr:uid="{526C9C66-A21E-4051-9AA3-5E129B57893C}"/>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2 2 2" xfId="17029" xr:uid="{F19710F2-3069-41A0-AE1E-FF562BE8F102}"/>
    <cellStyle name="Normal 5 2 2 2 4 5 2 3" xfId="12811" xr:uid="{796AB0C3-AD2D-4076-8CBA-0442B61C13CC}"/>
    <cellStyle name="Normal 5 2 2 2 4 5 3" xfId="6442" xr:uid="{00000000-0005-0000-0000-000080170000}"/>
    <cellStyle name="Normal 5 2 2 2 4 5 3 2" xfId="14884" xr:uid="{C331982D-1807-4D22-BB39-8DEEFC600924}"/>
    <cellStyle name="Normal 5 2 2 2 4 5 4" xfId="10666" xr:uid="{17443E48-2DE1-4685-BE22-364906A183DC}"/>
    <cellStyle name="Normal 5 2 2 2 4 6" xfId="2571" xr:uid="{00000000-0005-0000-0000-000081170000}"/>
    <cellStyle name="Normal 5 2 2 2 4 6 2" xfId="6855" xr:uid="{00000000-0005-0000-0000-000082170000}"/>
    <cellStyle name="Normal 5 2 2 2 4 6 2 2" xfId="15297" xr:uid="{C672CA4A-CFED-4CD7-857F-C98279254D00}"/>
    <cellStyle name="Normal 5 2 2 2 4 6 3" xfId="11079" xr:uid="{A0F64D6D-3321-4D4A-9B33-DF51493B4EDE}"/>
    <cellStyle name="Normal 5 2 2 2 4 7" xfId="4790" xr:uid="{00000000-0005-0000-0000-000083170000}"/>
    <cellStyle name="Normal 5 2 2 2 4 7 2" xfId="13232" xr:uid="{AE3C6E89-A723-45E6-9FE2-6F043A2D06EE}"/>
    <cellStyle name="Normal 5 2 2 2 4 8" xfId="9014" xr:uid="{4F0200BD-FDEF-4FF4-AC4C-4C81199EC8D2}"/>
    <cellStyle name="Normal 5 2 2 2 5" xfId="883" xr:uid="{00000000-0005-0000-0000-000084170000}"/>
    <cellStyle name="Normal 5 2 2 2 5 2" xfId="3118" xr:uid="{00000000-0005-0000-0000-000085170000}"/>
    <cellStyle name="Normal 5 2 2 2 5 2 2" xfId="7341" xr:uid="{00000000-0005-0000-0000-000086170000}"/>
    <cellStyle name="Normal 5 2 2 2 5 2 2 2" xfId="15783" xr:uid="{FBA569CC-9513-4CAB-AFD5-4E9C4952CD30}"/>
    <cellStyle name="Normal 5 2 2 2 5 2 3" xfId="11565" xr:uid="{4956F2CC-C0EA-4484-92C7-F21C0C22B80A}"/>
    <cellStyle name="Normal 5 2 2 2 5 3" xfId="5196" xr:uid="{00000000-0005-0000-0000-000087170000}"/>
    <cellStyle name="Normal 5 2 2 2 5 3 2" xfId="13638" xr:uid="{60CC8B21-4B5E-431E-A2EC-6ADC9C79A47E}"/>
    <cellStyle name="Normal 5 2 2 2 5 4" xfId="9420" xr:uid="{60FFC170-9D48-4EAF-BDE7-7F2D91D7B8DB}"/>
    <cellStyle name="Normal 5 2 2 2 6" xfId="1301" xr:uid="{00000000-0005-0000-0000-000088170000}"/>
    <cellStyle name="Normal 5 2 2 2 6 2" xfId="3531" xr:uid="{00000000-0005-0000-0000-000089170000}"/>
    <cellStyle name="Normal 5 2 2 2 6 2 2" xfId="7754" xr:uid="{00000000-0005-0000-0000-00008A170000}"/>
    <cellStyle name="Normal 5 2 2 2 6 2 2 2" xfId="16196" xr:uid="{DA4D2CE1-E89B-4DFE-9629-A396F5A9FB2C}"/>
    <cellStyle name="Normal 5 2 2 2 6 2 3" xfId="11978" xr:uid="{D7E26131-039E-4244-A395-28885BB2D3F5}"/>
    <cellStyle name="Normal 5 2 2 2 6 3" xfId="5609" xr:uid="{00000000-0005-0000-0000-00008B170000}"/>
    <cellStyle name="Normal 5 2 2 2 6 3 2" xfId="14051" xr:uid="{9C45779D-8091-4597-9E60-1E734848D18E}"/>
    <cellStyle name="Normal 5 2 2 2 6 4" xfId="9833" xr:uid="{F01AA031-2FF6-4CEA-9D4F-FDE2AF44AAF2}"/>
    <cellStyle name="Normal 5 2 2 2 7" xfId="1714" xr:uid="{00000000-0005-0000-0000-00008C170000}"/>
    <cellStyle name="Normal 5 2 2 2 7 2" xfId="3944" xr:uid="{00000000-0005-0000-0000-00008D170000}"/>
    <cellStyle name="Normal 5 2 2 2 7 2 2" xfId="8167" xr:uid="{00000000-0005-0000-0000-00008E170000}"/>
    <cellStyle name="Normal 5 2 2 2 7 2 2 2" xfId="16609" xr:uid="{542A8947-77E8-48EE-84AA-2A5600F731EB}"/>
    <cellStyle name="Normal 5 2 2 2 7 2 3" xfId="12391" xr:uid="{B00BA267-ECE1-4A55-A898-7D3239984464}"/>
    <cellStyle name="Normal 5 2 2 2 7 3" xfId="6022" xr:uid="{00000000-0005-0000-0000-00008F170000}"/>
    <cellStyle name="Normal 5 2 2 2 7 3 2" xfId="14464" xr:uid="{CBC143C1-B891-4B12-AFA1-0FDA269D4D8A}"/>
    <cellStyle name="Normal 5 2 2 2 7 4" xfId="10246" xr:uid="{B78438B0-67FC-416F-BC26-2F722AF2814E}"/>
    <cellStyle name="Normal 5 2 2 2 8" xfId="2128" xr:uid="{00000000-0005-0000-0000-000090170000}"/>
    <cellStyle name="Normal 5 2 2 2 8 2" xfId="4357" xr:uid="{00000000-0005-0000-0000-000091170000}"/>
    <cellStyle name="Normal 5 2 2 2 8 2 2" xfId="8580" xr:uid="{00000000-0005-0000-0000-000092170000}"/>
    <cellStyle name="Normal 5 2 2 2 8 2 2 2" xfId="17022" xr:uid="{D8F61CAD-8C06-4796-8910-FDAD5FAC277D}"/>
    <cellStyle name="Normal 5 2 2 2 8 2 3" xfId="12804" xr:uid="{7411242D-6468-4D3D-90A7-46D558CB6228}"/>
    <cellStyle name="Normal 5 2 2 2 8 3" xfId="6435" xr:uid="{00000000-0005-0000-0000-000093170000}"/>
    <cellStyle name="Normal 5 2 2 2 8 3 2" xfId="14877" xr:uid="{6D14648A-30D2-4038-AA5B-BE1AD7B0A828}"/>
    <cellStyle name="Normal 5 2 2 2 8 4" xfId="10659" xr:uid="{C128BE59-034C-49EA-90E4-F0F6E1D57E31}"/>
    <cellStyle name="Normal 5 2 2 2 9" xfId="2564" xr:uid="{00000000-0005-0000-0000-000094170000}"/>
    <cellStyle name="Normal 5 2 2 2 9 2" xfId="6848" xr:uid="{00000000-0005-0000-0000-000095170000}"/>
    <cellStyle name="Normal 5 2 2 2 9 2 2" xfId="15290" xr:uid="{63B0D6BA-E3E8-4FBB-B96E-62D6D7D4D801}"/>
    <cellStyle name="Normal 5 2 2 2 9 3" xfId="11072" xr:uid="{9F2397E0-0E00-46A7-B77A-86CD692B36ED}"/>
    <cellStyle name="Normal 5 2 2 3" xfId="417" xr:uid="{00000000-0005-0000-0000-000096170000}"/>
    <cellStyle name="Normal 5 2 2 3 10" xfId="9015" xr:uid="{5D4E92DE-C2B1-45F8-8384-CF5717092D73}"/>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2 2 2" xfId="15793" xr:uid="{B3F68163-C26A-421A-A4FF-3BB6D932ADAC}"/>
    <cellStyle name="Normal 5 2 2 3 2 2 2 2 3" xfId="11575" xr:uid="{DDFBE415-0B78-4F77-BBE0-424AA2748333}"/>
    <cellStyle name="Normal 5 2 2 3 2 2 2 3" xfId="5206" xr:uid="{00000000-0005-0000-0000-00009C170000}"/>
    <cellStyle name="Normal 5 2 2 3 2 2 2 3 2" xfId="13648" xr:uid="{E5934E5E-6160-41B7-9F45-12B978B216C9}"/>
    <cellStyle name="Normal 5 2 2 3 2 2 2 4" xfId="9430" xr:uid="{B9494CFA-49F0-402A-88E7-72BFAC178902}"/>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2 2 2" xfId="16206" xr:uid="{A663626D-78A7-4CAE-872F-A99430101227}"/>
    <cellStyle name="Normal 5 2 2 3 2 2 3 2 3" xfId="11988" xr:uid="{4D74EE4D-8EF3-4C82-927F-868F4AF454F6}"/>
    <cellStyle name="Normal 5 2 2 3 2 2 3 3" xfId="5619" xr:uid="{00000000-0005-0000-0000-0000A0170000}"/>
    <cellStyle name="Normal 5 2 2 3 2 2 3 3 2" xfId="14061" xr:uid="{C4629B7E-A3A5-4A13-BD90-52DCCE2F19AF}"/>
    <cellStyle name="Normal 5 2 2 3 2 2 3 4" xfId="9843" xr:uid="{9C5C4340-A1C6-4C55-A4C9-EDDA47F48458}"/>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2 2 2" xfId="16619" xr:uid="{912A4B7B-D7D2-4594-A423-A34275427E6C}"/>
    <cellStyle name="Normal 5 2 2 3 2 2 4 2 3" xfId="12401" xr:uid="{F1659F5B-C2CF-40DA-AE9D-10AD37858478}"/>
    <cellStyle name="Normal 5 2 2 3 2 2 4 3" xfId="6032" xr:uid="{00000000-0005-0000-0000-0000A4170000}"/>
    <cellStyle name="Normal 5 2 2 3 2 2 4 3 2" xfId="14474" xr:uid="{B14195E9-E311-4A22-AD68-06C666997666}"/>
    <cellStyle name="Normal 5 2 2 3 2 2 4 4" xfId="10256" xr:uid="{D6267021-F858-4359-A778-9D944B2C3B2A}"/>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2 2 2" xfId="17032" xr:uid="{23358100-949F-4F47-880B-161FC9039AF3}"/>
    <cellStyle name="Normal 5 2 2 3 2 2 5 2 3" xfId="12814" xr:uid="{529DE246-86DB-4249-B676-F16DC0F70F65}"/>
    <cellStyle name="Normal 5 2 2 3 2 2 5 3" xfId="6445" xr:uid="{00000000-0005-0000-0000-0000A8170000}"/>
    <cellStyle name="Normal 5 2 2 3 2 2 5 3 2" xfId="14887" xr:uid="{A35133C6-8D87-48C2-A229-A91FE0FAB247}"/>
    <cellStyle name="Normal 5 2 2 3 2 2 5 4" xfId="10669" xr:uid="{57C2355A-7E0C-4398-AD4C-57F2097014E6}"/>
    <cellStyle name="Normal 5 2 2 3 2 2 6" xfId="2574" xr:uid="{00000000-0005-0000-0000-0000A9170000}"/>
    <cellStyle name="Normal 5 2 2 3 2 2 6 2" xfId="6858" xr:uid="{00000000-0005-0000-0000-0000AA170000}"/>
    <cellStyle name="Normal 5 2 2 3 2 2 6 2 2" xfId="15300" xr:uid="{2222975B-8184-43BB-AD2F-7911A3F0AD9B}"/>
    <cellStyle name="Normal 5 2 2 3 2 2 6 3" xfId="11082" xr:uid="{94987DC7-BE6D-43EF-A17D-F67FFE99A791}"/>
    <cellStyle name="Normal 5 2 2 3 2 2 7" xfId="4793" xr:uid="{00000000-0005-0000-0000-0000AB170000}"/>
    <cellStyle name="Normal 5 2 2 3 2 2 7 2" xfId="13235" xr:uid="{93020E52-E96B-4C8A-A704-59EE4F287F10}"/>
    <cellStyle name="Normal 5 2 2 3 2 2 8" xfId="9017" xr:uid="{A7FC1095-1BCA-4643-A8F4-ECB6B15BF03F}"/>
    <cellStyle name="Normal 5 2 2 3 2 3" xfId="892" xr:uid="{00000000-0005-0000-0000-0000AC170000}"/>
    <cellStyle name="Normal 5 2 2 3 2 3 2" xfId="3127" xr:uid="{00000000-0005-0000-0000-0000AD170000}"/>
    <cellStyle name="Normal 5 2 2 3 2 3 2 2" xfId="7350" xr:uid="{00000000-0005-0000-0000-0000AE170000}"/>
    <cellStyle name="Normal 5 2 2 3 2 3 2 2 2" xfId="15792" xr:uid="{CA8BAC31-411F-4B44-92BA-CCF4F017594A}"/>
    <cellStyle name="Normal 5 2 2 3 2 3 2 3" xfId="11574" xr:uid="{BC47DDB6-0E86-454A-9FC1-4D5D0B3A88BC}"/>
    <cellStyle name="Normal 5 2 2 3 2 3 3" xfId="5205" xr:uid="{00000000-0005-0000-0000-0000AF170000}"/>
    <cellStyle name="Normal 5 2 2 3 2 3 3 2" xfId="13647" xr:uid="{12EF1131-FD24-4296-A101-C528AC7DFEA7}"/>
    <cellStyle name="Normal 5 2 2 3 2 3 4" xfId="9429" xr:uid="{4467A3E3-3BA9-4510-98E5-F207E43E08AD}"/>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2 2 2" xfId="16205" xr:uid="{F24C4846-D39F-4D81-9B73-A25EAB8874D0}"/>
    <cellStyle name="Normal 5 2 2 3 2 4 2 3" xfId="11987" xr:uid="{E8EC9202-3B3E-4D35-A982-88E25BC1452D}"/>
    <cellStyle name="Normal 5 2 2 3 2 4 3" xfId="5618" xr:uid="{00000000-0005-0000-0000-0000B3170000}"/>
    <cellStyle name="Normal 5 2 2 3 2 4 3 2" xfId="14060" xr:uid="{C3A7A776-1EC4-476C-8F60-DEB9CBD3DE20}"/>
    <cellStyle name="Normal 5 2 2 3 2 4 4" xfId="9842" xr:uid="{7CF2BA25-0D10-46F0-BBC3-52B4923CA4DF}"/>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2 2 2" xfId="16618" xr:uid="{8A52BA70-6BAE-4818-AF4F-094385F4B14E}"/>
    <cellStyle name="Normal 5 2 2 3 2 5 2 3" xfId="12400" xr:uid="{BE036B5D-55D5-4D10-B67D-087201491FA7}"/>
    <cellStyle name="Normal 5 2 2 3 2 5 3" xfId="6031" xr:uid="{00000000-0005-0000-0000-0000B7170000}"/>
    <cellStyle name="Normal 5 2 2 3 2 5 3 2" xfId="14473" xr:uid="{DEB826E7-E91D-4055-8CFE-A3F33A201FE9}"/>
    <cellStyle name="Normal 5 2 2 3 2 5 4" xfId="10255" xr:uid="{15AABA3A-9A2B-4883-8BDA-F6FA09623AA1}"/>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2 2 2" xfId="17031" xr:uid="{D1C6355C-D75C-4472-AE65-0CFC6B663249}"/>
    <cellStyle name="Normal 5 2 2 3 2 6 2 3" xfId="12813" xr:uid="{FFBB31F8-AC80-49FF-ADE0-DA91A4F8B81D}"/>
    <cellStyle name="Normal 5 2 2 3 2 6 3" xfId="6444" xr:uid="{00000000-0005-0000-0000-0000BB170000}"/>
    <cellStyle name="Normal 5 2 2 3 2 6 3 2" xfId="14886" xr:uid="{0B2A1A05-A76A-4411-9918-17FBCFD68C46}"/>
    <cellStyle name="Normal 5 2 2 3 2 6 4" xfId="10668" xr:uid="{48558AFE-B57F-4913-B954-71712851AAD1}"/>
    <cellStyle name="Normal 5 2 2 3 2 7" xfId="2573" xr:uid="{00000000-0005-0000-0000-0000BC170000}"/>
    <cellStyle name="Normal 5 2 2 3 2 7 2" xfId="6857" xr:uid="{00000000-0005-0000-0000-0000BD170000}"/>
    <cellStyle name="Normal 5 2 2 3 2 7 2 2" xfId="15299" xr:uid="{5B1F7FFA-C6C6-4D27-A2F8-D4B245E8DA3F}"/>
    <cellStyle name="Normal 5 2 2 3 2 7 3" xfId="11081" xr:uid="{4CE34F4A-6DCA-4088-A79F-7AD5D9FB6CF0}"/>
    <cellStyle name="Normal 5 2 2 3 2 8" xfId="4792" xr:uid="{00000000-0005-0000-0000-0000BE170000}"/>
    <cellStyle name="Normal 5 2 2 3 2 8 2" xfId="13234" xr:uid="{C7EE3D43-9E9A-4CF2-90E8-623424EBCF85}"/>
    <cellStyle name="Normal 5 2 2 3 2 9" xfId="9016" xr:uid="{038E91DF-1F0F-4318-960E-E45FB69D18FB}"/>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2 2 2" xfId="15794" xr:uid="{45C7EA3A-A46F-4429-9C0B-D846353D6641}"/>
    <cellStyle name="Normal 5 2 2 3 3 2 2 3" xfId="11576" xr:uid="{B6B277CD-290F-42F0-ABA5-AADCD022D62C}"/>
    <cellStyle name="Normal 5 2 2 3 3 2 3" xfId="5207" xr:uid="{00000000-0005-0000-0000-0000C3170000}"/>
    <cellStyle name="Normal 5 2 2 3 3 2 3 2" xfId="13649" xr:uid="{81A0AD10-EF98-4B4D-82CD-459ABB4AAF37}"/>
    <cellStyle name="Normal 5 2 2 3 3 2 4" xfId="9431" xr:uid="{BE2D04CC-C347-4EF4-BD77-631C5E5C3CE5}"/>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2 2 2" xfId="16207" xr:uid="{0BFA285C-0341-403A-BE0E-A28A40606C8B}"/>
    <cellStyle name="Normal 5 2 2 3 3 3 2 3" xfId="11989" xr:uid="{1328CE51-5E5C-4CA6-A11F-941B3AB086F6}"/>
    <cellStyle name="Normal 5 2 2 3 3 3 3" xfId="5620" xr:uid="{00000000-0005-0000-0000-0000C7170000}"/>
    <cellStyle name="Normal 5 2 2 3 3 3 3 2" xfId="14062" xr:uid="{E9B9800F-3EDA-4CEF-9E50-6BF3AB9BEC09}"/>
    <cellStyle name="Normal 5 2 2 3 3 3 4" xfId="9844" xr:uid="{5A9164D8-DE1E-4635-8150-26D2FB4DCAB6}"/>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2 2 2" xfId="16620" xr:uid="{090FD003-B2F4-4729-904E-C5CAC780FF82}"/>
    <cellStyle name="Normal 5 2 2 3 3 4 2 3" xfId="12402" xr:uid="{9AEA3ABF-37E1-4EB2-AD86-EF19F404F9CD}"/>
    <cellStyle name="Normal 5 2 2 3 3 4 3" xfId="6033" xr:uid="{00000000-0005-0000-0000-0000CB170000}"/>
    <cellStyle name="Normal 5 2 2 3 3 4 3 2" xfId="14475" xr:uid="{644DA103-C0D8-43CD-B0EA-FCB65C056164}"/>
    <cellStyle name="Normal 5 2 2 3 3 4 4" xfId="10257" xr:uid="{B45EEDDE-3EA7-47D1-846A-D51CB6C8A008}"/>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2 2 2" xfId="17033" xr:uid="{695BCD5F-58CD-48D1-9B50-F78F8877AB0C}"/>
    <cellStyle name="Normal 5 2 2 3 3 5 2 3" xfId="12815" xr:uid="{A0CDE8C4-65B6-4474-B869-4F3313596D1C}"/>
    <cellStyle name="Normal 5 2 2 3 3 5 3" xfId="6446" xr:uid="{00000000-0005-0000-0000-0000CF170000}"/>
    <cellStyle name="Normal 5 2 2 3 3 5 3 2" xfId="14888" xr:uid="{3D020B3F-CD34-4407-9F65-36AFE74278C0}"/>
    <cellStyle name="Normal 5 2 2 3 3 5 4" xfId="10670" xr:uid="{B20179E5-473F-46D3-BCB0-814DEF4EA0D7}"/>
    <cellStyle name="Normal 5 2 2 3 3 6" xfId="2575" xr:uid="{00000000-0005-0000-0000-0000D0170000}"/>
    <cellStyle name="Normal 5 2 2 3 3 6 2" xfId="6859" xr:uid="{00000000-0005-0000-0000-0000D1170000}"/>
    <cellStyle name="Normal 5 2 2 3 3 6 2 2" xfId="15301" xr:uid="{DE8D948A-659E-4FB8-A619-9AD9C8EBAA15}"/>
    <cellStyle name="Normal 5 2 2 3 3 6 3" xfId="11083" xr:uid="{D88310B7-BE9C-44A2-A1AF-B65177E16504}"/>
    <cellStyle name="Normal 5 2 2 3 3 7" xfId="4794" xr:uid="{00000000-0005-0000-0000-0000D2170000}"/>
    <cellStyle name="Normal 5 2 2 3 3 7 2" xfId="13236" xr:uid="{F0065A6C-D0E2-48B2-9439-C07458222350}"/>
    <cellStyle name="Normal 5 2 2 3 3 8" xfId="9018" xr:uid="{94FCD353-1D03-4A48-8581-41D0DA6AA30A}"/>
    <cellStyle name="Normal 5 2 2 3 4" xfId="891" xr:uid="{00000000-0005-0000-0000-0000D3170000}"/>
    <cellStyle name="Normal 5 2 2 3 4 2" xfId="3126" xr:uid="{00000000-0005-0000-0000-0000D4170000}"/>
    <cellStyle name="Normal 5 2 2 3 4 2 2" xfId="7349" xr:uid="{00000000-0005-0000-0000-0000D5170000}"/>
    <cellStyle name="Normal 5 2 2 3 4 2 2 2" xfId="15791" xr:uid="{CFF827F3-3266-4B22-95F1-562048BB3BD7}"/>
    <cellStyle name="Normal 5 2 2 3 4 2 3" xfId="11573" xr:uid="{10301F8A-EF6B-4ADD-B136-B34955D3C971}"/>
    <cellStyle name="Normal 5 2 2 3 4 3" xfId="5204" xr:uid="{00000000-0005-0000-0000-0000D6170000}"/>
    <cellStyle name="Normal 5 2 2 3 4 3 2" xfId="13646" xr:uid="{A87D9D69-5426-4604-A94E-0B6451B82D97}"/>
    <cellStyle name="Normal 5 2 2 3 4 4" xfId="9428" xr:uid="{A72D83DB-2C5B-4678-8C04-16436CB3D02B}"/>
    <cellStyle name="Normal 5 2 2 3 5" xfId="1309" xr:uid="{00000000-0005-0000-0000-0000D7170000}"/>
    <cellStyle name="Normal 5 2 2 3 5 2" xfId="3539" xr:uid="{00000000-0005-0000-0000-0000D8170000}"/>
    <cellStyle name="Normal 5 2 2 3 5 2 2" xfId="7762" xr:uid="{00000000-0005-0000-0000-0000D9170000}"/>
    <cellStyle name="Normal 5 2 2 3 5 2 2 2" xfId="16204" xr:uid="{53774D77-A9A9-48A5-9BF1-4E19354E1963}"/>
    <cellStyle name="Normal 5 2 2 3 5 2 3" xfId="11986" xr:uid="{FBC81DA6-883E-461D-8DCC-420D659D00C7}"/>
    <cellStyle name="Normal 5 2 2 3 5 3" xfId="5617" xr:uid="{00000000-0005-0000-0000-0000DA170000}"/>
    <cellStyle name="Normal 5 2 2 3 5 3 2" xfId="14059" xr:uid="{F8D883D7-3AD3-44D4-8533-621A16B647A9}"/>
    <cellStyle name="Normal 5 2 2 3 5 4" xfId="9841" xr:uid="{0161BB0C-F0BD-4A06-AF71-8332F4896702}"/>
    <cellStyle name="Normal 5 2 2 3 6" xfId="1722" xr:uid="{00000000-0005-0000-0000-0000DB170000}"/>
    <cellStyle name="Normal 5 2 2 3 6 2" xfId="3952" xr:uid="{00000000-0005-0000-0000-0000DC170000}"/>
    <cellStyle name="Normal 5 2 2 3 6 2 2" xfId="8175" xr:uid="{00000000-0005-0000-0000-0000DD170000}"/>
    <cellStyle name="Normal 5 2 2 3 6 2 2 2" xfId="16617" xr:uid="{1B45F00C-D694-43A1-B801-A85339F6F09B}"/>
    <cellStyle name="Normal 5 2 2 3 6 2 3" xfId="12399" xr:uid="{678337AC-0CA9-4239-8E10-0ED8219C982A}"/>
    <cellStyle name="Normal 5 2 2 3 6 3" xfId="6030" xr:uid="{00000000-0005-0000-0000-0000DE170000}"/>
    <cellStyle name="Normal 5 2 2 3 6 3 2" xfId="14472" xr:uid="{20A2EB14-EBF4-4AD3-ABE3-9FB58593CA53}"/>
    <cellStyle name="Normal 5 2 2 3 6 4" xfId="10254" xr:uid="{176C5B61-8703-4193-A601-CBEF256254CB}"/>
    <cellStyle name="Normal 5 2 2 3 7" xfId="2136" xr:uid="{00000000-0005-0000-0000-0000DF170000}"/>
    <cellStyle name="Normal 5 2 2 3 7 2" xfId="4365" xr:uid="{00000000-0005-0000-0000-0000E0170000}"/>
    <cellStyle name="Normal 5 2 2 3 7 2 2" xfId="8588" xr:uid="{00000000-0005-0000-0000-0000E1170000}"/>
    <cellStyle name="Normal 5 2 2 3 7 2 2 2" xfId="17030" xr:uid="{C06B8DE4-0B03-4289-8CBB-5B7F8AE35F65}"/>
    <cellStyle name="Normal 5 2 2 3 7 2 3" xfId="12812" xr:uid="{C0A6B350-C8FC-4139-9CE6-D74772EA6D4C}"/>
    <cellStyle name="Normal 5 2 2 3 7 3" xfId="6443" xr:uid="{00000000-0005-0000-0000-0000E2170000}"/>
    <cellStyle name="Normal 5 2 2 3 7 3 2" xfId="14885" xr:uid="{B83A1A55-BF0A-4870-AB9F-AA03A63F948A}"/>
    <cellStyle name="Normal 5 2 2 3 7 4" xfId="10667" xr:uid="{6FD44260-7255-4592-B5EC-A443A4A9ACA9}"/>
    <cellStyle name="Normal 5 2 2 3 8" xfId="2572" xr:uid="{00000000-0005-0000-0000-0000E3170000}"/>
    <cellStyle name="Normal 5 2 2 3 8 2" xfId="6856" xr:uid="{00000000-0005-0000-0000-0000E4170000}"/>
    <cellStyle name="Normal 5 2 2 3 8 2 2" xfId="15298" xr:uid="{9E49E2E1-1B9B-4C73-BC49-09F74C8C022B}"/>
    <cellStyle name="Normal 5 2 2 3 8 3" xfId="11080" xr:uid="{DDBEB438-B134-4AFD-858D-A895BD5055EF}"/>
    <cellStyle name="Normal 5 2 2 3 9" xfId="4791" xr:uid="{00000000-0005-0000-0000-0000E5170000}"/>
    <cellStyle name="Normal 5 2 2 3 9 2" xfId="13233" xr:uid="{8D86D25F-66C0-4137-AE81-496D9AB3E249}"/>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2 2 2" xfId="15796" xr:uid="{E377D85C-9D60-4593-BCFB-8F4435EED45B}"/>
    <cellStyle name="Normal 5 2 2 4 2 2 2 3" xfId="11578" xr:uid="{49715006-62A1-4D0E-8525-D089712D95F4}"/>
    <cellStyle name="Normal 5 2 2 4 2 2 3" xfId="5209" xr:uid="{00000000-0005-0000-0000-0000EB170000}"/>
    <cellStyle name="Normal 5 2 2 4 2 2 3 2" xfId="13651" xr:uid="{9367CAF6-3966-4EAD-91A6-7BE41500E2E9}"/>
    <cellStyle name="Normal 5 2 2 4 2 2 4" xfId="9433" xr:uid="{0E762C5C-0873-456E-AB59-97F90A57BD2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2 2 2" xfId="16209" xr:uid="{250FD018-E8D0-4562-BEB9-0EF4240BD877}"/>
    <cellStyle name="Normal 5 2 2 4 2 3 2 3" xfId="11991" xr:uid="{92044F51-C079-4F54-AD53-C074C72EE804}"/>
    <cellStyle name="Normal 5 2 2 4 2 3 3" xfId="5622" xr:uid="{00000000-0005-0000-0000-0000EF170000}"/>
    <cellStyle name="Normal 5 2 2 4 2 3 3 2" xfId="14064" xr:uid="{09925222-F74B-4B17-AD06-1D08D09F3340}"/>
    <cellStyle name="Normal 5 2 2 4 2 3 4" xfId="9846" xr:uid="{6AF0E7A2-8CF0-476F-8EC1-51F47EA6C51D}"/>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2 2 2" xfId="16622" xr:uid="{0AA1DE38-5983-465F-895A-E581F480AEE5}"/>
    <cellStyle name="Normal 5 2 2 4 2 4 2 3" xfId="12404" xr:uid="{00DE70D7-3B21-4F80-91E3-1A8F5034C181}"/>
    <cellStyle name="Normal 5 2 2 4 2 4 3" xfId="6035" xr:uid="{00000000-0005-0000-0000-0000F3170000}"/>
    <cellStyle name="Normal 5 2 2 4 2 4 3 2" xfId="14477" xr:uid="{EE019D1E-FEE2-4B62-9199-4DB137D6945A}"/>
    <cellStyle name="Normal 5 2 2 4 2 4 4" xfId="10259" xr:uid="{4E0752DE-2BA2-44CA-A38E-5DE633EB0E6E}"/>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2 2 2" xfId="17035" xr:uid="{CADD2F50-BCDC-47E2-9C60-D6AE8F8BA38E}"/>
    <cellStyle name="Normal 5 2 2 4 2 5 2 3" xfId="12817" xr:uid="{5788BEA0-7C57-4F97-B453-387F50791AEC}"/>
    <cellStyle name="Normal 5 2 2 4 2 5 3" xfId="6448" xr:uid="{00000000-0005-0000-0000-0000F7170000}"/>
    <cellStyle name="Normal 5 2 2 4 2 5 3 2" xfId="14890" xr:uid="{EDBE20EE-340A-402B-B91F-FF6651EE2A11}"/>
    <cellStyle name="Normal 5 2 2 4 2 5 4" xfId="10672" xr:uid="{4B45AA73-0C49-4027-AEA1-ADFCB1E97542}"/>
    <cellStyle name="Normal 5 2 2 4 2 6" xfId="2577" xr:uid="{00000000-0005-0000-0000-0000F8170000}"/>
    <cellStyle name="Normal 5 2 2 4 2 6 2" xfId="6861" xr:uid="{00000000-0005-0000-0000-0000F9170000}"/>
    <cellStyle name="Normal 5 2 2 4 2 6 2 2" xfId="15303" xr:uid="{4B5900A7-98B2-4ADF-A62A-2A6DFEAAC9DE}"/>
    <cellStyle name="Normal 5 2 2 4 2 6 3" xfId="11085" xr:uid="{4FD0C0CF-A2DF-48D5-A633-5B297E626D03}"/>
    <cellStyle name="Normal 5 2 2 4 2 7" xfId="4796" xr:uid="{00000000-0005-0000-0000-0000FA170000}"/>
    <cellStyle name="Normal 5 2 2 4 2 7 2" xfId="13238" xr:uid="{A0D47F2E-269F-4232-8DB1-1EDC1CC900BA}"/>
    <cellStyle name="Normal 5 2 2 4 2 8" xfId="9020" xr:uid="{801EE7B3-245D-4163-A5AC-C432E03D899B}"/>
    <cellStyle name="Normal 5 2 2 4 3" xfId="895" xr:uid="{00000000-0005-0000-0000-0000FB170000}"/>
    <cellStyle name="Normal 5 2 2 4 3 2" xfId="3130" xr:uid="{00000000-0005-0000-0000-0000FC170000}"/>
    <cellStyle name="Normal 5 2 2 4 3 2 2" xfId="7353" xr:uid="{00000000-0005-0000-0000-0000FD170000}"/>
    <cellStyle name="Normal 5 2 2 4 3 2 2 2" xfId="15795" xr:uid="{347A9F81-734B-4D6C-9A15-C9076C908E82}"/>
    <cellStyle name="Normal 5 2 2 4 3 2 3" xfId="11577" xr:uid="{BD2BA5B6-FC3E-42BC-B92A-92D1B250B47D}"/>
    <cellStyle name="Normal 5 2 2 4 3 3" xfId="5208" xr:uid="{00000000-0005-0000-0000-0000FE170000}"/>
    <cellStyle name="Normal 5 2 2 4 3 3 2" xfId="13650" xr:uid="{C6505380-715E-4BB9-A39C-67CA3D0800FB}"/>
    <cellStyle name="Normal 5 2 2 4 3 4" xfId="9432" xr:uid="{DD68A5D2-0AA6-4632-8BFB-E4498413A190}"/>
    <cellStyle name="Normal 5 2 2 4 4" xfId="1313" xr:uid="{00000000-0005-0000-0000-0000FF170000}"/>
    <cellStyle name="Normal 5 2 2 4 4 2" xfId="3543" xr:uid="{00000000-0005-0000-0000-000000180000}"/>
    <cellStyle name="Normal 5 2 2 4 4 2 2" xfId="7766" xr:uid="{00000000-0005-0000-0000-000001180000}"/>
    <cellStyle name="Normal 5 2 2 4 4 2 2 2" xfId="16208" xr:uid="{90BE1027-154C-460E-BC37-6E85074D546D}"/>
    <cellStyle name="Normal 5 2 2 4 4 2 3" xfId="11990" xr:uid="{9EDC48EF-5A08-4FE7-979F-504F890BB047}"/>
    <cellStyle name="Normal 5 2 2 4 4 3" xfId="5621" xr:uid="{00000000-0005-0000-0000-000002180000}"/>
    <cellStyle name="Normal 5 2 2 4 4 3 2" xfId="14063" xr:uid="{87362FA1-B247-47B6-A89D-A899C195C47F}"/>
    <cellStyle name="Normal 5 2 2 4 4 4" xfId="9845" xr:uid="{DB5CD65C-FE13-4E9B-B94F-714111C0A131}"/>
    <cellStyle name="Normal 5 2 2 4 5" xfId="1726" xr:uid="{00000000-0005-0000-0000-000003180000}"/>
    <cellStyle name="Normal 5 2 2 4 5 2" xfId="3956" xr:uid="{00000000-0005-0000-0000-000004180000}"/>
    <cellStyle name="Normal 5 2 2 4 5 2 2" xfId="8179" xr:uid="{00000000-0005-0000-0000-000005180000}"/>
    <cellStyle name="Normal 5 2 2 4 5 2 2 2" xfId="16621" xr:uid="{4B6C4D4B-8420-4B50-899F-3BC38059CC34}"/>
    <cellStyle name="Normal 5 2 2 4 5 2 3" xfId="12403" xr:uid="{B3E50B8D-41FE-429F-A10E-DE7B5D04EDF4}"/>
    <cellStyle name="Normal 5 2 2 4 5 3" xfId="6034" xr:uid="{00000000-0005-0000-0000-000006180000}"/>
    <cellStyle name="Normal 5 2 2 4 5 3 2" xfId="14476" xr:uid="{2AF01B86-8441-4FC3-A9EE-73F8B80EB1AA}"/>
    <cellStyle name="Normal 5 2 2 4 5 4" xfId="10258" xr:uid="{8D8898D6-8842-4213-A173-2F791B5C001B}"/>
    <cellStyle name="Normal 5 2 2 4 6" xfId="2140" xr:uid="{00000000-0005-0000-0000-000007180000}"/>
    <cellStyle name="Normal 5 2 2 4 6 2" xfId="4369" xr:uid="{00000000-0005-0000-0000-000008180000}"/>
    <cellStyle name="Normal 5 2 2 4 6 2 2" xfId="8592" xr:uid="{00000000-0005-0000-0000-000009180000}"/>
    <cellStyle name="Normal 5 2 2 4 6 2 2 2" xfId="17034" xr:uid="{FF650F4C-AEA9-4774-8974-31D5BBBBFD30}"/>
    <cellStyle name="Normal 5 2 2 4 6 2 3" xfId="12816" xr:uid="{7B440141-76F6-4E95-9EAF-D2A785529E02}"/>
    <cellStyle name="Normal 5 2 2 4 6 3" xfId="6447" xr:uid="{00000000-0005-0000-0000-00000A180000}"/>
    <cellStyle name="Normal 5 2 2 4 6 3 2" xfId="14889" xr:uid="{F87B7497-A09E-4F7E-9A64-731B0E3E91B5}"/>
    <cellStyle name="Normal 5 2 2 4 6 4" xfId="10671" xr:uid="{D1A4FCE8-49AB-4324-B8FF-FF1FA3732EA1}"/>
    <cellStyle name="Normal 5 2 2 4 7" xfId="2576" xr:uid="{00000000-0005-0000-0000-00000B180000}"/>
    <cellStyle name="Normal 5 2 2 4 7 2" xfId="6860" xr:uid="{00000000-0005-0000-0000-00000C180000}"/>
    <cellStyle name="Normal 5 2 2 4 7 2 2" xfId="15302" xr:uid="{8504A49A-0E2F-4093-85E1-F7AFDC4706F9}"/>
    <cellStyle name="Normal 5 2 2 4 7 3" xfId="11084" xr:uid="{1BA8BD40-C7BA-4621-8CD2-FF990144B4C7}"/>
    <cellStyle name="Normal 5 2 2 4 8" xfId="4795" xr:uid="{00000000-0005-0000-0000-00000D180000}"/>
    <cellStyle name="Normal 5 2 2 4 8 2" xfId="13237" xr:uid="{6BFF2CE7-F1D2-4837-9964-98271FC7C229}"/>
    <cellStyle name="Normal 5 2 2 4 9" xfId="9019" xr:uid="{B82444A3-B991-40F3-9F96-04C6FFF962F2}"/>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2 2 2" xfId="15797" xr:uid="{F3D72E95-EED7-4877-A1F9-83A66B528268}"/>
    <cellStyle name="Normal 5 2 2 5 2 2 3" xfId="11579" xr:uid="{16166B03-5926-4F66-8DAB-D82336FF7761}"/>
    <cellStyle name="Normal 5 2 2 5 2 3" xfId="5210" xr:uid="{00000000-0005-0000-0000-000012180000}"/>
    <cellStyle name="Normal 5 2 2 5 2 3 2" xfId="13652" xr:uid="{03830CA4-A049-4BC8-8A00-3CD7C081610E}"/>
    <cellStyle name="Normal 5 2 2 5 2 4" xfId="9434" xr:uid="{28C83E81-B72D-4C16-8A4F-523D90568E40}"/>
    <cellStyle name="Normal 5 2 2 5 3" xfId="1315" xr:uid="{00000000-0005-0000-0000-000013180000}"/>
    <cellStyle name="Normal 5 2 2 5 3 2" xfId="3545" xr:uid="{00000000-0005-0000-0000-000014180000}"/>
    <cellStyle name="Normal 5 2 2 5 3 2 2" xfId="7768" xr:uid="{00000000-0005-0000-0000-000015180000}"/>
    <cellStyle name="Normal 5 2 2 5 3 2 2 2" xfId="16210" xr:uid="{4669607B-4852-44CD-BA5A-C41F72684014}"/>
    <cellStyle name="Normal 5 2 2 5 3 2 3" xfId="11992" xr:uid="{F9327DC2-F041-4212-846D-E189D02CCC42}"/>
    <cellStyle name="Normal 5 2 2 5 3 3" xfId="5623" xr:uid="{00000000-0005-0000-0000-000016180000}"/>
    <cellStyle name="Normal 5 2 2 5 3 3 2" xfId="14065" xr:uid="{B98720BF-2222-47ED-B304-39959605AC39}"/>
    <cellStyle name="Normal 5 2 2 5 3 4" xfId="9847" xr:uid="{18DDB045-7A1C-4E41-9F87-9A3E3694EAC8}"/>
    <cellStyle name="Normal 5 2 2 5 4" xfId="1728" xr:uid="{00000000-0005-0000-0000-000017180000}"/>
    <cellStyle name="Normal 5 2 2 5 4 2" xfId="3958" xr:uid="{00000000-0005-0000-0000-000018180000}"/>
    <cellStyle name="Normal 5 2 2 5 4 2 2" xfId="8181" xr:uid="{00000000-0005-0000-0000-000019180000}"/>
    <cellStyle name="Normal 5 2 2 5 4 2 2 2" xfId="16623" xr:uid="{64682A17-4BD2-411B-A617-F38F182CF435}"/>
    <cellStyle name="Normal 5 2 2 5 4 2 3" xfId="12405" xr:uid="{19B4E477-B76E-449E-8B7E-A5FB96793980}"/>
    <cellStyle name="Normal 5 2 2 5 4 3" xfId="6036" xr:uid="{00000000-0005-0000-0000-00001A180000}"/>
    <cellStyle name="Normal 5 2 2 5 4 3 2" xfId="14478" xr:uid="{9566F547-E01F-41B6-94F9-285C6C801840}"/>
    <cellStyle name="Normal 5 2 2 5 4 4" xfId="10260" xr:uid="{419CE22D-2808-4018-A515-B374CA0E84E2}"/>
    <cellStyle name="Normal 5 2 2 5 5" xfId="2142" xr:uid="{00000000-0005-0000-0000-00001B180000}"/>
    <cellStyle name="Normal 5 2 2 5 5 2" xfId="4371" xr:uid="{00000000-0005-0000-0000-00001C180000}"/>
    <cellStyle name="Normal 5 2 2 5 5 2 2" xfId="8594" xr:uid="{00000000-0005-0000-0000-00001D180000}"/>
    <cellStyle name="Normal 5 2 2 5 5 2 2 2" xfId="17036" xr:uid="{08579442-24B2-4D9C-A57D-FACB884D5694}"/>
    <cellStyle name="Normal 5 2 2 5 5 2 3" xfId="12818" xr:uid="{0E7B137E-79B4-4EB2-B75E-4AAE2EE53D4B}"/>
    <cellStyle name="Normal 5 2 2 5 5 3" xfId="6449" xr:uid="{00000000-0005-0000-0000-00001E180000}"/>
    <cellStyle name="Normal 5 2 2 5 5 3 2" xfId="14891" xr:uid="{C0A6D1C8-55FA-42C2-B7D9-EADA1949AD01}"/>
    <cellStyle name="Normal 5 2 2 5 5 4" xfId="10673" xr:uid="{94603062-BB29-451E-B32D-48EE95A01C91}"/>
    <cellStyle name="Normal 5 2 2 5 6" xfId="2578" xr:uid="{00000000-0005-0000-0000-00001F180000}"/>
    <cellStyle name="Normal 5 2 2 5 6 2" xfId="6862" xr:uid="{00000000-0005-0000-0000-000020180000}"/>
    <cellStyle name="Normal 5 2 2 5 6 2 2" xfId="15304" xr:uid="{D8A84E95-5C7C-4C7A-87E9-2EB7C57EDD44}"/>
    <cellStyle name="Normal 5 2 2 5 6 3" xfId="11086" xr:uid="{36B58D3C-5F3A-42EC-95CA-6A26431BAEA9}"/>
    <cellStyle name="Normal 5 2 2 5 7" xfId="4797" xr:uid="{00000000-0005-0000-0000-000021180000}"/>
    <cellStyle name="Normal 5 2 2 5 7 2" xfId="13239" xr:uid="{B16FAC16-211F-40BD-84AD-3C300B678CC1}"/>
    <cellStyle name="Normal 5 2 2 5 8" xfId="9021" xr:uid="{6A250DEB-798F-4722-B188-D08DAAF73B8C}"/>
    <cellStyle name="Normal 5 2 2 6" xfId="882" xr:uid="{00000000-0005-0000-0000-000022180000}"/>
    <cellStyle name="Normal 5 2 2 6 2" xfId="3117" xr:uid="{00000000-0005-0000-0000-000023180000}"/>
    <cellStyle name="Normal 5 2 2 6 2 2" xfId="7340" xr:uid="{00000000-0005-0000-0000-000024180000}"/>
    <cellStyle name="Normal 5 2 2 6 2 2 2" xfId="15782" xr:uid="{873E60E6-6BF7-4869-BC2D-F6C71F22EFC8}"/>
    <cellStyle name="Normal 5 2 2 6 2 3" xfId="11564" xr:uid="{1497F93B-906E-4A72-B79D-1E6134B1A1CA}"/>
    <cellStyle name="Normal 5 2 2 6 3" xfId="5195" xr:uid="{00000000-0005-0000-0000-000025180000}"/>
    <cellStyle name="Normal 5 2 2 6 3 2" xfId="13637" xr:uid="{2D11EDCC-D1BA-4142-B96E-BD75226E4649}"/>
    <cellStyle name="Normal 5 2 2 6 4" xfId="9419" xr:uid="{7E34125D-494B-44CF-9E4B-3C903DB8B9B5}"/>
    <cellStyle name="Normal 5 2 2 7" xfId="1300" xr:uid="{00000000-0005-0000-0000-000026180000}"/>
    <cellStyle name="Normal 5 2 2 7 2" xfId="3530" xr:uid="{00000000-0005-0000-0000-000027180000}"/>
    <cellStyle name="Normal 5 2 2 7 2 2" xfId="7753" xr:uid="{00000000-0005-0000-0000-000028180000}"/>
    <cellStyle name="Normal 5 2 2 7 2 2 2" xfId="16195" xr:uid="{B601D3C7-1562-46C2-9B55-EA6DF58CAF95}"/>
    <cellStyle name="Normal 5 2 2 7 2 3" xfId="11977" xr:uid="{C4DB71A6-92B5-4BA6-A406-100D95BE852D}"/>
    <cellStyle name="Normal 5 2 2 7 3" xfId="5608" xr:uid="{00000000-0005-0000-0000-000029180000}"/>
    <cellStyle name="Normal 5 2 2 7 3 2" xfId="14050" xr:uid="{41F20748-53C0-4A9E-B664-63C4BD0D2098}"/>
    <cellStyle name="Normal 5 2 2 7 4" xfId="9832" xr:uid="{00A7FE54-851B-4148-A20C-11E3B16F6242}"/>
    <cellStyle name="Normal 5 2 2 8" xfId="1713" xr:uid="{00000000-0005-0000-0000-00002A180000}"/>
    <cellStyle name="Normal 5 2 2 8 2" xfId="3943" xr:uid="{00000000-0005-0000-0000-00002B180000}"/>
    <cellStyle name="Normal 5 2 2 8 2 2" xfId="8166" xr:uid="{00000000-0005-0000-0000-00002C180000}"/>
    <cellStyle name="Normal 5 2 2 8 2 2 2" xfId="16608" xr:uid="{2E492F15-0C90-424F-812C-C46FFEA477F9}"/>
    <cellStyle name="Normal 5 2 2 8 2 3" xfId="12390" xr:uid="{E200F32A-2AE6-40AD-B76D-453374D06D09}"/>
    <cellStyle name="Normal 5 2 2 8 3" xfId="6021" xr:uid="{00000000-0005-0000-0000-00002D180000}"/>
    <cellStyle name="Normal 5 2 2 8 3 2" xfId="14463" xr:uid="{A2B9443E-48F1-4867-87EE-0499781BB588}"/>
    <cellStyle name="Normal 5 2 2 8 4" xfId="10245" xr:uid="{6052884F-DF8C-4557-A82F-A4AE68A99DE4}"/>
    <cellStyle name="Normal 5 2 2 9" xfId="2127" xr:uid="{00000000-0005-0000-0000-00002E180000}"/>
    <cellStyle name="Normal 5 2 2 9 2" xfId="4356" xr:uid="{00000000-0005-0000-0000-00002F180000}"/>
    <cellStyle name="Normal 5 2 2 9 2 2" xfId="8579" xr:uid="{00000000-0005-0000-0000-000030180000}"/>
    <cellStyle name="Normal 5 2 2 9 2 2 2" xfId="17021" xr:uid="{476CB5EF-F52A-4306-8035-7465E1F46F1C}"/>
    <cellStyle name="Normal 5 2 2 9 2 3" xfId="12803" xr:uid="{46DA83AD-2BED-4E92-952D-570E43895056}"/>
    <cellStyle name="Normal 5 2 2 9 3" xfId="6434" xr:uid="{00000000-0005-0000-0000-000031180000}"/>
    <cellStyle name="Normal 5 2 2 9 3 2" xfId="14876" xr:uid="{738FB841-B4CD-4DBE-B69D-5CDF30E640F2}"/>
    <cellStyle name="Normal 5 2 2 9 4" xfId="10658" xr:uid="{DE6C06E3-9FF6-43A7-A430-45C2DFA0F0E8}"/>
    <cellStyle name="Normal 5 2 3" xfId="424" xr:uid="{00000000-0005-0000-0000-000032180000}"/>
    <cellStyle name="Normal 5 2 3 10" xfId="4798" xr:uid="{00000000-0005-0000-0000-000033180000}"/>
    <cellStyle name="Normal 5 2 3 10 2" xfId="13240" xr:uid="{F81B78EB-4706-4AF2-8C6B-AC103CAFE041}"/>
    <cellStyle name="Normal 5 2 3 11" xfId="9022" xr:uid="{857205D7-F581-449E-AC16-D52F3625FCC5}"/>
    <cellStyle name="Normal 5 2 3 2" xfId="425" xr:uid="{00000000-0005-0000-0000-000034180000}"/>
    <cellStyle name="Normal 5 2 3 2 10" xfId="9023" xr:uid="{74576C3A-14A3-42F6-8A7C-D155405E8EB6}"/>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2 2 2" xfId="15801" xr:uid="{2ECC5BB1-6BC0-497F-99DA-A9D7908EF45F}"/>
    <cellStyle name="Normal 5 2 3 2 2 2 2 2 3" xfId="11583" xr:uid="{1A914052-0665-476A-A5F9-E69BFCC211F3}"/>
    <cellStyle name="Normal 5 2 3 2 2 2 2 3" xfId="5214" xr:uid="{00000000-0005-0000-0000-00003A180000}"/>
    <cellStyle name="Normal 5 2 3 2 2 2 2 3 2" xfId="13656" xr:uid="{5CB5B2AA-56AE-4E74-A325-0CA42743AD6C}"/>
    <cellStyle name="Normal 5 2 3 2 2 2 2 4" xfId="9438" xr:uid="{A2C8158D-0455-48ED-BD57-2A17D47718F1}"/>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2 2 2" xfId="16214" xr:uid="{E524DBE5-3BBE-4FD7-80D1-BCE5B5E05596}"/>
    <cellStyle name="Normal 5 2 3 2 2 2 3 2 3" xfId="11996" xr:uid="{831A7A15-E6F0-40DC-BEA8-A123BFDB1CFA}"/>
    <cellStyle name="Normal 5 2 3 2 2 2 3 3" xfId="5627" xr:uid="{00000000-0005-0000-0000-00003E180000}"/>
    <cellStyle name="Normal 5 2 3 2 2 2 3 3 2" xfId="14069" xr:uid="{1729CC3A-F944-4E7F-BE42-1ECD3D0ECBC8}"/>
    <cellStyle name="Normal 5 2 3 2 2 2 3 4" xfId="9851" xr:uid="{8CEC068D-3E44-451C-AE58-B972BDD61175}"/>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2 2 2" xfId="16627" xr:uid="{5EB7C349-9780-44E2-99EE-3795855A7A53}"/>
    <cellStyle name="Normal 5 2 3 2 2 2 4 2 3" xfId="12409" xr:uid="{4D90DAF6-68D5-466B-A770-6C6DAE98A128}"/>
    <cellStyle name="Normal 5 2 3 2 2 2 4 3" xfId="6040" xr:uid="{00000000-0005-0000-0000-000042180000}"/>
    <cellStyle name="Normal 5 2 3 2 2 2 4 3 2" xfId="14482" xr:uid="{D8BC78D2-560B-4E30-BA1D-77315B9EB5A9}"/>
    <cellStyle name="Normal 5 2 3 2 2 2 4 4" xfId="10264" xr:uid="{84273982-642A-4CC6-9C3C-92A1F9ACB63E}"/>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2 2 2" xfId="17040" xr:uid="{5A4211D8-BDBF-4389-993B-79017A28EEDD}"/>
    <cellStyle name="Normal 5 2 3 2 2 2 5 2 3" xfId="12822" xr:uid="{014682EF-7035-4A64-B938-0FA6361F26A8}"/>
    <cellStyle name="Normal 5 2 3 2 2 2 5 3" xfId="6453" xr:uid="{00000000-0005-0000-0000-000046180000}"/>
    <cellStyle name="Normal 5 2 3 2 2 2 5 3 2" xfId="14895" xr:uid="{30B36669-5C78-44EA-A1AA-936B46B451C6}"/>
    <cellStyle name="Normal 5 2 3 2 2 2 5 4" xfId="10677" xr:uid="{EF4E7A09-B457-4371-90D5-AB116B3D364E}"/>
    <cellStyle name="Normal 5 2 3 2 2 2 6" xfId="2582" xr:uid="{00000000-0005-0000-0000-000047180000}"/>
    <cellStyle name="Normal 5 2 3 2 2 2 6 2" xfId="6866" xr:uid="{00000000-0005-0000-0000-000048180000}"/>
    <cellStyle name="Normal 5 2 3 2 2 2 6 2 2" xfId="15308" xr:uid="{7EE6E28B-1DDA-4DED-9821-D880BBC06B30}"/>
    <cellStyle name="Normal 5 2 3 2 2 2 6 3" xfId="11090" xr:uid="{87F0F8D7-2885-4D8D-9FFE-B8D531E0FE0A}"/>
    <cellStyle name="Normal 5 2 3 2 2 2 7" xfId="4801" xr:uid="{00000000-0005-0000-0000-000049180000}"/>
    <cellStyle name="Normal 5 2 3 2 2 2 7 2" xfId="13243" xr:uid="{CBF805D9-B1AD-4A46-B66C-F07FF16CF7AB}"/>
    <cellStyle name="Normal 5 2 3 2 2 2 8" xfId="9025" xr:uid="{2F9B492A-EB2F-4637-8209-84E3684F08AB}"/>
    <cellStyle name="Normal 5 2 3 2 2 3" xfId="900" xr:uid="{00000000-0005-0000-0000-00004A180000}"/>
    <cellStyle name="Normal 5 2 3 2 2 3 2" xfId="3135" xr:uid="{00000000-0005-0000-0000-00004B180000}"/>
    <cellStyle name="Normal 5 2 3 2 2 3 2 2" xfId="7358" xr:uid="{00000000-0005-0000-0000-00004C180000}"/>
    <cellStyle name="Normal 5 2 3 2 2 3 2 2 2" xfId="15800" xr:uid="{9F436CA9-15CD-4391-B4B6-7F5040647EE9}"/>
    <cellStyle name="Normal 5 2 3 2 2 3 2 3" xfId="11582" xr:uid="{A69CC44A-B004-41E3-A62B-48E816BC8F21}"/>
    <cellStyle name="Normal 5 2 3 2 2 3 3" xfId="5213" xr:uid="{00000000-0005-0000-0000-00004D180000}"/>
    <cellStyle name="Normal 5 2 3 2 2 3 3 2" xfId="13655" xr:uid="{18FC1A1E-2C57-455B-BE1F-6762FDA939BD}"/>
    <cellStyle name="Normal 5 2 3 2 2 3 4" xfId="9437" xr:uid="{F54B57CD-D746-40A9-8682-90688E19AB64}"/>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2 2 2" xfId="16213" xr:uid="{8C4F0D28-7D53-4319-882D-128317A6B4DC}"/>
    <cellStyle name="Normal 5 2 3 2 2 4 2 3" xfId="11995" xr:uid="{AE1BF4C3-914C-42E6-B7BE-BE48801C6931}"/>
    <cellStyle name="Normal 5 2 3 2 2 4 3" xfId="5626" xr:uid="{00000000-0005-0000-0000-000051180000}"/>
    <cellStyle name="Normal 5 2 3 2 2 4 3 2" xfId="14068" xr:uid="{84048CEA-1004-492E-844E-FD22FF8CF0A0}"/>
    <cellStyle name="Normal 5 2 3 2 2 4 4" xfId="9850" xr:uid="{AAF44E8F-2A6B-4620-8659-A157E4444459}"/>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2 2 2" xfId="16626" xr:uid="{39A5DBF2-4497-4CE2-B359-A8DAF4798153}"/>
    <cellStyle name="Normal 5 2 3 2 2 5 2 3" xfId="12408" xr:uid="{D611026F-D7DB-4245-9ACF-3602CC5C075F}"/>
    <cellStyle name="Normal 5 2 3 2 2 5 3" xfId="6039" xr:uid="{00000000-0005-0000-0000-000055180000}"/>
    <cellStyle name="Normal 5 2 3 2 2 5 3 2" xfId="14481" xr:uid="{69412D91-CABD-4D29-B8DB-0E490A487709}"/>
    <cellStyle name="Normal 5 2 3 2 2 5 4" xfId="10263" xr:uid="{CDE1B54C-6713-4A4E-B3EE-5DB3312A9A23}"/>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2 2 2" xfId="17039" xr:uid="{199A994E-A929-43BD-B6F3-F71554D9CC68}"/>
    <cellStyle name="Normal 5 2 3 2 2 6 2 3" xfId="12821" xr:uid="{E24FFD1E-A40B-40C0-BEDD-CF00E35A54FD}"/>
    <cellStyle name="Normal 5 2 3 2 2 6 3" xfId="6452" xr:uid="{00000000-0005-0000-0000-000059180000}"/>
    <cellStyle name="Normal 5 2 3 2 2 6 3 2" xfId="14894" xr:uid="{54D56C53-8AE1-4FB7-81BC-2C2D1A68F35B}"/>
    <cellStyle name="Normal 5 2 3 2 2 6 4" xfId="10676" xr:uid="{FDC4A24C-7D0D-4496-8CAA-FEFDA8122B82}"/>
    <cellStyle name="Normal 5 2 3 2 2 7" xfId="2581" xr:uid="{00000000-0005-0000-0000-00005A180000}"/>
    <cellStyle name="Normal 5 2 3 2 2 7 2" xfId="6865" xr:uid="{00000000-0005-0000-0000-00005B180000}"/>
    <cellStyle name="Normal 5 2 3 2 2 7 2 2" xfId="15307" xr:uid="{BACA1C8A-11C0-470F-8E41-3DEC39C84FCA}"/>
    <cellStyle name="Normal 5 2 3 2 2 7 3" xfId="11089" xr:uid="{66B527C1-FB20-4532-ACB6-9A726D8565B0}"/>
    <cellStyle name="Normal 5 2 3 2 2 8" xfId="4800" xr:uid="{00000000-0005-0000-0000-00005C180000}"/>
    <cellStyle name="Normal 5 2 3 2 2 8 2" xfId="13242" xr:uid="{21F61D61-B785-4061-A1DD-3719762FE976}"/>
    <cellStyle name="Normal 5 2 3 2 2 9" xfId="9024" xr:uid="{5DAC3E4A-A057-4F0C-9181-50BDCDD3A9CA}"/>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2 2 2" xfId="15802" xr:uid="{D4BF6F26-BA69-4C52-BD79-DF041489F1C3}"/>
    <cellStyle name="Normal 5 2 3 2 3 2 2 3" xfId="11584" xr:uid="{C528FBB6-EED9-484A-8CEA-90BB78CB8FB4}"/>
    <cellStyle name="Normal 5 2 3 2 3 2 3" xfId="5215" xr:uid="{00000000-0005-0000-0000-000061180000}"/>
    <cellStyle name="Normal 5 2 3 2 3 2 3 2" xfId="13657" xr:uid="{0EAA27EB-9E7B-4307-B6B3-E99C5BBFA7FC}"/>
    <cellStyle name="Normal 5 2 3 2 3 2 4" xfId="9439" xr:uid="{179DAA5C-6FBD-46B3-AA64-A6000FF9BA92}"/>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2 2 2" xfId="16215" xr:uid="{8EE892F8-BC4C-4ADD-BAD5-98B26381F123}"/>
    <cellStyle name="Normal 5 2 3 2 3 3 2 3" xfId="11997" xr:uid="{9B130446-A134-4254-A4EF-644BC8564087}"/>
    <cellStyle name="Normal 5 2 3 2 3 3 3" xfId="5628" xr:uid="{00000000-0005-0000-0000-000065180000}"/>
    <cellStyle name="Normal 5 2 3 2 3 3 3 2" xfId="14070" xr:uid="{D726AD8F-7887-4F26-96B3-62C37A232387}"/>
    <cellStyle name="Normal 5 2 3 2 3 3 4" xfId="9852" xr:uid="{6AC1EE35-6DDE-4941-92B5-46268B80133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2 2 2" xfId="16628" xr:uid="{4180713F-B1A6-4787-931E-698424F7667C}"/>
    <cellStyle name="Normal 5 2 3 2 3 4 2 3" xfId="12410" xr:uid="{66F473AC-A0F3-4DD0-B418-581EE1CB63EC}"/>
    <cellStyle name="Normal 5 2 3 2 3 4 3" xfId="6041" xr:uid="{00000000-0005-0000-0000-000069180000}"/>
    <cellStyle name="Normal 5 2 3 2 3 4 3 2" xfId="14483" xr:uid="{9067600F-CF49-4AE7-944B-E3C333E68AA0}"/>
    <cellStyle name="Normal 5 2 3 2 3 4 4" xfId="10265" xr:uid="{30F9D445-0015-4EAD-818F-7248D249F712}"/>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2 2 2" xfId="17041" xr:uid="{3EBB89C5-6A41-48B4-BAFC-1EBCAD8E9346}"/>
    <cellStyle name="Normal 5 2 3 2 3 5 2 3" xfId="12823" xr:uid="{27B2FBA7-740E-417D-A038-6FA60918E581}"/>
    <cellStyle name="Normal 5 2 3 2 3 5 3" xfId="6454" xr:uid="{00000000-0005-0000-0000-00006D180000}"/>
    <cellStyle name="Normal 5 2 3 2 3 5 3 2" xfId="14896" xr:uid="{38488C73-CDCA-4D5E-9AA8-C86C53DCA042}"/>
    <cellStyle name="Normal 5 2 3 2 3 5 4" xfId="10678" xr:uid="{9FE7F985-3393-4921-8EDE-588E8CBFEA75}"/>
    <cellStyle name="Normal 5 2 3 2 3 6" xfId="2583" xr:uid="{00000000-0005-0000-0000-00006E180000}"/>
    <cellStyle name="Normal 5 2 3 2 3 6 2" xfId="6867" xr:uid="{00000000-0005-0000-0000-00006F180000}"/>
    <cellStyle name="Normal 5 2 3 2 3 6 2 2" xfId="15309" xr:uid="{FDFCB2B2-D163-41C3-81DA-E02A0A4B8E7B}"/>
    <cellStyle name="Normal 5 2 3 2 3 6 3" xfId="11091" xr:uid="{ED9CB757-C321-425C-A666-63179FE6E08D}"/>
    <cellStyle name="Normal 5 2 3 2 3 7" xfId="4802" xr:uid="{00000000-0005-0000-0000-000070180000}"/>
    <cellStyle name="Normal 5 2 3 2 3 7 2" xfId="13244" xr:uid="{6E9D3E3F-BFD8-4904-A656-F186277A996E}"/>
    <cellStyle name="Normal 5 2 3 2 3 8" xfId="9026" xr:uid="{7B7AEFAD-1C3B-4D14-9D18-4AE66F8F3119}"/>
    <cellStyle name="Normal 5 2 3 2 4" xfId="899" xr:uid="{00000000-0005-0000-0000-000071180000}"/>
    <cellStyle name="Normal 5 2 3 2 4 2" xfId="3134" xr:uid="{00000000-0005-0000-0000-000072180000}"/>
    <cellStyle name="Normal 5 2 3 2 4 2 2" xfId="7357" xr:uid="{00000000-0005-0000-0000-000073180000}"/>
    <cellStyle name="Normal 5 2 3 2 4 2 2 2" xfId="15799" xr:uid="{DFA1CCA7-85C3-42D9-A21E-6A36DE1CFBE2}"/>
    <cellStyle name="Normal 5 2 3 2 4 2 3" xfId="11581" xr:uid="{6E1D3377-97A2-46E6-BC75-F91223F63270}"/>
    <cellStyle name="Normal 5 2 3 2 4 3" xfId="5212" xr:uid="{00000000-0005-0000-0000-000074180000}"/>
    <cellStyle name="Normal 5 2 3 2 4 3 2" xfId="13654" xr:uid="{880F0698-71FD-4A22-8E7B-AA6DF173E04A}"/>
    <cellStyle name="Normal 5 2 3 2 4 4" xfId="9436" xr:uid="{A5CCF292-7D1E-4AEF-9690-719C11A0BF35}"/>
    <cellStyle name="Normal 5 2 3 2 5" xfId="1317" xr:uid="{00000000-0005-0000-0000-000075180000}"/>
    <cellStyle name="Normal 5 2 3 2 5 2" xfId="3547" xr:uid="{00000000-0005-0000-0000-000076180000}"/>
    <cellStyle name="Normal 5 2 3 2 5 2 2" xfId="7770" xr:uid="{00000000-0005-0000-0000-000077180000}"/>
    <cellStyle name="Normal 5 2 3 2 5 2 2 2" xfId="16212" xr:uid="{1B212DC3-B131-4045-9BA0-FC7B5380E1C4}"/>
    <cellStyle name="Normal 5 2 3 2 5 2 3" xfId="11994" xr:uid="{4B14AE50-3B77-42BF-9C99-D67E7319A334}"/>
    <cellStyle name="Normal 5 2 3 2 5 3" xfId="5625" xr:uid="{00000000-0005-0000-0000-000078180000}"/>
    <cellStyle name="Normal 5 2 3 2 5 3 2" xfId="14067" xr:uid="{1786BE72-6261-412E-8DF3-3ABF45F0CE17}"/>
    <cellStyle name="Normal 5 2 3 2 5 4" xfId="9849" xr:uid="{CEF2C8CC-FB3F-4C87-88F6-B9AD8B560818}"/>
    <cellStyle name="Normal 5 2 3 2 6" xfId="1730" xr:uid="{00000000-0005-0000-0000-000079180000}"/>
    <cellStyle name="Normal 5 2 3 2 6 2" xfId="3960" xr:uid="{00000000-0005-0000-0000-00007A180000}"/>
    <cellStyle name="Normal 5 2 3 2 6 2 2" xfId="8183" xr:uid="{00000000-0005-0000-0000-00007B180000}"/>
    <cellStyle name="Normal 5 2 3 2 6 2 2 2" xfId="16625" xr:uid="{047ED353-9CC0-4E37-997E-1BDCB7683DE7}"/>
    <cellStyle name="Normal 5 2 3 2 6 2 3" xfId="12407" xr:uid="{7EAEB490-3508-4EB2-B148-0C17FFF087DA}"/>
    <cellStyle name="Normal 5 2 3 2 6 3" xfId="6038" xr:uid="{00000000-0005-0000-0000-00007C180000}"/>
    <cellStyle name="Normal 5 2 3 2 6 3 2" xfId="14480" xr:uid="{CBED6DF6-E705-452D-A0BD-220F7609B0BE}"/>
    <cellStyle name="Normal 5 2 3 2 6 4" xfId="10262" xr:uid="{0E086788-AAC1-4AE1-AEDD-03BC4C87EE52}"/>
    <cellStyle name="Normal 5 2 3 2 7" xfId="2144" xr:uid="{00000000-0005-0000-0000-00007D180000}"/>
    <cellStyle name="Normal 5 2 3 2 7 2" xfId="4373" xr:uid="{00000000-0005-0000-0000-00007E180000}"/>
    <cellStyle name="Normal 5 2 3 2 7 2 2" xfId="8596" xr:uid="{00000000-0005-0000-0000-00007F180000}"/>
    <cellStyle name="Normal 5 2 3 2 7 2 2 2" xfId="17038" xr:uid="{36A411E9-760F-4628-A46F-C25CA287EF19}"/>
    <cellStyle name="Normal 5 2 3 2 7 2 3" xfId="12820" xr:uid="{41DFE9E4-8D31-4345-9952-6C5C7CDC2D4B}"/>
    <cellStyle name="Normal 5 2 3 2 7 3" xfId="6451" xr:uid="{00000000-0005-0000-0000-000080180000}"/>
    <cellStyle name="Normal 5 2 3 2 7 3 2" xfId="14893" xr:uid="{9CB03549-520C-4607-ABCB-D9D8885F6CB1}"/>
    <cellStyle name="Normal 5 2 3 2 7 4" xfId="10675" xr:uid="{5E3CFC37-1DDF-4634-BB98-1D3BB9E4513E}"/>
    <cellStyle name="Normal 5 2 3 2 8" xfId="2580" xr:uid="{00000000-0005-0000-0000-000081180000}"/>
    <cellStyle name="Normal 5 2 3 2 8 2" xfId="6864" xr:uid="{00000000-0005-0000-0000-000082180000}"/>
    <cellStyle name="Normal 5 2 3 2 8 2 2" xfId="15306" xr:uid="{E2679805-E16B-495F-805B-AD348F64A94B}"/>
    <cellStyle name="Normal 5 2 3 2 8 3" xfId="11088" xr:uid="{82105643-4C41-4C6B-BAFB-09CE7646F88F}"/>
    <cellStyle name="Normal 5 2 3 2 9" xfId="4799" xr:uid="{00000000-0005-0000-0000-000083180000}"/>
    <cellStyle name="Normal 5 2 3 2 9 2" xfId="13241" xr:uid="{5942218C-6AB8-4815-84FD-060C2083F19B}"/>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2 2 2" xfId="15804" xr:uid="{DFF61458-8DB5-4318-9B94-0DEE9C15CCC7}"/>
    <cellStyle name="Normal 5 2 3 3 2 2 2 3" xfId="11586" xr:uid="{B40128CE-C399-47F2-8802-604C7C725F5D}"/>
    <cellStyle name="Normal 5 2 3 3 2 2 3" xfId="5217" xr:uid="{00000000-0005-0000-0000-000089180000}"/>
    <cellStyle name="Normal 5 2 3 3 2 2 3 2" xfId="13659" xr:uid="{4630C4E9-18A3-41A3-87AB-335F8157A6C3}"/>
    <cellStyle name="Normal 5 2 3 3 2 2 4" xfId="9441" xr:uid="{013497DC-BA2D-4F5F-BB3C-77D85156939D}"/>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2 2 2" xfId="16217" xr:uid="{C7D47596-C750-44EB-85C7-35AFCC9542FD}"/>
    <cellStyle name="Normal 5 2 3 3 2 3 2 3" xfId="11999" xr:uid="{579FE547-92EF-40B1-85B9-B28529531D9E}"/>
    <cellStyle name="Normal 5 2 3 3 2 3 3" xfId="5630" xr:uid="{00000000-0005-0000-0000-00008D180000}"/>
    <cellStyle name="Normal 5 2 3 3 2 3 3 2" xfId="14072" xr:uid="{B93766B6-7210-4C83-85D1-B56F95F3B07A}"/>
    <cellStyle name="Normal 5 2 3 3 2 3 4" xfId="9854" xr:uid="{A5F1D872-5CC2-486D-8095-52A61CB71ED8}"/>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2 2 2" xfId="16630" xr:uid="{DBD2BFEA-90FC-4676-A0FD-3185445438E8}"/>
    <cellStyle name="Normal 5 2 3 3 2 4 2 3" xfId="12412" xr:uid="{56B3BAA3-C8A9-4C0F-8EBF-1FEB4BB69D3B}"/>
    <cellStyle name="Normal 5 2 3 3 2 4 3" xfId="6043" xr:uid="{00000000-0005-0000-0000-000091180000}"/>
    <cellStyle name="Normal 5 2 3 3 2 4 3 2" xfId="14485" xr:uid="{EF597906-30D6-48CD-B4D4-E476ECCE6119}"/>
    <cellStyle name="Normal 5 2 3 3 2 4 4" xfId="10267" xr:uid="{6D79452F-C318-4F47-90B3-6B499D6B7149}"/>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2 2 2" xfId="17043" xr:uid="{515B94FD-8D88-40F8-938B-AC8C7C9CF8DB}"/>
    <cellStyle name="Normal 5 2 3 3 2 5 2 3" xfId="12825" xr:uid="{B5DFE3D9-BEC6-4D40-99B3-45361A4C90B2}"/>
    <cellStyle name="Normal 5 2 3 3 2 5 3" xfId="6456" xr:uid="{00000000-0005-0000-0000-000095180000}"/>
    <cellStyle name="Normal 5 2 3 3 2 5 3 2" xfId="14898" xr:uid="{2C02B740-D732-4F52-AF26-C1EE66A361C2}"/>
    <cellStyle name="Normal 5 2 3 3 2 5 4" xfId="10680" xr:uid="{6156C4DB-60B9-4F3D-92AE-CAEC0615DFCE}"/>
    <cellStyle name="Normal 5 2 3 3 2 6" xfId="2585" xr:uid="{00000000-0005-0000-0000-000096180000}"/>
    <cellStyle name="Normal 5 2 3 3 2 6 2" xfId="6869" xr:uid="{00000000-0005-0000-0000-000097180000}"/>
    <cellStyle name="Normal 5 2 3 3 2 6 2 2" xfId="15311" xr:uid="{0536CA00-8849-4FF7-9C52-43FAC495BB37}"/>
    <cellStyle name="Normal 5 2 3 3 2 6 3" xfId="11093" xr:uid="{7152784D-1A01-48B1-8F4E-662B16BB6B75}"/>
    <cellStyle name="Normal 5 2 3 3 2 7" xfId="4804" xr:uid="{00000000-0005-0000-0000-000098180000}"/>
    <cellStyle name="Normal 5 2 3 3 2 7 2" xfId="13246" xr:uid="{BE2594E5-DB6B-4288-88F2-FFF687485FF2}"/>
    <cellStyle name="Normal 5 2 3 3 2 8" xfId="9028" xr:uid="{709E1B8E-3298-47E9-8CC9-D46C9E9EE7DC}"/>
    <cellStyle name="Normal 5 2 3 3 3" xfId="903" xr:uid="{00000000-0005-0000-0000-000099180000}"/>
    <cellStyle name="Normal 5 2 3 3 3 2" xfId="3138" xr:uid="{00000000-0005-0000-0000-00009A180000}"/>
    <cellStyle name="Normal 5 2 3 3 3 2 2" xfId="7361" xr:uid="{00000000-0005-0000-0000-00009B180000}"/>
    <cellStyle name="Normal 5 2 3 3 3 2 2 2" xfId="15803" xr:uid="{01CC04FD-BCF8-4D29-B11D-9E6882A88D41}"/>
    <cellStyle name="Normal 5 2 3 3 3 2 3" xfId="11585" xr:uid="{0C8F194F-5CC1-4218-A018-5F5ACD7ACB58}"/>
    <cellStyle name="Normal 5 2 3 3 3 3" xfId="5216" xr:uid="{00000000-0005-0000-0000-00009C180000}"/>
    <cellStyle name="Normal 5 2 3 3 3 3 2" xfId="13658" xr:uid="{D2635091-6541-48FD-A7B8-00B902C6FADD}"/>
    <cellStyle name="Normal 5 2 3 3 3 4" xfId="9440" xr:uid="{BC1139AB-6D05-469E-8985-958B0A750B6B}"/>
    <cellStyle name="Normal 5 2 3 3 4" xfId="1321" xr:uid="{00000000-0005-0000-0000-00009D180000}"/>
    <cellStyle name="Normal 5 2 3 3 4 2" xfId="3551" xr:uid="{00000000-0005-0000-0000-00009E180000}"/>
    <cellStyle name="Normal 5 2 3 3 4 2 2" xfId="7774" xr:uid="{00000000-0005-0000-0000-00009F180000}"/>
    <cellStyle name="Normal 5 2 3 3 4 2 2 2" xfId="16216" xr:uid="{2D9F1003-D62D-4FC9-8C0A-EA5B957230C3}"/>
    <cellStyle name="Normal 5 2 3 3 4 2 3" xfId="11998" xr:uid="{F2B77CAE-C1BA-4F5F-B952-F4CFE8D21CE7}"/>
    <cellStyle name="Normal 5 2 3 3 4 3" xfId="5629" xr:uid="{00000000-0005-0000-0000-0000A0180000}"/>
    <cellStyle name="Normal 5 2 3 3 4 3 2" xfId="14071" xr:uid="{6F078DD8-CD54-4E76-9679-EAFDEEE864AC}"/>
    <cellStyle name="Normal 5 2 3 3 4 4" xfId="9853" xr:uid="{731D070C-CB8D-4751-968D-68334BDA66A3}"/>
    <cellStyle name="Normal 5 2 3 3 5" xfId="1734" xr:uid="{00000000-0005-0000-0000-0000A1180000}"/>
    <cellStyle name="Normal 5 2 3 3 5 2" xfId="3964" xr:uid="{00000000-0005-0000-0000-0000A2180000}"/>
    <cellStyle name="Normal 5 2 3 3 5 2 2" xfId="8187" xr:uid="{00000000-0005-0000-0000-0000A3180000}"/>
    <cellStyle name="Normal 5 2 3 3 5 2 2 2" xfId="16629" xr:uid="{B73C1EAE-2B45-4CA3-A317-B89422F66FC5}"/>
    <cellStyle name="Normal 5 2 3 3 5 2 3" xfId="12411" xr:uid="{2E6E5961-6E1E-487A-A3C4-6AA92D5136F7}"/>
    <cellStyle name="Normal 5 2 3 3 5 3" xfId="6042" xr:uid="{00000000-0005-0000-0000-0000A4180000}"/>
    <cellStyle name="Normal 5 2 3 3 5 3 2" xfId="14484" xr:uid="{9F373609-5F1A-4028-8132-5A3C3507423F}"/>
    <cellStyle name="Normal 5 2 3 3 5 4" xfId="10266" xr:uid="{3DE62D60-74DC-4849-BB94-AFD8B793A311}"/>
    <cellStyle name="Normal 5 2 3 3 6" xfId="2148" xr:uid="{00000000-0005-0000-0000-0000A5180000}"/>
    <cellStyle name="Normal 5 2 3 3 6 2" xfId="4377" xr:uid="{00000000-0005-0000-0000-0000A6180000}"/>
    <cellStyle name="Normal 5 2 3 3 6 2 2" xfId="8600" xr:uid="{00000000-0005-0000-0000-0000A7180000}"/>
    <cellStyle name="Normal 5 2 3 3 6 2 2 2" xfId="17042" xr:uid="{FA7D67C7-828B-43AD-A30E-B56A533EC87B}"/>
    <cellStyle name="Normal 5 2 3 3 6 2 3" xfId="12824" xr:uid="{245D2B49-58B8-4CEC-9DB3-5CF2A04D356A}"/>
    <cellStyle name="Normal 5 2 3 3 6 3" xfId="6455" xr:uid="{00000000-0005-0000-0000-0000A8180000}"/>
    <cellStyle name="Normal 5 2 3 3 6 3 2" xfId="14897" xr:uid="{5608B9D3-86E7-4814-B40A-0D2C861EB301}"/>
    <cellStyle name="Normal 5 2 3 3 6 4" xfId="10679" xr:uid="{8188F8B2-0544-4D4E-B616-1067E558AF71}"/>
    <cellStyle name="Normal 5 2 3 3 7" xfId="2584" xr:uid="{00000000-0005-0000-0000-0000A9180000}"/>
    <cellStyle name="Normal 5 2 3 3 7 2" xfId="6868" xr:uid="{00000000-0005-0000-0000-0000AA180000}"/>
    <cellStyle name="Normal 5 2 3 3 7 2 2" xfId="15310" xr:uid="{0E8E8F97-2304-4B70-B5C0-B7A652441A9B}"/>
    <cellStyle name="Normal 5 2 3 3 7 3" xfId="11092" xr:uid="{6931A2D5-A0CC-43ED-A3D1-B56E5D2ED392}"/>
    <cellStyle name="Normal 5 2 3 3 8" xfId="4803" xr:uid="{00000000-0005-0000-0000-0000AB180000}"/>
    <cellStyle name="Normal 5 2 3 3 8 2" xfId="13245" xr:uid="{2ACFFB74-2C46-41A9-A2BB-4D2C4AFDA754}"/>
    <cellStyle name="Normal 5 2 3 3 9" xfId="9027" xr:uid="{29764557-FDF4-4945-9E8B-00A3F7C17CA9}"/>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2 2 2" xfId="15805" xr:uid="{77049F1B-E36E-4FFE-9430-CEB2D58884CD}"/>
    <cellStyle name="Normal 5 2 3 4 2 2 3" xfId="11587" xr:uid="{BD01F327-BA76-47BF-BF1B-BF0F8F9B99D2}"/>
    <cellStyle name="Normal 5 2 3 4 2 3" xfId="5218" xr:uid="{00000000-0005-0000-0000-0000B0180000}"/>
    <cellStyle name="Normal 5 2 3 4 2 3 2" xfId="13660" xr:uid="{EC47F56E-2EC4-4439-BCFF-B817A8597D63}"/>
    <cellStyle name="Normal 5 2 3 4 2 4" xfId="9442" xr:uid="{773CC43E-5BC4-4EBD-901B-5D97C8E06751}"/>
    <cellStyle name="Normal 5 2 3 4 3" xfId="1323" xr:uid="{00000000-0005-0000-0000-0000B1180000}"/>
    <cellStyle name="Normal 5 2 3 4 3 2" xfId="3553" xr:uid="{00000000-0005-0000-0000-0000B2180000}"/>
    <cellStyle name="Normal 5 2 3 4 3 2 2" xfId="7776" xr:uid="{00000000-0005-0000-0000-0000B3180000}"/>
    <cellStyle name="Normal 5 2 3 4 3 2 2 2" xfId="16218" xr:uid="{A205F917-8B63-4A81-A9C1-594CFD6F7419}"/>
    <cellStyle name="Normal 5 2 3 4 3 2 3" xfId="12000" xr:uid="{847D7CA1-D697-4A7C-80B5-DE9163E2FBDF}"/>
    <cellStyle name="Normal 5 2 3 4 3 3" xfId="5631" xr:uid="{00000000-0005-0000-0000-0000B4180000}"/>
    <cellStyle name="Normal 5 2 3 4 3 3 2" xfId="14073" xr:uid="{8E83001B-6325-4F4B-8AE3-499AF904611A}"/>
    <cellStyle name="Normal 5 2 3 4 3 4" xfId="9855" xr:uid="{34E4CF01-8076-4F5F-BDB4-83BA40DD92FA}"/>
    <cellStyle name="Normal 5 2 3 4 4" xfId="1736" xr:uid="{00000000-0005-0000-0000-0000B5180000}"/>
    <cellStyle name="Normal 5 2 3 4 4 2" xfId="3966" xr:uid="{00000000-0005-0000-0000-0000B6180000}"/>
    <cellStyle name="Normal 5 2 3 4 4 2 2" xfId="8189" xr:uid="{00000000-0005-0000-0000-0000B7180000}"/>
    <cellStyle name="Normal 5 2 3 4 4 2 2 2" xfId="16631" xr:uid="{C29FC9BD-FE5C-4970-AF51-8AC209D9A1B4}"/>
    <cellStyle name="Normal 5 2 3 4 4 2 3" xfId="12413" xr:uid="{B48EDDFE-7C89-4293-AFE3-8A9D1A154B76}"/>
    <cellStyle name="Normal 5 2 3 4 4 3" xfId="6044" xr:uid="{00000000-0005-0000-0000-0000B8180000}"/>
    <cellStyle name="Normal 5 2 3 4 4 3 2" xfId="14486" xr:uid="{DA821C4A-4D1F-4D1E-9162-18BB68F4FA5B}"/>
    <cellStyle name="Normal 5 2 3 4 4 4" xfId="10268" xr:uid="{5CC7D365-2D69-44A7-AF5F-2A3CFF0AEAFD}"/>
    <cellStyle name="Normal 5 2 3 4 5" xfId="2150" xr:uid="{00000000-0005-0000-0000-0000B9180000}"/>
    <cellStyle name="Normal 5 2 3 4 5 2" xfId="4379" xr:uid="{00000000-0005-0000-0000-0000BA180000}"/>
    <cellStyle name="Normal 5 2 3 4 5 2 2" xfId="8602" xr:uid="{00000000-0005-0000-0000-0000BB180000}"/>
    <cellStyle name="Normal 5 2 3 4 5 2 2 2" xfId="17044" xr:uid="{6745F128-1B40-4093-A5D2-EAD08F0B3862}"/>
    <cellStyle name="Normal 5 2 3 4 5 2 3" xfId="12826" xr:uid="{5562332E-2784-484C-92C3-5D1FE0B50E3D}"/>
    <cellStyle name="Normal 5 2 3 4 5 3" xfId="6457" xr:uid="{00000000-0005-0000-0000-0000BC180000}"/>
    <cellStyle name="Normal 5 2 3 4 5 3 2" xfId="14899" xr:uid="{315E5DEC-44FA-437A-B02B-D5423133E119}"/>
    <cellStyle name="Normal 5 2 3 4 5 4" xfId="10681" xr:uid="{557058C9-E6F5-4860-9A9C-1047C5632E2A}"/>
    <cellStyle name="Normal 5 2 3 4 6" xfId="2586" xr:uid="{00000000-0005-0000-0000-0000BD180000}"/>
    <cellStyle name="Normal 5 2 3 4 6 2" xfId="6870" xr:uid="{00000000-0005-0000-0000-0000BE180000}"/>
    <cellStyle name="Normal 5 2 3 4 6 2 2" xfId="15312" xr:uid="{F638C21E-6A63-4B07-A93C-EDFF5596DDC3}"/>
    <cellStyle name="Normal 5 2 3 4 6 3" xfId="11094" xr:uid="{2E38B937-33FA-4603-89BB-A32FCFE53FB8}"/>
    <cellStyle name="Normal 5 2 3 4 7" xfId="4805" xr:uid="{00000000-0005-0000-0000-0000BF180000}"/>
    <cellStyle name="Normal 5 2 3 4 7 2" xfId="13247" xr:uid="{1E4D0DA7-35ED-4B3F-A4A2-E1CDA31DE900}"/>
    <cellStyle name="Normal 5 2 3 4 8" xfId="9029" xr:uid="{8274CB9C-4BEC-47D8-8FEE-6070BF91BACC}"/>
    <cellStyle name="Normal 5 2 3 5" xfId="898" xr:uid="{00000000-0005-0000-0000-0000C0180000}"/>
    <cellStyle name="Normal 5 2 3 5 2" xfId="3133" xr:uid="{00000000-0005-0000-0000-0000C1180000}"/>
    <cellStyle name="Normal 5 2 3 5 2 2" xfId="7356" xr:uid="{00000000-0005-0000-0000-0000C2180000}"/>
    <cellStyle name="Normal 5 2 3 5 2 2 2" xfId="15798" xr:uid="{348EE7D3-F446-44C4-B768-17D4AEFCA4CA}"/>
    <cellStyle name="Normal 5 2 3 5 2 3" xfId="11580" xr:uid="{47C7EF15-8291-4938-A7EE-4AF66ACE7147}"/>
    <cellStyle name="Normal 5 2 3 5 3" xfId="5211" xr:uid="{00000000-0005-0000-0000-0000C3180000}"/>
    <cellStyle name="Normal 5 2 3 5 3 2" xfId="13653" xr:uid="{0330E20A-06E3-4971-8956-183F81E9534A}"/>
    <cellStyle name="Normal 5 2 3 5 4" xfId="9435" xr:uid="{F9F4C870-1D08-497C-AC23-C07F8247FAE6}"/>
    <cellStyle name="Normal 5 2 3 6" xfId="1316" xr:uid="{00000000-0005-0000-0000-0000C4180000}"/>
    <cellStyle name="Normal 5 2 3 6 2" xfId="3546" xr:uid="{00000000-0005-0000-0000-0000C5180000}"/>
    <cellStyle name="Normal 5 2 3 6 2 2" xfId="7769" xr:uid="{00000000-0005-0000-0000-0000C6180000}"/>
    <cellStyle name="Normal 5 2 3 6 2 2 2" xfId="16211" xr:uid="{C7E60F3A-2D81-474D-A867-BD7774E0850C}"/>
    <cellStyle name="Normal 5 2 3 6 2 3" xfId="11993" xr:uid="{DEA4359F-C2E3-4899-8F25-A3B3A90DB18C}"/>
    <cellStyle name="Normal 5 2 3 6 3" xfId="5624" xr:uid="{00000000-0005-0000-0000-0000C7180000}"/>
    <cellStyle name="Normal 5 2 3 6 3 2" xfId="14066" xr:uid="{36AF489B-1987-4BD3-A20E-B1ACF9D72A6A}"/>
    <cellStyle name="Normal 5 2 3 6 4" xfId="9848" xr:uid="{0B91A31B-DB84-49E7-8100-80B1D401EA48}"/>
    <cellStyle name="Normal 5 2 3 7" xfId="1729" xr:uid="{00000000-0005-0000-0000-0000C8180000}"/>
    <cellStyle name="Normal 5 2 3 7 2" xfId="3959" xr:uid="{00000000-0005-0000-0000-0000C9180000}"/>
    <cellStyle name="Normal 5 2 3 7 2 2" xfId="8182" xr:uid="{00000000-0005-0000-0000-0000CA180000}"/>
    <cellStyle name="Normal 5 2 3 7 2 2 2" xfId="16624" xr:uid="{0F8819E9-340C-40FA-AF75-8FD1A348497F}"/>
    <cellStyle name="Normal 5 2 3 7 2 3" xfId="12406" xr:uid="{B74D243B-E60D-4F09-BD68-B293E5FD88E9}"/>
    <cellStyle name="Normal 5 2 3 7 3" xfId="6037" xr:uid="{00000000-0005-0000-0000-0000CB180000}"/>
    <cellStyle name="Normal 5 2 3 7 3 2" xfId="14479" xr:uid="{AB775B12-DB23-4E9D-8525-5203081A4A50}"/>
    <cellStyle name="Normal 5 2 3 7 4" xfId="10261" xr:uid="{B28A97D8-BFE6-488D-8F40-0DCAD0A46BD6}"/>
    <cellStyle name="Normal 5 2 3 8" xfId="2143" xr:uid="{00000000-0005-0000-0000-0000CC180000}"/>
    <cellStyle name="Normal 5 2 3 8 2" xfId="4372" xr:uid="{00000000-0005-0000-0000-0000CD180000}"/>
    <cellStyle name="Normal 5 2 3 8 2 2" xfId="8595" xr:uid="{00000000-0005-0000-0000-0000CE180000}"/>
    <cellStyle name="Normal 5 2 3 8 2 2 2" xfId="17037" xr:uid="{804452C7-989C-4D4F-91D5-72692DBAF03C}"/>
    <cellStyle name="Normal 5 2 3 8 2 3" xfId="12819" xr:uid="{F26E8091-7035-4D2C-B0AE-B157D7E72B9B}"/>
    <cellStyle name="Normal 5 2 3 8 3" xfId="6450" xr:uid="{00000000-0005-0000-0000-0000CF180000}"/>
    <cellStyle name="Normal 5 2 3 8 3 2" xfId="14892" xr:uid="{ECB82CDA-F416-4471-BC63-C73882DC96C1}"/>
    <cellStyle name="Normal 5 2 3 8 4" xfId="10674" xr:uid="{14AC2EC2-45BA-49C9-93C3-360E558C2140}"/>
    <cellStyle name="Normal 5 2 3 9" xfId="2579" xr:uid="{00000000-0005-0000-0000-0000D0180000}"/>
    <cellStyle name="Normal 5 2 3 9 2" xfId="6863" xr:uid="{00000000-0005-0000-0000-0000D1180000}"/>
    <cellStyle name="Normal 5 2 3 9 2 2" xfId="15305" xr:uid="{57891301-2CD0-415A-BF99-2D3A9B065F08}"/>
    <cellStyle name="Normal 5 2 3 9 3" xfId="11087" xr:uid="{738D1D76-38E7-4EA0-A5EB-CC553FC35A83}"/>
    <cellStyle name="Normal 5 2 4" xfId="432" xr:uid="{00000000-0005-0000-0000-0000D2180000}"/>
    <cellStyle name="Normal 5 2 4 10" xfId="9030" xr:uid="{D761D95E-046E-4E7C-94A2-D014DF287F61}"/>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2 2 2" xfId="15808" xr:uid="{82F28B6C-287C-4E36-AFB2-B7AB181C7A3F}"/>
    <cellStyle name="Normal 5 2 4 2 2 2 2 3" xfId="11590" xr:uid="{2D44ADAF-1C0E-4F2D-8FD7-5EC3D91C3065}"/>
    <cellStyle name="Normal 5 2 4 2 2 2 3" xfId="5221" xr:uid="{00000000-0005-0000-0000-0000D8180000}"/>
    <cellStyle name="Normal 5 2 4 2 2 2 3 2" xfId="13663" xr:uid="{1B7F1788-522E-45A4-893B-9BB2CB4C40B0}"/>
    <cellStyle name="Normal 5 2 4 2 2 2 4" xfId="9445" xr:uid="{4C7AF5AD-3BD9-4D81-9EE3-BD445242EB23}"/>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2 2 2" xfId="16221" xr:uid="{90985C57-238E-44A4-A1F6-F359363A3337}"/>
    <cellStyle name="Normal 5 2 4 2 2 3 2 3" xfId="12003" xr:uid="{C2E84275-A420-4501-B5C2-B06B2D7D4C9F}"/>
    <cellStyle name="Normal 5 2 4 2 2 3 3" xfId="5634" xr:uid="{00000000-0005-0000-0000-0000DC180000}"/>
    <cellStyle name="Normal 5 2 4 2 2 3 3 2" xfId="14076" xr:uid="{404A2D63-9D41-494F-AA2F-DC5755A801D9}"/>
    <cellStyle name="Normal 5 2 4 2 2 3 4" xfId="9858" xr:uid="{D74046C8-21BE-4745-873A-219201667506}"/>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2 2 2" xfId="16634" xr:uid="{226465D5-AE31-45AA-A234-17545DE3CED8}"/>
    <cellStyle name="Normal 5 2 4 2 2 4 2 3" xfId="12416" xr:uid="{C34027CD-F5CB-44A0-9594-986BB2E5BF6D}"/>
    <cellStyle name="Normal 5 2 4 2 2 4 3" xfId="6047" xr:uid="{00000000-0005-0000-0000-0000E0180000}"/>
    <cellStyle name="Normal 5 2 4 2 2 4 3 2" xfId="14489" xr:uid="{A161C5A2-4780-4C53-B8E0-B296BACC960A}"/>
    <cellStyle name="Normal 5 2 4 2 2 4 4" xfId="10271" xr:uid="{425025E0-FF84-4E96-91F5-B5A9232A1FEB}"/>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2 2 2" xfId="17047" xr:uid="{0F2C2D93-7F9D-4702-97CF-41C421E58304}"/>
    <cellStyle name="Normal 5 2 4 2 2 5 2 3" xfId="12829" xr:uid="{1AF8DDF9-3B52-4AAB-A1F4-10547CD1C2B3}"/>
    <cellStyle name="Normal 5 2 4 2 2 5 3" xfId="6460" xr:uid="{00000000-0005-0000-0000-0000E4180000}"/>
    <cellStyle name="Normal 5 2 4 2 2 5 3 2" xfId="14902" xr:uid="{8DC5CD3E-917B-450B-A5F4-6812E7A519F9}"/>
    <cellStyle name="Normal 5 2 4 2 2 5 4" xfId="10684" xr:uid="{6B20C257-9AB4-468A-89F0-1C1D94A49BDE}"/>
    <cellStyle name="Normal 5 2 4 2 2 6" xfId="2589" xr:uid="{00000000-0005-0000-0000-0000E5180000}"/>
    <cellStyle name="Normal 5 2 4 2 2 6 2" xfId="6873" xr:uid="{00000000-0005-0000-0000-0000E6180000}"/>
    <cellStyle name="Normal 5 2 4 2 2 6 2 2" xfId="15315" xr:uid="{4F096511-B403-4F72-99E9-CB8861EFB7A8}"/>
    <cellStyle name="Normal 5 2 4 2 2 6 3" xfId="11097" xr:uid="{47853421-E9C5-4FA6-89C7-82F1E8807F98}"/>
    <cellStyle name="Normal 5 2 4 2 2 7" xfId="4808" xr:uid="{00000000-0005-0000-0000-0000E7180000}"/>
    <cellStyle name="Normal 5 2 4 2 2 7 2" xfId="13250" xr:uid="{DCD8E759-2FA8-4DDC-B6D2-B4C6265548E6}"/>
    <cellStyle name="Normal 5 2 4 2 2 8" xfId="9032" xr:uid="{0397AAA5-0C95-4BDC-A0AE-28A4F9743EC3}"/>
    <cellStyle name="Normal 5 2 4 2 3" xfId="907" xr:uid="{00000000-0005-0000-0000-0000E8180000}"/>
    <cellStyle name="Normal 5 2 4 2 3 2" xfId="3142" xr:uid="{00000000-0005-0000-0000-0000E9180000}"/>
    <cellStyle name="Normal 5 2 4 2 3 2 2" xfId="7365" xr:uid="{00000000-0005-0000-0000-0000EA180000}"/>
    <cellStyle name="Normal 5 2 4 2 3 2 2 2" xfId="15807" xr:uid="{16587092-B801-480C-AD4B-7364057686E9}"/>
    <cellStyle name="Normal 5 2 4 2 3 2 3" xfId="11589" xr:uid="{F9B55AE2-A37D-43AC-9A36-654438761820}"/>
    <cellStyle name="Normal 5 2 4 2 3 3" xfId="5220" xr:uid="{00000000-0005-0000-0000-0000EB180000}"/>
    <cellStyle name="Normal 5 2 4 2 3 3 2" xfId="13662" xr:uid="{38699370-B843-45B3-920E-2BF56FC8DF0F}"/>
    <cellStyle name="Normal 5 2 4 2 3 4" xfId="9444" xr:uid="{AEC9BFE9-A9B8-4648-9A60-EA99DBDCB6D2}"/>
    <cellStyle name="Normal 5 2 4 2 4" xfId="1325" xr:uid="{00000000-0005-0000-0000-0000EC180000}"/>
    <cellStyle name="Normal 5 2 4 2 4 2" xfId="3555" xr:uid="{00000000-0005-0000-0000-0000ED180000}"/>
    <cellStyle name="Normal 5 2 4 2 4 2 2" xfId="7778" xr:uid="{00000000-0005-0000-0000-0000EE180000}"/>
    <cellStyle name="Normal 5 2 4 2 4 2 2 2" xfId="16220" xr:uid="{B8F55F11-A7F4-4080-9424-F658786C3B07}"/>
    <cellStyle name="Normal 5 2 4 2 4 2 3" xfId="12002" xr:uid="{747DF0C9-FDF4-495D-A44B-B4583FB84FED}"/>
    <cellStyle name="Normal 5 2 4 2 4 3" xfId="5633" xr:uid="{00000000-0005-0000-0000-0000EF180000}"/>
    <cellStyle name="Normal 5 2 4 2 4 3 2" xfId="14075" xr:uid="{2C596553-EAF3-4CA4-BB3C-032954DC8516}"/>
    <cellStyle name="Normal 5 2 4 2 4 4" xfId="9857" xr:uid="{3904DF4E-15F6-4218-890F-C80D5CC8956D}"/>
    <cellStyle name="Normal 5 2 4 2 5" xfId="1738" xr:uid="{00000000-0005-0000-0000-0000F0180000}"/>
    <cellStyle name="Normal 5 2 4 2 5 2" xfId="3968" xr:uid="{00000000-0005-0000-0000-0000F1180000}"/>
    <cellStyle name="Normal 5 2 4 2 5 2 2" xfId="8191" xr:uid="{00000000-0005-0000-0000-0000F2180000}"/>
    <cellStyle name="Normal 5 2 4 2 5 2 2 2" xfId="16633" xr:uid="{113E9579-07B6-4FA2-AD6F-3BE4B74E2ADE}"/>
    <cellStyle name="Normal 5 2 4 2 5 2 3" xfId="12415" xr:uid="{AD3C6A40-595D-49D3-A650-0D2CB0185532}"/>
    <cellStyle name="Normal 5 2 4 2 5 3" xfId="6046" xr:uid="{00000000-0005-0000-0000-0000F3180000}"/>
    <cellStyle name="Normal 5 2 4 2 5 3 2" xfId="14488" xr:uid="{F5C2E505-C73F-4CC4-8B83-F63E78835233}"/>
    <cellStyle name="Normal 5 2 4 2 5 4" xfId="10270" xr:uid="{9F8153C5-7EFB-48F6-B1A8-9541AC383715}"/>
    <cellStyle name="Normal 5 2 4 2 6" xfId="2152" xr:uid="{00000000-0005-0000-0000-0000F4180000}"/>
    <cellStyle name="Normal 5 2 4 2 6 2" xfId="4381" xr:uid="{00000000-0005-0000-0000-0000F5180000}"/>
    <cellStyle name="Normal 5 2 4 2 6 2 2" xfId="8604" xr:uid="{00000000-0005-0000-0000-0000F6180000}"/>
    <cellStyle name="Normal 5 2 4 2 6 2 2 2" xfId="17046" xr:uid="{657660FB-21AA-431A-9C15-53925E3AD468}"/>
    <cellStyle name="Normal 5 2 4 2 6 2 3" xfId="12828" xr:uid="{408DB344-A1DE-401F-B82B-87AD8792FA88}"/>
    <cellStyle name="Normal 5 2 4 2 6 3" xfId="6459" xr:uid="{00000000-0005-0000-0000-0000F7180000}"/>
    <cellStyle name="Normal 5 2 4 2 6 3 2" xfId="14901" xr:uid="{9E1E3BD7-FB79-4687-8756-2B302028CB6F}"/>
    <cellStyle name="Normal 5 2 4 2 6 4" xfId="10683" xr:uid="{DFEEFCC3-8C24-4C36-ADBA-DD82F097E548}"/>
    <cellStyle name="Normal 5 2 4 2 7" xfId="2588" xr:uid="{00000000-0005-0000-0000-0000F8180000}"/>
    <cellStyle name="Normal 5 2 4 2 7 2" xfId="6872" xr:uid="{00000000-0005-0000-0000-0000F9180000}"/>
    <cellStyle name="Normal 5 2 4 2 7 2 2" xfId="15314" xr:uid="{812B9DAE-48B9-4A22-A8AE-68D22ED8C36E}"/>
    <cellStyle name="Normal 5 2 4 2 7 3" xfId="11096" xr:uid="{3E3CE96A-8E8A-444D-9202-E76FF4E07FD1}"/>
    <cellStyle name="Normal 5 2 4 2 8" xfId="4807" xr:uid="{00000000-0005-0000-0000-0000FA180000}"/>
    <cellStyle name="Normal 5 2 4 2 8 2" xfId="13249" xr:uid="{FB70397A-2EF5-4374-8B86-DDE9F89CFDCE}"/>
    <cellStyle name="Normal 5 2 4 2 9" xfId="9031" xr:uid="{EE9DFC46-8787-4EC5-B852-0E5362AC4991}"/>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2 2 2" xfId="15809" xr:uid="{0464C547-6D73-45D8-8C98-8862D7887159}"/>
    <cellStyle name="Normal 5 2 4 3 2 2 3" xfId="11591" xr:uid="{64A3128C-3C5F-4F95-B8C1-E70731759C26}"/>
    <cellStyle name="Normal 5 2 4 3 2 3" xfId="5222" xr:uid="{00000000-0005-0000-0000-0000FF180000}"/>
    <cellStyle name="Normal 5 2 4 3 2 3 2" xfId="13664" xr:uid="{766F03B8-8235-45CE-A551-BB5FB211D7EE}"/>
    <cellStyle name="Normal 5 2 4 3 2 4" xfId="9446" xr:uid="{285D0AF7-2017-4523-B185-3D1D2F5E8FED}"/>
    <cellStyle name="Normal 5 2 4 3 3" xfId="1327" xr:uid="{00000000-0005-0000-0000-000000190000}"/>
    <cellStyle name="Normal 5 2 4 3 3 2" xfId="3557" xr:uid="{00000000-0005-0000-0000-000001190000}"/>
    <cellStyle name="Normal 5 2 4 3 3 2 2" xfId="7780" xr:uid="{00000000-0005-0000-0000-000002190000}"/>
    <cellStyle name="Normal 5 2 4 3 3 2 2 2" xfId="16222" xr:uid="{EA8BEB9E-99E4-4DE7-9161-0FAFB98ACB27}"/>
    <cellStyle name="Normal 5 2 4 3 3 2 3" xfId="12004" xr:uid="{B5A8CC55-FAC3-43BA-8978-C59758A0A6D4}"/>
    <cellStyle name="Normal 5 2 4 3 3 3" xfId="5635" xr:uid="{00000000-0005-0000-0000-000003190000}"/>
    <cellStyle name="Normal 5 2 4 3 3 3 2" xfId="14077" xr:uid="{7A90C6CB-239A-4564-8072-EB77D12FDC94}"/>
    <cellStyle name="Normal 5 2 4 3 3 4" xfId="9859" xr:uid="{69DBBC90-D7E5-49EC-AC04-FBA4351C266E}"/>
    <cellStyle name="Normal 5 2 4 3 4" xfId="1740" xr:uid="{00000000-0005-0000-0000-000004190000}"/>
    <cellStyle name="Normal 5 2 4 3 4 2" xfId="3970" xr:uid="{00000000-0005-0000-0000-000005190000}"/>
    <cellStyle name="Normal 5 2 4 3 4 2 2" xfId="8193" xr:uid="{00000000-0005-0000-0000-000006190000}"/>
    <cellStyle name="Normal 5 2 4 3 4 2 2 2" xfId="16635" xr:uid="{8A3D81AB-7859-42A9-864A-0D2EB5082E5E}"/>
    <cellStyle name="Normal 5 2 4 3 4 2 3" xfId="12417" xr:uid="{A833AE0E-6B0B-445C-B03A-7F882E4CFE7A}"/>
    <cellStyle name="Normal 5 2 4 3 4 3" xfId="6048" xr:uid="{00000000-0005-0000-0000-000007190000}"/>
    <cellStyle name="Normal 5 2 4 3 4 3 2" xfId="14490" xr:uid="{464A7298-C7C6-4D59-A184-A51F61C29524}"/>
    <cellStyle name="Normal 5 2 4 3 4 4" xfId="10272" xr:uid="{9BA1FFF8-5330-47AF-95EA-FBB27E07404A}"/>
    <cellStyle name="Normal 5 2 4 3 5" xfId="2154" xr:uid="{00000000-0005-0000-0000-000008190000}"/>
    <cellStyle name="Normal 5 2 4 3 5 2" xfId="4383" xr:uid="{00000000-0005-0000-0000-000009190000}"/>
    <cellStyle name="Normal 5 2 4 3 5 2 2" xfId="8606" xr:uid="{00000000-0005-0000-0000-00000A190000}"/>
    <cellStyle name="Normal 5 2 4 3 5 2 2 2" xfId="17048" xr:uid="{9ABD747C-754F-46EC-B783-A94DD2F784B4}"/>
    <cellStyle name="Normal 5 2 4 3 5 2 3" xfId="12830" xr:uid="{AC748256-088E-470B-80EA-693BA6086A61}"/>
    <cellStyle name="Normal 5 2 4 3 5 3" xfId="6461" xr:uid="{00000000-0005-0000-0000-00000B190000}"/>
    <cellStyle name="Normal 5 2 4 3 5 3 2" xfId="14903" xr:uid="{01B90E82-1F6F-4070-BEC5-9B68272C3441}"/>
    <cellStyle name="Normal 5 2 4 3 5 4" xfId="10685" xr:uid="{FEC96E74-3BE1-4661-89AB-F0FA9D9AC7B0}"/>
    <cellStyle name="Normal 5 2 4 3 6" xfId="2590" xr:uid="{00000000-0005-0000-0000-00000C190000}"/>
    <cellStyle name="Normal 5 2 4 3 6 2" xfId="6874" xr:uid="{00000000-0005-0000-0000-00000D190000}"/>
    <cellStyle name="Normal 5 2 4 3 6 2 2" xfId="15316" xr:uid="{BC1FE570-1476-474B-9857-322E75FD6605}"/>
    <cellStyle name="Normal 5 2 4 3 6 3" xfId="11098" xr:uid="{6BE94C39-5306-4FD3-AADC-F448584A897D}"/>
    <cellStyle name="Normal 5 2 4 3 7" xfId="4809" xr:uid="{00000000-0005-0000-0000-00000E190000}"/>
    <cellStyle name="Normal 5 2 4 3 7 2" xfId="13251" xr:uid="{C887FBEA-7B2A-48B3-9B58-936F18CDA4DA}"/>
    <cellStyle name="Normal 5 2 4 3 8" xfId="9033" xr:uid="{269C536E-C614-4485-8658-2C9DD4F4E747}"/>
    <cellStyle name="Normal 5 2 4 4" xfId="906" xr:uid="{00000000-0005-0000-0000-00000F190000}"/>
    <cellStyle name="Normal 5 2 4 4 2" xfId="3141" xr:uid="{00000000-0005-0000-0000-000010190000}"/>
    <cellStyle name="Normal 5 2 4 4 2 2" xfId="7364" xr:uid="{00000000-0005-0000-0000-000011190000}"/>
    <cellStyle name="Normal 5 2 4 4 2 2 2" xfId="15806" xr:uid="{4A9D12B9-46BC-41CC-87CC-EB9F497DFB75}"/>
    <cellStyle name="Normal 5 2 4 4 2 3" xfId="11588" xr:uid="{3FC5DAF8-FDB1-4962-8B02-67F7B0EF5BB5}"/>
    <cellStyle name="Normal 5 2 4 4 3" xfId="5219" xr:uid="{00000000-0005-0000-0000-000012190000}"/>
    <cellStyle name="Normal 5 2 4 4 3 2" xfId="13661" xr:uid="{A69510E6-FE7C-44FB-9D29-E56C5AAFE375}"/>
    <cellStyle name="Normal 5 2 4 4 4" xfId="9443" xr:uid="{7F407609-B654-4742-BB46-149A9D338861}"/>
    <cellStyle name="Normal 5 2 4 5" xfId="1324" xr:uid="{00000000-0005-0000-0000-000013190000}"/>
    <cellStyle name="Normal 5 2 4 5 2" xfId="3554" xr:uid="{00000000-0005-0000-0000-000014190000}"/>
    <cellStyle name="Normal 5 2 4 5 2 2" xfId="7777" xr:uid="{00000000-0005-0000-0000-000015190000}"/>
    <cellStyle name="Normal 5 2 4 5 2 2 2" xfId="16219" xr:uid="{8602D181-42F2-4117-A9D7-A0F62E30801F}"/>
    <cellStyle name="Normal 5 2 4 5 2 3" xfId="12001" xr:uid="{D271CE43-57BA-414E-8341-A35A7AE51808}"/>
    <cellStyle name="Normal 5 2 4 5 3" xfId="5632" xr:uid="{00000000-0005-0000-0000-000016190000}"/>
    <cellStyle name="Normal 5 2 4 5 3 2" xfId="14074" xr:uid="{BBE7E609-1BB4-418A-B80A-5604F359D3E9}"/>
    <cellStyle name="Normal 5 2 4 5 4" xfId="9856" xr:uid="{C1FE3C67-7A70-4CA8-AB25-219BAF792580}"/>
    <cellStyle name="Normal 5 2 4 6" xfId="1737" xr:uid="{00000000-0005-0000-0000-000017190000}"/>
    <cellStyle name="Normal 5 2 4 6 2" xfId="3967" xr:uid="{00000000-0005-0000-0000-000018190000}"/>
    <cellStyle name="Normal 5 2 4 6 2 2" xfId="8190" xr:uid="{00000000-0005-0000-0000-000019190000}"/>
    <cellStyle name="Normal 5 2 4 6 2 2 2" xfId="16632" xr:uid="{B42B78BE-B31B-4A15-AEE0-AB1014BAD2AC}"/>
    <cellStyle name="Normal 5 2 4 6 2 3" xfId="12414" xr:uid="{748D8595-BC7D-4B36-B8E2-0FA4E4BC3DE8}"/>
    <cellStyle name="Normal 5 2 4 6 3" xfId="6045" xr:uid="{00000000-0005-0000-0000-00001A190000}"/>
    <cellStyle name="Normal 5 2 4 6 3 2" xfId="14487" xr:uid="{9C3A8A45-A12B-4FF0-B3ED-FA9E90B2549C}"/>
    <cellStyle name="Normal 5 2 4 6 4" xfId="10269" xr:uid="{3FBA80F5-14D0-417C-8518-E5D21D98D80E}"/>
    <cellStyle name="Normal 5 2 4 7" xfId="2151" xr:uid="{00000000-0005-0000-0000-00001B190000}"/>
    <cellStyle name="Normal 5 2 4 7 2" xfId="4380" xr:uid="{00000000-0005-0000-0000-00001C190000}"/>
    <cellStyle name="Normal 5 2 4 7 2 2" xfId="8603" xr:uid="{00000000-0005-0000-0000-00001D190000}"/>
    <cellStyle name="Normal 5 2 4 7 2 2 2" xfId="17045" xr:uid="{2264D80D-B35D-447F-8964-318818BC5AE3}"/>
    <cellStyle name="Normal 5 2 4 7 2 3" xfId="12827" xr:uid="{F16C1F8D-743B-4269-BE05-E3B9ADAA44D3}"/>
    <cellStyle name="Normal 5 2 4 7 3" xfId="6458" xr:uid="{00000000-0005-0000-0000-00001E190000}"/>
    <cellStyle name="Normal 5 2 4 7 3 2" xfId="14900" xr:uid="{F2543B19-16A5-4A9B-AD94-6FBD81F890E2}"/>
    <cellStyle name="Normal 5 2 4 7 4" xfId="10682" xr:uid="{13B5361F-5D4F-43D0-AA47-1B148761E8AF}"/>
    <cellStyle name="Normal 5 2 4 8" xfId="2587" xr:uid="{00000000-0005-0000-0000-00001F190000}"/>
    <cellStyle name="Normal 5 2 4 8 2" xfId="6871" xr:uid="{00000000-0005-0000-0000-000020190000}"/>
    <cellStyle name="Normal 5 2 4 8 2 2" xfId="15313" xr:uid="{F60D192D-C4A0-441F-9F76-DD14BDD27A43}"/>
    <cellStyle name="Normal 5 2 4 8 3" xfId="11095" xr:uid="{35046EDB-3E63-44FF-B4EF-008B55D83FA1}"/>
    <cellStyle name="Normal 5 2 4 9" xfId="4806" xr:uid="{00000000-0005-0000-0000-000021190000}"/>
    <cellStyle name="Normal 5 2 4 9 2" xfId="13248" xr:uid="{8E187CF3-E2EC-4FBD-AA60-DC5DBBE27662}"/>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2 2 2" xfId="15811" xr:uid="{C5BB875D-14F5-4BCB-814B-E2808F39E964}"/>
    <cellStyle name="Normal 5 2 5 2 2 2 3" xfId="11593" xr:uid="{9EEF4605-EEA3-4CE2-A98D-63C8566AE0EC}"/>
    <cellStyle name="Normal 5 2 5 2 2 3" xfId="5224" xr:uid="{00000000-0005-0000-0000-000027190000}"/>
    <cellStyle name="Normal 5 2 5 2 2 3 2" xfId="13666" xr:uid="{E93571B0-06E4-46C0-9426-84856596936A}"/>
    <cellStyle name="Normal 5 2 5 2 2 4" xfId="9448" xr:uid="{97F2000E-0268-4BB8-9897-5D4407E17C6E}"/>
    <cellStyle name="Normal 5 2 5 2 3" xfId="1329" xr:uid="{00000000-0005-0000-0000-000028190000}"/>
    <cellStyle name="Normal 5 2 5 2 3 2" xfId="3559" xr:uid="{00000000-0005-0000-0000-000029190000}"/>
    <cellStyle name="Normal 5 2 5 2 3 2 2" xfId="7782" xr:uid="{00000000-0005-0000-0000-00002A190000}"/>
    <cellStyle name="Normal 5 2 5 2 3 2 2 2" xfId="16224" xr:uid="{48E48E14-C93F-4995-84DC-B7700C82A4DE}"/>
    <cellStyle name="Normal 5 2 5 2 3 2 3" xfId="12006" xr:uid="{F652D478-96DB-479E-A917-ABE69F4D4E9B}"/>
    <cellStyle name="Normal 5 2 5 2 3 3" xfId="5637" xr:uid="{00000000-0005-0000-0000-00002B190000}"/>
    <cellStyle name="Normal 5 2 5 2 3 3 2" xfId="14079" xr:uid="{24686401-8028-4D16-B759-7590657BAADB}"/>
    <cellStyle name="Normal 5 2 5 2 3 4" xfId="9861" xr:uid="{B51334AC-9B40-4AA4-A6C1-4FA3C2736D27}"/>
    <cellStyle name="Normal 5 2 5 2 4" xfId="1742" xr:uid="{00000000-0005-0000-0000-00002C190000}"/>
    <cellStyle name="Normal 5 2 5 2 4 2" xfId="3972" xr:uid="{00000000-0005-0000-0000-00002D190000}"/>
    <cellStyle name="Normal 5 2 5 2 4 2 2" xfId="8195" xr:uid="{00000000-0005-0000-0000-00002E190000}"/>
    <cellStyle name="Normal 5 2 5 2 4 2 2 2" xfId="16637" xr:uid="{3D62055C-6590-473B-BB79-C0A97AD1A430}"/>
    <cellStyle name="Normal 5 2 5 2 4 2 3" xfId="12419" xr:uid="{C7566380-9B7C-4907-A937-78C469C2DC9E}"/>
    <cellStyle name="Normal 5 2 5 2 4 3" xfId="6050" xr:uid="{00000000-0005-0000-0000-00002F190000}"/>
    <cellStyle name="Normal 5 2 5 2 4 3 2" xfId="14492" xr:uid="{98E27331-40A2-4BC5-AB79-6F9D583F400E}"/>
    <cellStyle name="Normal 5 2 5 2 4 4" xfId="10274" xr:uid="{70C85519-6B8F-4C24-96DD-82874F0D9559}"/>
    <cellStyle name="Normal 5 2 5 2 5" xfId="2156" xr:uid="{00000000-0005-0000-0000-000030190000}"/>
    <cellStyle name="Normal 5 2 5 2 5 2" xfId="4385" xr:uid="{00000000-0005-0000-0000-000031190000}"/>
    <cellStyle name="Normal 5 2 5 2 5 2 2" xfId="8608" xr:uid="{00000000-0005-0000-0000-000032190000}"/>
    <cellStyle name="Normal 5 2 5 2 5 2 2 2" xfId="17050" xr:uid="{E920F595-1A7D-40D1-89FA-EFD0A43273A4}"/>
    <cellStyle name="Normal 5 2 5 2 5 2 3" xfId="12832" xr:uid="{D74121E2-AEAA-40C2-B519-618349EEF6CE}"/>
    <cellStyle name="Normal 5 2 5 2 5 3" xfId="6463" xr:uid="{00000000-0005-0000-0000-000033190000}"/>
    <cellStyle name="Normal 5 2 5 2 5 3 2" xfId="14905" xr:uid="{5A575DF8-174D-4AE9-BE82-F7F0965177EF}"/>
    <cellStyle name="Normal 5 2 5 2 5 4" xfId="10687" xr:uid="{5DFC9A0C-F213-426E-BD9C-4C8C12C83230}"/>
    <cellStyle name="Normal 5 2 5 2 6" xfId="2592" xr:uid="{00000000-0005-0000-0000-000034190000}"/>
    <cellStyle name="Normal 5 2 5 2 6 2" xfId="6876" xr:uid="{00000000-0005-0000-0000-000035190000}"/>
    <cellStyle name="Normal 5 2 5 2 6 2 2" xfId="15318" xr:uid="{CCBDAD62-7147-4FF3-841B-DD5D0FCBD3A5}"/>
    <cellStyle name="Normal 5 2 5 2 6 3" xfId="11100" xr:uid="{094C73DB-5B23-4782-93A1-373BD5393079}"/>
    <cellStyle name="Normal 5 2 5 2 7" xfId="4811" xr:uid="{00000000-0005-0000-0000-000036190000}"/>
    <cellStyle name="Normal 5 2 5 2 7 2" xfId="13253" xr:uid="{601E669F-FB02-49F2-BF81-303441FB2A3B}"/>
    <cellStyle name="Normal 5 2 5 2 8" xfId="9035" xr:uid="{6EF6F71C-ED02-4695-8412-DBF3024699CF}"/>
    <cellStyle name="Normal 5 2 5 3" xfId="910" xr:uid="{00000000-0005-0000-0000-000037190000}"/>
    <cellStyle name="Normal 5 2 5 3 2" xfId="3145" xr:uid="{00000000-0005-0000-0000-000038190000}"/>
    <cellStyle name="Normal 5 2 5 3 2 2" xfId="7368" xr:uid="{00000000-0005-0000-0000-000039190000}"/>
    <cellStyle name="Normal 5 2 5 3 2 2 2" xfId="15810" xr:uid="{6E7AA01A-5167-492B-8EB8-4878544CAC89}"/>
    <cellStyle name="Normal 5 2 5 3 2 3" xfId="11592" xr:uid="{BD4589C3-4779-4EFA-ABA8-6591CBCA9781}"/>
    <cellStyle name="Normal 5 2 5 3 3" xfId="5223" xr:uid="{00000000-0005-0000-0000-00003A190000}"/>
    <cellStyle name="Normal 5 2 5 3 3 2" xfId="13665" xr:uid="{DA8D0DE7-2659-4341-985A-4B41C319F0B2}"/>
    <cellStyle name="Normal 5 2 5 3 4" xfId="9447" xr:uid="{ADF482D4-6D41-49C3-B1C8-3D3F1211CC01}"/>
    <cellStyle name="Normal 5 2 5 4" xfId="1328" xr:uid="{00000000-0005-0000-0000-00003B190000}"/>
    <cellStyle name="Normal 5 2 5 4 2" xfId="3558" xr:uid="{00000000-0005-0000-0000-00003C190000}"/>
    <cellStyle name="Normal 5 2 5 4 2 2" xfId="7781" xr:uid="{00000000-0005-0000-0000-00003D190000}"/>
    <cellStyle name="Normal 5 2 5 4 2 2 2" xfId="16223" xr:uid="{88D07957-2346-48EF-9707-340B4444BA84}"/>
    <cellStyle name="Normal 5 2 5 4 2 3" xfId="12005" xr:uid="{6BB9A698-CCDE-4E65-8376-BFE90AA61448}"/>
    <cellStyle name="Normal 5 2 5 4 3" xfId="5636" xr:uid="{00000000-0005-0000-0000-00003E190000}"/>
    <cellStyle name="Normal 5 2 5 4 3 2" xfId="14078" xr:uid="{7E142FAF-04EC-4C30-8281-E7C6A43E8229}"/>
    <cellStyle name="Normal 5 2 5 4 4" xfId="9860" xr:uid="{8E13F5B3-6F8A-4CA1-B8A3-3430B39698FD}"/>
    <cellStyle name="Normal 5 2 5 5" xfId="1741" xr:uid="{00000000-0005-0000-0000-00003F190000}"/>
    <cellStyle name="Normal 5 2 5 5 2" xfId="3971" xr:uid="{00000000-0005-0000-0000-000040190000}"/>
    <cellStyle name="Normal 5 2 5 5 2 2" xfId="8194" xr:uid="{00000000-0005-0000-0000-000041190000}"/>
    <cellStyle name="Normal 5 2 5 5 2 2 2" xfId="16636" xr:uid="{03A6F917-DCB2-4E55-8F8A-C8B906D3B177}"/>
    <cellStyle name="Normal 5 2 5 5 2 3" xfId="12418" xr:uid="{88BC4AC9-8AA8-4DFE-8563-A667D0F8B59C}"/>
    <cellStyle name="Normal 5 2 5 5 3" xfId="6049" xr:uid="{00000000-0005-0000-0000-000042190000}"/>
    <cellStyle name="Normal 5 2 5 5 3 2" xfId="14491" xr:uid="{DE36F6F9-78F1-42D9-A3F5-8275F47A3F93}"/>
    <cellStyle name="Normal 5 2 5 5 4" xfId="10273" xr:uid="{AB391BB7-8644-471D-B659-26FB8961624E}"/>
    <cellStyle name="Normal 5 2 5 6" xfId="2155" xr:uid="{00000000-0005-0000-0000-000043190000}"/>
    <cellStyle name="Normal 5 2 5 6 2" xfId="4384" xr:uid="{00000000-0005-0000-0000-000044190000}"/>
    <cellStyle name="Normal 5 2 5 6 2 2" xfId="8607" xr:uid="{00000000-0005-0000-0000-000045190000}"/>
    <cellStyle name="Normal 5 2 5 6 2 2 2" xfId="17049" xr:uid="{7FE683EB-48F4-4DEA-BA5C-A0D339F9E50A}"/>
    <cellStyle name="Normal 5 2 5 6 2 3" xfId="12831" xr:uid="{374450D1-26EF-4B00-A4C0-D39F982F9633}"/>
    <cellStyle name="Normal 5 2 5 6 3" xfId="6462" xr:uid="{00000000-0005-0000-0000-000046190000}"/>
    <cellStyle name="Normal 5 2 5 6 3 2" xfId="14904" xr:uid="{94CBE247-421B-43D3-9145-E8A068009381}"/>
    <cellStyle name="Normal 5 2 5 6 4" xfId="10686" xr:uid="{3BA597CC-020D-4C14-AB8D-00025D97B6DB}"/>
    <cellStyle name="Normal 5 2 5 7" xfId="2591" xr:uid="{00000000-0005-0000-0000-000047190000}"/>
    <cellStyle name="Normal 5 2 5 7 2" xfId="6875" xr:uid="{00000000-0005-0000-0000-000048190000}"/>
    <cellStyle name="Normal 5 2 5 7 2 2" xfId="15317" xr:uid="{55082841-46AA-4870-82CD-F73A35CFDEA8}"/>
    <cellStyle name="Normal 5 2 5 7 3" xfId="11099" xr:uid="{902A66A9-DD69-412C-9E69-F3588A2F5E14}"/>
    <cellStyle name="Normal 5 2 5 8" xfId="4810" xr:uid="{00000000-0005-0000-0000-000049190000}"/>
    <cellStyle name="Normal 5 2 5 8 2" xfId="13252" xr:uid="{A13AB54D-296D-466E-AB89-E41C981B5D7E}"/>
    <cellStyle name="Normal 5 2 5 9" xfId="9034" xr:uid="{35D90A7F-35CD-460A-BEF5-164798164B4D}"/>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2 2 2" xfId="15812" xr:uid="{26ABC895-5A31-456E-8B0F-6C2C76E9FBAD}"/>
    <cellStyle name="Normal 5 2 6 2 2 3" xfId="11594" xr:uid="{D0C86ADA-BF93-4EF4-A1F9-132AC55C01C2}"/>
    <cellStyle name="Normal 5 2 6 2 3" xfId="5225" xr:uid="{00000000-0005-0000-0000-00004E190000}"/>
    <cellStyle name="Normal 5 2 6 2 3 2" xfId="13667" xr:uid="{046C2875-B9CA-477F-8084-72F47A9CA80E}"/>
    <cellStyle name="Normal 5 2 6 2 4" xfId="9449" xr:uid="{63A8FD15-03ED-4A25-9359-6CD6E3F7695D}"/>
    <cellStyle name="Normal 5 2 6 3" xfId="1330" xr:uid="{00000000-0005-0000-0000-00004F190000}"/>
    <cellStyle name="Normal 5 2 6 3 2" xfId="3560" xr:uid="{00000000-0005-0000-0000-000050190000}"/>
    <cellStyle name="Normal 5 2 6 3 2 2" xfId="7783" xr:uid="{00000000-0005-0000-0000-000051190000}"/>
    <cellStyle name="Normal 5 2 6 3 2 2 2" xfId="16225" xr:uid="{C92D5770-0878-449B-8BE8-74D37BAFC1E5}"/>
    <cellStyle name="Normal 5 2 6 3 2 3" xfId="12007" xr:uid="{720FA0A0-DB57-4324-9B4F-160056C0E09A}"/>
    <cellStyle name="Normal 5 2 6 3 3" xfId="5638" xr:uid="{00000000-0005-0000-0000-000052190000}"/>
    <cellStyle name="Normal 5 2 6 3 3 2" xfId="14080" xr:uid="{E4AA944C-D197-4DFC-8688-124B7D7CD17A}"/>
    <cellStyle name="Normal 5 2 6 3 4" xfId="9862" xr:uid="{53537FC0-C985-4819-9798-55F1BDEA13EA}"/>
    <cellStyle name="Normal 5 2 6 4" xfId="1743" xr:uid="{00000000-0005-0000-0000-000053190000}"/>
    <cellStyle name="Normal 5 2 6 4 2" xfId="3973" xr:uid="{00000000-0005-0000-0000-000054190000}"/>
    <cellStyle name="Normal 5 2 6 4 2 2" xfId="8196" xr:uid="{00000000-0005-0000-0000-000055190000}"/>
    <cellStyle name="Normal 5 2 6 4 2 2 2" xfId="16638" xr:uid="{C99C9968-9EA0-4B0F-9C65-E821CD6B36CD}"/>
    <cellStyle name="Normal 5 2 6 4 2 3" xfId="12420" xr:uid="{403BF3D6-3440-4BCF-863F-1F1553C73362}"/>
    <cellStyle name="Normal 5 2 6 4 3" xfId="6051" xr:uid="{00000000-0005-0000-0000-000056190000}"/>
    <cellStyle name="Normal 5 2 6 4 3 2" xfId="14493" xr:uid="{00FA2058-F878-4AA5-AC88-FE6FAD2DEFB2}"/>
    <cellStyle name="Normal 5 2 6 4 4" xfId="10275" xr:uid="{0743B5B7-F038-4AB0-80B1-2DB3AABDDE72}"/>
    <cellStyle name="Normal 5 2 6 5" xfId="2157" xr:uid="{00000000-0005-0000-0000-000057190000}"/>
    <cellStyle name="Normal 5 2 6 5 2" xfId="4386" xr:uid="{00000000-0005-0000-0000-000058190000}"/>
    <cellStyle name="Normal 5 2 6 5 2 2" xfId="8609" xr:uid="{00000000-0005-0000-0000-000059190000}"/>
    <cellStyle name="Normal 5 2 6 5 2 2 2" xfId="17051" xr:uid="{D1D415A3-48C1-4B71-AB12-B6828D02924F}"/>
    <cellStyle name="Normal 5 2 6 5 2 3" xfId="12833" xr:uid="{D570ED38-BC7A-49E8-BE7A-3AFC88D1CA33}"/>
    <cellStyle name="Normal 5 2 6 5 3" xfId="6464" xr:uid="{00000000-0005-0000-0000-00005A190000}"/>
    <cellStyle name="Normal 5 2 6 5 3 2" xfId="14906" xr:uid="{5DAF3718-C976-4842-8116-91280AB67D93}"/>
    <cellStyle name="Normal 5 2 6 5 4" xfId="10688" xr:uid="{22D49F3B-4F48-47E9-99EF-B4871E50E16B}"/>
    <cellStyle name="Normal 5 2 6 6" xfId="2593" xr:uid="{00000000-0005-0000-0000-00005B190000}"/>
    <cellStyle name="Normal 5 2 6 6 2" xfId="6877" xr:uid="{00000000-0005-0000-0000-00005C190000}"/>
    <cellStyle name="Normal 5 2 6 6 2 2" xfId="15319" xr:uid="{EF3080E5-D888-4E1A-B913-E28F9F840745}"/>
    <cellStyle name="Normal 5 2 6 6 3" xfId="11101" xr:uid="{84598E35-C321-4E8E-88C2-96628A283C0A}"/>
    <cellStyle name="Normal 5 2 6 7" xfId="4812" xr:uid="{00000000-0005-0000-0000-00005D190000}"/>
    <cellStyle name="Normal 5 2 6 7 2" xfId="13254" xr:uid="{93ED9545-3B0F-4AB5-A894-A57A8B032FB2}"/>
    <cellStyle name="Normal 5 2 6 8" xfId="9036" xr:uid="{4B403BBA-3522-43F7-9CF5-84F655BFC4C8}"/>
    <cellStyle name="Normal 5 2 7" xfId="881" xr:uid="{00000000-0005-0000-0000-00005E190000}"/>
    <cellStyle name="Normal 5 2 7 2" xfId="3116" xr:uid="{00000000-0005-0000-0000-00005F190000}"/>
    <cellStyle name="Normal 5 2 7 2 2" xfId="7339" xr:uid="{00000000-0005-0000-0000-000060190000}"/>
    <cellStyle name="Normal 5 2 7 2 2 2" xfId="15781" xr:uid="{2B19996D-34DD-4564-8B1D-506B7337BA41}"/>
    <cellStyle name="Normal 5 2 7 2 3" xfId="11563" xr:uid="{9A2E240A-8766-4C66-BD2A-9150A1875F8C}"/>
    <cellStyle name="Normal 5 2 7 3" xfId="5194" xr:uid="{00000000-0005-0000-0000-000061190000}"/>
    <cellStyle name="Normal 5 2 7 3 2" xfId="13636" xr:uid="{EC308BD6-5625-4994-BB16-71A85F77268A}"/>
    <cellStyle name="Normal 5 2 7 4" xfId="9418" xr:uid="{34341685-6030-45C4-994E-8CF1E024D328}"/>
    <cellStyle name="Normal 5 2 8" xfId="1299" xr:uid="{00000000-0005-0000-0000-000062190000}"/>
    <cellStyle name="Normal 5 2 8 2" xfId="3529" xr:uid="{00000000-0005-0000-0000-000063190000}"/>
    <cellStyle name="Normal 5 2 8 2 2" xfId="7752" xr:uid="{00000000-0005-0000-0000-000064190000}"/>
    <cellStyle name="Normal 5 2 8 2 2 2" xfId="16194" xr:uid="{7240899F-2A48-4F5C-BB5D-55D2AA978FB1}"/>
    <cellStyle name="Normal 5 2 8 2 3" xfId="11976" xr:uid="{AF3796F2-A662-4D87-A4F7-5914FE4B0FF0}"/>
    <cellStyle name="Normal 5 2 8 3" xfId="5607" xr:uid="{00000000-0005-0000-0000-000065190000}"/>
    <cellStyle name="Normal 5 2 8 3 2" xfId="14049" xr:uid="{7F8BD62C-57BA-42D2-B4AA-C66AB3B2B60E}"/>
    <cellStyle name="Normal 5 2 8 4" xfId="9831" xr:uid="{D4FF8447-0BE1-4976-BE05-44FC040BB868}"/>
    <cellStyle name="Normal 5 2 9" xfId="1712" xr:uid="{00000000-0005-0000-0000-000066190000}"/>
    <cellStyle name="Normal 5 2 9 2" xfId="3942" xr:uid="{00000000-0005-0000-0000-000067190000}"/>
    <cellStyle name="Normal 5 2 9 2 2" xfId="8165" xr:uid="{00000000-0005-0000-0000-000068190000}"/>
    <cellStyle name="Normal 5 2 9 2 2 2" xfId="16607" xr:uid="{F45CEBDE-CD46-4C55-BA30-D96A8AA20AF1}"/>
    <cellStyle name="Normal 5 2 9 2 3" xfId="12389" xr:uid="{EFFC704A-F413-42E2-9E36-C13668F0BFAA}"/>
    <cellStyle name="Normal 5 2 9 3" xfId="6020" xr:uid="{00000000-0005-0000-0000-000069190000}"/>
    <cellStyle name="Normal 5 2 9 3 2" xfId="14462" xr:uid="{9C7D6F02-9F0C-40D4-8D49-898155836D56}"/>
    <cellStyle name="Normal 5 2 9 4" xfId="10244" xr:uid="{B8A6E34A-1DFE-4701-A1A3-E638A919EA73}"/>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2 2 2" xfId="17052" xr:uid="{85A2C8DB-3B7F-44EA-AD7F-471F2E5A008B}"/>
    <cellStyle name="Normal 5 3 10 2 3" xfId="12834" xr:uid="{13C52986-0DA4-422F-92E0-6CC33D696A67}"/>
    <cellStyle name="Normal 5 3 10 3" xfId="6465" xr:uid="{00000000-0005-0000-0000-00006E190000}"/>
    <cellStyle name="Normal 5 3 10 3 2" xfId="14907" xr:uid="{EA61B58C-4DCB-44A7-A7EC-956F640B1108}"/>
    <cellStyle name="Normal 5 3 10 4" xfId="10689" xr:uid="{01F145AD-2526-4D85-B22E-18206D4B2DC3}"/>
    <cellStyle name="Normal 5 3 11" xfId="2594" xr:uid="{00000000-0005-0000-0000-00006F190000}"/>
    <cellStyle name="Normal 5 3 11 2" xfId="6878" xr:uid="{00000000-0005-0000-0000-000070190000}"/>
    <cellStyle name="Normal 5 3 11 2 2" xfId="15320" xr:uid="{67F72899-4644-4417-985A-16530751CBB1}"/>
    <cellStyle name="Normal 5 3 11 3" xfId="11102" xr:uid="{303861C0-F892-46D1-9E92-B66E3C97069B}"/>
    <cellStyle name="Normal 5 3 12" xfId="4813" xr:uid="{00000000-0005-0000-0000-000071190000}"/>
    <cellStyle name="Normal 5 3 12 2" xfId="13255" xr:uid="{F54E8E1F-4555-4D55-B699-023EAD8F30BD}"/>
    <cellStyle name="Normal 5 3 13" xfId="9037" xr:uid="{10FF99DB-09B8-4568-83DF-0D9E07342224}"/>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10 2" xfId="13256" xr:uid="{A5D7594B-C9B3-42FB-BEDD-569E35946BA9}"/>
    <cellStyle name="Normal 5 3 3 11" xfId="9038" xr:uid="{1B775930-C54F-4604-AE88-488020FD57D5}"/>
    <cellStyle name="Normal 5 3 3 2" xfId="442" xr:uid="{00000000-0005-0000-0000-000076190000}"/>
    <cellStyle name="Normal 5 3 3 2 10" xfId="9039" xr:uid="{23A8518F-C453-43B8-91EE-3592065CD246}"/>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2 2 2" xfId="15817" xr:uid="{21D1A350-231E-4D0F-A22C-0B90F4217D48}"/>
    <cellStyle name="Normal 5 3 3 2 2 2 2 2 3" xfId="11599" xr:uid="{125405D1-3ACB-4EF8-9989-BEC70ED9B713}"/>
    <cellStyle name="Normal 5 3 3 2 2 2 2 3" xfId="5230" xr:uid="{00000000-0005-0000-0000-00007C190000}"/>
    <cellStyle name="Normal 5 3 3 2 2 2 2 3 2" xfId="13672" xr:uid="{E32B59B4-7475-4B0D-B45F-0856B3E44B42}"/>
    <cellStyle name="Normal 5 3 3 2 2 2 2 4" xfId="9454" xr:uid="{B6690E75-A82C-4B4E-92B6-58A74CA99DF4}"/>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2 2 2" xfId="16230" xr:uid="{846759B7-AD2B-4EAA-AF3B-AB5DBE99E581}"/>
    <cellStyle name="Normal 5 3 3 2 2 2 3 2 3" xfId="12012" xr:uid="{0E3368A2-2267-4986-AC61-E9CF407ACCFA}"/>
    <cellStyle name="Normal 5 3 3 2 2 2 3 3" xfId="5643" xr:uid="{00000000-0005-0000-0000-000080190000}"/>
    <cellStyle name="Normal 5 3 3 2 2 2 3 3 2" xfId="14085" xr:uid="{8A65C16E-A443-4AB8-B50B-A1623F6EB9C8}"/>
    <cellStyle name="Normal 5 3 3 2 2 2 3 4" xfId="9867" xr:uid="{05FFCB79-7C68-48A2-AE47-40478E469D25}"/>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2 2 2" xfId="16643" xr:uid="{02EEE85E-88B1-42CB-842A-A1388F405B28}"/>
    <cellStyle name="Normal 5 3 3 2 2 2 4 2 3" xfId="12425" xr:uid="{EADFCD8E-752F-49A2-B4F2-6DD9361A3744}"/>
    <cellStyle name="Normal 5 3 3 2 2 2 4 3" xfId="6056" xr:uid="{00000000-0005-0000-0000-000084190000}"/>
    <cellStyle name="Normal 5 3 3 2 2 2 4 3 2" xfId="14498" xr:uid="{55D00F2B-8646-4CD4-ADFA-E7D04451C4DE}"/>
    <cellStyle name="Normal 5 3 3 2 2 2 4 4" xfId="10280" xr:uid="{0965FB38-CE24-4EC2-8AD9-D173080B5173}"/>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2 2 2" xfId="17056" xr:uid="{1EC5A9A6-0BE5-43C6-BE43-2890B81F021E}"/>
    <cellStyle name="Normal 5 3 3 2 2 2 5 2 3" xfId="12838" xr:uid="{B9A2309F-A199-4CB7-95ED-FE5223FC9FBF}"/>
    <cellStyle name="Normal 5 3 3 2 2 2 5 3" xfId="6469" xr:uid="{00000000-0005-0000-0000-000088190000}"/>
    <cellStyle name="Normal 5 3 3 2 2 2 5 3 2" xfId="14911" xr:uid="{63412998-D0D5-4BD7-B73A-9FA51AEE3971}"/>
    <cellStyle name="Normal 5 3 3 2 2 2 5 4" xfId="10693" xr:uid="{76E64509-E501-4F0B-990E-0BC07FF64C25}"/>
    <cellStyle name="Normal 5 3 3 2 2 2 6" xfId="2598" xr:uid="{00000000-0005-0000-0000-000089190000}"/>
    <cellStyle name="Normal 5 3 3 2 2 2 6 2" xfId="6882" xr:uid="{00000000-0005-0000-0000-00008A190000}"/>
    <cellStyle name="Normal 5 3 3 2 2 2 6 2 2" xfId="15324" xr:uid="{28CE2E1A-D568-4DD4-ABD5-120BE3D878F3}"/>
    <cellStyle name="Normal 5 3 3 2 2 2 6 3" xfId="11106" xr:uid="{AB973946-450D-4E42-90B4-4BD9DFD44859}"/>
    <cellStyle name="Normal 5 3 3 2 2 2 7" xfId="4817" xr:uid="{00000000-0005-0000-0000-00008B190000}"/>
    <cellStyle name="Normal 5 3 3 2 2 2 7 2" xfId="13259" xr:uid="{187980CB-9522-4616-A1B9-F51BB6493F96}"/>
    <cellStyle name="Normal 5 3 3 2 2 2 8" xfId="9041" xr:uid="{58140024-D3D5-493D-BE7A-CF1F431A68EE}"/>
    <cellStyle name="Normal 5 3 3 2 2 3" xfId="917" xr:uid="{00000000-0005-0000-0000-00008C190000}"/>
    <cellStyle name="Normal 5 3 3 2 2 3 2" xfId="3151" xr:uid="{00000000-0005-0000-0000-00008D190000}"/>
    <cellStyle name="Normal 5 3 3 2 2 3 2 2" xfId="7374" xr:uid="{00000000-0005-0000-0000-00008E190000}"/>
    <cellStyle name="Normal 5 3 3 2 2 3 2 2 2" xfId="15816" xr:uid="{D3B020FB-DDB3-42B2-8E76-B3EC8F2F543F}"/>
    <cellStyle name="Normal 5 3 3 2 2 3 2 3" xfId="11598" xr:uid="{85E3BA91-7567-4788-88A0-4232E260FF26}"/>
    <cellStyle name="Normal 5 3 3 2 2 3 3" xfId="5229" xr:uid="{00000000-0005-0000-0000-00008F190000}"/>
    <cellStyle name="Normal 5 3 3 2 2 3 3 2" xfId="13671" xr:uid="{459E5CEE-215D-466F-8367-6AA12CA1A1C6}"/>
    <cellStyle name="Normal 5 3 3 2 2 3 4" xfId="9453" xr:uid="{9098893E-2604-4C9A-A122-5019880EEC41}"/>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2 2 2" xfId="16229" xr:uid="{87B1DCC2-A2D6-4D9E-9F8B-E5ABEB72660F}"/>
    <cellStyle name="Normal 5 3 3 2 2 4 2 3" xfId="12011" xr:uid="{9101D766-1B21-4CA3-A1AE-7907E84B5D15}"/>
    <cellStyle name="Normal 5 3 3 2 2 4 3" xfId="5642" xr:uid="{00000000-0005-0000-0000-000093190000}"/>
    <cellStyle name="Normal 5 3 3 2 2 4 3 2" xfId="14084" xr:uid="{88996549-593B-4F4D-91C1-1C6BA1B56C02}"/>
    <cellStyle name="Normal 5 3 3 2 2 4 4" xfId="9866" xr:uid="{7E0FD3B4-37E5-444C-84D6-BEE2B4956CB1}"/>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2 2 2" xfId="16642" xr:uid="{C4A74C1E-B00C-482B-A77D-B365A20B9D78}"/>
    <cellStyle name="Normal 5 3 3 2 2 5 2 3" xfId="12424" xr:uid="{0E5D3585-F712-441E-B3C1-C32C162F8EE0}"/>
    <cellStyle name="Normal 5 3 3 2 2 5 3" xfId="6055" xr:uid="{00000000-0005-0000-0000-000097190000}"/>
    <cellStyle name="Normal 5 3 3 2 2 5 3 2" xfId="14497" xr:uid="{72C4EB34-B148-4E1A-B35F-4A150A3ADD3F}"/>
    <cellStyle name="Normal 5 3 3 2 2 5 4" xfId="10279" xr:uid="{6D5FA35C-FE5E-4181-89E4-0646B6A1D584}"/>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2 2 2" xfId="17055" xr:uid="{4ADA743B-2656-45C8-871F-AD4197C46E32}"/>
    <cellStyle name="Normal 5 3 3 2 2 6 2 3" xfId="12837" xr:uid="{A1AB9F09-8415-42E7-9D87-E849A9A56942}"/>
    <cellStyle name="Normal 5 3 3 2 2 6 3" xfId="6468" xr:uid="{00000000-0005-0000-0000-00009B190000}"/>
    <cellStyle name="Normal 5 3 3 2 2 6 3 2" xfId="14910" xr:uid="{174903F9-82BC-427E-AC59-DBEC10BA9D51}"/>
    <cellStyle name="Normal 5 3 3 2 2 6 4" xfId="10692" xr:uid="{E03B86A8-4F76-443E-A6E0-8E4AFDAB9A1B}"/>
    <cellStyle name="Normal 5 3 3 2 2 7" xfId="2597" xr:uid="{00000000-0005-0000-0000-00009C190000}"/>
    <cellStyle name="Normal 5 3 3 2 2 7 2" xfId="6881" xr:uid="{00000000-0005-0000-0000-00009D190000}"/>
    <cellStyle name="Normal 5 3 3 2 2 7 2 2" xfId="15323" xr:uid="{88C25F3F-F7D7-46CB-92B1-0195732699B3}"/>
    <cellStyle name="Normal 5 3 3 2 2 7 3" xfId="11105" xr:uid="{EFEBA5FA-48BB-498C-A226-F1A33BAFD1F8}"/>
    <cellStyle name="Normal 5 3 3 2 2 8" xfId="4816" xr:uid="{00000000-0005-0000-0000-00009E190000}"/>
    <cellStyle name="Normal 5 3 3 2 2 8 2" xfId="13258" xr:uid="{93343689-212A-4EEB-B62B-38691DFF6654}"/>
    <cellStyle name="Normal 5 3 3 2 2 9" xfId="9040" xr:uid="{DBFE7BC3-F632-49C2-AD8A-C249FDEFC466}"/>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2 2 2" xfId="15818" xr:uid="{1751377E-F8A1-4669-99E1-674B381FCD3B}"/>
    <cellStyle name="Normal 5 3 3 2 3 2 2 3" xfId="11600" xr:uid="{18A0D92B-D694-49E9-BF77-82F1DBD5FAAD}"/>
    <cellStyle name="Normal 5 3 3 2 3 2 3" xfId="5231" xr:uid="{00000000-0005-0000-0000-0000A3190000}"/>
    <cellStyle name="Normal 5 3 3 2 3 2 3 2" xfId="13673" xr:uid="{6147F249-C72A-4AA8-9DC1-2EC4E876456D}"/>
    <cellStyle name="Normal 5 3 3 2 3 2 4" xfId="9455" xr:uid="{CAF5EAD7-8B5E-4BE6-8B6B-1DFF9E884B97}"/>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2 2 2" xfId="16231" xr:uid="{AAB24B0A-4F3C-489B-B8C2-61FED35F262A}"/>
    <cellStyle name="Normal 5 3 3 2 3 3 2 3" xfId="12013" xr:uid="{515592D0-9C1A-4A50-821E-67329022CF36}"/>
    <cellStyle name="Normal 5 3 3 2 3 3 3" xfId="5644" xr:uid="{00000000-0005-0000-0000-0000A7190000}"/>
    <cellStyle name="Normal 5 3 3 2 3 3 3 2" xfId="14086" xr:uid="{5EAF9640-DF33-49BE-B1B9-DA43A2413D70}"/>
    <cellStyle name="Normal 5 3 3 2 3 3 4" xfId="9868" xr:uid="{6778609F-083B-4569-B3E9-B12606C0F6BE}"/>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2 2 2" xfId="16644" xr:uid="{D6AB403F-B29F-4CC7-92EC-8F677D49F46E}"/>
    <cellStyle name="Normal 5 3 3 2 3 4 2 3" xfId="12426" xr:uid="{1ADF4F7D-FF07-4142-989C-F0BBCAD18E32}"/>
    <cellStyle name="Normal 5 3 3 2 3 4 3" xfId="6057" xr:uid="{00000000-0005-0000-0000-0000AB190000}"/>
    <cellStyle name="Normal 5 3 3 2 3 4 3 2" xfId="14499" xr:uid="{9CC3B130-31B3-4D8A-9FEF-95745FC791CC}"/>
    <cellStyle name="Normal 5 3 3 2 3 4 4" xfId="10281" xr:uid="{5DA9E8BC-4B62-4FB2-9E9F-E9F357553D65}"/>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2 2 2" xfId="17057" xr:uid="{9D23DE35-E486-4066-BACD-40B0803C54FE}"/>
    <cellStyle name="Normal 5 3 3 2 3 5 2 3" xfId="12839" xr:uid="{C7689C7A-F58B-4160-9980-120AB8D3E525}"/>
    <cellStyle name="Normal 5 3 3 2 3 5 3" xfId="6470" xr:uid="{00000000-0005-0000-0000-0000AF190000}"/>
    <cellStyle name="Normal 5 3 3 2 3 5 3 2" xfId="14912" xr:uid="{43C5166E-19ED-4552-BC72-E4556B9D89F3}"/>
    <cellStyle name="Normal 5 3 3 2 3 5 4" xfId="10694" xr:uid="{57B9C477-709F-4EE2-B093-46930B437CAD}"/>
    <cellStyle name="Normal 5 3 3 2 3 6" xfId="2599" xr:uid="{00000000-0005-0000-0000-0000B0190000}"/>
    <cellStyle name="Normal 5 3 3 2 3 6 2" xfId="6883" xr:uid="{00000000-0005-0000-0000-0000B1190000}"/>
    <cellStyle name="Normal 5 3 3 2 3 6 2 2" xfId="15325" xr:uid="{43F7964C-0958-4545-B835-A730E95D8B7D}"/>
    <cellStyle name="Normal 5 3 3 2 3 6 3" xfId="11107" xr:uid="{16538FBB-FE03-46CE-995C-0BB66CD273CF}"/>
    <cellStyle name="Normal 5 3 3 2 3 7" xfId="4818" xr:uid="{00000000-0005-0000-0000-0000B2190000}"/>
    <cellStyle name="Normal 5 3 3 2 3 7 2" xfId="13260" xr:uid="{74D52ECB-F699-4D93-B816-543A0F308DA3}"/>
    <cellStyle name="Normal 5 3 3 2 3 8" xfId="9042" xr:uid="{0727B5DC-CF4F-4C1C-B027-B6E2B2F5BE88}"/>
    <cellStyle name="Normal 5 3 3 2 4" xfId="916" xr:uid="{00000000-0005-0000-0000-0000B3190000}"/>
    <cellStyle name="Normal 5 3 3 2 4 2" xfId="3150" xr:uid="{00000000-0005-0000-0000-0000B4190000}"/>
    <cellStyle name="Normal 5 3 3 2 4 2 2" xfId="7373" xr:uid="{00000000-0005-0000-0000-0000B5190000}"/>
    <cellStyle name="Normal 5 3 3 2 4 2 2 2" xfId="15815" xr:uid="{CF665F51-8FB9-479E-84AC-0E4ADC76164A}"/>
    <cellStyle name="Normal 5 3 3 2 4 2 3" xfId="11597" xr:uid="{4494DF1F-C121-466C-BD78-84366F1D745B}"/>
    <cellStyle name="Normal 5 3 3 2 4 3" xfId="5228" xr:uid="{00000000-0005-0000-0000-0000B6190000}"/>
    <cellStyle name="Normal 5 3 3 2 4 3 2" xfId="13670" xr:uid="{197E45A0-73A3-420E-A588-3AF458486658}"/>
    <cellStyle name="Normal 5 3 3 2 4 4" xfId="9452" xr:uid="{2BF24B29-ECC6-402C-BEDC-294090851476}"/>
    <cellStyle name="Normal 5 3 3 2 5" xfId="1333" xr:uid="{00000000-0005-0000-0000-0000B7190000}"/>
    <cellStyle name="Normal 5 3 3 2 5 2" xfId="3563" xr:uid="{00000000-0005-0000-0000-0000B8190000}"/>
    <cellStyle name="Normal 5 3 3 2 5 2 2" xfId="7786" xr:uid="{00000000-0005-0000-0000-0000B9190000}"/>
    <cellStyle name="Normal 5 3 3 2 5 2 2 2" xfId="16228" xr:uid="{3734ADD6-C5DD-48DC-BA2C-618471D38E61}"/>
    <cellStyle name="Normal 5 3 3 2 5 2 3" xfId="12010" xr:uid="{B6F6C40C-79E1-4A7D-824D-7A09DA6F0A13}"/>
    <cellStyle name="Normal 5 3 3 2 5 3" xfId="5641" xr:uid="{00000000-0005-0000-0000-0000BA190000}"/>
    <cellStyle name="Normal 5 3 3 2 5 3 2" xfId="14083" xr:uid="{F71A023B-1CB2-4A4C-B624-EF366CB6B993}"/>
    <cellStyle name="Normal 5 3 3 2 5 4" xfId="9865" xr:uid="{0D64C80B-4028-4637-96E5-4C5DFEDA77D5}"/>
    <cellStyle name="Normal 5 3 3 2 6" xfId="1746" xr:uid="{00000000-0005-0000-0000-0000BB190000}"/>
    <cellStyle name="Normal 5 3 3 2 6 2" xfId="3976" xr:uid="{00000000-0005-0000-0000-0000BC190000}"/>
    <cellStyle name="Normal 5 3 3 2 6 2 2" xfId="8199" xr:uid="{00000000-0005-0000-0000-0000BD190000}"/>
    <cellStyle name="Normal 5 3 3 2 6 2 2 2" xfId="16641" xr:uid="{E24DC853-6417-4FE5-8D5B-0E6734874D46}"/>
    <cellStyle name="Normal 5 3 3 2 6 2 3" xfId="12423" xr:uid="{F46FE7AB-81A2-4DB1-8DE4-5FE43343374B}"/>
    <cellStyle name="Normal 5 3 3 2 6 3" xfId="6054" xr:uid="{00000000-0005-0000-0000-0000BE190000}"/>
    <cellStyle name="Normal 5 3 3 2 6 3 2" xfId="14496" xr:uid="{74785618-AC05-480F-9309-38118DFA5792}"/>
    <cellStyle name="Normal 5 3 3 2 6 4" xfId="10278" xr:uid="{9711BBA8-2640-43CC-8B60-2021380808CE}"/>
    <cellStyle name="Normal 5 3 3 2 7" xfId="2160" xr:uid="{00000000-0005-0000-0000-0000BF190000}"/>
    <cellStyle name="Normal 5 3 3 2 7 2" xfId="4389" xr:uid="{00000000-0005-0000-0000-0000C0190000}"/>
    <cellStyle name="Normal 5 3 3 2 7 2 2" xfId="8612" xr:uid="{00000000-0005-0000-0000-0000C1190000}"/>
    <cellStyle name="Normal 5 3 3 2 7 2 2 2" xfId="17054" xr:uid="{2C69A608-F3B6-4FDC-9829-5FD9277FDE38}"/>
    <cellStyle name="Normal 5 3 3 2 7 2 3" xfId="12836" xr:uid="{158808E9-1020-4E8B-9E70-284C8FB99C0D}"/>
    <cellStyle name="Normal 5 3 3 2 7 3" xfId="6467" xr:uid="{00000000-0005-0000-0000-0000C2190000}"/>
    <cellStyle name="Normal 5 3 3 2 7 3 2" xfId="14909" xr:uid="{F0BCFC74-3328-41CD-8B09-0259BA3F0EFB}"/>
    <cellStyle name="Normal 5 3 3 2 7 4" xfId="10691" xr:uid="{895B0B14-3B7D-403A-8DED-ABE9D2EFBE7E}"/>
    <cellStyle name="Normal 5 3 3 2 8" xfId="2596" xr:uid="{00000000-0005-0000-0000-0000C3190000}"/>
    <cellStyle name="Normal 5 3 3 2 8 2" xfId="6880" xr:uid="{00000000-0005-0000-0000-0000C4190000}"/>
    <cellStyle name="Normal 5 3 3 2 8 2 2" xfId="15322" xr:uid="{138FF175-48DE-48F5-8AB8-74B4E9E51F0B}"/>
    <cellStyle name="Normal 5 3 3 2 8 3" xfId="11104" xr:uid="{D0BC19A2-F84D-480C-812B-7F867DA3E558}"/>
    <cellStyle name="Normal 5 3 3 2 9" xfId="4815" xr:uid="{00000000-0005-0000-0000-0000C5190000}"/>
    <cellStyle name="Normal 5 3 3 2 9 2" xfId="13257" xr:uid="{19088590-637C-4B17-A298-1E92593DCB3F}"/>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2 2 2" xfId="15820" xr:uid="{A304DB63-C59F-48BC-905C-C5DBBB4AE229}"/>
    <cellStyle name="Normal 5 3 3 3 2 2 2 3" xfId="11602" xr:uid="{C5FCBD97-6E10-4FC0-A764-40E26F7071E8}"/>
    <cellStyle name="Normal 5 3 3 3 2 2 3" xfId="5233" xr:uid="{00000000-0005-0000-0000-0000CB190000}"/>
    <cellStyle name="Normal 5 3 3 3 2 2 3 2" xfId="13675" xr:uid="{C910E0FE-FE6A-4961-8E06-C7546EEF1A61}"/>
    <cellStyle name="Normal 5 3 3 3 2 2 4" xfId="9457" xr:uid="{A4397BBE-F491-4170-898E-B3A18FDD9B5A}"/>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2 2 2" xfId="16233" xr:uid="{A9361534-EBE2-4ECF-81EB-5F6BB88A2310}"/>
    <cellStyle name="Normal 5 3 3 3 2 3 2 3" xfId="12015" xr:uid="{77D156A6-B7A5-45FD-A651-91567CBB8F7F}"/>
    <cellStyle name="Normal 5 3 3 3 2 3 3" xfId="5646" xr:uid="{00000000-0005-0000-0000-0000CF190000}"/>
    <cellStyle name="Normal 5 3 3 3 2 3 3 2" xfId="14088" xr:uid="{0CFE729F-B516-4230-AC09-4CD84026F8B8}"/>
    <cellStyle name="Normal 5 3 3 3 2 3 4" xfId="9870" xr:uid="{6BA1BAC2-F9C4-4455-B8D4-483C5D4B1E4D}"/>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2 2 2" xfId="16646" xr:uid="{8334C0C8-462E-4E00-B67E-0B2E04385D08}"/>
    <cellStyle name="Normal 5 3 3 3 2 4 2 3" xfId="12428" xr:uid="{60F4E412-55CC-418B-940C-9C6621126817}"/>
    <cellStyle name="Normal 5 3 3 3 2 4 3" xfId="6059" xr:uid="{00000000-0005-0000-0000-0000D3190000}"/>
    <cellStyle name="Normal 5 3 3 3 2 4 3 2" xfId="14501" xr:uid="{54679ECA-3805-4D8E-AC86-EF4C7BC89EA7}"/>
    <cellStyle name="Normal 5 3 3 3 2 4 4" xfId="10283" xr:uid="{36C172D8-873C-43BF-B6A5-8BF48A88F65D}"/>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2 2 2" xfId="17059" xr:uid="{6838B581-3040-4D39-8C18-2F9F55AC9102}"/>
    <cellStyle name="Normal 5 3 3 3 2 5 2 3" xfId="12841" xr:uid="{B27618D8-C5A8-4076-B7FE-73A0CC75C315}"/>
    <cellStyle name="Normal 5 3 3 3 2 5 3" xfId="6472" xr:uid="{00000000-0005-0000-0000-0000D7190000}"/>
    <cellStyle name="Normal 5 3 3 3 2 5 3 2" xfId="14914" xr:uid="{6E2B1E8D-58FF-46FE-9E36-040209758656}"/>
    <cellStyle name="Normal 5 3 3 3 2 5 4" xfId="10696" xr:uid="{9DA2E1FF-0E83-47B7-941F-100A73517CC1}"/>
    <cellStyle name="Normal 5 3 3 3 2 6" xfId="2601" xr:uid="{00000000-0005-0000-0000-0000D8190000}"/>
    <cellStyle name="Normal 5 3 3 3 2 6 2" xfId="6885" xr:uid="{00000000-0005-0000-0000-0000D9190000}"/>
    <cellStyle name="Normal 5 3 3 3 2 6 2 2" xfId="15327" xr:uid="{BF32ED5C-9CA0-4A34-9590-04470548FBC8}"/>
    <cellStyle name="Normal 5 3 3 3 2 6 3" xfId="11109" xr:uid="{132BB217-93DF-46C8-B3A2-727E882F56EC}"/>
    <cellStyle name="Normal 5 3 3 3 2 7" xfId="4820" xr:uid="{00000000-0005-0000-0000-0000DA190000}"/>
    <cellStyle name="Normal 5 3 3 3 2 7 2" xfId="13262" xr:uid="{82759B91-0C5F-4CA5-9775-0785901D45C3}"/>
    <cellStyle name="Normal 5 3 3 3 2 8" xfId="9044" xr:uid="{5B843F91-1222-4BF9-B515-FEF6FD5D0D29}"/>
    <cellStyle name="Normal 5 3 3 3 3" xfId="920" xr:uid="{00000000-0005-0000-0000-0000DB190000}"/>
    <cellStyle name="Normal 5 3 3 3 3 2" xfId="3154" xr:uid="{00000000-0005-0000-0000-0000DC190000}"/>
    <cellStyle name="Normal 5 3 3 3 3 2 2" xfId="7377" xr:uid="{00000000-0005-0000-0000-0000DD190000}"/>
    <cellStyle name="Normal 5 3 3 3 3 2 2 2" xfId="15819" xr:uid="{D7DFC7E1-CCB8-4FE2-98B8-C1E27B432A91}"/>
    <cellStyle name="Normal 5 3 3 3 3 2 3" xfId="11601" xr:uid="{B78E83CA-9D18-499F-907E-0FEC3533E104}"/>
    <cellStyle name="Normal 5 3 3 3 3 3" xfId="5232" xr:uid="{00000000-0005-0000-0000-0000DE190000}"/>
    <cellStyle name="Normal 5 3 3 3 3 3 2" xfId="13674" xr:uid="{EBFB1AC0-A76D-45A8-A704-D40BB65C9974}"/>
    <cellStyle name="Normal 5 3 3 3 3 4" xfId="9456" xr:uid="{1FBE0F0A-342D-4514-9C01-8D8D8620CCCC}"/>
    <cellStyle name="Normal 5 3 3 3 4" xfId="1337" xr:uid="{00000000-0005-0000-0000-0000DF190000}"/>
    <cellStyle name="Normal 5 3 3 3 4 2" xfId="3567" xr:uid="{00000000-0005-0000-0000-0000E0190000}"/>
    <cellStyle name="Normal 5 3 3 3 4 2 2" xfId="7790" xr:uid="{00000000-0005-0000-0000-0000E1190000}"/>
    <cellStyle name="Normal 5 3 3 3 4 2 2 2" xfId="16232" xr:uid="{3BF6E408-72CE-4C98-B051-6A3BB997860D}"/>
    <cellStyle name="Normal 5 3 3 3 4 2 3" xfId="12014" xr:uid="{2225EC4D-0F4E-4F8E-AD52-8035EB6AEC01}"/>
    <cellStyle name="Normal 5 3 3 3 4 3" xfId="5645" xr:uid="{00000000-0005-0000-0000-0000E2190000}"/>
    <cellStyle name="Normal 5 3 3 3 4 3 2" xfId="14087" xr:uid="{71FD3ECA-CFD4-4907-8688-AC4F22260DEC}"/>
    <cellStyle name="Normal 5 3 3 3 4 4" xfId="9869" xr:uid="{2DC0108B-AB51-418C-B62B-62BF3257371B}"/>
    <cellStyle name="Normal 5 3 3 3 5" xfId="1750" xr:uid="{00000000-0005-0000-0000-0000E3190000}"/>
    <cellStyle name="Normal 5 3 3 3 5 2" xfId="3980" xr:uid="{00000000-0005-0000-0000-0000E4190000}"/>
    <cellStyle name="Normal 5 3 3 3 5 2 2" xfId="8203" xr:uid="{00000000-0005-0000-0000-0000E5190000}"/>
    <cellStyle name="Normal 5 3 3 3 5 2 2 2" xfId="16645" xr:uid="{AA7D1788-1502-4A9E-A177-A1C960E480FF}"/>
    <cellStyle name="Normal 5 3 3 3 5 2 3" xfId="12427" xr:uid="{DBDFD628-7277-4162-86A4-26794E45DCF2}"/>
    <cellStyle name="Normal 5 3 3 3 5 3" xfId="6058" xr:uid="{00000000-0005-0000-0000-0000E6190000}"/>
    <cellStyle name="Normal 5 3 3 3 5 3 2" xfId="14500" xr:uid="{6DB91B37-2EA6-4C01-BEE0-DF4EE7D8DA78}"/>
    <cellStyle name="Normal 5 3 3 3 5 4" xfId="10282" xr:uid="{B7939FF1-54FE-47CB-A655-90F59B8D3E20}"/>
    <cellStyle name="Normal 5 3 3 3 6" xfId="2164" xr:uid="{00000000-0005-0000-0000-0000E7190000}"/>
    <cellStyle name="Normal 5 3 3 3 6 2" xfId="4393" xr:uid="{00000000-0005-0000-0000-0000E8190000}"/>
    <cellStyle name="Normal 5 3 3 3 6 2 2" xfId="8616" xr:uid="{00000000-0005-0000-0000-0000E9190000}"/>
    <cellStyle name="Normal 5 3 3 3 6 2 2 2" xfId="17058" xr:uid="{747AF1E1-F856-4E7E-820B-63DAEFFADFC2}"/>
    <cellStyle name="Normal 5 3 3 3 6 2 3" xfId="12840" xr:uid="{437CCBE2-00D0-4004-9E6C-7DD47E3D25DD}"/>
    <cellStyle name="Normal 5 3 3 3 6 3" xfId="6471" xr:uid="{00000000-0005-0000-0000-0000EA190000}"/>
    <cellStyle name="Normal 5 3 3 3 6 3 2" xfId="14913" xr:uid="{165EFD28-8F77-462C-8D95-8B643E5BC866}"/>
    <cellStyle name="Normal 5 3 3 3 6 4" xfId="10695" xr:uid="{EE477578-0F64-4F02-AAE6-8304C7394A4D}"/>
    <cellStyle name="Normal 5 3 3 3 7" xfId="2600" xr:uid="{00000000-0005-0000-0000-0000EB190000}"/>
    <cellStyle name="Normal 5 3 3 3 7 2" xfId="6884" xr:uid="{00000000-0005-0000-0000-0000EC190000}"/>
    <cellStyle name="Normal 5 3 3 3 7 2 2" xfId="15326" xr:uid="{B4B4357D-7170-49C9-A1A5-74674E14E95A}"/>
    <cellStyle name="Normal 5 3 3 3 7 3" xfId="11108" xr:uid="{8F7347C1-EE43-4FE1-AA3E-8F5C3AEB791F}"/>
    <cellStyle name="Normal 5 3 3 3 8" xfId="4819" xr:uid="{00000000-0005-0000-0000-0000ED190000}"/>
    <cellStyle name="Normal 5 3 3 3 8 2" xfId="13261" xr:uid="{CD44BB6D-165C-43DF-8C81-2D5284C7A2C0}"/>
    <cellStyle name="Normal 5 3 3 3 9" xfId="9043" xr:uid="{DD78CB49-9081-4753-8890-832CFE76E6D2}"/>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2 2 2" xfId="15821" xr:uid="{10BDE9C0-0EE5-496C-BEC3-090F4F8FEFB9}"/>
    <cellStyle name="Normal 5 3 3 4 2 2 3" xfId="11603" xr:uid="{988297CA-D471-4EB2-94C0-1B61B011F3ED}"/>
    <cellStyle name="Normal 5 3 3 4 2 3" xfId="5234" xr:uid="{00000000-0005-0000-0000-0000F2190000}"/>
    <cellStyle name="Normal 5 3 3 4 2 3 2" xfId="13676" xr:uid="{E31A7925-5A57-4DDE-839F-F1B8B7EDA3F9}"/>
    <cellStyle name="Normal 5 3 3 4 2 4" xfId="9458" xr:uid="{F80E00F8-C3A2-4401-8593-1FF56985D0D9}"/>
    <cellStyle name="Normal 5 3 3 4 3" xfId="1339" xr:uid="{00000000-0005-0000-0000-0000F3190000}"/>
    <cellStyle name="Normal 5 3 3 4 3 2" xfId="3569" xr:uid="{00000000-0005-0000-0000-0000F4190000}"/>
    <cellStyle name="Normal 5 3 3 4 3 2 2" xfId="7792" xr:uid="{00000000-0005-0000-0000-0000F5190000}"/>
    <cellStyle name="Normal 5 3 3 4 3 2 2 2" xfId="16234" xr:uid="{0CCE1D32-35B0-41C9-9458-D59A378A511A}"/>
    <cellStyle name="Normal 5 3 3 4 3 2 3" xfId="12016" xr:uid="{C534B5F2-93EE-44CB-BEC1-42CFCA007FE2}"/>
    <cellStyle name="Normal 5 3 3 4 3 3" xfId="5647" xr:uid="{00000000-0005-0000-0000-0000F6190000}"/>
    <cellStyle name="Normal 5 3 3 4 3 3 2" xfId="14089" xr:uid="{0D998A52-0DE9-487E-99F3-56FE04FEC589}"/>
    <cellStyle name="Normal 5 3 3 4 3 4" xfId="9871" xr:uid="{6B6F4A3D-14AD-449F-82DE-C5D14F44702E}"/>
    <cellStyle name="Normal 5 3 3 4 4" xfId="1752" xr:uid="{00000000-0005-0000-0000-0000F7190000}"/>
    <cellStyle name="Normal 5 3 3 4 4 2" xfId="3982" xr:uid="{00000000-0005-0000-0000-0000F8190000}"/>
    <cellStyle name="Normal 5 3 3 4 4 2 2" xfId="8205" xr:uid="{00000000-0005-0000-0000-0000F9190000}"/>
    <cellStyle name="Normal 5 3 3 4 4 2 2 2" xfId="16647" xr:uid="{B2E4D0B9-C07E-441B-83D5-7DBEC1B46C8A}"/>
    <cellStyle name="Normal 5 3 3 4 4 2 3" xfId="12429" xr:uid="{31F5350E-365F-4387-8A2D-4C3417C59A90}"/>
    <cellStyle name="Normal 5 3 3 4 4 3" xfId="6060" xr:uid="{00000000-0005-0000-0000-0000FA190000}"/>
    <cellStyle name="Normal 5 3 3 4 4 3 2" xfId="14502" xr:uid="{1ED96F1B-630A-43EA-9F76-5E4B7400970D}"/>
    <cellStyle name="Normal 5 3 3 4 4 4" xfId="10284" xr:uid="{54FD40CF-EC80-4892-9012-4E9EB94BD2A2}"/>
    <cellStyle name="Normal 5 3 3 4 5" xfId="2166" xr:uid="{00000000-0005-0000-0000-0000FB190000}"/>
    <cellStyle name="Normal 5 3 3 4 5 2" xfId="4395" xr:uid="{00000000-0005-0000-0000-0000FC190000}"/>
    <cellStyle name="Normal 5 3 3 4 5 2 2" xfId="8618" xr:uid="{00000000-0005-0000-0000-0000FD190000}"/>
    <cellStyle name="Normal 5 3 3 4 5 2 2 2" xfId="17060" xr:uid="{237962F3-226F-498D-A919-632D9CE86265}"/>
    <cellStyle name="Normal 5 3 3 4 5 2 3" xfId="12842" xr:uid="{BEB27E6D-6713-45B0-9139-2194ED78D0C0}"/>
    <cellStyle name="Normal 5 3 3 4 5 3" xfId="6473" xr:uid="{00000000-0005-0000-0000-0000FE190000}"/>
    <cellStyle name="Normal 5 3 3 4 5 3 2" xfId="14915" xr:uid="{94BE4873-F8C9-4D43-B97B-010958E2D6D8}"/>
    <cellStyle name="Normal 5 3 3 4 5 4" xfId="10697" xr:uid="{0F67628D-BAFB-4292-9EA0-5A24BEE1F98F}"/>
    <cellStyle name="Normal 5 3 3 4 6" xfId="2602" xr:uid="{00000000-0005-0000-0000-0000FF190000}"/>
    <cellStyle name="Normal 5 3 3 4 6 2" xfId="6886" xr:uid="{00000000-0005-0000-0000-0000001A0000}"/>
    <cellStyle name="Normal 5 3 3 4 6 2 2" xfId="15328" xr:uid="{E7394EE5-C7A7-4315-9BF2-1B09673A5A23}"/>
    <cellStyle name="Normal 5 3 3 4 6 3" xfId="11110" xr:uid="{0800915E-BCB1-48F4-BF23-6DD532CCE24E}"/>
    <cellStyle name="Normal 5 3 3 4 7" xfId="4821" xr:uid="{00000000-0005-0000-0000-0000011A0000}"/>
    <cellStyle name="Normal 5 3 3 4 7 2" xfId="13263" xr:uid="{773A0ED0-28F2-4211-9E9C-6DF43794F7D3}"/>
    <cellStyle name="Normal 5 3 3 4 8" xfId="9045" xr:uid="{AAC1139D-59DD-4DB3-8A3D-431996059C57}"/>
    <cellStyle name="Normal 5 3 3 5" xfId="915" xr:uid="{00000000-0005-0000-0000-0000021A0000}"/>
    <cellStyle name="Normal 5 3 3 5 2" xfId="3149" xr:uid="{00000000-0005-0000-0000-0000031A0000}"/>
    <cellStyle name="Normal 5 3 3 5 2 2" xfId="7372" xr:uid="{00000000-0005-0000-0000-0000041A0000}"/>
    <cellStyle name="Normal 5 3 3 5 2 2 2" xfId="15814" xr:uid="{FCDE0D2D-E4C8-476E-9BA0-703A763CC0D2}"/>
    <cellStyle name="Normal 5 3 3 5 2 3" xfId="11596" xr:uid="{7AB64586-371D-47D7-90D9-FBF12788F6A1}"/>
    <cellStyle name="Normal 5 3 3 5 3" xfId="5227" xr:uid="{00000000-0005-0000-0000-0000051A0000}"/>
    <cellStyle name="Normal 5 3 3 5 3 2" xfId="13669" xr:uid="{E05B2174-10CF-4681-A706-211D0CB348E8}"/>
    <cellStyle name="Normal 5 3 3 5 4" xfId="9451" xr:uid="{5D99B357-48EE-4ED1-92DB-7F370D79F7A7}"/>
    <cellStyle name="Normal 5 3 3 6" xfId="1332" xr:uid="{00000000-0005-0000-0000-0000061A0000}"/>
    <cellStyle name="Normal 5 3 3 6 2" xfId="3562" xr:uid="{00000000-0005-0000-0000-0000071A0000}"/>
    <cellStyle name="Normal 5 3 3 6 2 2" xfId="7785" xr:uid="{00000000-0005-0000-0000-0000081A0000}"/>
    <cellStyle name="Normal 5 3 3 6 2 2 2" xfId="16227" xr:uid="{C998EA84-1306-4585-8CAA-F1185B547409}"/>
    <cellStyle name="Normal 5 3 3 6 2 3" xfId="12009" xr:uid="{524A1287-9669-4C4E-B167-FBD502C9F0B7}"/>
    <cellStyle name="Normal 5 3 3 6 3" xfId="5640" xr:uid="{00000000-0005-0000-0000-0000091A0000}"/>
    <cellStyle name="Normal 5 3 3 6 3 2" xfId="14082" xr:uid="{38536A01-7F45-4B0F-B48C-F1E6B5058877}"/>
    <cellStyle name="Normal 5 3 3 6 4" xfId="9864" xr:uid="{26FA13AD-250D-4659-8C13-772ADA755999}"/>
    <cellStyle name="Normal 5 3 3 7" xfId="1745" xr:uid="{00000000-0005-0000-0000-00000A1A0000}"/>
    <cellStyle name="Normal 5 3 3 7 2" xfId="3975" xr:uid="{00000000-0005-0000-0000-00000B1A0000}"/>
    <cellStyle name="Normal 5 3 3 7 2 2" xfId="8198" xr:uid="{00000000-0005-0000-0000-00000C1A0000}"/>
    <cellStyle name="Normal 5 3 3 7 2 2 2" xfId="16640" xr:uid="{8F7158DA-C173-4EF1-80F8-A196A1E76BF1}"/>
    <cellStyle name="Normal 5 3 3 7 2 3" xfId="12422" xr:uid="{D439B547-9FAC-4F20-9FB6-3EEB9F26E0FC}"/>
    <cellStyle name="Normal 5 3 3 7 3" xfId="6053" xr:uid="{00000000-0005-0000-0000-00000D1A0000}"/>
    <cellStyle name="Normal 5 3 3 7 3 2" xfId="14495" xr:uid="{F9363D23-1F9A-4F75-953E-36FE018316C9}"/>
    <cellStyle name="Normal 5 3 3 7 4" xfId="10277" xr:uid="{88A555D8-E14F-427F-9212-67DAF932E8D5}"/>
    <cellStyle name="Normal 5 3 3 8" xfId="2159" xr:uid="{00000000-0005-0000-0000-00000E1A0000}"/>
    <cellStyle name="Normal 5 3 3 8 2" xfId="4388" xr:uid="{00000000-0005-0000-0000-00000F1A0000}"/>
    <cellStyle name="Normal 5 3 3 8 2 2" xfId="8611" xr:uid="{00000000-0005-0000-0000-0000101A0000}"/>
    <cellStyle name="Normal 5 3 3 8 2 2 2" xfId="17053" xr:uid="{ECFBFEB7-2104-4001-B564-40A8401B8092}"/>
    <cellStyle name="Normal 5 3 3 8 2 3" xfId="12835" xr:uid="{2D6EB065-866B-4F06-8281-BC49B9C0A159}"/>
    <cellStyle name="Normal 5 3 3 8 3" xfId="6466" xr:uid="{00000000-0005-0000-0000-0000111A0000}"/>
    <cellStyle name="Normal 5 3 3 8 3 2" xfId="14908" xr:uid="{4F6DC9E8-D833-4C07-8C96-BD6FE482FBDA}"/>
    <cellStyle name="Normal 5 3 3 8 4" xfId="10690" xr:uid="{8C13788B-BB93-4D76-8E49-A245C6C41954}"/>
    <cellStyle name="Normal 5 3 3 9" xfId="2595" xr:uid="{00000000-0005-0000-0000-0000121A0000}"/>
    <cellStyle name="Normal 5 3 3 9 2" xfId="6879" xr:uid="{00000000-0005-0000-0000-0000131A0000}"/>
    <cellStyle name="Normal 5 3 3 9 2 2" xfId="15321" xr:uid="{47F6BEA1-5950-44AC-9809-1707671353DE}"/>
    <cellStyle name="Normal 5 3 3 9 3" xfId="11103" xr:uid="{E8F503F2-EDB0-4C8E-B3C6-FE136DBB6C13}"/>
    <cellStyle name="Normal 5 3 4" xfId="449" xr:uid="{00000000-0005-0000-0000-0000141A0000}"/>
    <cellStyle name="Normal 5 3 4 10" xfId="9046" xr:uid="{C9D51EBC-E265-4895-8BAA-7F4ADB02BEC7}"/>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2 2 2" xfId="15824" xr:uid="{FFBB2AB0-F25A-4AF9-84C7-923758DA6682}"/>
    <cellStyle name="Normal 5 3 4 2 2 2 2 3" xfId="11606" xr:uid="{0A84E8D7-79DF-4EB3-8A00-325B620BF553}"/>
    <cellStyle name="Normal 5 3 4 2 2 2 3" xfId="5237" xr:uid="{00000000-0005-0000-0000-00001A1A0000}"/>
    <cellStyle name="Normal 5 3 4 2 2 2 3 2" xfId="13679" xr:uid="{9C7A3F3F-F426-4CC2-A28E-E8724AF92146}"/>
    <cellStyle name="Normal 5 3 4 2 2 2 4" xfId="9461" xr:uid="{69E89620-EF97-49D8-9C3D-EB13DAA81ADE}"/>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2 2 2" xfId="16237" xr:uid="{E1CBB790-5571-4F42-A504-7E50DE0F1C5A}"/>
    <cellStyle name="Normal 5 3 4 2 2 3 2 3" xfId="12019" xr:uid="{E267CF6C-0821-4853-B9C2-43EA014EE4FD}"/>
    <cellStyle name="Normal 5 3 4 2 2 3 3" xfId="5650" xr:uid="{00000000-0005-0000-0000-00001E1A0000}"/>
    <cellStyle name="Normal 5 3 4 2 2 3 3 2" xfId="14092" xr:uid="{436F1837-759A-4CDE-A769-69EE98CD566B}"/>
    <cellStyle name="Normal 5 3 4 2 2 3 4" xfId="9874" xr:uid="{667B5AB7-58B0-4708-B106-EBCA721EB236}"/>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2 2 2" xfId="16650" xr:uid="{AAFD33F9-C7AC-4058-B6B1-7073C290A3B5}"/>
    <cellStyle name="Normal 5 3 4 2 2 4 2 3" xfId="12432" xr:uid="{06DE0ECF-5EE3-44FA-AA7B-95F579665631}"/>
    <cellStyle name="Normal 5 3 4 2 2 4 3" xfId="6063" xr:uid="{00000000-0005-0000-0000-0000221A0000}"/>
    <cellStyle name="Normal 5 3 4 2 2 4 3 2" xfId="14505" xr:uid="{3723FD9A-C79D-4A1F-8515-955B33AD0390}"/>
    <cellStyle name="Normal 5 3 4 2 2 4 4" xfId="10287" xr:uid="{F2A19DD8-25E9-4B77-9AAC-269CD44AA69F}"/>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2 2 2" xfId="17063" xr:uid="{7D332AE2-4FC6-41A5-90CF-84CD129B4AEF}"/>
    <cellStyle name="Normal 5 3 4 2 2 5 2 3" xfId="12845" xr:uid="{64D83D09-0CE7-48F1-A4A6-EA37ABC555C7}"/>
    <cellStyle name="Normal 5 3 4 2 2 5 3" xfId="6476" xr:uid="{00000000-0005-0000-0000-0000261A0000}"/>
    <cellStyle name="Normal 5 3 4 2 2 5 3 2" xfId="14918" xr:uid="{73E14C8E-557C-43DD-B72B-F3EC0E8682D9}"/>
    <cellStyle name="Normal 5 3 4 2 2 5 4" xfId="10700" xr:uid="{2AF1D07D-7E76-430D-9311-38B170D65CC9}"/>
    <cellStyle name="Normal 5 3 4 2 2 6" xfId="2605" xr:uid="{00000000-0005-0000-0000-0000271A0000}"/>
    <cellStyle name="Normal 5 3 4 2 2 6 2" xfId="6889" xr:uid="{00000000-0005-0000-0000-0000281A0000}"/>
    <cellStyle name="Normal 5 3 4 2 2 6 2 2" xfId="15331" xr:uid="{CF086E55-22CC-4988-9DD7-1967B78D06F1}"/>
    <cellStyle name="Normal 5 3 4 2 2 6 3" xfId="11113" xr:uid="{7997314B-7DFE-4CC7-AEA3-86FA9409F59E}"/>
    <cellStyle name="Normal 5 3 4 2 2 7" xfId="4824" xr:uid="{00000000-0005-0000-0000-0000291A0000}"/>
    <cellStyle name="Normal 5 3 4 2 2 7 2" xfId="13266" xr:uid="{7152FDA0-7AFF-4308-82EC-5F6C7DC7220E}"/>
    <cellStyle name="Normal 5 3 4 2 2 8" xfId="9048" xr:uid="{3BF3F41A-67F9-44A4-929C-666D4E2D77A7}"/>
    <cellStyle name="Normal 5 3 4 2 3" xfId="924" xr:uid="{00000000-0005-0000-0000-00002A1A0000}"/>
    <cellStyle name="Normal 5 3 4 2 3 2" xfId="3158" xr:uid="{00000000-0005-0000-0000-00002B1A0000}"/>
    <cellStyle name="Normal 5 3 4 2 3 2 2" xfId="7381" xr:uid="{00000000-0005-0000-0000-00002C1A0000}"/>
    <cellStyle name="Normal 5 3 4 2 3 2 2 2" xfId="15823" xr:uid="{56533B07-BCB8-447A-9352-3A4BE65F23F8}"/>
    <cellStyle name="Normal 5 3 4 2 3 2 3" xfId="11605" xr:uid="{DDDF3AF3-7BDA-4B0D-8FF1-C1B7F80C8EE0}"/>
    <cellStyle name="Normal 5 3 4 2 3 3" xfId="5236" xr:uid="{00000000-0005-0000-0000-00002D1A0000}"/>
    <cellStyle name="Normal 5 3 4 2 3 3 2" xfId="13678" xr:uid="{45B0A789-6D24-4A49-86F6-AC8A6739F08A}"/>
    <cellStyle name="Normal 5 3 4 2 3 4" xfId="9460" xr:uid="{26799A84-50B2-4B9F-A3EF-906095EDFA62}"/>
    <cellStyle name="Normal 5 3 4 2 4" xfId="1341" xr:uid="{00000000-0005-0000-0000-00002E1A0000}"/>
    <cellStyle name="Normal 5 3 4 2 4 2" xfId="3571" xr:uid="{00000000-0005-0000-0000-00002F1A0000}"/>
    <cellStyle name="Normal 5 3 4 2 4 2 2" xfId="7794" xr:uid="{00000000-0005-0000-0000-0000301A0000}"/>
    <cellStyle name="Normal 5 3 4 2 4 2 2 2" xfId="16236" xr:uid="{DCC8249F-5D57-409C-B917-458AB58B5407}"/>
    <cellStyle name="Normal 5 3 4 2 4 2 3" xfId="12018" xr:uid="{F9C190C3-92D3-4E6E-A16E-A70372F89131}"/>
    <cellStyle name="Normal 5 3 4 2 4 3" xfId="5649" xr:uid="{00000000-0005-0000-0000-0000311A0000}"/>
    <cellStyle name="Normal 5 3 4 2 4 3 2" xfId="14091" xr:uid="{7CA6BCF6-8FF1-4BA0-9655-164BE7C16051}"/>
    <cellStyle name="Normal 5 3 4 2 4 4" xfId="9873" xr:uid="{29A5D6E1-2220-4FE6-892A-B9D0BD305822}"/>
    <cellStyle name="Normal 5 3 4 2 5" xfId="1754" xr:uid="{00000000-0005-0000-0000-0000321A0000}"/>
    <cellStyle name="Normal 5 3 4 2 5 2" xfId="3984" xr:uid="{00000000-0005-0000-0000-0000331A0000}"/>
    <cellStyle name="Normal 5 3 4 2 5 2 2" xfId="8207" xr:uid="{00000000-0005-0000-0000-0000341A0000}"/>
    <cellStyle name="Normal 5 3 4 2 5 2 2 2" xfId="16649" xr:uid="{D54E0A61-5AA8-443B-9D69-D1C7AD53A63F}"/>
    <cellStyle name="Normal 5 3 4 2 5 2 3" xfId="12431" xr:uid="{0E86DA3F-A730-42FA-96AB-E702C323B780}"/>
    <cellStyle name="Normal 5 3 4 2 5 3" xfId="6062" xr:uid="{00000000-0005-0000-0000-0000351A0000}"/>
    <cellStyle name="Normal 5 3 4 2 5 3 2" xfId="14504" xr:uid="{145304DA-13FE-4A8D-9EAE-16B7AE2C0CF6}"/>
    <cellStyle name="Normal 5 3 4 2 5 4" xfId="10286" xr:uid="{83CC16E7-D4EC-40D9-B98A-D5CFCBB946B6}"/>
    <cellStyle name="Normal 5 3 4 2 6" xfId="2168" xr:uid="{00000000-0005-0000-0000-0000361A0000}"/>
    <cellStyle name="Normal 5 3 4 2 6 2" xfId="4397" xr:uid="{00000000-0005-0000-0000-0000371A0000}"/>
    <cellStyle name="Normal 5 3 4 2 6 2 2" xfId="8620" xr:uid="{00000000-0005-0000-0000-0000381A0000}"/>
    <cellStyle name="Normal 5 3 4 2 6 2 2 2" xfId="17062" xr:uid="{5B3EF94F-15DB-41B4-B0E1-BC3D41D6E003}"/>
    <cellStyle name="Normal 5 3 4 2 6 2 3" xfId="12844" xr:uid="{EB88144E-4B49-48FF-A14F-C4265665D8E2}"/>
    <cellStyle name="Normal 5 3 4 2 6 3" xfId="6475" xr:uid="{00000000-0005-0000-0000-0000391A0000}"/>
    <cellStyle name="Normal 5 3 4 2 6 3 2" xfId="14917" xr:uid="{D0D3AB9A-A179-444C-869D-BF1F4859057B}"/>
    <cellStyle name="Normal 5 3 4 2 6 4" xfId="10699" xr:uid="{E3528547-FE22-4D27-919B-D5F6774F892C}"/>
    <cellStyle name="Normal 5 3 4 2 7" xfId="2604" xr:uid="{00000000-0005-0000-0000-00003A1A0000}"/>
    <cellStyle name="Normal 5 3 4 2 7 2" xfId="6888" xr:uid="{00000000-0005-0000-0000-00003B1A0000}"/>
    <cellStyle name="Normal 5 3 4 2 7 2 2" xfId="15330" xr:uid="{75AC8810-901C-4DBC-9793-FF0DABA0ADC3}"/>
    <cellStyle name="Normal 5 3 4 2 7 3" xfId="11112" xr:uid="{EF5BFFEA-6712-4CEC-89CB-D96493076E53}"/>
    <cellStyle name="Normal 5 3 4 2 8" xfId="4823" xr:uid="{00000000-0005-0000-0000-00003C1A0000}"/>
    <cellStyle name="Normal 5 3 4 2 8 2" xfId="13265" xr:uid="{62CF7C87-D388-4355-AC21-17F714364140}"/>
    <cellStyle name="Normal 5 3 4 2 9" xfId="9047" xr:uid="{D6425EEF-720C-4325-AB53-89D9B2E6CCB4}"/>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2 2 2" xfId="15825" xr:uid="{5E660FC6-9563-437F-9B94-FA3E361CECE9}"/>
    <cellStyle name="Normal 5 3 4 3 2 2 3" xfId="11607" xr:uid="{C58B1D42-88FE-4F1F-8E6C-16FE46D91AC2}"/>
    <cellStyle name="Normal 5 3 4 3 2 3" xfId="5238" xr:uid="{00000000-0005-0000-0000-0000411A0000}"/>
    <cellStyle name="Normal 5 3 4 3 2 3 2" xfId="13680" xr:uid="{F0A1B306-57FD-4C59-B85F-9F6A19D55894}"/>
    <cellStyle name="Normal 5 3 4 3 2 4" xfId="9462" xr:uid="{396DB194-E7BC-450E-BC0A-6BC8FDBBAF2A}"/>
    <cellStyle name="Normal 5 3 4 3 3" xfId="1343" xr:uid="{00000000-0005-0000-0000-0000421A0000}"/>
    <cellStyle name="Normal 5 3 4 3 3 2" xfId="3573" xr:uid="{00000000-0005-0000-0000-0000431A0000}"/>
    <cellStyle name="Normal 5 3 4 3 3 2 2" xfId="7796" xr:uid="{00000000-0005-0000-0000-0000441A0000}"/>
    <cellStyle name="Normal 5 3 4 3 3 2 2 2" xfId="16238" xr:uid="{D5B0EE44-1EDA-417F-9799-78CB329A198F}"/>
    <cellStyle name="Normal 5 3 4 3 3 2 3" xfId="12020" xr:uid="{EB0A8082-79B5-4558-8FA2-940B235E3CB2}"/>
    <cellStyle name="Normal 5 3 4 3 3 3" xfId="5651" xr:uid="{00000000-0005-0000-0000-0000451A0000}"/>
    <cellStyle name="Normal 5 3 4 3 3 3 2" xfId="14093" xr:uid="{F15A9CF3-5C57-45E4-B8E0-26F9C08130C2}"/>
    <cellStyle name="Normal 5 3 4 3 3 4" xfId="9875" xr:uid="{5C4120B2-7024-4A4B-9AB3-71116B3DFE2E}"/>
    <cellStyle name="Normal 5 3 4 3 4" xfId="1756" xr:uid="{00000000-0005-0000-0000-0000461A0000}"/>
    <cellStyle name="Normal 5 3 4 3 4 2" xfId="3986" xr:uid="{00000000-0005-0000-0000-0000471A0000}"/>
    <cellStyle name="Normal 5 3 4 3 4 2 2" xfId="8209" xr:uid="{00000000-0005-0000-0000-0000481A0000}"/>
    <cellStyle name="Normal 5 3 4 3 4 2 2 2" xfId="16651" xr:uid="{B071EF41-8670-4A7A-954D-33439880F608}"/>
    <cellStyle name="Normal 5 3 4 3 4 2 3" xfId="12433" xr:uid="{87342433-53CF-4A49-BDD7-1E51CA778E5C}"/>
    <cellStyle name="Normal 5 3 4 3 4 3" xfId="6064" xr:uid="{00000000-0005-0000-0000-0000491A0000}"/>
    <cellStyle name="Normal 5 3 4 3 4 3 2" xfId="14506" xr:uid="{8EE46D14-E8E1-4FC8-A6C0-607F8AB46E6E}"/>
    <cellStyle name="Normal 5 3 4 3 4 4" xfId="10288" xr:uid="{E4D8D965-EE3A-4217-A028-E40EEE4FA90A}"/>
    <cellStyle name="Normal 5 3 4 3 5" xfId="2170" xr:uid="{00000000-0005-0000-0000-00004A1A0000}"/>
    <cellStyle name="Normal 5 3 4 3 5 2" xfId="4399" xr:uid="{00000000-0005-0000-0000-00004B1A0000}"/>
    <cellStyle name="Normal 5 3 4 3 5 2 2" xfId="8622" xr:uid="{00000000-0005-0000-0000-00004C1A0000}"/>
    <cellStyle name="Normal 5 3 4 3 5 2 2 2" xfId="17064" xr:uid="{024EBB47-1C69-49A7-B468-5B968506C631}"/>
    <cellStyle name="Normal 5 3 4 3 5 2 3" xfId="12846" xr:uid="{EC86499C-BC79-4BB5-8968-AC6C36BDA0C3}"/>
    <cellStyle name="Normal 5 3 4 3 5 3" xfId="6477" xr:uid="{00000000-0005-0000-0000-00004D1A0000}"/>
    <cellStyle name="Normal 5 3 4 3 5 3 2" xfId="14919" xr:uid="{75A32F0D-3206-49E4-BB7B-9DE29DFC8634}"/>
    <cellStyle name="Normal 5 3 4 3 5 4" xfId="10701" xr:uid="{9CF2889B-9D72-40E5-B095-8DD578A7F752}"/>
    <cellStyle name="Normal 5 3 4 3 6" xfId="2606" xr:uid="{00000000-0005-0000-0000-00004E1A0000}"/>
    <cellStyle name="Normal 5 3 4 3 6 2" xfId="6890" xr:uid="{00000000-0005-0000-0000-00004F1A0000}"/>
    <cellStyle name="Normal 5 3 4 3 6 2 2" xfId="15332" xr:uid="{35FCFAE3-227C-48C3-AE06-5C6037C04352}"/>
    <cellStyle name="Normal 5 3 4 3 6 3" xfId="11114" xr:uid="{D34540BA-D4E7-412E-9907-2EF1A9345916}"/>
    <cellStyle name="Normal 5 3 4 3 7" xfId="4825" xr:uid="{00000000-0005-0000-0000-0000501A0000}"/>
    <cellStyle name="Normal 5 3 4 3 7 2" xfId="13267" xr:uid="{5767F853-1237-4A2A-B1FF-FE9A7996F923}"/>
    <cellStyle name="Normal 5 3 4 3 8" xfId="9049" xr:uid="{76912A14-39CF-4440-B684-2B127A29DF83}"/>
    <cellStyle name="Normal 5 3 4 4" xfId="923" xr:uid="{00000000-0005-0000-0000-0000511A0000}"/>
    <cellStyle name="Normal 5 3 4 4 2" xfId="3157" xr:uid="{00000000-0005-0000-0000-0000521A0000}"/>
    <cellStyle name="Normal 5 3 4 4 2 2" xfId="7380" xr:uid="{00000000-0005-0000-0000-0000531A0000}"/>
    <cellStyle name="Normal 5 3 4 4 2 2 2" xfId="15822" xr:uid="{7B3F1ED0-90A2-4DA6-83EE-2496438D29E3}"/>
    <cellStyle name="Normal 5 3 4 4 2 3" xfId="11604" xr:uid="{CA9BFA3C-52E5-4289-9485-44E12F574510}"/>
    <cellStyle name="Normal 5 3 4 4 3" xfId="5235" xr:uid="{00000000-0005-0000-0000-0000541A0000}"/>
    <cellStyle name="Normal 5 3 4 4 3 2" xfId="13677" xr:uid="{AAC01388-B630-4F51-A57F-27CDBC7CED28}"/>
    <cellStyle name="Normal 5 3 4 4 4" xfId="9459" xr:uid="{D0C104D4-3679-45F8-A623-7664B895EA2B}"/>
    <cellStyle name="Normal 5 3 4 5" xfId="1340" xr:uid="{00000000-0005-0000-0000-0000551A0000}"/>
    <cellStyle name="Normal 5 3 4 5 2" xfId="3570" xr:uid="{00000000-0005-0000-0000-0000561A0000}"/>
    <cellStyle name="Normal 5 3 4 5 2 2" xfId="7793" xr:uid="{00000000-0005-0000-0000-0000571A0000}"/>
    <cellStyle name="Normal 5 3 4 5 2 2 2" xfId="16235" xr:uid="{C10C1098-0E93-4C50-A159-E4BDFC260BD2}"/>
    <cellStyle name="Normal 5 3 4 5 2 3" xfId="12017" xr:uid="{BA1313EB-0D1F-4A46-8375-2AEF443A8FB7}"/>
    <cellStyle name="Normal 5 3 4 5 3" xfId="5648" xr:uid="{00000000-0005-0000-0000-0000581A0000}"/>
    <cellStyle name="Normal 5 3 4 5 3 2" xfId="14090" xr:uid="{4AFF202A-94BB-4D00-8EE8-40587B3C72F6}"/>
    <cellStyle name="Normal 5 3 4 5 4" xfId="9872" xr:uid="{26874605-B02C-4C0B-A141-E953711AA98D}"/>
    <cellStyle name="Normal 5 3 4 6" xfId="1753" xr:uid="{00000000-0005-0000-0000-0000591A0000}"/>
    <cellStyle name="Normal 5 3 4 6 2" xfId="3983" xr:uid="{00000000-0005-0000-0000-00005A1A0000}"/>
    <cellStyle name="Normal 5 3 4 6 2 2" xfId="8206" xr:uid="{00000000-0005-0000-0000-00005B1A0000}"/>
    <cellStyle name="Normal 5 3 4 6 2 2 2" xfId="16648" xr:uid="{85877331-E920-4A52-885F-D0F553133A74}"/>
    <cellStyle name="Normal 5 3 4 6 2 3" xfId="12430" xr:uid="{3697DFF0-3796-4151-A886-C6313176B88C}"/>
    <cellStyle name="Normal 5 3 4 6 3" xfId="6061" xr:uid="{00000000-0005-0000-0000-00005C1A0000}"/>
    <cellStyle name="Normal 5 3 4 6 3 2" xfId="14503" xr:uid="{E32632D5-9CEB-42D1-A0EE-FD80652A9C0E}"/>
    <cellStyle name="Normal 5 3 4 6 4" xfId="10285" xr:uid="{C1E29171-9BAB-4D14-806B-354E4FBE2794}"/>
    <cellStyle name="Normal 5 3 4 7" xfId="2167" xr:uid="{00000000-0005-0000-0000-00005D1A0000}"/>
    <cellStyle name="Normal 5 3 4 7 2" xfId="4396" xr:uid="{00000000-0005-0000-0000-00005E1A0000}"/>
    <cellStyle name="Normal 5 3 4 7 2 2" xfId="8619" xr:uid="{00000000-0005-0000-0000-00005F1A0000}"/>
    <cellStyle name="Normal 5 3 4 7 2 2 2" xfId="17061" xr:uid="{031E2A07-72BA-4FF4-9073-BB4CF4303DE6}"/>
    <cellStyle name="Normal 5 3 4 7 2 3" xfId="12843" xr:uid="{47DA452F-2E2C-4094-95A3-25E404E9C75F}"/>
    <cellStyle name="Normal 5 3 4 7 3" xfId="6474" xr:uid="{00000000-0005-0000-0000-0000601A0000}"/>
    <cellStyle name="Normal 5 3 4 7 3 2" xfId="14916" xr:uid="{FD5B112F-46E1-48BF-A5AB-CD9DDE31123F}"/>
    <cellStyle name="Normal 5 3 4 7 4" xfId="10698" xr:uid="{E71D04DB-2100-4569-8101-7B46F30ED883}"/>
    <cellStyle name="Normal 5 3 4 8" xfId="2603" xr:uid="{00000000-0005-0000-0000-0000611A0000}"/>
    <cellStyle name="Normal 5 3 4 8 2" xfId="6887" xr:uid="{00000000-0005-0000-0000-0000621A0000}"/>
    <cellStyle name="Normal 5 3 4 8 2 2" xfId="15329" xr:uid="{06404EEF-EB5E-45E5-A51F-C2DDCE984E5A}"/>
    <cellStyle name="Normal 5 3 4 8 3" xfId="11111" xr:uid="{91514ACD-22FC-4CE5-8336-611A156F9700}"/>
    <cellStyle name="Normal 5 3 4 9" xfId="4822" xr:uid="{00000000-0005-0000-0000-0000631A0000}"/>
    <cellStyle name="Normal 5 3 4 9 2" xfId="13264" xr:uid="{9CC03F47-6A39-41B6-A547-6DF569D8989B}"/>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2 2 2" xfId="15827" xr:uid="{90D72127-254D-42EC-B6E7-45129381A2F2}"/>
    <cellStyle name="Normal 5 3 5 2 2 2 3" xfId="11609" xr:uid="{1C2DF4C6-7A25-4514-8AAB-3C0143F6AA1B}"/>
    <cellStyle name="Normal 5 3 5 2 2 3" xfId="5240" xr:uid="{00000000-0005-0000-0000-0000691A0000}"/>
    <cellStyle name="Normal 5 3 5 2 2 3 2" xfId="13682" xr:uid="{00FD8D9C-ED3B-46A1-BB53-887A10978410}"/>
    <cellStyle name="Normal 5 3 5 2 2 4" xfId="9464" xr:uid="{71A532FA-F774-42FA-ADEA-B11BE2DBBE93}"/>
    <cellStyle name="Normal 5 3 5 2 3" xfId="1345" xr:uid="{00000000-0005-0000-0000-00006A1A0000}"/>
    <cellStyle name="Normal 5 3 5 2 3 2" xfId="3575" xr:uid="{00000000-0005-0000-0000-00006B1A0000}"/>
    <cellStyle name="Normal 5 3 5 2 3 2 2" xfId="7798" xr:uid="{00000000-0005-0000-0000-00006C1A0000}"/>
    <cellStyle name="Normal 5 3 5 2 3 2 2 2" xfId="16240" xr:uid="{DBF51325-1E04-43E3-81BB-DCAAA3F397EC}"/>
    <cellStyle name="Normal 5 3 5 2 3 2 3" xfId="12022" xr:uid="{8455E655-18CD-4C13-BE9B-2D2637AF05E2}"/>
    <cellStyle name="Normal 5 3 5 2 3 3" xfId="5653" xr:uid="{00000000-0005-0000-0000-00006D1A0000}"/>
    <cellStyle name="Normal 5 3 5 2 3 3 2" xfId="14095" xr:uid="{19D3EB7B-E765-483A-AF4B-612409F98033}"/>
    <cellStyle name="Normal 5 3 5 2 3 4" xfId="9877" xr:uid="{A28A887C-961F-4B67-A251-6172F62E471B}"/>
    <cellStyle name="Normal 5 3 5 2 4" xfId="1758" xr:uid="{00000000-0005-0000-0000-00006E1A0000}"/>
    <cellStyle name="Normal 5 3 5 2 4 2" xfId="3988" xr:uid="{00000000-0005-0000-0000-00006F1A0000}"/>
    <cellStyle name="Normal 5 3 5 2 4 2 2" xfId="8211" xr:uid="{00000000-0005-0000-0000-0000701A0000}"/>
    <cellStyle name="Normal 5 3 5 2 4 2 2 2" xfId="16653" xr:uid="{115D908C-82D8-422E-9D7E-C4DD4D88CB7A}"/>
    <cellStyle name="Normal 5 3 5 2 4 2 3" xfId="12435" xr:uid="{8BCBD3AD-44C7-48E0-A735-9508A652E8F3}"/>
    <cellStyle name="Normal 5 3 5 2 4 3" xfId="6066" xr:uid="{00000000-0005-0000-0000-0000711A0000}"/>
    <cellStyle name="Normal 5 3 5 2 4 3 2" xfId="14508" xr:uid="{243466AB-C683-4BD3-B2D8-48FFBC6FE92F}"/>
    <cellStyle name="Normal 5 3 5 2 4 4" xfId="10290" xr:uid="{13BFEBCA-434B-42C2-B9C5-15F2CAE67A9B}"/>
    <cellStyle name="Normal 5 3 5 2 5" xfId="2172" xr:uid="{00000000-0005-0000-0000-0000721A0000}"/>
    <cellStyle name="Normal 5 3 5 2 5 2" xfId="4401" xr:uid="{00000000-0005-0000-0000-0000731A0000}"/>
    <cellStyle name="Normal 5 3 5 2 5 2 2" xfId="8624" xr:uid="{00000000-0005-0000-0000-0000741A0000}"/>
    <cellStyle name="Normal 5 3 5 2 5 2 2 2" xfId="17066" xr:uid="{4AB67DF1-3408-478B-9A17-D2AED2CCEB98}"/>
    <cellStyle name="Normal 5 3 5 2 5 2 3" xfId="12848" xr:uid="{D99BC474-073C-475C-B1C3-054FEF88EF6F}"/>
    <cellStyle name="Normal 5 3 5 2 5 3" xfId="6479" xr:uid="{00000000-0005-0000-0000-0000751A0000}"/>
    <cellStyle name="Normal 5 3 5 2 5 3 2" xfId="14921" xr:uid="{CCF12873-69C7-42AA-BF0D-460C8A600BF0}"/>
    <cellStyle name="Normal 5 3 5 2 5 4" xfId="10703" xr:uid="{157ADA2B-9CCB-4656-8D05-F617E2714BBC}"/>
    <cellStyle name="Normal 5 3 5 2 6" xfId="2608" xr:uid="{00000000-0005-0000-0000-0000761A0000}"/>
    <cellStyle name="Normal 5 3 5 2 6 2" xfId="6892" xr:uid="{00000000-0005-0000-0000-0000771A0000}"/>
    <cellStyle name="Normal 5 3 5 2 6 2 2" xfId="15334" xr:uid="{7BDAA2AE-BB39-4AAB-BC4A-693F3A688CA0}"/>
    <cellStyle name="Normal 5 3 5 2 6 3" xfId="11116" xr:uid="{0DB51226-2313-4C65-A829-C4B3924F0932}"/>
    <cellStyle name="Normal 5 3 5 2 7" xfId="4827" xr:uid="{00000000-0005-0000-0000-0000781A0000}"/>
    <cellStyle name="Normal 5 3 5 2 7 2" xfId="13269" xr:uid="{975207D9-D3FC-43DC-9EEE-484D5C9F4BA0}"/>
    <cellStyle name="Normal 5 3 5 2 8" xfId="9051" xr:uid="{D39F8873-2C08-4C1E-AFA6-D850F15B9FC0}"/>
    <cellStyle name="Normal 5 3 5 3" xfId="927" xr:uid="{00000000-0005-0000-0000-0000791A0000}"/>
    <cellStyle name="Normal 5 3 5 3 2" xfId="3161" xr:uid="{00000000-0005-0000-0000-00007A1A0000}"/>
    <cellStyle name="Normal 5 3 5 3 2 2" xfId="7384" xr:uid="{00000000-0005-0000-0000-00007B1A0000}"/>
    <cellStyle name="Normal 5 3 5 3 2 2 2" xfId="15826" xr:uid="{5471E09C-B3EE-48FE-9C69-E81A23EE37DC}"/>
    <cellStyle name="Normal 5 3 5 3 2 3" xfId="11608" xr:uid="{E2A00D3A-5C9E-41E4-AAFE-B4276B4DF6F7}"/>
    <cellStyle name="Normal 5 3 5 3 3" xfId="5239" xr:uid="{00000000-0005-0000-0000-00007C1A0000}"/>
    <cellStyle name="Normal 5 3 5 3 3 2" xfId="13681" xr:uid="{AE1E66A7-673A-44C0-AE64-D5905112B1FE}"/>
    <cellStyle name="Normal 5 3 5 3 4" xfId="9463" xr:uid="{DCF5470B-8C23-455B-B0B6-625243C7AA5F}"/>
    <cellStyle name="Normal 5 3 5 4" xfId="1344" xr:uid="{00000000-0005-0000-0000-00007D1A0000}"/>
    <cellStyle name="Normal 5 3 5 4 2" xfId="3574" xr:uid="{00000000-0005-0000-0000-00007E1A0000}"/>
    <cellStyle name="Normal 5 3 5 4 2 2" xfId="7797" xr:uid="{00000000-0005-0000-0000-00007F1A0000}"/>
    <cellStyle name="Normal 5 3 5 4 2 2 2" xfId="16239" xr:uid="{D49FA45B-EE5A-4045-8344-FDD21BDC8613}"/>
    <cellStyle name="Normal 5 3 5 4 2 3" xfId="12021" xr:uid="{4BF70963-96AC-4C40-BAA2-F539B4ACE3F2}"/>
    <cellStyle name="Normal 5 3 5 4 3" xfId="5652" xr:uid="{00000000-0005-0000-0000-0000801A0000}"/>
    <cellStyle name="Normal 5 3 5 4 3 2" xfId="14094" xr:uid="{25892D4B-FAE6-49B2-9D48-47DFE8F28150}"/>
    <cellStyle name="Normal 5 3 5 4 4" xfId="9876" xr:uid="{38E698BB-6C63-4B6C-B1A6-EEB57B95BD3F}"/>
    <cellStyle name="Normal 5 3 5 5" xfId="1757" xr:uid="{00000000-0005-0000-0000-0000811A0000}"/>
    <cellStyle name="Normal 5 3 5 5 2" xfId="3987" xr:uid="{00000000-0005-0000-0000-0000821A0000}"/>
    <cellStyle name="Normal 5 3 5 5 2 2" xfId="8210" xr:uid="{00000000-0005-0000-0000-0000831A0000}"/>
    <cellStyle name="Normal 5 3 5 5 2 2 2" xfId="16652" xr:uid="{BDAD0146-B7B7-44EA-BE81-B2962C9DA30D}"/>
    <cellStyle name="Normal 5 3 5 5 2 3" xfId="12434" xr:uid="{F4ED8F8F-2977-4E7E-916D-0EE9FF832C39}"/>
    <cellStyle name="Normal 5 3 5 5 3" xfId="6065" xr:uid="{00000000-0005-0000-0000-0000841A0000}"/>
    <cellStyle name="Normal 5 3 5 5 3 2" xfId="14507" xr:uid="{FEFD2ED8-64BC-4130-89DB-28BBF34CDA6B}"/>
    <cellStyle name="Normal 5 3 5 5 4" xfId="10289" xr:uid="{7526F583-BD60-41FB-8BE0-32E07400F63E}"/>
    <cellStyle name="Normal 5 3 5 6" xfId="2171" xr:uid="{00000000-0005-0000-0000-0000851A0000}"/>
    <cellStyle name="Normal 5 3 5 6 2" xfId="4400" xr:uid="{00000000-0005-0000-0000-0000861A0000}"/>
    <cellStyle name="Normal 5 3 5 6 2 2" xfId="8623" xr:uid="{00000000-0005-0000-0000-0000871A0000}"/>
    <cellStyle name="Normal 5 3 5 6 2 2 2" xfId="17065" xr:uid="{50764F40-5DE3-45CA-8352-B13A43C533F4}"/>
    <cellStyle name="Normal 5 3 5 6 2 3" xfId="12847" xr:uid="{247B1371-4070-4882-BDC9-08E116F906AC}"/>
    <cellStyle name="Normal 5 3 5 6 3" xfId="6478" xr:uid="{00000000-0005-0000-0000-0000881A0000}"/>
    <cellStyle name="Normal 5 3 5 6 3 2" xfId="14920" xr:uid="{98D1A888-8F80-45F5-BC5E-1D4AAED2C755}"/>
    <cellStyle name="Normal 5 3 5 6 4" xfId="10702" xr:uid="{AF7BBFA9-8024-49A8-8DCF-84E0241D49D3}"/>
    <cellStyle name="Normal 5 3 5 7" xfId="2607" xr:uid="{00000000-0005-0000-0000-0000891A0000}"/>
    <cellStyle name="Normal 5 3 5 7 2" xfId="6891" xr:uid="{00000000-0005-0000-0000-00008A1A0000}"/>
    <cellStyle name="Normal 5 3 5 7 2 2" xfId="15333" xr:uid="{DE8B2D4A-B6F5-4F8C-9EB9-EA7E738AC128}"/>
    <cellStyle name="Normal 5 3 5 7 3" xfId="11115" xr:uid="{C69E4969-4558-4755-A84D-41BAD1BA8140}"/>
    <cellStyle name="Normal 5 3 5 8" xfId="4826" xr:uid="{00000000-0005-0000-0000-00008B1A0000}"/>
    <cellStyle name="Normal 5 3 5 8 2" xfId="13268" xr:uid="{0CAA9999-F946-4642-9B1E-C76C3065BF89}"/>
    <cellStyle name="Normal 5 3 5 9" xfId="9050" xr:uid="{EC1C0727-5BC5-4F8D-8142-11ACEF4E5606}"/>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2 2 2" xfId="15828" xr:uid="{801EE121-CF0F-4A50-B937-9060661D8E6B}"/>
    <cellStyle name="Normal 5 3 6 2 2 3" xfId="11610" xr:uid="{F41EF253-545D-461F-B416-5C17D8991FD8}"/>
    <cellStyle name="Normal 5 3 6 2 3" xfId="5241" xr:uid="{00000000-0005-0000-0000-0000901A0000}"/>
    <cellStyle name="Normal 5 3 6 2 3 2" xfId="13683" xr:uid="{7B9584B2-5798-46F8-A44F-B67C4B26D068}"/>
    <cellStyle name="Normal 5 3 6 2 4" xfId="9465" xr:uid="{4CE03861-3AD6-43A2-97DB-9A93F54F0C1E}"/>
    <cellStyle name="Normal 5 3 6 3" xfId="1346" xr:uid="{00000000-0005-0000-0000-0000911A0000}"/>
    <cellStyle name="Normal 5 3 6 3 2" xfId="3576" xr:uid="{00000000-0005-0000-0000-0000921A0000}"/>
    <cellStyle name="Normal 5 3 6 3 2 2" xfId="7799" xr:uid="{00000000-0005-0000-0000-0000931A0000}"/>
    <cellStyle name="Normal 5 3 6 3 2 2 2" xfId="16241" xr:uid="{038578E9-AC8E-4037-9F6B-DA7812E67D63}"/>
    <cellStyle name="Normal 5 3 6 3 2 3" xfId="12023" xr:uid="{02175F9B-6B7A-401C-9928-DBAEE1EA7EEC}"/>
    <cellStyle name="Normal 5 3 6 3 3" xfId="5654" xr:uid="{00000000-0005-0000-0000-0000941A0000}"/>
    <cellStyle name="Normal 5 3 6 3 3 2" xfId="14096" xr:uid="{99AE8B06-196C-48E0-8FA8-9DF899A11EE0}"/>
    <cellStyle name="Normal 5 3 6 3 4" xfId="9878" xr:uid="{C8875EC3-FCE3-482F-8801-BF8B7243D61D}"/>
    <cellStyle name="Normal 5 3 6 4" xfId="1759" xr:uid="{00000000-0005-0000-0000-0000951A0000}"/>
    <cellStyle name="Normal 5 3 6 4 2" xfId="3989" xr:uid="{00000000-0005-0000-0000-0000961A0000}"/>
    <cellStyle name="Normal 5 3 6 4 2 2" xfId="8212" xr:uid="{00000000-0005-0000-0000-0000971A0000}"/>
    <cellStyle name="Normal 5 3 6 4 2 2 2" xfId="16654" xr:uid="{6A7795FC-80AE-48E7-AE27-295C75EDE120}"/>
    <cellStyle name="Normal 5 3 6 4 2 3" xfId="12436" xr:uid="{0399433A-34BE-4CBC-8CD5-3472E6DF9E69}"/>
    <cellStyle name="Normal 5 3 6 4 3" xfId="6067" xr:uid="{00000000-0005-0000-0000-0000981A0000}"/>
    <cellStyle name="Normal 5 3 6 4 3 2" xfId="14509" xr:uid="{AD9D3086-97EB-4A32-8E4B-53545C2383E6}"/>
    <cellStyle name="Normal 5 3 6 4 4" xfId="10291" xr:uid="{FA94B23F-DF19-42A8-8D25-382B9EB967D8}"/>
    <cellStyle name="Normal 5 3 6 5" xfId="2173" xr:uid="{00000000-0005-0000-0000-0000991A0000}"/>
    <cellStyle name="Normal 5 3 6 5 2" xfId="4402" xr:uid="{00000000-0005-0000-0000-00009A1A0000}"/>
    <cellStyle name="Normal 5 3 6 5 2 2" xfId="8625" xr:uid="{00000000-0005-0000-0000-00009B1A0000}"/>
    <cellStyle name="Normal 5 3 6 5 2 2 2" xfId="17067" xr:uid="{C8BD651E-438B-43C3-8CA9-94418FC10F16}"/>
    <cellStyle name="Normal 5 3 6 5 2 3" xfId="12849" xr:uid="{27424986-B5A7-459B-8E30-82A841887AC7}"/>
    <cellStyle name="Normal 5 3 6 5 3" xfId="6480" xr:uid="{00000000-0005-0000-0000-00009C1A0000}"/>
    <cellStyle name="Normal 5 3 6 5 3 2" xfId="14922" xr:uid="{FB9C9FBA-5643-405C-8872-6681E819C0F5}"/>
    <cellStyle name="Normal 5 3 6 5 4" xfId="10704" xr:uid="{62EEB7C4-6A2F-4F31-9BBE-24D62FF0F702}"/>
    <cellStyle name="Normal 5 3 6 6" xfId="2609" xr:uid="{00000000-0005-0000-0000-00009D1A0000}"/>
    <cellStyle name="Normal 5 3 6 6 2" xfId="6893" xr:uid="{00000000-0005-0000-0000-00009E1A0000}"/>
    <cellStyle name="Normal 5 3 6 6 2 2" xfId="15335" xr:uid="{41E1E665-19CB-411E-AC7D-077B71286B51}"/>
    <cellStyle name="Normal 5 3 6 6 3" xfId="11117" xr:uid="{DF67F93A-382D-4A7F-93D0-CCFAC66F35C0}"/>
    <cellStyle name="Normal 5 3 6 7" xfId="4828" xr:uid="{00000000-0005-0000-0000-00009F1A0000}"/>
    <cellStyle name="Normal 5 3 6 7 2" xfId="13270" xr:uid="{BB31EFF3-9ED7-4189-9E6E-D239367B3D8D}"/>
    <cellStyle name="Normal 5 3 6 8" xfId="9052" xr:uid="{CE8D848A-9EAC-4DC5-A021-54B422E4C8B4}"/>
    <cellStyle name="Normal 5 3 7" xfId="913" xr:uid="{00000000-0005-0000-0000-0000A01A0000}"/>
    <cellStyle name="Normal 5 3 7 2" xfId="3148" xr:uid="{00000000-0005-0000-0000-0000A11A0000}"/>
    <cellStyle name="Normal 5 3 7 2 2" xfId="7371" xr:uid="{00000000-0005-0000-0000-0000A21A0000}"/>
    <cellStyle name="Normal 5 3 7 2 2 2" xfId="15813" xr:uid="{5786E591-0775-4319-A244-9B08D7358BF8}"/>
    <cellStyle name="Normal 5 3 7 2 3" xfId="11595" xr:uid="{34BC2352-331B-460F-8F0A-F762F45DDCC2}"/>
    <cellStyle name="Normal 5 3 7 3" xfId="5226" xr:uid="{00000000-0005-0000-0000-0000A31A0000}"/>
    <cellStyle name="Normal 5 3 7 3 2" xfId="13668" xr:uid="{63F1AE9D-D043-4EC3-A79E-2318146C637B}"/>
    <cellStyle name="Normal 5 3 7 4" xfId="9450" xr:uid="{8547934B-04E4-474D-8884-174888D46EDA}"/>
    <cellStyle name="Normal 5 3 8" xfId="1331" xr:uid="{00000000-0005-0000-0000-0000A41A0000}"/>
    <cellStyle name="Normal 5 3 8 2" xfId="3561" xr:uid="{00000000-0005-0000-0000-0000A51A0000}"/>
    <cellStyle name="Normal 5 3 8 2 2" xfId="7784" xr:uid="{00000000-0005-0000-0000-0000A61A0000}"/>
    <cellStyle name="Normal 5 3 8 2 2 2" xfId="16226" xr:uid="{12831BC9-D0BF-451E-B0C7-7CAAD56ADACF}"/>
    <cellStyle name="Normal 5 3 8 2 3" xfId="12008" xr:uid="{206A5A47-CFE9-4404-8071-CFF66B9254DD}"/>
    <cellStyle name="Normal 5 3 8 3" xfId="5639" xr:uid="{00000000-0005-0000-0000-0000A71A0000}"/>
    <cellStyle name="Normal 5 3 8 3 2" xfId="14081" xr:uid="{C065CB65-A093-4766-9C18-B7A344030FCE}"/>
    <cellStyle name="Normal 5 3 8 4" xfId="9863" xr:uid="{C49ACFC7-4F0B-4EA8-A48C-941E9373DBC0}"/>
    <cellStyle name="Normal 5 3 9" xfId="1744" xr:uid="{00000000-0005-0000-0000-0000A81A0000}"/>
    <cellStyle name="Normal 5 3 9 2" xfId="3974" xr:uid="{00000000-0005-0000-0000-0000A91A0000}"/>
    <cellStyle name="Normal 5 3 9 2 2" xfId="8197" xr:uid="{00000000-0005-0000-0000-0000AA1A0000}"/>
    <cellStyle name="Normal 5 3 9 2 2 2" xfId="16639" xr:uid="{CC1A791B-8982-4D4A-A280-D4102D9DC936}"/>
    <cellStyle name="Normal 5 3 9 2 3" xfId="12421" xr:uid="{7F0BBE03-6C19-47F6-B132-460FA380ADEB}"/>
    <cellStyle name="Normal 5 3 9 3" xfId="6052" xr:uid="{00000000-0005-0000-0000-0000AB1A0000}"/>
    <cellStyle name="Normal 5 3 9 3 2" xfId="14494" xr:uid="{CE63C641-8264-44B6-8ECE-502855B6FDF1}"/>
    <cellStyle name="Normal 5 3 9 4" xfId="10276" xr:uid="{1C4FEFE9-68CF-4BE6-AFE7-1EBC1F5A2995}"/>
    <cellStyle name="Normal 5 4" xfId="456" xr:uid="{00000000-0005-0000-0000-0000AC1A0000}"/>
    <cellStyle name="Normal 5 4 10" xfId="4829" xr:uid="{00000000-0005-0000-0000-0000AD1A0000}"/>
    <cellStyle name="Normal 5 4 10 2" xfId="13271" xr:uid="{1823D382-DB0C-474A-92C2-56C27EBD6558}"/>
    <cellStyle name="Normal 5 4 11" xfId="9053" xr:uid="{42684837-DAD9-41A9-A3A6-6AA484DC6C6C}"/>
    <cellStyle name="Normal 5 4 2" xfId="457" xr:uid="{00000000-0005-0000-0000-0000AE1A0000}"/>
    <cellStyle name="Normal 5 4 2 10" xfId="9054" xr:uid="{F898704E-CB86-4627-842D-BAA507618F62}"/>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2 2 2" xfId="15832" xr:uid="{5F075FA0-C6ED-4D0B-8D3A-E01C9C97E92D}"/>
    <cellStyle name="Normal 5 4 2 2 2 2 2 3" xfId="11614" xr:uid="{8E19093F-5B72-46D8-85C0-580BCE04F622}"/>
    <cellStyle name="Normal 5 4 2 2 2 2 3" xfId="5245" xr:uid="{00000000-0005-0000-0000-0000B41A0000}"/>
    <cellStyle name="Normal 5 4 2 2 2 2 3 2" xfId="13687" xr:uid="{3619739C-9887-44F0-944A-B9B72B953D0B}"/>
    <cellStyle name="Normal 5 4 2 2 2 2 4" xfId="9469" xr:uid="{AC3E58CC-0D99-455D-AD51-44742D013C25}"/>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2 2 2" xfId="16245" xr:uid="{CD051466-FF2D-4E9B-9471-1B9A018D63DA}"/>
    <cellStyle name="Normal 5 4 2 2 2 3 2 3" xfId="12027" xr:uid="{9202D9A7-77A8-49BF-AFEE-E9AB276437F3}"/>
    <cellStyle name="Normal 5 4 2 2 2 3 3" xfId="5658" xr:uid="{00000000-0005-0000-0000-0000B81A0000}"/>
    <cellStyle name="Normal 5 4 2 2 2 3 3 2" xfId="14100" xr:uid="{D972E05A-872A-4916-87D8-7A1815E82C43}"/>
    <cellStyle name="Normal 5 4 2 2 2 3 4" xfId="9882" xr:uid="{383A39A6-9D50-4315-8B20-8B8DC940E663}"/>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2 2 2" xfId="16658" xr:uid="{26150BC8-956F-4447-8B5D-A0C94F529BA0}"/>
    <cellStyle name="Normal 5 4 2 2 2 4 2 3" xfId="12440" xr:uid="{63E00A2D-84B1-4E6D-8913-EA578E016565}"/>
    <cellStyle name="Normal 5 4 2 2 2 4 3" xfId="6071" xr:uid="{00000000-0005-0000-0000-0000BC1A0000}"/>
    <cellStyle name="Normal 5 4 2 2 2 4 3 2" xfId="14513" xr:uid="{3F86710E-9BB3-41A1-AE10-062B683D3824}"/>
    <cellStyle name="Normal 5 4 2 2 2 4 4" xfId="10295" xr:uid="{E02027AC-CFB2-4403-9A6D-DF2824A54CB6}"/>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2 2 2" xfId="17071" xr:uid="{8D230E5A-9117-43E8-91DE-111E8630647C}"/>
    <cellStyle name="Normal 5 4 2 2 2 5 2 3" xfId="12853" xr:uid="{286B7681-368F-444C-878E-A714B25C5098}"/>
    <cellStyle name="Normal 5 4 2 2 2 5 3" xfId="6484" xr:uid="{00000000-0005-0000-0000-0000C01A0000}"/>
    <cellStyle name="Normal 5 4 2 2 2 5 3 2" xfId="14926" xr:uid="{64E5FE09-2DB4-4D34-849B-6038EA3536E8}"/>
    <cellStyle name="Normal 5 4 2 2 2 5 4" xfId="10708" xr:uid="{13DCE8A1-3F3A-41F4-9B4C-3FEAFEFA2307}"/>
    <cellStyle name="Normal 5 4 2 2 2 6" xfId="2613" xr:uid="{00000000-0005-0000-0000-0000C11A0000}"/>
    <cellStyle name="Normal 5 4 2 2 2 6 2" xfId="6897" xr:uid="{00000000-0005-0000-0000-0000C21A0000}"/>
    <cellStyle name="Normal 5 4 2 2 2 6 2 2" xfId="15339" xr:uid="{04449301-DE95-44E5-B34F-0481A5BF2ED2}"/>
    <cellStyle name="Normal 5 4 2 2 2 6 3" xfId="11121" xr:uid="{07ADBCD9-0691-4913-AF16-D7F9AF52C971}"/>
    <cellStyle name="Normal 5 4 2 2 2 7" xfId="4832" xr:uid="{00000000-0005-0000-0000-0000C31A0000}"/>
    <cellStyle name="Normal 5 4 2 2 2 7 2" xfId="13274" xr:uid="{DAC80212-48E2-43EC-B43D-334E1DF3200A}"/>
    <cellStyle name="Normal 5 4 2 2 2 8" xfId="9056" xr:uid="{91632BC0-F756-49FF-BCAF-9D9DF0A210F0}"/>
    <cellStyle name="Normal 5 4 2 2 3" xfId="932" xr:uid="{00000000-0005-0000-0000-0000C41A0000}"/>
    <cellStyle name="Normal 5 4 2 2 3 2" xfId="3166" xr:uid="{00000000-0005-0000-0000-0000C51A0000}"/>
    <cellStyle name="Normal 5 4 2 2 3 2 2" xfId="7389" xr:uid="{00000000-0005-0000-0000-0000C61A0000}"/>
    <cellStyle name="Normal 5 4 2 2 3 2 2 2" xfId="15831" xr:uid="{D9981C3E-7B6C-4B8E-BDBE-D1CFD860E4B5}"/>
    <cellStyle name="Normal 5 4 2 2 3 2 3" xfId="11613" xr:uid="{82A5D3A3-7841-45A8-A18E-A5FAD49BC52E}"/>
    <cellStyle name="Normal 5 4 2 2 3 3" xfId="5244" xr:uid="{00000000-0005-0000-0000-0000C71A0000}"/>
    <cellStyle name="Normal 5 4 2 2 3 3 2" xfId="13686" xr:uid="{B60BA007-8FAC-4D0E-A3C9-4C28F8880781}"/>
    <cellStyle name="Normal 5 4 2 2 3 4" xfId="9468" xr:uid="{91744009-02A1-410A-81CB-6953BAB5FA5D}"/>
    <cellStyle name="Normal 5 4 2 2 4" xfId="1349" xr:uid="{00000000-0005-0000-0000-0000C81A0000}"/>
    <cellStyle name="Normal 5 4 2 2 4 2" xfId="3579" xr:uid="{00000000-0005-0000-0000-0000C91A0000}"/>
    <cellStyle name="Normal 5 4 2 2 4 2 2" xfId="7802" xr:uid="{00000000-0005-0000-0000-0000CA1A0000}"/>
    <cellStyle name="Normal 5 4 2 2 4 2 2 2" xfId="16244" xr:uid="{DC41681E-6673-42FB-B34B-686C4FB125C5}"/>
    <cellStyle name="Normal 5 4 2 2 4 2 3" xfId="12026" xr:uid="{166CE2F8-F910-40C3-964E-9BEFFE8C355E}"/>
    <cellStyle name="Normal 5 4 2 2 4 3" xfId="5657" xr:uid="{00000000-0005-0000-0000-0000CB1A0000}"/>
    <cellStyle name="Normal 5 4 2 2 4 3 2" xfId="14099" xr:uid="{56180DC4-859C-40F0-AC0C-82A0FC43412E}"/>
    <cellStyle name="Normal 5 4 2 2 4 4" xfId="9881" xr:uid="{6EE933A4-F6BE-4A97-BD20-34380A9B9B8C}"/>
    <cellStyle name="Normal 5 4 2 2 5" xfId="1762" xr:uid="{00000000-0005-0000-0000-0000CC1A0000}"/>
    <cellStyle name="Normal 5 4 2 2 5 2" xfId="3992" xr:uid="{00000000-0005-0000-0000-0000CD1A0000}"/>
    <cellStyle name="Normal 5 4 2 2 5 2 2" xfId="8215" xr:uid="{00000000-0005-0000-0000-0000CE1A0000}"/>
    <cellStyle name="Normal 5 4 2 2 5 2 2 2" xfId="16657" xr:uid="{CE9F1D1B-C12D-453F-BC5C-5CAC41A2B47C}"/>
    <cellStyle name="Normal 5 4 2 2 5 2 3" xfId="12439" xr:uid="{DE50E1EE-733B-4623-8217-B7D850737A95}"/>
    <cellStyle name="Normal 5 4 2 2 5 3" xfId="6070" xr:uid="{00000000-0005-0000-0000-0000CF1A0000}"/>
    <cellStyle name="Normal 5 4 2 2 5 3 2" xfId="14512" xr:uid="{233DBD3E-DE0F-4EDB-95D9-6BE838F8538D}"/>
    <cellStyle name="Normal 5 4 2 2 5 4" xfId="10294" xr:uid="{985388D3-B180-4DD9-9E07-0F2249BB371F}"/>
    <cellStyle name="Normal 5 4 2 2 6" xfId="2176" xr:uid="{00000000-0005-0000-0000-0000D01A0000}"/>
    <cellStyle name="Normal 5 4 2 2 6 2" xfId="4405" xr:uid="{00000000-0005-0000-0000-0000D11A0000}"/>
    <cellStyle name="Normal 5 4 2 2 6 2 2" xfId="8628" xr:uid="{00000000-0005-0000-0000-0000D21A0000}"/>
    <cellStyle name="Normal 5 4 2 2 6 2 2 2" xfId="17070" xr:uid="{0682DE79-9B09-4FD7-9231-4A0F4D7FD2D1}"/>
    <cellStyle name="Normal 5 4 2 2 6 2 3" xfId="12852" xr:uid="{06A0CAA7-D3BF-4D11-8B09-FB1E68D4E695}"/>
    <cellStyle name="Normal 5 4 2 2 6 3" xfId="6483" xr:uid="{00000000-0005-0000-0000-0000D31A0000}"/>
    <cellStyle name="Normal 5 4 2 2 6 3 2" xfId="14925" xr:uid="{3663872F-3CD6-46EB-90C6-8F3D57D17F85}"/>
    <cellStyle name="Normal 5 4 2 2 6 4" xfId="10707" xr:uid="{8D2D8E96-F2B9-459F-B6CE-88D387BE24EA}"/>
    <cellStyle name="Normal 5 4 2 2 7" xfId="2612" xr:uid="{00000000-0005-0000-0000-0000D41A0000}"/>
    <cellStyle name="Normal 5 4 2 2 7 2" xfId="6896" xr:uid="{00000000-0005-0000-0000-0000D51A0000}"/>
    <cellStyle name="Normal 5 4 2 2 7 2 2" xfId="15338" xr:uid="{1791E16A-2032-424D-897F-72DCAFA2AB8B}"/>
    <cellStyle name="Normal 5 4 2 2 7 3" xfId="11120" xr:uid="{8C99B83E-823B-4DBB-BBD8-D30F78028E71}"/>
    <cellStyle name="Normal 5 4 2 2 8" xfId="4831" xr:uid="{00000000-0005-0000-0000-0000D61A0000}"/>
    <cellStyle name="Normal 5 4 2 2 8 2" xfId="13273" xr:uid="{2C00E02F-974C-48BF-B566-EC265EF3BB3F}"/>
    <cellStyle name="Normal 5 4 2 2 9" xfId="9055" xr:uid="{E40F037C-550E-4E37-BCD3-6091C21600DD}"/>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2 2 2" xfId="15833" xr:uid="{45C4697C-A47B-472D-8D25-DA9F8A15F224}"/>
    <cellStyle name="Normal 5 4 2 3 2 2 3" xfId="11615" xr:uid="{C8DB0B44-FAD2-4774-B46A-73D370A65AC7}"/>
    <cellStyle name="Normal 5 4 2 3 2 3" xfId="5246" xr:uid="{00000000-0005-0000-0000-0000DB1A0000}"/>
    <cellStyle name="Normal 5 4 2 3 2 3 2" xfId="13688" xr:uid="{D018ECD8-C82F-4447-AD01-1BD4C49F578D}"/>
    <cellStyle name="Normal 5 4 2 3 2 4" xfId="9470" xr:uid="{1F6BE7B0-3925-4034-9CDB-E8BA331B9C31}"/>
    <cellStyle name="Normal 5 4 2 3 3" xfId="1351" xr:uid="{00000000-0005-0000-0000-0000DC1A0000}"/>
    <cellStyle name="Normal 5 4 2 3 3 2" xfId="3581" xr:uid="{00000000-0005-0000-0000-0000DD1A0000}"/>
    <cellStyle name="Normal 5 4 2 3 3 2 2" xfId="7804" xr:uid="{00000000-0005-0000-0000-0000DE1A0000}"/>
    <cellStyle name="Normal 5 4 2 3 3 2 2 2" xfId="16246" xr:uid="{060C95F3-2465-4349-8C6A-0A3399783885}"/>
    <cellStyle name="Normal 5 4 2 3 3 2 3" xfId="12028" xr:uid="{01163700-B085-4EC1-B020-D114AD68EEB3}"/>
    <cellStyle name="Normal 5 4 2 3 3 3" xfId="5659" xr:uid="{00000000-0005-0000-0000-0000DF1A0000}"/>
    <cellStyle name="Normal 5 4 2 3 3 3 2" xfId="14101" xr:uid="{2EAE0E65-90A0-4065-80D2-D2A05209ED9E}"/>
    <cellStyle name="Normal 5 4 2 3 3 4" xfId="9883" xr:uid="{F433DE37-816B-4EA5-AF82-F4114436B621}"/>
    <cellStyle name="Normal 5 4 2 3 4" xfId="1764" xr:uid="{00000000-0005-0000-0000-0000E01A0000}"/>
    <cellStyle name="Normal 5 4 2 3 4 2" xfId="3994" xr:uid="{00000000-0005-0000-0000-0000E11A0000}"/>
    <cellStyle name="Normal 5 4 2 3 4 2 2" xfId="8217" xr:uid="{00000000-0005-0000-0000-0000E21A0000}"/>
    <cellStyle name="Normal 5 4 2 3 4 2 2 2" xfId="16659" xr:uid="{289157DE-56C9-420A-A592-CADD4744A6B3}"/>
    <cellStyle name="Normal 5 4 2 3 4 2 3" xfId="12441" xr:uid="{9FFD7258-F3AC-46F1-8BB0-4769F07BAA26}"/>
    <cellStyle name="Normal 5 4 2 3 4 3" xfId="6072" xr:uid="{00000000-0005-0000-0000-0000E31A0000}"/>
    <cellStyle name="Normal 5 4 2 3 4 3 2" xfId="14514" xr:uid="{D1058855-1133-4AD5-9655-B319462B8F10}"/>
    <cellStyle name="Normal 5 4 2 3 4 4" xfId="10296" xr:uid="{FF42C578-C535-4DD6-85DB-78A903B5FA0A}"/>
    <cellStyle name="Normal 5 4 2 3 5" xfId="2178" xr:uid="{00000000-0005-0000-0000-0000E41A0000}"/>
    <cellStyle name="Normal 5 4 2 3 5 2" xfId="4407" xr:uid="{00000000-0005-0000-0000-0000E51A0000}"/>
    <cellStyle name="Normal 5 4 2 3 5 2 2" xfId="8630" xr:uid="{00000000-0005-0000-0000-0000E61A0000}"/>
    <cellStyle name="Normal 5 4 2 3 5 2 2 2" xfId="17072" xr:uid="{61ACE8AC-E206-408E-A8D5-A6ED1EAF44B3}"/>
    <cellStyle name="Normal 5 4 2 3 5 2 3" xfId="12854" xr:uid="{5D988C11-916E-4F02-83C2-0340ABBE8DC7}"/>
    <cellStyle name="Normal 5 4 2 3 5 3" xfId="6485" xr:uid="{00000000-0005-0000-0000-0000E71A0000}"/>
    <cellStyle name="Normal 5 4 2 3 5 3 2" xfId="14927" xr:uid="{F7576892-B09F-4533-B5EE-C0678F607AF6}"/>
    <cellStyle name="Normal 5 4 2 3 5 4" xfId="10709" xr:uid="{809A0236-5718-4E3C-8DFC-0F89724B9E0E}"/>
    <cellStyle name="Normal 5 4 2 3 6" xfId="2614" xr:uid="{00000000-0005-0000-0000-0000E81A0000}"/>
    <cellStyle name="Normal 5 4 2 3 6 2" xfId="6898" xr:uid="{00000000-0005-0000-0000-0000E91A0000}"/>
    <cellStyle name="Normal 5 4 2 3 6 2 2" xfId="15340" xr:uid="{E4FF0821-49CA-47AB-9FC8-34B225DA6740}"/>
    <cellStyle name="Normal 5 4 2 3 6 3" xfId="11122" xr:uid="{F4ADD20E-E8FB-4046-8CF0-0FA041768C51}"/>
    <cellStyle name="Normal 5 4 2 3 7" xfId="4833" xr:uid="{00000000-0005-0000-0000-0000EA1A0000}"/>
    <cellStyle name="Normal 5 4 2 3 7 2" xfId="13275" xr:uid="{0D8104A9-FC9D-43D4-8EC5-B71683E81349}"/>
    <cellStyle name="Normal 5 4 2 3 8" xfId="9057" xr:uid="{25742CC2-9A68-42C9-B2D2-E058C0DC7EC1}"/>
    <cellStyle name="Normal 5 4 2 4" xfId="931" xr:uid="{00000000-0005-0000-0000-0000EB1A0000}"/>
    <cellStyle name="Normal 5 4 2 4 2" xfId="3165" xr:uid="{00000000-0005-0000-0000-0000EC1A0000}"/>
    <cellStyle name="Normal 5 4 2 4 2 2" xfId="7388" xr:uid="{00000000-0005-0000-0000-0000ED1A0000}"/>
    <cellStyle name="Normal 5 4 2 4 2 2 2" xfId="15830" xr:uid="{002786C8-584F-4EE3-8631-C84A9EFABE08}"/>
    <cellStyle name="Normal 5 4 2 4 2 3" xfId="11612" xr:uid="{C99AA66B-D7B3-486F-A5E7-0156D3F389D5}"/>
    <cellStyle name="Normal 5 4 2 4 3" xfId="5243" xr:uid="{00000000-0005-0000-0000-0000EE1A0000}"/>
    <cellStyle name="Normal 5 4 2 4 3 2" xfId="13685" xr:uid="{651E99B6-7D61-4DE9-A9E4-9C6389A4B11A}"/>
    <cellStyle name="Normal 5 4 2 4 4" xfId="9467" xr:uid="{D4491046-563E-46F5-A169-935D4D25E397}"/>
    <cellStyle name="Normal 5 4 2 5" xfId="1348" xr:uid="{00000000-0005-0000-0000-0000EF1A0000}"/>
    <cellStyle name="Normal 5 4 2 5 2" xfId="3578" xr:uid="{00000000-0005-0000-0000-0000F01A0000}"/>
    <cellStyle name="Normal 5 4 2 5 2 2" xfId="7801" xr:uid="{00000000-0005-0000-0000-0000F11A0000}"/>
    <cellStyle name="Normal 5 4 2 5 2 2 2" xfId="16243" xr:uid="{9CE458CF-45B7-45E9-A4B6-7B56F7E5CAA4}"/>
    <cellStyle name="Normal 5 4 2 5 2 3" xfId="12025" xr:uid="{3A649B1A-87B8-4F19-8FCE-F944A60D45C8}"/>
    <cellStyle name="Normal 5 4 2 5 3" xfId="5656" xr:uid="{00000000-0005-0000-0000-0000F21A0000}"/>
    <cellStyle name="Normal 5 4 2 5 3 2" xfId="14098" xr:uid="{160DC66E-5ACB-4480-872C-2DE6FFF89501}"/>
    <cellStyle name="Normal 5 4 2 5 4" xfId="9880" xr:uid="{6933A513-83B8-49BA-B813-6CC9C94A5680}"/>
    <cellStyle name="Normal 5 4 2 6" xfId="1761" xr:uid="{00000000-0005-0000-0000-0000F31A0000}"/>
    <cellStyle name="Normal 5 4 2 6 2" xfId="3991" xr:uid="{00000000-0005-0000-0000-0000F41A0000}"/>
    <cellStyle name="Normal 5 4 2 6 2 2" xfId="8214" xr:uid="{00000000-0005-0000-0000-0000F51A0000}"/>
    <cellStyle name="Normal 5 4 2 6 2 2 2" xfId="16656" xr:uid="{8733FD62-CB95-4188-8C5C-1FA5E24CB4F1}"/>
    <cellStyle name="Normal 5 4 2 6 2 3" xfId="12438" xr:uid="{186D462E-6A5E-47A0-98E4-12373BEC80CD}"/>
    <cellStyle name="Normal 5 4 2 6 3" xfId="6069" xr:uid="{00000000-0005-0000-0000-0000F61A0000}"/>
    <cellStyle name="Normal 5 4 2 6 3 2" xfId="14511" xr:uid="{EFE9EC50-0A0A-4432-AD7E-D3D08561D698}"/>
    <cellStyle name="Normal 5 4 2 6 4" xfId="10293" xr:uid="{A3E227DC-E1B5-4129-89C8-80C59DED2BDB}"/>
    <cellStyle name="Normal 5 4 2 7" xfId="2175" xr:uid="{00000000-0005-0000-0000-0000F71A0000}"/>
    <cellStyle name="Normal 5 4 2 7 2" xfId="4404" xr:uid="{00000000-0005-0000-0000-0000F81A0000}"/>
    <cellStyle name="Normal 5 4 2 7 2 2" xfId="8627" xr:uid="{00000000-0005-0000-0000-0000F91A0000}"/>
    <cellStyle name="Normal 5 4 2 7 2 2 2" xfId="17069" xr:uid="{0B1439F8-E957-430F-8493-2334E97F911A}"/>
    <cellStyle name="Normal 5 4 2 7 2 3" xfId="12851" xr:uid="{DBAFD822-EC3C-438C-AD2F-593F03D439E3}"/>
    <cellStyle name="Normal 5 4 2 7 3" xfId="6482" xr:uid="{00000000-0005-0000-0000-0000FA1A0000}"/>
    <cellStyle name="Normal 5 4 2 7 3 2" xfId="14924" xr:uid="{A8A84297-44AD-4543-98D8-CF990767A7A7}"/>
    <cellStyle name="Normal 5 4 2 7 4" xfId="10706" xr:uid="{762A0A86-73BE-41A7-82AE-02848B9D641D}"/>
    <cellStyle name="Normal 5 4 2 8" xfId="2611" xr:uid="{00000000-0005-0000-0000-0000FB1A0000}"/>
    <cellStyle name="Normal 5 4 2 8 2" xfId="6895" xr:uid="{00000000-0005-0000-0000-0000FC1A0000}"/>
    <cellStyle name="Normal 5 4 2 8 2 2" xfId="15337" xr:uid="{8E16318B-9069-4961-B976-D69D1E9A1E0F}"/>
    <cellStyle name="Normal 5 4 2 8 3" xfId="11119" xr:uid="{CA6B51E5-D37F-4A7C-9F36-44715B0E115F}"/>
    <cellStyle name="Normal 5 4 2 9" xfId="4830" xr:uid="{00000000-0005-0000-0000-0000FD1A0000}"/>
    <cellStyle name="Normal 5 4 2 9 2" xfId="13272" xr:uid="{7819350B-8AB1-4BA5-86D9-8FD86B0B304E}"/>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2 2 2" xfId="15835" xr:uid="{0C56A680-396E-498C-A87C-7DCC7E0F6855}"/>
    <cellStyle name="Normal 5 4 3 2 2 2 3" xfId="11617" xr:uid="{66B1B0BE-8EE9-4314-A777-EB4521BEE46C}"/>
    <cellStyle name="Normal 5 4 3 2 2 3" xfId="5248" xr:uid="{00000000-0005-0000-0000-0000031B0000}"/>
    <cellStyle name="Normal 5 4 3 2 2 3 2" xfId="13690" xr:uid="{C556D955-DFD6-46D0-B442-19B59B2C3B30}"/>
    <cellStyle name="Normal 5 4 3 2 2 4" xfId="9472" xr:uid="{9CEE6215-1687-4020-8912-8D2A17A5941F}"/>
    <cellStyle name="Normal 5 4 3 2 3" xfId="1353" xr:uid="{00000000-0005-0000-0000-0000041B0000}"/>
    <cellStyle name="Normal 5 4 3 2 3 2" xfId="3583" xr:uid="{00000000-0005-0000-0000-0000051B0000}"/>
    <cellStyle name="Normal 5 4 3 2 3 2 2" xfId="7806" xr:uid="{00000000-0005-0000-0000-0000061B0000}"/>
    <cellStyle name="Normal 5 4 3 2 3 2 2 2" xfId="16248" xr:uid="{ABEDBB91-E309-4180-94CB-2B38F10F4CFA}"/>
    <cellStyle name="Normal 5 4 3 2 3 2 3" xfId="12030" xr:uid="{B4A39F16-ADC5-4FCB-9432-CBE5039D9595}"/>
    <cellStyle name="Normal 5 4 3 2 3 3" xfId="5661" xr:uid="{00000000-0005-0000-0000-0000071B0000}"/>
    <cellStyle name="Normal 5 4 3 2 3 3 2" xfId="14103" xr:uid="{8A5C68CA-C8D0-44B6-B568-107D8C88395C}"/>
    <cellStyle name="Normal 5 4 3 2 3 4" xfId="9885" xr:uid="{7B1905BF-10CA-4DD7-A755-BAB5561EC991}"/>
    <cellStyle name="Normal 5 4 3 2 4" xfId="1766" xr:uid="{00000000-0005-0000-0000-0000081B0000}"/>
    <cellStyle name="Normal 5 4 3 2 4 2" xfId="3996" xr:uid="{00000000-0005-0000-0000-0000091B0000}"/>
    <cellStyle name="Normal 5 4 3 2 4 2 2" xfId="8219" xr:uid="{00000000-0005-0000-0000-00000A1B0000}"/>
    <cellStyle name="Normal 5 4 3 2 4 2 2 2" xfId="16661" xr:uid="{835BA03D-E4BA-4125-AFAD-9DE8240D91F3}"/>
    <cellStyle name="Normal 5 4 3 2 4 2 3" xfId="12443" xr:uid="{612C224E-DC25-46A2-A812-D3D3DDD65C0B}"/>
    <cellStyle name="Normal 5 4 3 2 4 3" xfId="6074" xr:uid="{00000000-0005-0000-0000-00000B1B0000}"/>
    <cellStyle name="Normal 5 4 3 2 4 3 2" xfId="14516" xr:uid="{56DD925F-00F0-4618-AA71-6DD948180B47}"/>
    <cellStyle name="Normal 5 4 3 2 4 4" xfId="10298" xr:uid="{9B57CD63-949B-4AE5-B01B-C644D03D7736}"/>
    <cellStyle name="Normal 5 4 3 2 5" xfId="2180" xr:uid="{00000000-0005-0000-0000-00000C1B0000}"/>
    <cellStyle name="Normal 5 4 3 2 5 2" xfId="4409" xr:uid="{00000000-0005-0000-0000-00000D1B0000}"/>
    <cellStyle name="Normal 5 4 3 2 5 2 2" xfId="8632" xr:uid="{00000000-0005-0000-0000-00000E1B0000}"/>
    <cellStyle name="Normal 5 4 3 2 5 2 2 2" xfId="17074" xr:uid="{87C62EDF-9A83-486C-9D51-B5004947D069}"/>
    <cellStyle name="Normal 5 4 3 2 5 2 3" xfId="12856" xr:uid="{85028A3F-504F-40FE-8155-AE9673D73030}"/>
    <cellStyle name="Normal 5 4 3 2 5 3" xfId="6487" xr:uid="{00000000-0005-0000-0000-00000F1B0000}"/>
    <cellStyle name="Normal 5 4 3 2 5 3 2" xfId="14929" xr:uid="{30F12E4C-9FAB-416A-8F79-444CB2EFBCA9}"/>
    <cellStyle name="Normal 5 4 3 2 5 4" xfId="10711" xr:uid="{53667C73-304E-43B1-83FE-5BA5106423DF}"/>
    <cellStyle name="Normal 5 4 3 2 6" xfId="2616" xr:uid="{00000000-0005-0000-0000-0000101B0000}"/>
    <cellStyle name="Normal 5 4 3 2 6 2" xfId="6900" xr:uid="{00000000-0005-0000-0000-0000111B0000}"/>
    <cellStyle name="Normal 5 4 3 2 6 2 2" xfId="15342" xr:uid="{8AD4147C-2725-49E5-9B41-A4763B742BC6}"/>
    <cellStyle name="Normal 5 4 3 2 6 3" xfId="11124" xr:uid="{4512D023-8B7B-4531-950E-4D499094CC09}"/>
    <cellStyle name="Normal 5 4 3 2 7" xfId="4835" xr:uid="{00000000-0005-0000-0000-0000121B0000}"/>
    <cellStyle name="Normal 5 4 3 2 7 2" xfId="13277" xr:uid="{E29A9F4A-70B4-4D35-BD28-BFB5E7FDC995}"/>
    <cellStyle name="Normal 5 4 3 2 8" xfId="9059" xr:uid="{D097458D-C04D-4FAB-88CD-538D7B724262}"/>
    <cellStyle name="Normal 5 4 3 3" xfId="935" xr:uid="{00000000-0005-0000-0000-0000131B0000}"/>
    <cellStyle name="Normal 5 4 3 3 2" xfId="3169" xr:uid="{00000000-0005-0000-0000-0000141B0000}"/>
    <cellStyle name="Normal 5 4 3 3 2 2" xfId="7392" xr:uid="{00000000-0005-0000-0000-0000151B0000}"/>
    <cellStyle name="Normal 5 4 3 3 2 2 2" xfId="15834" xr:uid="{B1DD96D2-43FF-40D9-ACAE-67284AF3344F}"/>
    <cellStyle name="Normal 5 4 3 3 2 3" xfId="11616" xr:uid="{54EA90DB-76BE-4E4A-84B5-8D07FD579969}"/>
    <cellStyle name="Normal 5 4 3 3 3" xfId="5247" xr:uid="{00000000-0005-0000-0000-0000161B0000}"/>
    <cellStyle name="Normal 5 4 3 3 3 2" xfId="13689" xr:uid="{38B55E5A-B724-4A11-B5C7-D54B0E1BD521}"/>
    <cellStyle name="Normal 5 4 3 3 4" xfId="9471" xr:uid="{3962CAEC-AA9C-44F2-B67C-11C2B3B67949}"/>
    <cellStyle name="Normal 5 4 3 4" xfId="1352" xr:uid="{00000000-0005-0000-0000-0000171B0000}"/>
    <cellStyle name="Normal 5 4 3 4 2" xfId="3582" xr:uid="{00000000-0005-0000-0000-0000181B0000}"/>
    <cellStyle name="Normal 5 4 3 4 2 2" xfId="7805" xr:uid="{00000000-0005-0000-0000-0000191B0000}"/>
    <cellStyle name="Normal 5 4 3 4 2 2 2" xfId="16247" xr:uid="{1A341B76-44E4-4A51-80AA-7BB08C4A7D49}"/>
    <cellStyle name="Normal 5 4 3 4 2 3" xfId="12029" xr:uid="{1E95EAFD-0BAB-43C8-8E7B-A96981C50825}"/>
    <cellStyle name="Normal 5 4 3 4 3" xfId="5660" xr:uid="{00000000-0005-0000-0000-00001A1B0000}"/>
    <cellStyle name="Normal 5 4 3 4 3 2" xfId="14102" xr:uid="{6395075E-90F8-42CC-BAA7-DA07C1D75A6F}"/>
    <cellStyle name="Normal 5 4 3 4 4" xfId="9884" xr:uid="{0A4F0FB7-6E1D-4C4A-8B4F-AE446C04E019}"/>
    <cellStyle name="Normal 5 4 3 5" xfId="1765" xr:uid="{00000000-0005-0000-0000-00001B1B0000}"/>
    <cellStyle name="Normal 5 4 3 5 2" xfId="3995" xr:uid="{00000000-0005-0000-0000-00001C1B0000}"/>
    <cellStyle name="Normal 5 4 3 5 2 2" xfId="8218" xr:uid="{00000000-0005-0000-0000-00001D1B0000}"/>
    <cellStyle name="Normal 5 4 3 5 2 2 2" xfId="16660" xr:uid="{A930F8F3-4648-4BB1-93F9-6A68EAFFDEB7}"/>
    <cellStyle name="Normal 5 4 3 5 2 3" xfId="12442" xr:uid="{4C71D795-817F-428F-A24F-4676B268DB14}"/>
    <cellStyle name="Normal 5 4 3 5 3" xfId="6073" xr:uid="{00000000-0005-0000-0000-00001E1B0000}"/>
    <cellStyle name="Normal 5 4 3 5 3 2" xfId="14515" xr:uid="{E2580BB7-F9A6-4C06-A092-13125E8CDCD9}"/>
    <cellStyle name="Normal 5 4 3 5 4" xfId="10297" xr:uid="{863D8B93-EDC3-44D0-A7CA-0009202D0E26}"/>
    <cellStyle name="Normal 5 4 3 6" xfId="2179" xr:uid="{00000000-0005-0000-0000-00001F1B0000}"/>
    <cellStyle name="Normal 5 4 3 6 2" xfId="4408" xr:uid="{00000000-0005-0000-0000-0000201B0000}"/>
    <cellStyle name="Normal 5 4 3 6 2 2" xfId="8631" xr:uid="{00000000-0005-0000-0000-0000211B0000}"/>
    <cellStyle name="Normal 5 4 3 6 2 2 2" xfId="17073" xr:uid="{50D2AC92-C533-4160-A1E4-5B348F827C92}"/>
    <cellStyle name="Normal 5 4 3 6 2 3" xfId="12855" xr:uid="{46517A74-89E2-4EEC-8779-C8031F35FC28}"/>
    <cellStyle name="Normal 5 4 3 6 3" xfId="6486" xr:uid="{00000000-0005-0000-0000-0000221B0000}"/>
    <cellStyle name="Normal 5 4 3 6 3 2" xfId="14928" xr:uid="{80580161-CDFF-4593-BFEE-EABE73321D1B}"/>
    <cellStyle name="Normal 5 4 3 6 4" xfId="10710" xr:uid="{4CE00AA2-65E6-4C2D-BCE3-4809474C21B9}"/>
    <cellStyle name="Normal 5 4 3 7" xfId="2615" xr:uid="{00000000-0005-0000-0000-0000231B0000}"/>
    <cellStyle name="Normal 5 4 3 7 2" xfId="6899" xr:uid="{00000000-0005-0000-0000-0000241B0000}"/>
    <cellStyle name="Normal 5 4 3 7 2 2" xfId="15341" xr:uid="{AF724FBB-EBFB-4213-A3CC-071979840C10}"/>
    <cellStyle name="Normal 5 4 3 7 3" xfId="11123" xr:uid="{99262DD8-131A-4E65-B458-35CF9ECDD687}"/>
    <cellStyle name="Normal 5 4 3 8" xfId="4834" xr:uid="{00000000-0005-0000-0000-0000251B0000}"/>
    <cellStyle name="Normal 5 4 3 8 2" xfId="13276" xr:uid="{A5C92708-9635-4370-A13B-2E1CCBDFFAFE}"/>
    <cellStyle name="Normal 5 4 3 9" xfId="9058" xr:uid="{3825587C-4B28-4D10-A79F-3D592EFA3BDB}"/>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2 2 2" xfId="15836" xr:uid="{22CAD899-676F-4DA4-A1F7-A4B6F322A061}"/>
    <cellStyle name="Normal 5 4 4 2 2 3" xfId="11618" xr:uid="{AC47AB95-5064-41D7-B92F-02031311DE6D}"/>
    <cellStyle name="Normal 5 4 4 2 3" xfId="5249" xr:uid="{00000000-0005-0000-0000-00002A1B0000}"/>
    <cellStyle name="Normal 5 4 4 2 3 2" xfId="13691" xr:uid="{0477758E-85F3-460A-8065-02A25EFCF5B4}"/>
    <cellStyle name="Normal 5 4 4 2 4" xfId="9473" xr:uid="{0738A2C8-AA41-478A-9C83-2C278B521217}"/>
    <cellStyle name="Normal 5 4 4 3" xfId="1354" xr:uid="{00000000-0005-0000-0000-00002B1B0000}"/>
    <cellStyle name="Normal 5 4 4 3 2" xfId="3584" xr:uid="{00000000-0005-0000-0000-00002C1B0000}"/>
    <cellStyle name="Normal 5 4 4 3 2 2" xfId="7807" xr:uid="{00000000-0005-0000-0000-00002D1B0000}"/>
    <cellStyle name="Normal 5 4 4 3 2 2 2" xfId="16249" xr:uid="{B8228868-6016-4365-B552-AB35FC5CA5D8}"/>
    <cellStyle name="Normal 5 4 4 3 2 3" xfId="12031" xr:uid="{16953B34-9435-49D3-9B05-AA0B4BC7B5E3}"/>
    <cellStyle name="Normal 5 4 4 3 3" xfId="5662" xr:uid="{00000000-0005-0000-0000-00002E1B0000}"/>
    <cellStyle name="Normal 5 4 4 3 3 2" xfId="14104" xr:uid="{1BA7E236-1AE3-4A3E-B7E8-6BE1913A7CAE}"/>
    <cellStyle name="Normal 5 4 4 3 4" xfId="9886" xr:uid="{9F61A31A-16F6-4F5B-80FB-032F4D350FFD}"/>
    <cellStyle name="Normal 5 4 4 4" xfId="1767" xr:uid="{00000000-0005-0000-0000-00002F1B0000}"/>
    <cellStyle name="Normal 5 4 4 4 2" xfId="3997" xr:uid="{00000000-0005-0000-0000-0000301B0000}"/>
    <cellStyle name="Normal 5 4 4 4 2 2" xfId="8220" xr:uid="{00000000-0005-0000-0000-0000311B0000}"/>
    <cellStyle name="Normal 5 4 4 4 2 2 2" xfId="16662" xr:uid="{CF1CD78F-6426-4DBC-AD36-80407C5D91EA}"/>
    <cellStyle name="Normal 5 4 4 4 2 3" xfId="12444" xr:uid="{34453986-C31B-49A3-AAAD-8466DFA2DFBC}"/>
    <cellStyle name="Normal 5 4 4 4 3" xfId="6075" xr:uid="{00000000-0005-0000-0000-0000321B0000}"/>
    <cellStyle name="Normal 5 4 4 4 3 2" xfId="14517" xr:uid="{F7654DD1-1253-478E-8CE9-771E409B195C}"/>
    <cellStyle name="Normal 5 4 4 4 4" xfId="10299" xr:uid="{A07A2C5F-8C2A-46AF-BFCC-D509E44634BC}"/>
    <cellStyle name="Normal 5 4 4 5" xfId="2181" xr:uid="{00000000-0005-0000-0000-0000331B0000}"/>
    <cellStyle name="Normal 5 4 4 5 2" xfId="4410" xr:uid="{00000000-0005-0000-0000-0000341B0000}"/>
    <cellStyle name="Normal 5 4 4 5 2 2" xfId="8633" xr:uid="{00000000-0005-0000-0000-0000351B0000}"/>
    <cellStyle name="Normal 5 4 4 5 2 2 2" xfId="17075" xr:uid="{8A79C065-B30B-44DF-9F6A-B7B054E58BBE}"/>
    <cellStyle name="Normal 5 4 4 5 2 3" xfId="12857" xr:uid="{DA7B4620-B4D3-4ABA-9742-25DEB78C5CE3}"/>
    <cellStyle name="Normal 5 4 4 5 3" xfId="6488" xr:uid="{00000000-0005-0000-0000-0000361B0000}"/>
    <cellStyle name="Normal 5 4 4 5 3 2" xfId="14930" xr:uid="{3E975D3C-9BC2-4BFD-869A-FA32A83C01BE}"/>
    <cellStyle name="Normal 5 4 4 5 4" xfId="10712" xr:uid="{D4A26A55-4F8D-47CF-B02D-6FCB49ABC70E}"/>
    <cellStyle name="Normal 5 4 4 6" xfId="2617" xr:uid="{00000000-0005-0000-0000-0000371B0000}"/>
    <cellStyle name="Normal 5 4 4 6 2" xfId="6901" xr:uid="{00000000-0005-0000-0000-0000381B0000}"/>
    <cellStyle name="Normal 5 4 4 6 2 2" xfId="15343" xr:uid="{ABA02B0B-D2F5-4463-B795-08C50EFC098E}"/>
    <cellStyle name="Normal 5 4 4 6 3" xfId="11125" xr:uid="{D47EB85B-C98E-4705-93E6-A394E376B592}"/>
    <cellStyle name="Normal 5 4 4 7" xfId="4836" xr:uid="{00000000-0005-0000-0000-0000391B0000}"/>
    <cellStyle name="Normal 5 4 4 7 2" xfId="13278" xr:uid="{BA1DB936-EF8A-47A0-A5DE-0BC3B23B0CDC}"/>
    <cellStyle name="Normal 5 4 4 8" xfId="9060" xr:uid="{31089794-AB00-4376-8CC3-AF8B1672304D}"/>
    <cellStyle name="Normal 5 4 5" xfId="930" xr:uid="{00000000-0005-0000-0000-00003A1B0000}"/>
    <cellStyle name="Normal 5 4 5 2" xfId="3164" xr:uid="{00000000-0005-0000-0000-00003B1B0000}"/>
    <cellStyle name="Normal 5 4 5 2 2" xfId="7387" xr:uid="{00000000-0005-0000-0000-00003C1B0000}"/>
    <cellStyle name="Normal 5 4 5 2 2 2" xfId="15829" xr:uid="{1559FE9D-ABCE-46B6-B489-1F887146F9B8}"/>
    <cellStyle name="Normal 5 4 5 2 3" xfId="11611" xr:uid="{E17E2222-FE6D-4AD5-840C-FE087526D200}"/>
    <cellStyle name="Normal 5 4 5 3" xfId="5242" xr:uid="{00000000-0005-0000-0000-00003D1B0000}"/>
    <cellStyle name="Normal 5 4 5 3 2" xfId="13684" xr:uid="{9B272543-3DE9-4059-8E29-36BCE3D1DCE9}"/>
    <cellStyle name="Normal 5 4 5 4" xfId="9466" xr:uid="{F58141E2-A5EB-48BD-91B2-42C67FF01952}"/>
    <cellStyle name="Normal 5 4 6" xfId="1347" xr:uid="{00000000-0005-0000-0000-00003E1B0000}"/>
    <cellStyle name="Normal 5 4 6 2" xfId="3577" xr:uid="{00000000-0005-0000-0000-00003F1B0000}"/>
    <cellStyle name="Normal 5 4 6 2 2" xfId="7800" xr:uid="{00000000-0005-0000-0000-0000401B0000}"/>
    <cellStyle name="Normal 5 4 6 2 2 2" xfId="16242" xr:uid="{D89F7E13-A1BF-43B9-AA44-14DA573D0D56}"/>
    <cellStyle name="Normal 5 4 6 2 3" xfId="12024" xr:uid="{EA872572-70E3-4CA0-81C7-183980FDF78E}"/>
    <cellStyle name="Normal 5 4 6 3" xfId="5655" xr:uid="{00000000-0005-0000-0000-0000411B0000}"/>
    <cellStyle name="Normal 5 4 6 3 2" xfId="14097" xr:uid="{7411F6E0-B78E-402C-B2FF-C50CD53D1F84}"/>
    <cellStyle name="Normal 5 4 6 4" xfId="9879" xr:uid="{19D10992-6FD3-4B04-94D6-1F173857B889}"/>
    <cellStyle name="Normal 5 4 7" xfId="1760" xr:uid="{00000000-0005-0000-0000-0000421B0000}"/>
    <cellStyle name="Normal 5 4 7 2" xfId="3990" xr:uid="{00000000-0005-0000-0000-0000431B0000}"/>
    <cellStyle name="Normal 5 4 7 2 2" xfId="8213" xr:uid="{00000000-0005-0000-0000-0000441B0000}"/>
    <cellStyle name="Normal 5 4 7 2 2 2" xfId="16655" xr:uid="{55EE22F9-1F78-4DF1-920E-78E5BA21B64D}"/>
    <cellStyle name="Normal 5 4 7 2 3" xfId="12437" xr:uid="{EB055EF0-8426-478A-9A96-E13B8A2B7E4C}"/>
    <cellStyle name="Normal 5 4 7 3" xfId="6068" xr:uid="{00000000-0005-0000-0000-0000451B0000}"/>
    <cellStyle name="Normal 5 4 7 3 2" xfId="14510" xr:uid="{C72B378C-DBDE-4297-A97F-07B136BCAB8C}"/>
    <cellStyle name="Normal 5 4 7 4" xfId="10292" xr:uid="{6D056671-BE57-42EA-AE81-E2A1645D0EEA}"/>
    <cellStyle name="Normal 5 4 8" xfId="2174" xr:uid="{00000000-0005-0000-0000-0000461B0000}"/>
    <cellStyle name="Normal 5 4 8 2" xfId="4403" xr:uid="{00000000-0005-0000-0000-0000471B0000}"/>
    <cellStyle name="Normal 5 4 8 2 2" xfId="8626" xr:uid="{00000000-0005-0000-0000-0000481B0000}"/>
    <cellStyle name="Normal 5 4 8 2 2 2" xfId="17068" xr:uid="{B2DB41D2-36E4-4E7B-AC97-DB6A314031EE}"/>
    <cellStyle name="Normal 5 4 8 2 3" xfId="12850" xr:uid="{4225D49C-C139-4AB2-9F5A-D6D81AFFD034}"/>
    <cellStyle name="Normal 5 4 8 3" xfId="6481" xr:uid="{00000000-0005-0000-0000-0000491B0000}"/>
    <cellStyle name="Normal 5 4 8 3 2" xfId="14923" xr:uid="{7539E91B-54B3-40C8-B4BB-3287240C7B68}"/>
    <cellStyle name="Normal 5 4 8 4" xfId="10705" xr:uid="{DF336DAE-784B-49BE-930E-3E5801721F4F}"/>
    <cellStyle name="Normal 5 4 9" xfId="2610" xr:uid="{00000000-0005-0000-0000-00004A1B0000}"/>
    <cellStyle name="Normal 5 4 9 2" xfId="6894" xr:uid="{00000000-0005-0000-0000-00004B1B0000}"/>
    <cellStyle name="Normal 5 4 9 2 2" xfId="15336" xr:uid="{A47DF2DD-DC67-47C4-B916-C7FD8B97D513}"/>
    <cellStyle name="Normal 5 4 9 3" xfId="11118" xr:uid="{BDC71F29-31A5-4204-ACDB-96E5CF06DC00}"/>
    <cellStyle name="Normal 5 5" xfId="464" xr:uid="{00000000-0005-0000-0000-00004C1B0000}"/>
    <cellStyle name="Normal 5 5 10" xfId="9061" xr:uid="{28C44469-1856-4ACB-99FD-DC5BC51BD3B7}"/>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2 2 2" xfId="15839" xr:uid="{BF3AF35E-3F22-4F31-BE5D-818E33B9CF79}"/>
    <cellStyle name="Normal 5 5 2 2 2 2 3" xfId="11621" xr:uid="{CD7BD351-420A-4609-8500-E72A80CA1321}"/>
    <cellStyle name="Normal 5 5 2 2 2 3" xfId="5252" xr:uid="{00000000-0005-0000-0000-0000521B0000}"/>
    <cellStyle name="Normal 5 5 2 2 2 3 2" xfId="13694" xr:uid="{12D20F19-7B32-409F-932D-DB2EF66017F8}"/>
    <cellStyle name="Normal 5 5 2 2 2 4" xfId="9476" xr:uid="{46910B46-26D3-41CB-BC2B-B524CBB49542}"/>
    <cellStyle name="Normal 5 5 2 2 3" xfId="1357" xr:uid="{00000000-0005-0000-0000-0000531B0000}"/>
    <cellStyle name="Normal 5 5 2 2 3 2" xfId="3587" xr:uid="{00000000-0005-0000-0000-0000541B0000}"/>
    <cellStyle name="Normal 5 5 2 2 3 2 2" xfId="7810" xr:uid="{00000000-0005-0000-0000-0000551B0000}"/>
    <cellStyle name="Normal 5 5 2 2 3 2 2 2" xfId="16252" xr:uid="{62698D19-A94B-4DDA-966D-E4D6C19FE072}"/>
    <cellStyle name="Normal 5 5 2 2 3 2 3" xfId="12034" xr:uid="{B76034B7-1674-4FFB-9EB5-82FA4FFB23B8}"/>
    <cellStyle name="Normal 5 5 2 2 3 3" xfId="5665" xr:uid="{00000000-0005-0000-0000-0000561B0000}"/>
    <cellStyle name="Normal 5 5 2 2 3 3 2" xfId="14107" xr:uid="{4F3B384B-79D2-4C63-B1FC-7520EE07B9CE}"/>
    <cellStyle name="Normal 5 5 2 2 3 4" xfId="9889" xr:uid="{AD539EC1-ACCE-434D-BFA7-C249D949784E}"/>
    <cellStyle name="Normal 5 5 2 2 4" xfId="1770" xr:uid="{00000000-0005-0000-0000-0000571B0000}"/>
    <cellStyle name="Normal 5 5 2 2 4 2" xfId="4000" xr:uid="{00000000-0005-0000-0000-0000581B0000}"/>
    <cellStyle name="Normal 5 5 2 2 4 2 2" xfId="8223" xr:uid="{00000000-0005-0000-0000-0000591B0000}"/>
    <cellStyle name="Normal 5 5 2 2 4 2 2 2" xfId="16665" xr:uid="{EF86BC17-27CA-4F95-ADF4-DDA55453B91E}"/>
    <cellStyle name="Normal 5 5 2 2 4 2 3" xfId="12447" xr:uid="{C03BBE6F-5FAD-40EC-9722-6F31CCDB830F}"/>
    <cellStyle name="Normal 5 5 2 2 4 3" xfId="6078" xr:uid="{00000000-0005-0000-0000-00005A1B0000}"/>
    <cellStyle name="Normal 5 5 2 2 4 3 2" xfId="14520" xr:uid="{DDBD6159-E5A2-4C10-9E8D-FB1FA84F1059}"/>
    <cellStyle name="Normal 5 5 2 2 4 4" xfId="10302" xr:uid="{8501F0BF-32F7-4A88-A4A9-E15D2C945F30}"/>
    <cellStyle name="Normal 5 5 2 2 5" xfId="2184" xr:uid="{00000000-0005-0000-0000-00005B1B0000}"/>
    <cellStyle name="Normal 5 5 2 2 5 2" xfId="4413" xr:uid="{00000000-0005-0000-0000-00005C1B0000}"/>
    <cellStyle name="Normal 5 5 2 2 5 2 2" xfId="8636" xr:uid="{00000000-0005-0000-0000-00005D1B0000}"/>
    <cellStyle name="Normal 5 5 2 2 5 2 2 2" xfId="17078" xr:uid="{BC587505-4A76-4B9B-A5A7-CEB639B03B5B}"/>
    <cellStyle name="Normal 5 5 2 2 5 2 3" xfId="12860" xr:uid="{5093C2CB-3E45-41F7-973F-BBA9BEEB865A}"/>
    <cellStyle name="Normal 5 5 2 2 5 3" xfId="6491" xr:uid="{00000000-0005-0000-0000-00005E1B0000}"/>
    <cellStyle name="Normal 5 5 2 2 5 3 2" xfId="14933" xr:uid="{ADFCC34A-AC05-4FD9-B9F0-50ACF8CE22F6}"/>
    <cellStyle name="Normal 5 5 2 2 5 4" xfId="10715" xr:uid="{35D750AE-1693-475D-8599-9BDC49F79A83}"/>
    <cellStyle name="Normal 5 5 2 2 6" xfId="2620" xr:uid="{00000000-0005-0000-0000-00005F1B0000}"/>
    <cellStyle name="Normal 5 5 2 2 6 2" xfId="6904" xr:uid="{00000000-0005-0000-0000-0000601B0000}"/>
    <cellStyle name="Normal 5 5 2 2 6 2 2" xfId="15346" xr:uid="{54E5687A-F5B0-4736-BA91-A60A754333BE}"/>
    <cellStyle name="Normal 5 5 2 2 6 3" xfId="11128" xr:uid="{8D498C90-4862-41A3-B189-90857FF5F84C}"/>
    <cellStyle name="Normal 5 5 2 2 7" xfId="4839" xr:uid="{00000000-0005-0000-0000-0000611B0000}"/>
    <cellStyle name="Normal 5 5 2 2 7 2" xfId="13281" xr:uid="{9EDE454C-63BE-488C-81AC-A368825EDA52}"/>
    <cellStyle name="Normal 5 5 2 2 8" xfId="9063" xr:uid="{5FBA2204-E164-409D-B9C3-B8CE3E15066A}"/>
    <cellStyle name="Normal 5 5 2 3" xfId="939" xr:uid="{00000000-0005-0000-0000-0000621B0000}"/>
    <cellStyle name="Normal 5 5 2 3 2" xfId="3173" xr:uid="{00000000-0005-0000-0000-0000631B0000}"/>
    <cellStyle name="Normal 5 5 2 3 2 2" xfId="7396" xr:uid="{00000000-0005-0000-0000-0000641B0000}"/>
    <cellStyle name="Normal 5 5 2 3 2 2 2" xfId="15838" xr:uid="{8249BC38-C75C-472F-93AD-5EA392359AAD}"/>
    <cellStyle name="Normal 5 5 2 3 2 3" xfId="11620" xr:uid="{6EF4A016-D888-4696-9119-128DF1EB809D}"/>
    <cellStyle name="Normal 5 5 2 3 3" xfId="5251" xr:uid="{00000000-0005-0000-0000-0000651B0000}"/>
    <cellStyle name="Normal 5 5 2 3 3 2" xfId="13693" xr:uid="{79FB1BAD-2BBD-4372-BFFE-C2F67A9ADCA5}"/>
    <cellStyle name="Normal 5 5 2 3 4" xfId="9475" xr:uid="{9880E056-B705-461F-B169-34A1F14EE946}"/>
    <cellStyle name="Normal 5 5 2 4" xfId="1356" xr:uid="{00000000-0005-0000-0000-0000661B0000}"/>
    <cellStyle name="Normal 5 5 2 4 2" xfId="3586" xr:uid="{00000000-0005-0000-0000-0000671B0000}"/>
    <cellStyle name="Normal 5 5 2 4 2 2" xfId="7809" xr:uid="{00000000-0005-0000-0000-0000681B0000}"/>
    <cellStyle name="Normal 5 5 2 4 2 2 2" xfId="16251" xr:uid="{AB7A3ACE-FFD3-4BF1-9296-11751C6B7652}"/>
    <cellStyle name="Normal 5 5 2 4 2 3" xfId="12033" xr:uid="{5268F267-BD7A-4291-B03F-485DABEFEB08}"/>
    <cellStyle name="Normal 5 5 2 4 3" xfId="5664" xr:uid="{00000000-0005-0000-0000-0000691B0000}"/>
    <cellStyle name="Normal 5 5 2 4 3 2" xfId="14106" xr:uid="{0AB51EF4-1700-4843-BADC-C8CC6F0D990F}"/>
    <cellStyle name="Normal 5 5 2 4 4" xfId="9888" xr:uid="{5D9EABFA-54C6-4165-84D2-1F1A9FEB2485}"/>
    <cellStyle name="Normal 5 5 2 5" xfId="1769" xr:uid="{00000000-0005-0000-0000-00006A1B0000}"/>
    <cellStyle name="Normal 5 5 2 5 2" xfId="3999" xr:uid="{00000000-0005-0000-0000-00006B1B0000}"/>
    <cellStyle name="Normal 5 5 2 5 2 2" xfId="8222" xr:uid="{00000000-0005-0000-0000-00006C1B0000}"/>
    <cellStyle name="Normal 5 5 2 5 2 2 2" xfId="16664" xr:uid="{D52B7732-219A-4034-93F3-ECE512B1D118}"/>
    <cellStyle name="Normal 5 5 2 5 2 3" xfId="12446" xr:uid="{4ABA991E-30B8-4C50-8F0E-E1338D071B97}"/>
    <cellStyle name="Normal 5 5 2 5 3" xfId="6077" xr:uid="{00000000-0005-0000-0000-00006D1B0000}"/>
    <cellStyle name="Normal 5 5 2 5 3 2" xfId="14519" xr:uid="{FA865595-BEEB-4DBD-8507-BB8BC3BA2464}"/>
    <cellStyle name="Normal 5 5 2 5 4" xfId="10301" xr:uid="{A54F212C-D1D9-45BA-823A-B116257D5A1B}"/>
    <cellStyle name="Normal 5 5 2 6" xfId="2183" xr:uid="{00000000-0005-0000-0000-00006E1B0000}"/>
    <cellStyle name="Normal 5 5 2 6 2" xfId="4412" xr:uid="{00000000-0005-0000-0000-00006F1B0000}"/>
    <cellStyle name="Normal 5 5 2 6 2 2" xfId="8635" xr:uid="{00000000-0005-0000-0000-0000701B0000}"/>
    <cellStyle name="Normal 5 5 2 6 2 2 2" xfId="17077" xr:uid="{6785ECA8-FCB9-4CD2-8459-EF8B4C48D772}"/>
    <cellStyle name="Normal 5 5 2 6 2 3" xfId="12859" xr:uid="{EA933AF2-A0D5-4140-AB75-68B5F836C916}"/>
    <cellStyle name="Normal 5 5 2 6 3" xfId="6490" xr:uid="{00000000-0005-0000-0000-0000711B0000}"/>
    <cellStyle name="Normal 5 5 2 6 3 2" xfId="14932" xr:uid="{84CC2C9D-309E-49F1-B8F0-B1CB7AA8C776}"/>
    <cellStyle name="Normal 5 5 2 6 4" xfId="10714" xr:uid="{584731B0-E5C7-4E08-A680-CDBB7D447CE3}"/>
    <cellStyle name="Normal 5 5 2 7" xfId="2619" xr:uid="{00000000-0005-0000-0000-0000721B0000}"/>
    <cellStyle name="Normal 5 5 2 7 2" xfId="6903" xr:uid="{00000000-0005-0000-0000-0000731B0000}"/>
    <cellStyle name="Normal 5 5 2 7 2 2" xfId="15345" xr:uid="{3532C726-1471-43AD-A674-EFDF04DA875A}"/>
    <cellStyle name="Normal 5 5 2 7 3" xfId="11127" xr:uid="{2607D373-C831-474E-AA40-5FB0FE2F6EBA}"/>
    <cellStyle name="Normal 5 5 2 8" xfId="4838" xr:uid="{00000000-0005-0000-0000-0000741B0000}"/>
    <cellStyle name="Normal 5 5 2 8 2" xfId="13280" xr:uid="{3A4F36F3-D328-47D9-BBB4-9BDE56F15243}"/>
    <cellStyle name="Normal 5 5 2 9" xfId="9062" xr:uid="{FBCBEB80-1A9C-41C8-94EC-AF556D3D02CD}"/>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2 2 2" xfId="15840" xr:uid="{F9A7BBAA-58E5-4CC5-867D-541C92AB2367}"/>
    <cellStyle name="Normal 5 5 3 2 2 3" xfId="11622" xr:uid="{B835D20D-3DB4-4A82-8F4A-FFC1C14E53E2}"/>
    <cellStyle name="Normal 5 5 3 2 3" xfId="5253" xr:uid="{00000000-0005-0000-0000-0000791B0000}"/>
    <cellStyle name="Normal 5 5 3 2 3 2" xfId="13695" xr:uid="{559BB6A1-A944-4484-85B9-88D8C2F18CDD}"/>
    <cellStyle name="Normal 5 5 3 2 4" xfId="9477" xr:uid="{523FC14F-2EC6-4802-8F1E-A42020A97EC9}"/>
    <cellStyle name="Normal 5 5 3 3" xfId="1358" xr:uid="{00000000-0005-0000-0000-00007A1B0000}"/>
    <cellStyle name="Normal 5 5 3 3 2" xfId="3588" xr:uid="{00000000-0005-0000-0000-00007B1B0000}"/>
    <cellStyle name="Normal 5 5 3 3 2 2" xfId="7811" xr:uid="{00000000-0005-0000-0000-00007C1B0000}"/>
    <cellStyle name="Normal 5 5 3 3 2 2 2" xfId="16253" xr:uid="{A9EE34C7-C7FD-4192-AE9D-99907E423468}"/>
    <cellStyle name="Normal 5 5 3 3 2 3" xfId="12035" xr:uid="{E0FEEDF5-947D-4DC9-B038-5831583381C4}"/>
    <cellStyle name="Normal 5 5 3 3 3" xfId="5666" xr:uid="{00000000-0005-0000-0000-00007D1B0000}"/>
    <cellStyle name="Normal 5 5 3 3 3 2" xfId="14108" xr:uid="{693B38E8-B3F1-4724-8112-0305D3FD1C1C}"/>
    <cellStyle name="Normal 5 5 3 3 4" xfId="9890" xr:uid="{9CBE66AC-C1F2-4D20-A81A-E0D95CD1E95B}"/>
    <cellStyle name="Normal 5 5 3 4" xfId="1771" xr:uid="{00000000-0005-0000-0000-00007E1B0000}"/>
    <cellStyle name="Normal 5 5 3 4 2" xfId="4001" xr:uid="{00000000-0005-0000-0000-00007F1B0000}"/>
    <cellStyle name="Normal 5 5 3 4 2 2" xfId="8224" xr:uid="{00000000-0005-0000-0000-0000801B0000}"/>
    <cellStyle name="Normal 5 5 3 4 2 2 2" xfId="16666" xr:uid="{FE85CE18-1C93-48AC-A5FB-079607B2DF05}"/>
    <cellStyle name="Normal 5 5 3 4 2 3" xfId="12448" xr:uid="{101BDC88-C7B6-48A7-922D-7D260F2D6DDA}"/>
    <cellStyle name="Normal 5 5 3 4 3" xfId="6079" xr:uid="{00000000-0005-0000-0000-0000811B0000}"/>
    <cellStyle name="Normal 5 5 3 4 3 2" xfId="14521" xr:uid="{37896559-D57A-40F1-9DB0-26564A702D5F}"/>
    <cellStyle name="Normal 5 5 3 4 4" xfId="10303" xr:uid="{17F828FE-DD37-4DA1-A5BF-55F2F76F6F10}"/>
    <cellStyle name="Normal 5 5 3 5" xfId="2185" xr:uid="{00000000-0005-0000-0000-0000821B0000}"/>
    <cellStyle name="Normal 5 5 3 5 2" xfId="4414" xr:uid="{00000000-0005-0000-0000-0000831B0000}"/>
    <cellStyle name="Normal 5 5 3 5 2 2" xfId="8637" xr:uid="{00000000-0005-0000-0000-0000841B0000}"/>
    <cellStyle name="Normal 5 5 3 5 2 2 2" xfId="17079" xr:uid="{C5EA18D3-8F95-40FF-B53B-55B9E0BB4383}"/>
    <cellStyle name="Normal 5 5 3 5 2 3" xfId="12861" xr:uid="{E8005503-F695-4DD5-BE9B-D47224F9FC54}"/>
    <cellStyle name="Normal 5 5 3 5 3" xfId="6492" xr:uid="{00000000-0005-0000-0000-0000851B0000}"/>
    <cellStyle name="Normal 5 5 3 5 3 2" xfId="14934" xr:uid="{0CAF1B4B-012F-45CC-BD11-33F6C0D2B5E6}"/>
    <cellStyle name="Normal 5 5 3 5 4" xfId="10716" xr:uid="{1818F299-DE13-45DC-A64F-84D8B0DFB8F8}"/>
    <cellStyle name="Normal 5 5 3 6" xfId="2621" xr:uid="{00000000-0005-0000-0000-0000861B0000}"/>
    <cellStyle name="Normal 5 5 3 6 2" xfId="6905" xr:uid="{00000000-0005-0000-0000-0000871B0000}"/>
    <cellStyle name="Normal 5 5 3 6 2 2" xfId="15347" xr:uid="{954848C2-9750-480A-AA5B-1838E8DFE50F}"/>
    <cellStyle name="Normal 5 5 3 6 3" xfId="11129" xr:uid="{B61297D4-FF43-4268-A7DE-72B456001150}"/>
    <cellStyle name="Normal 5 5 3 7" xfId="4840" xr:uid="{00000000-0005-0000-0000-0000881B0000}"/>
    <cellStyle name="Normal 5 5 3 7 2" xfId="13282" xr:uid="{7FB1ED19-46E2-42E0-8991-02A536FA289C}"/>
    <cellStyle name="Normal 5 5 3 8" xfId="9064" xr:uid="{7E39C6ED-1E1A-46F2-B96C-613DCE3B7D0A}"/>
    <cellStyle name="Normal 5 5 4" xfId="938" xr:uid="{00000000-0005-0000-0000-0000891B0000}"/>
    <cellStyle name="Normal 5 5 4 2" xfId="3172" xr:uid="{00000000-0005-0000-0000-00008A1B0000}"/>
    <cellStyle name="Normal 5 5 4 2 2" xfId="7395" xr:uid="{00000000-0005-0000-0000-00008B1B0000}"/>
    <cellStyle name="Normal 5 5 4 2 2 2" xfId="15837" xr:uid="{087CB50F-AA07-44B8-8BE2-833B9160F666}"/>
    <cellStyle name="Normal 5 5 4 2 3" xfId="11619" xr:uid="{F5B1EF66-C877-4AFC-9BF6-54AE083F0F31}"/>
    <cellStyle name="Normal 5 5 4 3" xfId="5250" xr:uid="{00000000-0005-0000-0000-00008C1B0000}"/>
    <cellStyle name="Normal 5 5 4 3 2" xfId="13692" xr:uid="{2ADC2593-6189-4C4E-B04A-37B592CA37D4}"/>
    <cellStyle name="Normal 5 5 4 4" xfId="9474" xr:uid="{262D5AB7-45C8-4D1A-83CD-FA947C0CFF04}"/>
    <cellStyle name="Normal 5 5 5" xfId="1355" xr:uid="{00000000-0005-0000-0000-00008D1B0000}"/>
    <cellStyle name="Normal 5 5 5 2" xfId="3585" xr:uid="{00000000-0005-0000-0000-00008E1B0000}"/>
    <cellStyle name="Normal 5 5 5 2 2" xfId="7808" xr:uid="{00000000-0005-0000-0000-00008F1B0000}"/>
    <cellStyle name="Normal 5 5 5 2 2 2" xfId="16250" xr:uid="{0144896F-1437-47B3-BE3B-2F172CB91881}"/>
    <cellStyle name="Normal 5 5 5 2 3" xfId="12032" xr:uid="{5C2305E1-2FE3-41A7-89E8-1D85D53A6103}"/>
    <cellStyle name="Normal 5 5 5 3" xfId="5663" xr:uid="{00000000-0005-0000-0000-0000901B0000}"/>
    <cellStyle name="Normal 5 5 5 3 2" xfId="14105" xr:uid="{2D83AEAE-7E5B-43DF-9FA6-FA13F84B8710}"/>
    <cellStyle name="Normal 5 5 5 4" xfId="9887" xr:uid="{12B9B47B-1D45-480A-B064-3184114902C9}"/>
    <cellStyle name="Normal 5 5 6" xfId="1768" xr:uid="{00000000-0005-0000-0000-0000911B0000}"/>
    <cellStyle name="Normal 5 5 6 2" xfId="3998" xr:uid="{00000000-0005-0000-0000-0000921B0000}"/>
    <cellStyle name="Normal 5 5 6 2 2" xfId="8221" xr:uid="{00000000-0005-0000-0000-0000931B0000}"/>
    <cellStyle name="Normal 5 5 6 2 2 2" xfId="16663" xr:uid="{4A3159AA-FC18-4CE8-93D2-DC3640FA0540}"/>
    <cellStyle name="Normal 5 5 6 2 3" xfId="12445" xr:uid="{9C1580A0-E761-4170-8486-577C54BE0982}"/>
    <cellStyle name="Normal 5 5 6 3" xfId="6076" xr:uid="{00000000-0005-0000-0000-0000941B0000}"/>
    <cellStyle name="Normal 5 5 6 3 2" xfId="14518" xr:uid="{A4762ED5-DCB5-4226-9F00-BEE309475DB8}"/>
    <cellStyle name="Normal 5 5 6 4" xfId="10300" xr:uid="{26CD433A-B878-4B26-8B7B-0C9847E664B9}"/>
    <cellStyle name="Normal 5 5 7" xfId="2182" xr:uid="{00000000-0005-0000-0000-0000951B0000}"/>
    <cellStyle name="Normal 5 5 7 2" xfId="4411" xr:uid="{00000000-0005-0000-0000-0000961B0000}"/>
    <cellStyle name="Normal 5 5 7 2 2" xfId="8634" xr:uid="{00000000-0005-0000-0000-0000971B0000}"/>
    <cellStyle name="Normal 5 5 7 2 2 2" xfId="17076" xr:uid="{2571FB4D-621A-4821-B817-1A7DF7650013}"/>
    <cellStyle name="Normal 5 5 7 2 3" xfId="12858" xr:uid="{E58067D4-8DB4-40B4-812F-07EA8BE3B4C3}"/>
    <cellStyle name="Normal 5 5 7 3" xfId="6489" xr:uid="{00000000-0005-0000-0000-0000981B0000}"/>
    <cellStyle name="Normal 5 5 7 3 2" xfId="14931" xr:uid="{19784FED-CBCD-429E-9BC3-29D80D7952B6}"/>
    <cellStyle name="Normal 5 5 7 4" xfId="10713" xr:uid="{27D8485A-72D1-456C-A58A-21F130A5FF58}"/>
    <cellStyle name="Normal 5 5 8" xfId="2618" xr:uid="{00000000-0005-0000-0000-0000991B0000}"/>
    <cellStyle name="Normal 5 5 8 2" xfId="6902" xr:uid="{00000000-0005-0000-0000-00009A1B0000}"/>
    <cellStyle name="Normal 5 5 8 2 2" xfId="15344" xr:uid="{27240FBF-0AC0-4090-8F5C-C116AC547D83}"/>
    <cellStyle name="Normal 5 5 8 3" xfId="11126" xr:uid="{F562BA7F-3BD6-4100-8979-A8088D54B3FB}"/>
    <cellStyle name="Normal 5 5 9" xfId="4837" xr:uid="{00000000-0005-0000-0000-00009B1B0000}"/>
    <cellStyle name="Normal 5 5 9 2" xfId="13279" xr:uid="{39C543EA-591C-448F-841F-F0E9466492F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2 2 2" xfId="15842" xr:uid="{DDE90501-5728-4871-A292-E04283A55BA8}"/>
    <cellStyle name="Normal 5 6 2 2 2 3" xfId="11624" xr:uid="{608C5E99-8F6D-4748-BD97-36E23E16820B}"/>
    <cellStyle name="Normal 5 6 2 2 3" xfId="5255" xr:uid="{00000000-0005-0000-0000-0000A11B0000}"/>
    <cellStyle name="Normal 5 6 2 2 3 2" xfId="13697" xr:uid="{4AFD414F-3BB4-4C4B-9046-958A93698BCB}"/>
    <cellStyle name="Normal 5 6 2 2 4" xfId="9479" xr:uid="{79D0179F-B215-47FE-8392-4F33BDF2CB38}"/>
    <cellStyle name="Normal 5 6 2 3" xfId="1360" xr:uid="{00000000-0005-0000-0000-0000A21B0000}"/>
    <cellStyle name="Normal 5 6 2 3 2" xfId="3590" xr:uid="{00000000-0005-0000-0000-0000A31B0000}"/>
    <cellStyle name="Normal 5 6 2 3 2 2" xfId="7813" xr:uid="{00000000-0005-0000-0000-0000A41B0000}"/>
    <cellStyle name="Normal 5 6 2 3 2 2 2" xfId="16255" xr:uid="{8798A9F9-871C-447A-8C6D-645D27860023}"/>
    <cellStyle name="Normal 5 6 2 3 2 3" xfId="12037" xr:uid="{79E70DDA-D0B4-426C-8618-1B0365BAD80A}"/>
    <cellStyle name="Normal 5 6 2 3 3" xfId="5668" xr:uid="{00000000-0005-0000-0000-0000A51B0000}"/>
    <cellStyle name="Normal 5 6 2 3 3 2" xfId="14110" xr:uid="{5B8BC1C5-3E4E-495A-BE43-85762CFB41DB}"/>
    <cellStyle name="Normal 5 6 2 3 4" xfId="9892" xr:uid="{AE89341E-A4AA-400B-AFC1-C9171B4C1A30}"/>
    <cellStyle name="Normal 5 6 2 4" xfId="1773" xr:uid="{00000000-0005-0000-0000-0000A61B0000}"/>
    <cellStyle name="Normal 5 6 2 4 2" xfId="4003" xr:uid="{00000000-0005-0000-0000-0000A71B0000}"/>
    <cellStyle name="Normal 5 6 2 4 2 2" xfId="8226" xr:uid="{00000000-0005-0000-0000-0000A81B0000}"/>
    <cellStyle name="Normal 5 6 2 4 2 2 2" xfId="16668" xr:uid="{49CB5330-A8E9-4D3B-BE4A-083D6B0358F9}"/>
    <cellStyle name="Normal 5 6 2 4 2 3" xfId="12450" xr:uid="{B3836A40-E111-4C05-B02A-BD646642745A}"/>
    <cellStyle name="Normal 5 6 2 4 3" xfId="6081" xr:uid="{00000000-0005-0000-0000-0000A91B0000}"/>
    <cellStyle name="Normal 5 6 2 4 3 2" xfId="14523" xr:uid="{1F4074BA-3AD8-47C8-92B5-44D768E66D38}"/>
    <cellStyle name="Normal 5 6 2 4 4" xfId="10305" xr:uid="{E1119F4B-93D4-4E15-99DB-D44942133031}"/>
    <cellStyle name="Normal 5 6 2 5" xfId="2187" xr:uid="{00000000-0005-0000-0000-0000AA1B0000}"/>
    <cellStyle name="Normal 5 6 2 5 2" xfId="4416" xr:uid="{00000000-0005-0000-0000-0000AB1B0000}"/>
    <cellStyle name="Normal 5 6 2 5 2 2" xfId="8639" xr:uid="{00000000-0005-0000-0000-0000AC1B0000}"/>
    <cellStyle name="Normal 5 6 2 5 2 2 2" xfId="17081" xr:uid="{425BB89D-EFDB-435C-A406-7FB61B5B231E}"/>
    <cellStyle name="Normal 5 6 2 5 2 3" xfId="12863" xr:uid="{12B756E5-875A-4AF7-83F0-4434A211A386}"/>
    <cellStyle name="Normal 5 6 2 5 3" xfId="6494" xr:uid="{00000000-0005-0000-0000-0000AD1B0000}"/>
    <cellStyle name="Normal 5 6 2 5 3 2" xfId="14936" xr:uid="{72BF6279-37C1-48AA-AF10-B07542CBE3AA}"/>
    <cellStyle name="Normal 5 6 2 5 4" xfId="10718" xr:uid="{D23ECF17-2452-4F02-B8C2-D513E8ED1B0F}"/>
    <cellStyle name="Normal 5 6 2 6" xfId="2623" xr:uid="{00000000-0005-0000-0000-0000AE1B0000}"/>
    <cellStyle name="Normal 5 6 2 6 2" xfId="6907" xr:uid="{00000000-0005-0000-0000-0000AF1B0000}"/>
    <cellStyle name="Normal 5 6 2 6 2 2" xfId="15349" xr:uid="{91E815E4-7C15-4FBC-B125-3AE021E73302}"/>
    <cellStyle name="Normal 5 6 2 6 3" xfId="11131" xr:uid="{6D3970EF-8AD3-4701-8C1C-F68E17CEEACD}"/>
    <cellStyle name="Normal 5 6 2 7" xfId="4842" xr:uid="{00000000-0005-0000-0000-0000B01B0000}"/>
    <cellStyle name="Normal 5 6 2 7 2" xfId="13284" xr:uid="{FE75A4A4-EA62-4DB8-92EA-7400F7C96A49}"/>
    <cellStyle name="Normal 5 6 2 8" xfId="9066" xr:uid="{A44999DF-01B3-43C7-85C7-B9ABF0EE743A}"/>
    <cellStyle name="Normal 5 6 3" xfId="942" xr:uid="{00000000-0005-0000-0000-0000B11B0000}"/>
    <cellStyle name="Normal 5 6 3 2" xfId="3176" xr:uid="{00000000-0005-0000-0000-0000B21B0000}"/>
    <cellStyle name="Normal 5 6 3 2 2" xfId="7399" xr:uid="{00000000-0005-0000-0000-0000B31B0000}"/>
    <cellStyle name="Normal 5 6 3 2 2 2" xfId="15841" xr:uid="{8521824E-EB0E-4E63-A87C-479136A21D8D}"/>
    <cellStyle name="Normal 5 6 3 2 3" xfId="11623" xr:uid="{CC36299E-DE5E-47A6-BC93-5231BF582587}"/>
    <cellStyle name="Normal 5 6 3 3" xfId="5254" xr:uid="{00000000-0005-0000-0000-0000B41B0000}"/>
    <cellStyle name="Normal 5 6 3 3 2" xfId="13696" xr:uid="{5CB282AF-AECA-4779-9867-4648956B0F55}"/>
    <cellStyle name="Normal 5 6 3 4" xfId="9478" xr:uid="{4434CE74-1457-4753-91D1-DDC5AF68632D}"/>
    <cellStyle name="Normal 5 6 4" xfId="1359" xr:uid="{00000000-0005-0000-0000-0000B51B0000}"/>
    <cellStyle name="Normal 5 6 4 2" xfId="3589" xr:uid="{00000000-0005-0000-0000-0000B61B0000}"/>
    <cellStyle name="Normal 5 6 4 2 2" xfId="7812" xr:uid="{00000000-0005-0000-0000-0000B71B0000}"/>
    <cellStyle name="Normal 5 6 4 2 2 2" xfId="16254" xr:uid="{8BC118F2-02D1-4138-8203-0C0FE4F2A532}"/>
    <cellStyle name="Normal 5 6 4 2 3" xfId="12036" xr:uid="{27CEEF7C-F20C-40C8-AD48-B78383767E4F}"/>
    <cellStyle name="Normal 5 6 4 3" xfId="5667" xr:uid="{00000000-0005-0000-0000-0000B81B0000}"/>
    <cellStyle name="Normal 5 6 4 3 2" xfId="14109" xr:uid="{427ADB83-4D4C-4092-909B-95D317F036BD}"/>
    <cellStyle name="Normal 5 6 4 4" xfId="9891" xr:uid="{41CBC394-0195-43B3-AFBC-84359FBD1AA5}"/>
    <cellStyle name="Normal 5 6 5" xfId="1772" xr:uid="{00000000-0005-0000-0000-0000B91B0000}"/>
    <cellStyle name="Normal 5 6 5 2" xfId="4002" xr:uid="{00000000-0005-0000-0000-0000BA1B0000}"/>
    <cellStyle name="Normal 5 6 5 2 2" xfId="8225" xr:uid="{00000000-0005-0000-0000-0000BB1B0000}"/>
    <cellStyle name="Normal 5 6 5 2 2 2" xfId="16667" xr:uid="{B398B4AB-F38D-4ACC-AA7F-A308AB7735E7}"/>
    <cellStyle name="Normal 5 6 5 2 3" xfId="12449" xr:uid="{FC13327C-6C33-4940-B739-16AE5CA5924A}"/>
    <cellStyle name="Normal 5 6 5 3" xfId="6080" xr:uid="{00000000-0005-0000-0000-0000BC1B0000}"/>
    <cellStyle name="Normal 5 6 5 3 2" xfId="14522" xr:uid="{A829A3AD-5623-454A-B9CB-7D08F0290F8B}"/>
    <cellStyle name="Normal 5 6 5 4" xfId="10304" xr:uid="{5A16D5D3-8328-45F3-89B5-114C65471A6B}"/>
    <cellStyle name="Normal 5 6 6" xfId="2186" xr:uid="{00000000-0005-0000-0000-0000BD1B0000}"/>
    <cellStyle name="Normal 5 6 6 2" xfId="4415" xr:uid="{00000000-0005-0000-0000-0000BE1B0000}"/>
    <cellStyle name="Normal 5 6 6 2 2" xfId="8638" xr:uid="{00000000-0005-0000-0000-0000BF1B0000}"/>
    <cellStyle name="Normal 5 6 6 2 2 2" xfId="17080" xr:uid="{66E2C9D4-D115-41DF-A9E7-8F7445A525B1}"/>
    <cellStyle name="Normal 5 6 6 2 3" xfId="12862" xr:uid="{70E08031-3269-41BE-BF32-30646D03B859}"/>
    <cellStyle name="Normal 5 6 6 3" xfId="6493" xr:uid="{00000000-0005-0000-0000-0000C01B0000}"/>
    <cellStyle name="Normal 5 6 6 3 2" xfId="14935" xr:uid="{5B66D836-4AF6-49EE-B909-8BBBBD74223D}"/>
    <cellStyle name="Normal 5 6 6 4" xfId="10717" xr:uid="{087C508D-B021-4AC7-A917-374E4E99B457}"/>
    <cellStyle name="Normal 5 6 7" xfId="2622" xr:uid="{00000000-0005-0000-0000-0000C11B0000}"/>
    <cellStyle name="Normal 5 6 7 2" xfId="6906" xr:uid="{00000000-0005-0000-0000-0000C21B0000}"/>
    <cellStyle name="Normal 5 6 7 2 2" xfId="15348" xr:uid="{9A060DB4-CAF9-4539-8D19-2F0C6DDAE9C6}"/>
    <cellStyle name="Normal 5 6 7 3" xfId="11130" xr:uid="{80CAE7C5-F195-4477-9D25-C668B01262E6}"/>
    <cellStyle name="Normal 5 6 8" xfId="4841" xr:uid="{00000000-0005-0000-0000-0000C31B0000}"/>
    <cellStyle name="Normal 5 6 8 2" xfId="13283" xr:uid="{4CF58875-0969-453D-9BFC-A5907531F57C}"/>
    <cellStyle name="Normal 5 6 9" xfId="9065" xr:uid="{AA9E1E67-05D2-4619-B3B0-7CEA6A7A0322}"/>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2 2 2" xfId="15843" xr:uid="{6CF25A17-67EE-4701-965E-224B4879C25A}"/>
    <cellStyle name="Normal 5 7 2 2 3" xfId="11625" xr:uid="{1078E6A3-275E-4441-AE52-33BD7A88AFDA}"/>
    <cellStyle name="Normal 5 7 2 3" xfId="5256" xr:uid="{00000000-0005-0000-0000-0000C81B0000}"/>
    <cellStyle name="Normal 5 7 2 3 2" xfId="13698" xr:uid="{6036E0AC-0F8A-4FFE-B9B3-C2214F10F2BE}"/>
    <cellStyle name="Normal 5 7 2 4" xfId="9480" xr:uid="{EAEEB650-6DBE-43AC-BF47-9B1B237727FD}"/>
    <cellStyle name="Normal 5 7 3" xfId="1361" xr:uid="{00000000-0005-0000-0000-0000C91B0000}"/>
    <cellStyle name="Normal 5 7 3 2" xfId="3591" xr:uid="{00000000-0005-0000-0000-0000CA1B0000}"/>
    <cellStyle name="Normal 5 7 3 2 2" xfId="7814" xr:uid="{00000000-0005-0000-0000-0000CB1B0000}"/>
    <cellStyle name="Normal 5 7 3 2 2 2" xfId="16256" xr:uid="{156CEA8B-95ED-47F4-9B35-866417453A6D}"/>
    <cellStyle name="Normal 5 7 3 2 3" xfId="12038" xr:uid="{7CC8FAF3-7E34-4B3E-9C9B-36BAA33C4D3C}"/>
    <cellStyle name="Normal 5 7 3 3" xfId="5669" xr:uid="{00000000-0005-0000-0000-0000CC1B0000}"/>
    <cellStyle name="Normal 5 7 3 3 2" xfId="14111" xr:uid="{567FDF17-E80C-43DF-B6C6-081DCB18D35A}"/>
    <cellStyle name="Normal 5 7 3 4" xfId="9893" xr:uid="{8F8A0FBF-46F7-4671-B04E-3B47A42CD848}"/>
    <cellStyle name="Normal 5 7 4" xfId="1774" xr:uid="{00000000-0005-0000-0000-0000CD1B0000}"/>
    <cellStyle name="Normal 5 7 4 2" xfId="4004" xr:uid="{00000000-0005-0000-0000-0000CE1B0000}"/>
    <cellStyle name="Normal 5 7 4 2 2" xfId="8227" xr:uid="{00000000-0005-0000-0000-0000CF1B0000}"/>
    <cellStyle name="Normal 5 7 4 2 2 2" xfId="16669" xr:uid="{73D03FAD-B435-43E8-B8BE-0425829B3597}"/>
    <cellStyle name="Normal 5 7 4 2 3" xfId="12451" xr:uid="{2CD83240-082B-4898-A2CA-0EBD947E6788}"/>
    <cellStyle name="Normal 5 7 4 3" xfId="6082" xr:uid="{00000000-0005-0000-0000-0000D01B0000}"/>
    <cellStyle name="Normal 5 7 4 3 2" xfId="14524" xr:uid="{F0EB57F3-C37A-4F0E-956A-C6FD3A0C2CDC}"/>
    <cellStyle name="Normal 5 7 4 4" xfId="10306" xr:uid="{47EF3421-7F98-480A-AC9B-9BD4C7AB812F}"/>
    <cellStyle name="Normal 5 7 5" xfId="2188" xr:uid="{00000000-0005-0000-0000-0000D11B0000}"/>
    <cellStyle name="Normal 5 7 5 2" xfId="4417" xr:uid="{00000000-0005-0000-0000-0000D21B0000}"/>
    <cellStyle name="Normal 5 7 5 2 2" xfId="8640" xr:uid="{00000000-0005-0000-0000-0000D31B0000}"/>
    <cellStyle name="Normal 5 7 5 2 2 2" xfId="17082" xr:uid="{4DFFA6D0-06D3-479C-9C56-82BAE2ADAB6A}"/>
    <cellStyle name="Normal 5 7 5 2 3" xfId="12864" xr:uid="{2DEBB7C9-2608-4E05-870C-9B738458ADC0}"/>
    <cellStyle name="Normal 5 7 5 3" xfId="6495" xr:uid="{00000000-0005-0000-0000-0000D41B0000}"/>
    <cellStyle name="Normal 5 7 5 3 2" xfId="14937" xr:uid="{BCB78AB7-038A-4CBC-9E97-1B8228A9DE7C}"/>
    <cellStyle name="Normal 5 7 5 4" xfId="10719" xr:uid="{AD072A8B-B65F-480C-B1B7-CF882CE365BC}"/>
    <cellStyle name="Normal 5 7 6" xfId="2624" xr:uid="{00000000-0005-0000-0000-0000D51B0000}"/>
    <cellStyle name="Normal 5 7 6 2" xfId="6908" xr:uid="{00000000-0005-0000-0000-0000D61B0000}"/>
    <cellStyle name="Normal 5 7 6 2 2" xfId="15350" xr:uid="{49D63B26-BDAD-4C2F-931D-6FA05823BAF7}"/>
    <cellStyle name="Normal 5 7 6 3" xfId="11132" xr:uid="{8AC00143-81AA-4020-8F01-A74BAFEE96B6}"/>
    <cellStyle name="Normal 5 7 7" xfId="4843" xr:uid="{00000000-0005-0000-0000-0000D71B0000}"/>
    <cellStyle name="Normal 5 7 7 2" xfId="13285" xr:uid="{20BCF9F1-1017-4CEB-983A-CF56D50DDB02}"/>
    <cellStyle name="Normal 5 7 8" xfId="9067" xr:uid="{225DBAD7-8295-40F8-95FF-6810293FF989}"/>
    <cellStyle name="Normal 5 8" xfId="880" xr:uid="{00000000-0005-0000-0000-0000D81B0000}"/>
    <cellStyle name="Normal 5 8 2" xfId="3115" xr:uid="{00000000-0005-0000-0000-0000D91B0000}"/>
    <cellStyle name="Normal 5 8 2 2" xfId="7338" xr:uid="{00000000-0005-0000-0000-0000DA1B0000}"/>
    <cellStyle name="Normal 5 8 2 2 2" xfId="15780" xr:uid="{24D2E41C-29C4-47EF-8E92-AC8A992FCDDB}"/>
    <cellStyle name="Normal 5 8 2 3" xfId="11562" xr:uid="{E5485CFD-B35F-4AF7-8A41-7485753F31E3}"/>
    <cellStyle name="Normal 5 8 3" xfId="5193" xr:uid="{00000000-0005-0000-0000-0000DB1B0000}"/>
    <cellStyle name="Normal 5 8 3 2" xfId="13635" xr:uid="{B6B7F620-EB6C-4EC0-A954-F0C231E3827A}"/>
    <cellStyle name="Normal 5 8 4" xfId="9417" xr:uid="{24C78FD7-2509-405D-A203-1BEF999A1824}"/>
    <cellStyle name="Normal 5 9" xfId="1298" xr:uid="{00000000-0005-0000-0000-0000DC1B0000}"/>
    <cellStyle name="Normal 5 9 2" xfId="3528" xr:uid="{00000000-0005-0000-0000-0000DD1B0000}"/>
    <cellStyle name="Normal 5 9 2 2" xfId="7751" xr:uid="{00000000-0005-0000-0000-0000DE1B0000}"/>
    <cellStyle name="Normal 5 9 2 2 2" xfId="16193" xr:uid="{D5BC4088-48BD-465F-BC1E-6954027971BB}"/>
    <cellStyle name="Normal 5 9 2 3" xfId="11975" xr:uid="{6175879D-34C1-4517-AA7C-BAF8FFF71A4B}"/>
    <cellStyle name="Normal 5 9 3" xfId="5606" xr:uid="{00000000-0005-0000-0000-0000DF1B0000}"/>
    <cellStyle name="Normal 5 9 3 2" xfId="14048" xr:uid="{768495C0-6C2F-45C1-961D-82A30871C501}"/>
    <cellStyle name="Normal 5 9 4" xfId="9830" xr:uid="{E5DFEEA4-D771-4DC0-A460-5CB6F949BED7}"/>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2 2 2" xfId="17083" xr:uid="{1447716F-329B-4C37-9EE9-F882AE2AB442}"/>
    <cellStyle name="Normal 8 10 2 3" xfId="12865" xr:uid="{7423BDD1-2310-4241-96E6-D07817AA2B82}"/>
    <cellStyle name="Normal 8 10 3" xfId="6496" xr:uid="{00000000-0005-0000-0000-0000EB1B0000}"/>
    <cellStyle name="Normal 8 10 3 2" xfId="14938" xr:uid="{12B2CE52-DA1E-461F-BF7F-EDFA7775C88A}"/>
    <cellStyle name="Normal 8 10 4" xfId="10720" xr:uid="{9AC47E55-20F0-44F9-970C-734875206848}"/>
    <cellStyle name="Normal 8 11" xfId="2625" xr:uid="{00000000-0005-0000-0000-0000EC1B0000}"/>
    <cellStyle name="Normal 8 11 2" xfId="6909" xr:uid="{00000000-0005-0000-0000-0000ED1B0000}"/>
    <cellStyle name="Normal 8 11 2 2" xfId="15351" xr:uid="{22553797-0AA9-4CF4-B593-F45042D4EABE}"/>
    <cellStyle name="Normal 8 11 3" xfId="11133" xr:uid="{A6F7663A-BE6A-496A-B79F-C753F07564DF}"/>
    <cellStyle name="Normal 8 12" xfId="4844" xr:uid="{00000000-0005-0000-0000-0000EE1B0000}"/>
    <cellStyle name="Normal 8 12 2" xfId="13286" xr:uid="{7E9CEF37-36EA-4027-A1C9-D69B0A48A708}"/>
    <cellStyle name="Normal 8 13" xfId="9068" xr:uid="{8B53B0AA-4421-4618-8A08-02B17014CEEF}"/>
    <cellStyle name="Normal 8 2" xfId="479" xr:uid="{00000000-0005-0000-0000-0000EF1B0000}"/>
    <cellStyle name="Normal 8 2 10" xfId="2626" xr:uid="{00000000-0005-0000-0000-0000F01B0000}"/>
    <cellStyle name="Normal 8 2 10 2" xfId="6910" xr:uid="{00000000-0005-0000-0000-0000F11B0000}"/>
    <cellStyle name="Normal 8 2 10 2 2" xfId="15352" xr:uid="{20F916D2-4EEF-40DE-A5AF-C30D49EB838E}"/>
    <cellStyle name="Normal 8 2 10 3" xfId="11134" xr:uid="{3AB3FFE3-1914-4A3E-B0DE-38260ECF0AE8}"/>
    <cellStyle name="Normal 8 2 11" xfId="4845" xr:uid="{00000000-0005-0000-0000-0000F21B0000}"/>
    <cellStyle name="Normal 8 2 11 2" xfId="13287" xr:uid="{1D77DF34-2C4B-4BEC-B39A-096EB2CC1548}"/>
    <cellStyle name="Normal 8 2 12" xfId="9069" xr:uid="{4994D5C6-5CDB-4C88-8731-61E172075968}"/>
    <cellStyle name="Normal 8 2 2" xfId="480" xr:uid="{00000000-0005-0000-0000-0000F31B0000}"/>
    <cellStyle name="Normal 8 2 2 10" xfId="4846" xr:uid="{00000000-0005-0000-0000-0000F41B0000}"/>
    <cellStyle name="Normal 8 2 2 10 2" xfId="13288" xr:uid="{48B4B6DA-5952-4ABB-AE42-3B72FE1E1B23}"/>
    <cellStyle name="Normal 8 2 2 11" xfId="9070" xr:uid="{587564ED-96A7-455E-B1D1-B403F5DEE0AF}"/>
    <cellStyle name="Normal 8 2 2 2" xfId="481" xr:uid="{00000000-0005-0000-0000-0000F51B0000}"/>
    <cellStyle name="Normal 8 2 2 2 10" xfId="9071" xr:uid="{7670DA67-706C-4B82-B63F-AD187DBE890E}"/>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2 2 2" xfId="15849" xr:uid="{32F70713-4AEC-4D5D-828F-3FA348D58C8A}"/>
    <cellStyle name="Normal 8 2 2 2 2 2 2 2 3" xfId="11631" xr:uid="{4BF517B1-0DF4-49A7-BC21-39C70BE8BB9F}"/>
    <cellStyle name="Normal 8 2 2 2 2 2 2 3" xfId="5262" xr:uid="{00000000-0005-0000-0000-0000FB1B0000}"/>
    <cellStyle name="Normal 8 2 2 2 2 2 2 3 2" xfId="13704" xr:uid="{0E805AF2-3946-4ED2-BA38-95921F9FB0B6}"/>
    <cellStyle name="Normal 8 2 2 2 2 2 2 4" xfId="9486" xr:uid="{6F0BE1B5-6323-402F-A788-787D6F193367}"/>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2 2 2" xfId="16262" xr:uid="{AAC9FE87-EC91-44ED-BD92-6DA471BC41ED}"/>
    <cellStyle name="Normal 8 2 2 2 2 2 3 2 3" xfId="12044" xr:uid="{EF936150-5305-488C-9B1F-589D630F2EA7}"/>
    <cellStyle name="Normal 8 2 2 2 2 2 3 3" xfId="5675" xr:uid="{00000000-0005-0000-0000-0000FF1B0000}"/>
    <cellStyle name="Normal 8 2 2 2 2 2 3 3 2" xfId="14117" xr:uid="{828422E1-C26B-4F1C-AF66-6D430A8C5FEA}"/>
    <cellStyle name="Normal 8 2 2 2 2 2 3 4" xfId="9899" xr:uid="{90240DF5-025F-4FD5-8CC3-B5484AFE8C21}"/>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2 2 2" xfId="16675" xr:uid="{7EE81E4E-C9D4-42C8-867E-08135CBF9477}"/>
    <cellStyle name="Normal 8 2 2 2 2 2 4 2 3" xfId="12457" xr:uid="{71BB1011-042D-4D25-9426-E112B0A34B1E}"/>
    <cellStyle name="Normal 8 2 2 2 2 2 4 3" xfId="6088" xr:uid="{00000000-0005-0000-0000-0000031C0000}"/>
    <cellStyle name="Normal 8 2 2 2 2 2 4 3 2" xfId="14530" xr:uid="{122B1300-AD72-43FC-BA1C-7F287AC7A5A9}"/>
    <cellStyle name="Normal 8 2 2 2 2 2 4 4" xfId="10312" xr:uid="{3C203DD4-CCC6-40FF-AD4B-A31573C7A35E}"/>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2 2 2" xfId="17088" xr:uid="{AF3ABD5D-F46A-4E8D-9826-182C7C1742DC}"/>
    <cellStyle name="Normal 8 2 2 2 2 2 5 2 3" xfId="12870" xr:uid="{B8FB1BDD-902F-4ED2-85F0-526E33BAE331}"/>
    <cellStyle name="Normal 8 2 2 2 2 2 5 3" xfId="6501" xr:uid="{00000000-0005-0000-0000-0000071C0000}"/>
    <cellStyle name="Normal 8 2 2 2 2 2 5 3 2" xfId="14943" xr:uid="{13FE4B2E-3C3B-41EB-B5DB-7DADDE0C190D}"/>
    <cellStyle name="Normal 8 2 2 2 2 2 5 4" xfId="10725" xr:uid="{920AE90C-B2AD-4CA5-8D32-4235700A4291}"/>
    <cellStyle name="Normal 8 2 2 2 2 2 6" xfId="2630" xr:uid="{00000000-0005-0000-0000-0000081C0000}"/>
    <cellStyle name="Normal 8 2 2 2 2 2 6 2" xfId="6914" xr:uid="{00000000-0005-0000-0000-0000091C0000}"/>
    <cellStyle name="Normal 8 2 2 2 2 2 6 2 2" xfId="15356" xr:uid="{4619C4FE-4574-4EEB-8CA8-11CA46324677}"/>
    <cellStyle name="Normal 8 2 2 2 2 2 6 3" xfId="11138" xr:uid="{1312A612-C857-4417-9EB7-73A5BE8957A7}"/>
    <cellStyle name="Normal 8 2 2 2 2 2 7" xfId="4849" xr:uid="{00000000-0005-0000-0000-00000A1C0000}"/>
    <cellStyle name="Normal 8 2 2 2 2 2 7 2" xfId="13291" xr:uid="{5C4D2CE2-E418-4DB2-8E5A-2062EF5BD6A9}"/>
    <cellStyle name="Normal 8 2 2 2 2 2 8" xfId="9073" xr:uid="{406F0F41-6DEA-4201-BE6D-D0FE871770BB}"/>
    <cellStyle name="Normal 8 2 2 2 2 3" xfId="949" xr:uid="{00000000-0005-0000-0000-00000B1C0000}"/>
    <cellStyle name="Normal 8 2 2 2 2 3 2" xfId="3183" xr:uid="{00000000-0005-0000-0000-00000C1C0000}"/>
    <cellStyle name="Normal 8 2 2 2 2 3 2 2" xfId="7406" xr:uid="{00000000-0005-0000-0000-00000D1C0000}"/>
    <cellStyle name="Normal 8 2 2 2 2 3 2 2 2" xfId="15848" xr:uid="{E1093896-AF7E-4591-AFE6-60A8A5DE8DCA}"/>
    <cellStyle name="Normal 8 2 2 2 2 3 2 3" xfId="11630" xr:uid="{EB76D98A-81FE-4F35-A089-EBD5C8B943F7}"/>
    <cellStyle name="Normal 8 2 2 2 2 3 3" xfId="5261" xr:uid="{00000000-0005-0000-0000-00000E1C0000}"/>
    <cellStyle name="Normal 8 2 2 2 2 3 3 2" xfId="13703" xr:uid="{11C96E86-505F-4E91-A498-4F2F860D3820}"/>
    <cellStyle name="Normal 8 2 2 2 2 3 4" xfId="9485" xr:uid="{45C7B0B6-2A62-49D7-A734-680BED98C043}"/>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2 2 2" xfId="16261" xr:uid="{1A39291C-8342-4874-8C71-E1391D6ABC53}"/>
    <cellStyle name="Normal 8 2 2 2 2 4 2 3" xfId="12043" xr:uid="{9FC4B50B-71FD-4416-8F1D-C5A68B566D90}"/>
    <cellStyle name="Normal 8 2 2 2 2 4 3" xfId="5674" xr:uid="{00000000-0005-0000-0000-0000121C0000}"/>
    <cellStyle name="Normal 8 2 2 2 2 4 3 2" xfId="14116" xr:uid="{B0C945DF-FB22-445A-B79E-3E4F2A5DC765}"/>
    <cellStyle name="Normal 8 2 2 2 2 4 4" xfId="9898" xr:uid="{E693AC71-FB7B-411B-AB58-13F38D6C4899}"/>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2 2 2" xfId="16674" xr:uid="{9BDCF4EC-C92F-4AAC-A033-50C9FDD53EA7}"/>
    <cellStyle name="Normal 8 2 2 2 2 5 2 3" xfId="12456" xr:uid="{E40E6212-C72B-4B45-8321-C1198E780FA6}"/>
    <cellStyle name="Normal 8 2 2 2 2 5 3" xfId="6087" xr:uid="{00000000-0005-0000-0000-0000161C0000}"/>
    <cellStyle name="Normal 8 2 2 2 2 5 3 2" xfId="14529" xr:uid="{40C4193F-3998-4EA4-862B-32014A6DC921}"/>
    <cellStyle name="Normal 8 2 2 2 2 5 4" xfId="10311" xr:uid="{5C994192-EBB1-493F-A554-5E6163556B4F}"/>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2 2 2" xfId="17087" xr:uid="{A2BD6541-8561-4D67-A259-5E4AC83AAFF6}"/>
    <cellStyle name="Normal 8 2 2 2 2 6 2 3" xfId="12869" xr:uid="{9E8E1CA6-B9E6-4964-9850-E1E9750BEC2C}"/>
    <cellStyle name="Normal 8 2 2 2 2 6 3" xfId="6500" xr:uid="{00000000-0005-0000-0000-00001A1C0000}"/>
    <cellStyle name="Normal 8 2 2 2 2 6 3 2" xfId="14942" xr:uid="{2BEB1FE0-9E3B-41D2-B5A1-DFB625646EA1}"/>
    <cellStyle name="Normal 8 2 2 2 2 6 4" xfId="10724" xr:uid="{ABAD4A81-2C6F-4DF9-AD97-E7BC00CE2CD3}"/>
    <cellStyle name="Normal 8 2 2 2 2 7" xfId="2629" xr:uid="{00000000-0005-0000-0000-00001B1C0000}"/>
    <cellStyle name="Normal 8 2 2 2 2 7 2" xfId="6913" xr:uid="{00000000-0005-0000-0000-00001C1C0000}"/>
    <cellStyle name="Normal 8 2 2 2 2 7 2 2" xfId="15355" xr:uid="{AED038BE-7ABA-43FF-BD62-A97DE4566BAA}"/>
    <cellStyle name="Normal 8 2 2 2 2 7 3" xfId="11137" xr:uid="{6EB7BBCF-5D9A-42E1-A907-D89A2BAAABDC}"/>
    <cellStyle name="Normal 8 2 2 2 2 8" xfId="4848" xr:uid="{00000000-0005-0000-0000-00001D1C0000}"/>
    <cellStyle name="Normal 8 2 2 2 2 8 2" xfId="13290" xr:uid="{5D595D5D-F9D2-48EB-8633-8F16277CE72D}"/>
    <cellStyle name="Normal 8 2 2 2 2 9" xfId="9072" xr:uid="{6DF70744-F1E8-4FD7-B625-94FAC3739F78}"/>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2 2 2" xfId="15850" xr:uid="{6DE808B5-E5A6-4EF3-BF30-EDC917A9824B}"/>
    <cellStyle name="Normal 8 2 2 2 3 2 2 3" xfId="11632" xr:uid="{09D15B98-4064-4207-BA15-D6B2C250897C}"/>
    <cellStyle name="Normal 8 2 2 2 3 2 3" xfId="5263" xr:uid="{00000000-0005-0000-0000-0000221C0000}"/>
    <cellStyle name="Normal 8 2 2 2 3 2 3 2" xfId="13705" xr:uid="{24FF0509-E974-4090-8E65-845A712AEDF8}"/>
    <cellStyle name="Normal 8 2 2 2 3 2 4" xfId="9487" xr:uid="{3C23AD9E-DF48-4E83-B686-240C72CFAB88}"/>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2 2 2" xfId="16263" xr:uid="{21D02DDA-9E2F-4C44-865B-27C032FD7D86}"/>
    <cellStyle name="Normal 8 2 2 2 3 3 2 3" xfId="12045" xr:uid="{4B9AB6F9-CCE4-4936-A99B-A66896FBE647}"/>
    <cellStyle name="Normal 8 2 2 2 3 3 3" xfId="5676" xr:uid="{00000000-0005-0000-0000-0000261C0000}"/>
    <cellStyle name="Normal 8 2 2 2 3 3 3 2" xfId="14118" xr:uid="{3A28C5C4-8A68-4AF7-BB90-F28A28CF9748}"/>
    <cellStyle name="Normal 8 2 2 2 3 3 4" xfId="9900" xr:uid="{6B20D428-3F80-4F62-B0CB-E9D4E8240DEA}"/>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2 2 2" xfId="16676" xr:uid="{BA5BD2AD-7615-4202-8747-D64A1DB004FB}"/>
    <cellStyle name="Normal 8 2 2 2 3 4 2 3" xfId="12458" xr:uid="{76895691-87AB-42B1-BAB9-216D16D371F8}"/>
    <cellStyle name="Normal 8 2 2 2 3 4 3" xfId="6089" xr:uid="{00000000-0005-0000-0000-00002A1C0000}"/>
    <cellStyle name="Normal 8 2 2 2 3 4 3 2" xfId="14531" xr:uid="{A2456250-0DAB-4631-BA7B-F28B7FFFDC86}"/>
    <cellStyle name="Normal 8 2 2 2 3 4 4" xfId="10313" xr:uid="{A6E508E4-566C-407F-B538-67B65AE94AAD}"/>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2 2 2" xfId="17089" xr:uid="{7007F3FB-496C-4A3D-A37B-02A4538B0337}"/>
    <cellStyle name="Normal 8 2 2 2 3 5 2 3" xfId="12871" xr:uid="{8150E846-CD34-4491-95F3-A385E5978FF1}"/>
    <cellStyle name="Normal 8 2 2 2 3 5 3" xfId="6502" xr:uid="{00000000-0005-0000-0000-00002E1C0000}"/>
    <cellStyle name="Normal 8 2 2 2 3 5 3 2" xfId="14944" xr:uid="{DDF9EAB6-A6AA-49BC-93F2-BA4E3BAA711D}"/>
    <cellStyle name="Normal 8 2 2 2 3 5 4" xfId="10726" xr:uid="{8AF27C59-9868-4F2D-A405-5BD659D32E05}"/>
    <cellStyle name="Normal 8 2 2 2 3 6" xfId="2631" xr:uid="{00000000-0005-0000-0000-00002F1C0000}"/>
    <cellStyle name="Normal 8 2 2 2 3 6 2" xfId="6915" xr:uid="{00000000-0005-0000-0000-0000301C0000}"/>
    <cellStyle name="Normal 8 2 2 2 3 6 2 2" xfId="15357" xr:uid="{8EB1BA10-31CD-4C41-BE07-B2DC5232D5A5}"/>
    <cellStyle name="Normal 8 2 2 2 3 6 3" xfId="11139" xr:uid="{D974B0B9-3536-46E5-A486-CAA6B65015B7}"/>
    <cellStyle name="Normal 8 2 2 2 3 7" xfId="4850" xr:uid="{00000000-0005-0000-0000-0000311C0000}"/>
    <cellStyle name="Normal 8 2 2 2 3 7 2" xfId="13292" xr:uid="{489FAB9F-4CE2-4D7C-84E0-7BFC79B3BE85}"/>
    <cellStyle name="Normal 8 2 2 2 3 8" xfId="9074" xr:uid="{9CD674D0-0AFC-4163-92D3-6D11F3848964}"/>
    <cellStyle name="Normal 8 2 2 2 4" xfId="948" xr:uid="{00000000-0005-0000-0000-0000321C0000}"/>
    <cellStyle name="Normal 8 2 2 2 4 2" xfId="3182" xr:uid="{00000000-0005-0000-0000-0000331C0000}"/>
    <cellStyle name="Normal 8 2 2 2 4 2 2" xfId="7405" xr:uid="{00000000-0005-0000-0000-0000341C0000}"/>
    <cellStyle name="Normal 8 2 2 2 4 2 2 2" xfId="15847" xr:uid="{6A09DF7D-676E-4AB4-86FD-D5D06E2524EB}"/>
    <cellStyle name="Normal 8 2 2 2 4 2 3" xfId="11629" xr:uid="{A0596499-D8D6-4649-8A9C-23A132D8CDB5}"/>
    <cellStyle name="Normal 8 2 2 2 4 3" xfId="5260" xr:uid="{00000000-0005-0000-0000-0000351C0000}"/>
    <cellStyle name="Normal 8 2 2 2 4 3 2" xfId="13702" xr:uid="{D63C135D-40D9-4E7A-AC00-C808CC04FF9A}"/>
    <cellStyle name="Normal 8 2 2 2 4 4" xfId="9484" xr:uid="{8E867C1D-9090-402C-B1C7-AEB0C0548B41}"/>
    <cellStyle name="Normal 8 2 2 2 5" xfId="1365" xr:uid="{00000000-0005-0000-0000-0000361C0000}"/>
    <cellStyle name="Normal 8 2 2 2 5 2" xfId="3595" xr:uid="{00000000-0005-0000-0000-0000371C0000}"/>
    <cellStyle name="Normal 8 2 2 2 5 2 2" xfId="7818" xr:uid="{00000000-0005-0000-0000-0000381C0000}"/>
    <cellStyle name="Normal 8 2 2 2 5 2 2 2" xfId="16260" xr:uid="{9BBE2910-5537-4035-A914-BE540F94C81C}"/>
    <cellStyle name="Normal 8 2 2 2 5 2 3" xfId="12042" xr:uid="{D8C95751-67C3-4609-98C4-4BD17AEB53B8}"/>
    <cellStyle name="Normal 8 2 2 2 5 3" xfId="5673" xr:uid="{00000000-0005-0000-0000-0000391C0000}"/>
    <cellStyle name="Normal 8 2 2 2 5 3 2" xfId="14115" xr:uid="{C65F9D37-9C73-4056-BD8E-015BFCC33708}"/>
    <cellStyle name="Normal 8 2 2 2 5 4" xfId="9897" xr:uid="{AACCC529-E6B1-42BD-9FA6-672907883987}"/>
    <cellStyle name="Normal 8 2 2 2 6" xfId="1778" xr:uid="{00000000-0005-0000-0000-00003A1C0000}"/>
    <cellStyle name="Normal 8 2 2 2 6 2" xfId="4008" xr:uid="{00000000-0005-0000-0000-00003B1C0000}"/>
    <cellStyle name="Normal 8 2 2 2 6 2 2" xfId="8231" xr:uid="{00000000-0005-0000-0000-00003C1C0000}"/>
    <cellStyle name="Normal 8 2 2 2 6 2 2 2" xfId="16673" xr:uid="{FE04923A-1194-4B8B-85D9-6D1251D67ADB}"/>
    <cellStyle name="Normal 8 2 2 2 6 2 3" xfId="12455" xr:uid="{14BDFE30-0252-471E-8B3B-A129EC20DC3D}"/>
    <cellStyle name="Normal 8 2 2 2 6 3" xfId="6086" xr:uid="{00000000-0005-0000-0000-00003D1C0000}"/>
    <cellStyle name="Normal 8 2 2 2 6 3 2" xfId="14528" xr:uid="{ABA5D583-AB95-4520-BF91-B666900998E6}"/>
    <cellStyle name="Normal 8 2 2 2 6 4" xfId="10310" xr:uid="{C6B5E1D6-C4E7-48DB-8D6C-B55B4E0562C7}"/>
    <cellStyle name="Normal 8 2 2 2 7" xfId="2192" xr:uid="{00000000-0005-0000-0000-00003E1C0000}"/>
    <cellStyle name="Normal 8 2 2 2 7 2" xfId="4421" xr:uid="{00000000-0005-0000-0000-00003F1C0000}"/>
    <cellStyle name="Normal 8 2 2 2 7 2 2" xfId="8644" xr:uid="{00000000-0005-0000-0000-0000401C0000}"/>
    <cellStyle name="Normal 8 2 2 2 7 2 2 2" xfId="17086" xr:uid="{BF9A481A-6CC8-4748-B2CF-9E8CB272E67D}"/>
    <cellStyle name="Normal 8 2 2 2 7 2 3" xfId="12868" xr:uid="{611C04C2-E4D3-42B9-A712-E2926512C294}"/>
    <cellStyle name="Normal 8 2 2 2 7 3" xfId="6499" xr:uid="{00000000-0005-0000-0000-0000411C0000}"/>
    <cellStyle name="Normal 8 2 2 2 7 3 2" xfId="14941" xr:uid="{335A2EF3-BB06-42F1-9FD8-552C0393E7DD}"/>
    <cellStyle name="Normal 8 2 2 2 7 4" xfId="10723" xr:uid="{BE6097F7-BAFB-4784-900B-5B50A4780BE6}"/>
    <cellStyle name="Normal 8 2 2 2 8" xfId="2628" xr:uid="{00000000-0005-0000-0000-0000421C0000}"/>
    <cellStyle name="Normal 8 2 2 2 8 2" xfId="6912" xr:uid="{00000000-0005-0000-0000-0000431C0000}"/>
    <cellStyle name="Normal 8 2 2 2 8 2 2" xfId="15354" xr:uid="{56C9C453-A2C5-4E4A-876D-F8DBC3EC1EAC}"/>
    <cellStyle name="Normal 8 2 2 2 8 3" xfId="11136" xr:uid="{69B0C148-8305-437C-B848-8E2B5488C430}"/>
    <cellStyle name="Normal 8 2 2 2 9" xfId="4847" xr:uid="{00000000-0005-0000-0000-0000441C0000}"/>
    <cellStyle name="Normal 8 2 2 2 9 2" xfId="13289" xr:uid="{C5E1A663-A2BF-4868-A17D-0E327A7F9A03}"/>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2 2 2" xfId="15852" xr:uid="{1822A06A-0B8F-4DAD-9276-446294069C30}"/>
    <cellStyle name="Normal 8 2 2 3 2 2 2 3" xfId="11634" xr:uid="{B5A8EB8E-443E-4A0F-B0F9-1A5D87365AC9}"/>
    <cellStyle name="Normal 8 2 2 3 2 2 3" xfId="5265" xr:uid="{00000000-0005-0000-0000-00004A1C0000}"/>
    <cellStyle name="Normal 8 2 2 3 2 2 3 2" xfId="13707" xr:uid="{0FB8335F-660E-46FC-BC48-FD1A10FFBBAD}"/>
    <cellStyle name="Normal 8 2 2 3 2 2 4" xfId="9489" xr:uid="{BDEF6C53-5B73-4E68-916A-687F0F4C07EF}"/>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2 2 2" xfId="16265" xr:uid="{81A41DA6-F47D-43F6-B105-C084A48EE174}"/>
    <cellStyle name="Normal 8 2 2 3 2 3 2 3" xfId="12047" xr:uid="{80535A12-153E-4DC1-B5CE-13381E563BDC}"/>
    <cellStyle name="Normal 8 2 2 3 2 3 3" xfId="5678" xr:uid="{00000000-0005-0000-0000-00004E1C0000}"/>
    <cellStyle name="Normal 8 2 2 3 2 3 3 2" xfId="14120" xr:uid="{7D4DAA20-C931-45FF-8F0B-ED00B7AE83BA}"/>
    <cellStyle name="Normal 8 2 2 3 2 3 4" xfId="9902" xr:uid="{9A2B6F26-99DF-4210-9E00-84690990F0C5}"/>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2 2 2" xfId="16678" xr:uid="{1FD65A79-7179-49C2-8213-894FF2704DF5}"/>
    <cellStyle name="Normal 8 2 2 3 2 4 2 3" xfId="12460" xr:uid="{C249E0D1-36AD-49EC-9D33-3B366323D8C1}"/>
    <cellStyle name="Normal 8 2 2 3 2 4 3" xfId="6091" xr:uid="{00000000-0005-0000-0000-0000521C0000}"/>
    <cellStyle name="Normal 8 2 2 3 2 4 3 2" xfId="14533" xr:uid="{2D131FF8-42F5-454D-8D37-44E2BC501A8A}"/>
    <cellStyle name="Normal 8 2 2 3 2 4 4" xfId="10315" xr:uid="{E82660D9-FA64-44E6-9364-B9923DADF72B}"/>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2 2 2" xfId="17091" xr:uid="{786E0F96-BBE6-463F-BC48-EABBAC90CB37}"/>
    <cellStyle name="Normal 8 2 2 3 2 5 2 3" xfId="12873" xr:uid="{66E654D0-E19C-4E92-87BE-E073AB28CD8E}"/>
    <cellStyle name="Normal 8 2 2 3 2 5 3" xfId="6504" xr:uid="{00000000-0005-0000-0000-0000561C0000}"/>
    <cellStyle name="Normal 8 2 2 3 2 5 3 2" xfId="14946" xr:uid="{C776CD82-0972-4C2B-9F16-C38073F6CAFD}"/>
    <cellStyle name="Normal 8 2 2 3 2 5 4" xfId="10728" xr:uid="{F4D074E2-008D-4DFA-A195-40D5D5381996}"/>
    <cellStyle name="Normal 8 2 2 3 2 6" xfId="2633" xr:uid="{00000000-0005-0000-0000-0000571C0000}"/>
    <cellStyle name="Normal 8 2 2 3 2 6 2" xfId="6917" xr:uid="{00000000-0005-0000-0000-0000581C0000}"/>
    <cellStyle name="Normal 8 2 2 3 2 6 2 2" xfId="15359" xr:uid="{6506403F-FFE6-4098-9CAC-03FD9992D770}"/>
    <cellStyle name="Normal 8 2 2 3 2 6 3" xfId="11141" xr:uid="{8F29805C-C26E-46A9-BA9B-2EE64E145CA3}"/>
    <cellStyle name="Normal 8 2 2 3 2 7" xfId="4852" xr:uid="{00000000-0005-0000-0000-0000591C0000}"/>
    <cellStyle name="Normal 8 2 2 3 2 7 2" xfId="13294" xr:uid="{DAACCA38-5F8A-41EB-85F4-0C7E30911B17}"/>
    <cellStyle name="Normal 8 2 2 3 2 8" xfId="9076" xr:uid="{ED3EB7B7-7434-4FAA-BD9C-BE4361ADB328}"/>
    <cellStyle name="Normal 8 2 2 3 3" xfId="952" xr:uid="{00000000-0005-0000-0000-00005A1C0000}"/>
    <cellStyle name="Normal 8 2 2 3 3 2" xfId="3186" xr:uid="{00000000-0005-0000-0000-00005B1C0000}"/>
    <cellStyle name="Normal 8 2 2 3 3 2 2" xfId="7409" xr:uid="{00000000-0005-0000-0000-00005C1C0000}"/>
    <cellStyle name="Normal 8 2 2 3 3 2 2 2" xfId="15851" xr:uid="{1D1CF49A-2112-4FC4-9CBE-E474EF19984D}"/>
    <cellStyle name="Normal 8 2 2 3 3 2 3" xfId="11633" xr:uid="{43B63E5A-AE9E-42F6-B6E8-892DEA06A833}"/>
    <cellStyle name="Normal 8 2 2 3 3 3" xfId="5264" xr:uid="{00000000-0005-0000-0000-00005D1C0000}"/>
    <cellStyle name="Normal 8 2 2 3 3 3 2" xfId="13706" xr:uid="{5546024B-4548-4206-8820-D957EB5D4168}"/>
    <cellStyle name="Normal 8 2 2 3 3 4" xfId="9488" xr:uid="{D400429D-5866-429C-9458-EB1D0A0B0BE1}"/>
    <cellStyle name="Normal 8 2 2 3 4" xfId="1369" xr:uid="{00000000-0005-0000-0000-00005E1C0000}"/>
    <cellStyle name="Normal 8 2 2 3 4 2" xfId="3599" xr:uid="{00000000-0005-0000-0000-00005F1C0000}"/>
    <cellStyle name="Normal 8 2 2 3 4 2 2" xfId="7822" xr:uid="{00000000-0005-0000-0000-0000601C0000}"/>
    <cellStyle name="Normal 8 2 2 3 4 2 2 2" xfId="16264" xr:uid="{A8BCB724-01D0-49B2-A32C-7AF6509FB6B1}"/>
    <cellStyle name="Normal 8 2 2 3 4 2 3" xfId="12046" xr:uid="{75A7506B-0D1D-46ED-9789-300AA7A2E7E6}"/>
    <cellStyle name="Normal 8 2 2 3 4 3" xfId="5677" xr:uid="{00000000-0005-0000-0000-0000611C0000}"/>
    <cellStyle name="Normal 8 2 2 3 4 3 2" xfId="14119" xr:uid="{80FA1A58-4DFE-45DB-80A5-6C8EFB63569A}"/>
    <cellStyle name="Normal 8 2 2 3 4 4" xfId="9901" xr:uid="{F3C66A5B-6235-432D-B5F6-818A0CC0EE58}"/>
    <cellStyle name="Normal 8 2 2 3 5" xfId="1782" xr:uid="{00000000-0005-0000-0000-0000621C0000}"/>
    <cellStyle name="Normal 8 2 2 3 5 2" xfId="4012" xr:uid="{00000000-0005-0000-0000-0000631C0000}"/>
    <cellStyle name="Normal 8 2 2 3 5 2 2" xfId="8235" xr:uid="{00000000-0005-0000-0000-0000641C0000}"/>
    <cellStyle name="Normal 8 2 2 3 5 2 2 2" xfId="16677" xr:uid="{AF7A724B-13AD-4AB8-982C-338E1A45E6E0}"/>
    <cellStyle name="Normal 8 2 2 3 5 2 3" xfId="12459" xr:uid="{9AEFCECB-F98E-4AEF-9FBB-EEC762C01DE2}"/>
    <cellStyle name="Normal 8 2 2 3 5 3" xfId="6090" xr:uid="{00000000-0005-0000-0000-0000651C0000}"/>
    <cellStyle name="Normal 8 2 2 3 5 3 2" xfId="14532" xr:uid="{913BF0C4-2AEF-42CD-BA67-6C1CE3C37C67}"/>
    <cellStyle name="Normal 8 2 2 3 5 4" xfId="10314" xr:uid="{3FF1CFA6-0EE4-489D-B001-9950C1633A0F}"/>
    <cellStyle name="Normal 8 2 2 3 6" xfId="2196" xr:uid="{00000000-0005-0000-0000-0000661C0000}"/>
    <cellStyle name="Normal 8 2 2 3 6 2" xfId="4425" xr:uid="{00000000-0005-0000-0000-0000671C0000}"/>
    <cellStyle name="Normal 8 2 2 3 6 2 2" xfId="8648" xr:uid="{00000000-0005-0000-0000-0000681C0000}"/>
    <cellStyle name="Normal 8 2 2 3 6 2 2 2" xfId="17090" xr:uid="{FB76D1A5-CA8C-4705-B4E4-8F1BD171D6A0}"/>
    <cellStyle name="Normal 8 2 2 3 6 2 3" xfId="12872" xr:uid="{28B3B760-E5F9-4A63-B54F-29EC13F926A7}"/>
    <cellStyle name="Normal 8 2 2 3 6 3" xfId="6503" xr:uid="{00000000-0005-0000-0000-0000691C0000}"/>
    <cellStyle name="Normal 8 2 2 3 6 3 2" xfId="14945" xr:uid="{48B58A24-51D3-4487-8D11-242C269F6907}"/>
    <cellStyle name="Normal 8 2 2 3 6 4" xfId="10727" xr:uid="{F38B991F-3965-4AF5-8514-8680A9FE3F46}"/>
    <cellStyle name="Normal 8 2 2 3 7" xfId="2632" xr:uid="{00000000-0005-0000-0000-00006A1C0000}"/>
    <cellStyle name="Normal 8 2 2 3 7 2" xfId="6916" xr:uid="{00000000-0005-0000-0000-00006B1C0000}"/>
    <cellStyle name="Normal 8 2 2 3 7 2 2" xfId="15358" xr:uid="{C2C09D3D-E440-4A27-BC8E-2E540A98EA74}"/>
    <cellStyle name="Normal 8 2 2 3 7 3" xfId="11140" xr:uid="{5E9B8EDE-AC97-490A-8489-522DD8AD10F5}"/>
    <cellStyle name="Normal 8 2 2 3 8" xfId="4851" xr:uid="{00000000-0005-0000-0000-00006C1C0000}"/>
    <cellStyle name="Normal 8 2 2 3 8 2" xfId="13293" xr:uid="{7265B0DC-7497-458C-951F-EEFA95B73840}"/>
    <cellStyle name="Normal 8 2 2 3 9" xfId="9075" xr:uid="{7F9CA273-4020-4FB7-9868-7BA039B3D54D}"/>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2 2 2" xfId="15853" xr:uid="{BC006612-4828-45B8-9364-CC0BF55A01A3}"/>
    <cellStyle name="Normal 8 2 2 4 2 2 3" xfId="11635" xr:uid="{DE55CAAE-33CD-4052-ADFB-11174D592A7C}"/>
    <cellStyle name="Normal 8 2 2 4 2 3" xfId="5266" xr:uid="{00000000-0005-0000-0000-0000711C0000}"/>
    <cellStyle name="Normal 8 2 2 4 2 3 2" xfId="13708" xr:uid="{8CF0C55B-BE5D-4FDC-BC02-66D403475897}"/>
    <cellStyle name="Normal 8 2 2 4 2 4" xfId="9490" xr:uid="{10A282FB-42FD-4653-A4BC-7A772F1A96D8}"/>
    <cellStyle name="Normal 8 2 2 4 3" xfId="1371" xr:uid="{00000000-0005-0000-0000-0000721C0000}"/>
    <cellStyle name="Normal 8 2 2 4 3 2" xfId="3601" xr:uid="{00000000-0005-0000-0000-0000731C0000}"/>
    <cellStyle name="Normal 8 2 2 4 3 2 2" xfId="7824" xr:uid="{00000000-0005-0000-0000-0000741C0000}"/>
    <cellStyle name="Normal 8 2 2 4 3 2 2 2" xfId="16266" xr:uid="{B2678E1A-6354-462F-A00C-3C871A9A6FA9}"/>
    <cellStyle name="Normal 8 2 2 4 3 2 3" xfId="12048" xr:uid="{80F8B98F-B44F-4357-B080-5D10F6DF4C27}"/>
    <cellStyle name="Normal 8 2 2 4 3 3" xfId="5679" xr:uid="{00000000-0005-0000-0000-0000751C0000}"/>
    <cellStyle name="Normal 8 2 2 4 3 3 2" xfId="14121" xr:uid="{B3BB35E5-6DB1-463F-A9DA-D43057BD9FEB}"/>
    <cellStyle name="Normal 8 2 2 4 3 4" xfId="9903" xr:uid="{75A64EF5-F284-4E9D-96FA-D430DDEA9B13}"/>
    <cellStyle name="Normal 8 2 2 4 4" xfId="1784" xr:uid="{00000000-0005-0000-0000-0000761C0000}"/>
    <cellStyle name="Normal 8 2 2 4 4 2" xfId="4014" xr:uid="{00000000-0005-0000-0000-0000771C0000}"/>
    <cellStyle name="Normal 8 2 2 4 4 2 2" xfId="8237" xr:uid="{00000000-0005-0000-0000-0000781C0000}"/>
    <cellStyle name="Normal 8 2 2 4 4 2 2 2" xfId="16679" xr:uid="{597BB18A-6F49-42CF-9971-5A2EC7E0F2E2}"/>
    <cellStyle name="Normal 8 2 2 4 4 2 3" xfId="12461" xr:uid="{2D8A5437-3DF8-4F8C-9C90-90BB5950F2A6}"/>
    <cellStyle name="Normal 8 2 2 4 4 3" xfId="6092" xr:uid="{00000000-0005-0000-0000-0000791C0000}"/>
    <cellStyle name="Normal 8 2 2 4 4 3 2" xfId="14534" xr:uid="{6C195D44-EEDE-4827-B45D-E6D792EC62BF}"/>
    <cellStyle name="Normal 8 2 2 4 4 4" xfId="10316" xr:uid="{672BA95E-E4E7-418B-8546-141810B7A33E}"/>
    <cellStyle name="Normal 8 2 2 4 5" xfId="2198" xr:uid="{00000000-0005-0000-0000-00007A1C0000}"/>
    <cellStyle name="Normal 8 2 2 4 5 2" xfId="4427" xr:uid="{00000000-0005-0000-0000-00007B1C0000}"/>
    <cellStyle name="Normal 8 2 2 4 5 2 2" xfId="8650" xr:uid="{00000000-0005-0000-0000-00007C1C0000}"/>
    <cellStyle name="Normal 8 2 2 4 5 2 2 2" xfId="17092" xr:uid="{F391843A-FAFF-48E6-98AB-0098A2742824}"/>
    <cellStyle name="Normal 8 2 2 4 5 2 3" xfId="12874" xr:uid="{C720EA56-506D-49FA-A576-317AB999571E}"/>
    <cellStyle name="Normal 8 2 2 4 5 3" xfId="6505" xr:uid="{00000000-0005-0000-0000-00007D1C0000}"/>
    <cellStyle name="Normal 8 2 2 4 5 3 2" xfId="14947" xr:uid="{D1D900E0-1947-453A-84B5-D2B6C9962629}"/>
    <cellStyle name="Normal 8 2 2 4 5 4" xfId="10729" xr:uid="{426061DD-01CC-4555-9CEF-ACD1FB4B419C}"/>
    <cellStyle name="Normal 8 2 2 4 6" xfId="2634" xr:uid="{00000000-0005-0000-0000-00007E1C0000}"/>
    <cellStyle name="Normal 8 2 2 4 6 2" xfId="6918" xr:uid="{00000000-0005-0000-0000-00007F1C0000}"/>
    <cellStyle name="Normal 8 2 2 4 6 2 2" xfId="15360" xr:uid="{0241FA1E-6AEE-4E8C-AEB2-9028DBF5393E}"/>
    <cellStyle name="Normal 8 2 2 4 6 3" xfId="11142" xr:uid="{1C12B23D-4698-40B3-A259-FFE58F416A25}"/>
    <cellStyle name="Normal 8 2 2 4 7" xfId="4853" xr:uid="{00000000-0005-0000-0000-0000801C0000}"/>
    <cellStyle name="Normal 8 2 2 4 7 2" xfId="13295" xr:uid="{BA281DB3-3DF8-40F6-876A-71F90E429AF7}"/>
    <cellStyle name="Normal 8 2 2 4 8" xfId="9077" xr:uid="{1EDAE1FE-6288-4016-8870-051FAF8B0E88}"/>
    <cellStyle name="Normal 8 2 2 5" xfId="947" xr:uid="{00000000-0005-0000-0000-0000811C0000}"/>
    <cellStyle name="Normal 8 2 2 5 2" xfId="3181" xr:uid="{00000000-0005-0000-0000-0000821C0000}"/>
    <cellStyle name="Normal 8 2 2 5 2 2" xfId="7404" xr:uid="{00000000-0005-0000-0000-0000831C0000}"/>
    <cellStyle name="Normal 8 2 2 5 2 2 2" xfId="15846" xr:uid="{060C2CE0-360F-426C-81E8-051ECAD2A2CC}"/>
    <cellStyle name="Normal 8 2 2 5 2 3" xfId="11628" xr:uid="{DA23C1A7-1AB3-4DDB-BAD3-ED3329B767EE}"/>
    <cellStyle name="Normal 8 2 2 5 3" xfId="5259" xr:uid="{00000000-0005-0000-0000-0000841C0000}"/>
    <cellStyle name="Normal 8 2 2 5 3 2" xfId="13701" xr:uid="{B4DCABF0-BC85-45D5-8EEB-3D94AA53C964}"/>
    <cellStyle name="Normal 8 2 2 5 4" xfId="9483" xr:uid="{C5657084-AAEC-448B-B4E8-585B88F3ECFE}"/>
    <cellStyle name="Normal 8 2 2 6" xfId="1364" xr:uid="{00000000-0005-0000-0000-0000851C0000}"/>
    <cellStyle name="Normal 8 2 2 6 2" xfId="3594" xr:uid="{00000000-0005-0000-0000-0000861C0000}"/>
    <cellStyle name="Normal 8 2 2 6 2 2" xfId="7817" xr:uid="{00000000-0005-0000-0000-0000871C0000}"/>
    <cellStyle name="Normal 8 2 2 6 2 2 2" xfId="16259" xr:uid="{B39C02CF-4077-40E4-8557-7E4D2148DB3B}"/>
    <cellStyle name="Normal 8 2 2 6 2 3" xfId="12041" xr:uid="{849D2F86-8ADC-4C83-B714-FBB9BCF813BB}"/>
    <cellStyle name="Normal 8 2 2 6 3" xfId="5672" xr:uid="{00000000-0005-0000-0000-0000881C0000}"/>
    <cellStyle name="Normal 8 2 2 6 3 2" xfId="14114" xr:uid="{E97E89DF-E58C-40D3-85CC-733C1836C0A6}"/>
    <cellStyle name="Normal 8 2 2 6 4" xfId="9896" xr:uid="{15B1CA17-296E-4101-9A0A-78739FA98A4D}"/>
    <cellStyle name="Normal 8 2 2 7" xfId="1777" xr:uid="{00000000-0005-0000-0000-0000891C0000}"/>
    <cellStyle name="Normal 8 2 2 7 2" xfId="4007" xr:uid="{00000000-0005-0000-0000-00008A1C0000}"/>
    <cellStyle name="Normal 8 2 2 7 2 2" xfId="8230" xr:uid="{00000000-0005-0000-0000-00008B1C0000}"/>
    <cellStyle name="Normal 8 2 2 7 2 2 2" xfId="16672" xr:uid="{21F9CECC-F2F4-4432-8115-1D1BB6D931B5}"/>
    <cellStyle name="Normal 8 2 2 7 2 3" xfId="12454" xr:uid="{61DB9242-51D2-4BEE-A44A-A20F536A236E}"/>
    <cellStyle name="Normal 8 2 2 7 3" xfId="6085" xr:uid="{00000000-0005-0000-0000-00008C1C0000}"/>
    <cellStyle name="Normal 8 2 2 7 3 2" xfId="14527" xr:uid="{504A8554-5448-436F-A9A7-32D0339775A5}"/>
    <cellStyle name="Normal 8 2 2 7 4" xfId="10309" xr:uid="{08C73EBA-2FB5-4A74-AF69-6946CC2C120E}"/>
    <cellStyle name="Normal 8 2 2 8" xfId="2191" xr:uid="{00000000-0005-0000-0000-00008D1C0000}"/>
    <cellStyle name="Normal 8 2 2 8 2" xfId="4420" xr:uid="{00000000-0005-0000-0000-00008E1C0000}"/>
    <cellStyle name="Normal 8 2 2 8 2 2" xfId="8643" xr:uid="{00000000-0005-0000-0000-00008F1C0000}"/>
    <cellStyle name="Normal 8 2 2 8 2 2 2" xfId="17085" xr:uid="{776EFA93-BE25-417B-A13E-589A72C844CB}"/>
    <cellStyle name="Normal 8 2 2 8 2 3" xfId="12867" xr:uid="{C9C5BC3E-06AD-4A5C-B329-C009ACDF0D67}"/>
    <cellStyle name="Normal 8 2 2 8 3" xfId="6498" xr:uid="{00000000-0005-0000-0000-0000901C0000}"/>
    <cellStyle name="Normal 8 2 2 8 3 2" xfId="14940" xr:uid="{E6040EB2-856D-476B-9180-4654367A7A9D}"/>
    <cellStyle name="Normal 8 2 2 8 4" xfId="10722" xr:uid="{1FC080C8-AF4D-4974-802D-6EFA35DADA2E}"/>
    <cellStyle name="Normal 8 2 2 9" xfId="2627" xr:uid="{00000000-0005-0000-0000-0000911C0000}"/>
    <cellStyle name="Normal 8 2 2 9 2" xfId="6911" xr:uid="{00000000-0005-0000-0000-0000921C0000}"/>
    <cellStyle name="Normal 8 2 2 9 2 2" xfId="15353" xr:uid="{1E86F728-C3DE-430A-A577-211C94E7C884}"/>
    <cellStyle name="Normal 8 2 2 9 3" xfId="11135" xr:uid="{4816AC19-EFDF-4B56-A9BB-E4838E7B6B65}"/>
    <cellStyle name="Normal 8 2 3" xfId="488" xr:uid="{00000000-0005-0000-0000-0000931C0000}"/>
    <cellStyle name="Normal 8 2 3 10" xfId="9078" xr:uid="{4EF4FC15-04D9-474D-97D1-98433E98EB48}"/>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2 2 2" xfId="15856" xr:uid="{80AE5BEA-BAB5-4ED0-81B7-4F67BBE71D05}"/>
    <cellStyle name="Normal 8 2 3 2 2 2 2 3" xfId="11638" xr:uid="{1391DE08-F6C8-46E7-B907-2DE0219F3865}"/>
    <cellStyle name="Normal 8 2 3 2 2 2 3" xfId="5269" xr:uid="{00000000-0005-0000-0000-0000991C0000}"/>
    <cellStyle name="Normal 8 2 3 2 2 2 3 2" xfId="13711" xr:uid="{8F3CCE9C-F3F7-40BA-8EFE-CB203709A70A}"/>
    <cellStyle name="Normal 8 2 3 2 2 2 4" xfId="9493" xr:uid="{69808074-1791-44D1-94A3-273640840A1D}"/>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2 2 2" xfId="16269" xr:uid="{5F95F686-7267-4AA0-BCED-7C5935DFDC37}"/>
    <cellStyle name="Normal 8 2 3 2 2 3 2 3" xfId="12051" xr:uid="{BC863296-B0C4-4927-A80D-9DA8A3ECCF94}"/>
    <cellStyle name="Normal 8 2 3 2 2 3 3" xfId="5682" xr:uid="{00000000-0005-0000-0000-00009D1C0000}"/>
    <cellStyle name="Normal 8 2 3 2 2 3 3 2" xfId="14124" xr:uid="{FE04293B-C512-4E92-90DA-0A6039C92A59}"/>
    <cellStyle name="Normal 8 2 3 2 2 3 4" xfId="9906" xr:uid="{89AA8BD1-68A4-4A93-B2D3-B9611F340763}"/>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2 2 2" xfId="16682" xr:uid="{2D8E8FCB-13CB-4823-959A-5EDE9FFC5872}"/>
    <cellStyle name="Normal 8 2 3 2 2 4 2 3" xfId="12464" xr:uid="{88AE1000-5487-4BF4-AC47-AB5398071961}"/>
    <cellStyle name="Normal 8 2 3 2 2 4 3" xfId="6095" xr:uid="{00000000-0005-0000-0000-0000A11C0000}"/>
    <cellStyle name="Normal 8 2 3 2 2 4 3 2" xfId="14537" xr:uid="{83EF182E-4045-4A8D-A236-5C098AB56742}"/>
    <cellStyle name="Normal 8 2 3 2 2 4 4" xfId="10319" xr:uid="{528C8D6E-BC0A-4275-8F41-CFB02A830061}"/>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2 2 2" xfId="17095" xr:uid="{0ECE98E9-5E7A-4A4B-A459-1469238F0C88}"/>
    <cellStyle name="Normal 8 2 3 2 2 5 2 3" xfId="12877" xr:uid="{61B41101-31AB-4C2B-8A4E-7730527B57E1}"/>
    <cellStyle name="Normal 8 2 3 2 2 5 3" xfId="6508" xr:uid="{00000000-0005-0000-0000-0000A51C0000}"/>
    <cellStyle name="Normal 8 2 3 2 2 5 3 2" xfId="14950" xr:uid="{260C6802-24B5-417F-8B4F-284DC157A8F9}"/>
    <cellStyle name="Normal 8 2 3 2 2 5 4" xfId="10732" xr:uid="{FB65F462-BD73-40AF-8C2C-112FD3978148}"/>
    <cellStyle name="Normal 8 2 3 2 2 6" xfId="2637" xr:uid="{00000000-0005-0000-0000-0000A61C0000}"/>
    <cellStyle name="Normal 8 2 3 2 2 6 2" xfId="6921" xr:uid="{00000000-0005-0000-0000-0000A71C0000}"/>
    <cellStyle name="Normal 8 2 3 2 2 6 2 2" xfId="15363" xr:uid="{3AB57C5E-9D7A-486F-81F4-2C512541AFF1}"/>
    <cellStyle name="Normal 8 2 3 2 2 6 3" xfId="11145" xr:uid="{13A3FCA5-5E94-4A31-A60E-2829D920B867}"/>
    <cellStyle name="Normal 8 2 3 2 2 7" xfId="4856" xr:uid="{00000000-0005-0000-0000-0000A81C0000}"/>
    <cellStyle name="Normal 8 2 3 2 2 7 2" xfId="13298" xr:uid="{C1F7E11E-EC58-432B-BF13-AC7CFDC61E3B}"/>
    <cellStyle name="Normal 8 2 3 2 2 8" xfId="9080" xr:uid="{11A507A8-4FC1-45DD-8AAC-9725DD1C73BE}"/>
    <cellStyle name="Normal 8 2 3 2 3" xfId="956" xr:uid="{00000000-0005-0000-0000-0000A91C0000}"/>
    <cellStyle name="Normal 8 2 3 2 3 2" xfId="3190" xr:uid="{00000000-0005-0000-0000-0000AA1C0000}"/>
    <cellStyle name="Normal 8 2 3 2 3 2 2" xfId="7413" xr:uid="{00000000-0005-0000-0000-0000AB1C0000}"/>
    <cellStyle name="Normal 8 2 3 2 3 2 2 2" xfId="15855" xr:uid="{AA4C1CD8-C533-43C8-ADA5-CDADBEABCCFF}"/>
    <cellStyle name="Normal 8 2 3 2 3 2 3" xfId="11637" xr:uid="{1DF96B42-2955-4A79-919B-11172E57CC93}"/>
    <cellStyle name="Normal 8 2 3 2 3 3" xfId="5268" xr:uid="{00000000-0005-0000-0000-0000AC1C0000}"/>
    <cellStyle name="Normal 8 2 3 2 3 3 2" xfId="13710" xr:uid="{5E2EE09B-AA77-4E20-A559-DEEC4F6EE8D2}"/>
    <cellStyle name="Normal 8 2 3 2 3 4" xfId="9492" xr:uid="{D420F539-0FB6-4DB2-9FE6-D4908E08CD59}"/>
    <cellStyle name="Normal 8 2 3 2 4" xfId="1373" xr:uid="{00000000-0005-0000-0000-0000AD1C0000}"/>
    <cellStyle name="Normal 8 2 3 2 4 2" xfId="3603" xr:uid="{00000000-0005-0000-0000-0000AE1C0000}"/>
    <cellStyle name="Normal 8 2 3 2 4 2 2" xfId="7826" xr:uid="{00000000-0005-0000-0000-0000AF1C0000}"/>
    <cellStyle name="Normal 8 2 3 2 4 2 2 2" xfId="16268" xr:uid="{6D14E195-F319-4188-84C1-004FC2782BC9}"/>
    <cellStyle name="Normal 8 2 3 2 4 2 3" xfId="12050" xr:uid="{A353F2C6-646E-48A2-A392-6D6BD41F0CDF}"/>
    <cellStyle name="Normal 8 2 3 2 4 3" xfId="5681" xr:uid="{00000000-0005-0000-0000-0000B01C0000}"/>
    <cellStyle name="Normal 8 2 3 2 4 3 2" xfId="14123" xr:uid="{9B81045A-0C5B-4EE9-BF18-3D4665B421A4}"/>
    <cellStyle name="Normal 8 2 3 2 4 4" xfId="9905" xr:uid="{4FA3CDC6-F4A0-4265-A0C9-485EF7F78272}"/>
    <cellStyle name="Normal 8 2 3 2 5" xfId="1786" xr:uid="{00000000-0005-0000-0000-0000B11C0000}"/>
    <cellStyle name="Normal 8 2 3 2 5 2" xfId="4016" xr:uid="{00000000-0005-0000-0000-0000B21C0000}"/>
    <cellStyle name="Normal 8 2 3 2 5 2 2" xfId="8239" xr:uid="{00000000-0005-0000-0000-0000B31C0000}"/>
    <cellStyle name="Normal 8 2 3 2 5 2 2 2" xfId="16681" xr:uid="{CA5B61CF-C9D6-461C-8843-CD61C9A2C6D2}"/>
    <cellStyle name="Normal 8 2 3 2 5 2 3" xfId="12463" xr:uid="{A263FFB3-32D3-47BA-A852-ABEE3B3D11A0}"/>
    <cellStyle name="Normal 8 2 3 2 5 3" xfId="6094" xr:uid="{00000000-0005-0000-0000-0000B41C0000}"/>
    <cellStyle name="Normal 8 2 3 2 5 3 2" xfId="14536" xr:uid="{E502B545-F773-4453-8197-84804662DBBC}"/>
    <cellStyle name="Normal 8 2 3 2 5 4" xfId="10318" xr:uid="{01CDE862-5899-453C-8354-D8BF2858AC78}"/>
    <cellStyle name="Normal 8 2 3 2 6" xfId="2200" xr:uid="{00000000-0005-0000-0000-0000B51C0000}"/>
    <cellStyle name="Normal 8 2 3 2 6 2" xfId="4429" xr:uid="{00000000-0005-0000-0000-0000B61C0000}"/>
    <cellStyle name="Normal 8 2 3 2 6 2 2" xfId="8652" xr:uid="{00000000-0005-0000-0000-0000B71C0000}"/>
    <cellStyle name="Normal 8 2 3 2 6 2 2 2" xfId="17094" xr:uid="{E8560F5F-C68C-4CB6-AF99-4E64FD8A11C9}"/>
    <cellStyle name="Normal 8 2 3 2 6 2 3" xfId="12876" xr:uid="{ACCA160F-2665-44C7-AC01-F64972CDF3D3}"/>
    <cellStyle name="Normal 8 2 3 2 6 3" xfId="6507" xr:uid="{00000000-0005-0000-0000-0000B81C0000}"/>
    <cellStyle name="Normal 8 2 3 2 6 3 2" xfId="14949" xr:uid="{F0224DBE-F7F6-4C37-98E6-E2044F190A4F}"/>
    <cellStyle name="Normal 8 2 3 2 6 4" xfId="10731" xr:uid="{9A122993-9E73-4A69-9B2B-A36C7AB20D1A}"/>
    <cellStyle name="Normal 8 2 3 2 7" xfId="2636" xr:uid="{00000000-0005-0000-0000-0000B91C0000}"/>
    <cellStyle name="Normal 8 2 3 2 7 2" xfId="6920" xr:uid="{00000000-0005-0000-0000-0000BA1C0000}"/>
    <cellStyle name="Normal 8 2 3 2 7 2 2" xfId="15362" xr:uid="{80BD58F5-63A3-422D-9F4B-A1E3FEB4E50A}"/>
    <cellStyle name="Normal 8 2 3 2 7 3" xfId="11144" xr:uid="{A30A9A20-3333-4CA7-B6B2-C844942FF9C7}"/>
    <cellStyle name="Normal 8 2 3 2 8" xfId="4855" xr:uid="{00000000-0005-0000-0000-0000BB1C0000}"/>
    <cellStyle name="Normal 8 2 3 2 8 2" xfId="13297" xr:uid="{FB008EA8-F78D-4F3E-AB62-CB04C6BA313E}"/>
    <cellStyle name="Normal 8 2 3 2 9" xfId="9079" xr:uid="{BED12A93-6880-4191-A1C3-D5152A74BBB8}"/>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2 2 2" xfId="15857" xr:uid="{D1B33ABC-E21A-483F-9A13-3B53CD96871B}"/>
    <cellStyle name="Normal 8 2 3 3 2 2 3" xfId="11639" xr:uid="{C710169A-A7EE-495C-BC58-3965D9420093}"/>
    <cellStyle name="Normal 8 2 3 3 2 3" xfId="5270" xr:uid="{00000000-0005-0000-0000-0000C01C0000}"/>
    <cellStyle name="Normal 8 2 3 3 2 3 2" xfId="13712" xr:uid="{336C1D50-4FE7-4857-BDAC-3284ADE1848A}"/>
    <cellStyle name="Normal 8 2 3 3 2 4" xfId="9494" xr:uid="{1524294D-D33D-434A-9701-C5089BF6B876}"/>
    <cellStyle name="Normal 8 2 3 3 3" xfId="1375" xr:uid="{00000000-0005-0000-0000-0000C11C0000}"/>
    <cellStyle name="Normal 8 2 3 3 3 2" xfId="3605" xr:uid="{00000000-0005-0000-0000-0000C21C0000}"/>
    <cellStyle name="Normal 8 2 3 3 3 2 2" xfId="7828" xr:uid="{00000000-0005-0000-0000-0000C31C0000}"/>
    <cellStyle name="Normal 8 2 3 3 3 2 2 2" xfId="16270" xr:uid="{3B1586C6-01FE-41BA-AD82-0FAAC35DA8ED}"/>
    <cellStyle name="Normal 8 2 3 3 3 2 3" xfId="12052" xr:uid="{31041241-6426-49E4-82D2-1A69BBDCB584}"/>
    <cellStyle name="Normal 8 2 3 3 3 3" xfId="5683" xr:uid="{00000000-0005-0000-0000-0000C41C0000}"/>
    <cellStyle name="Normal 8 2 3 3 3 3 2" xfId="14125" xr:uid="{6EBE1510-3923-462C-9CFF-C22CC55F4D36}"/>
    <cellStyle name="Normal 8 2 3 3 3 4" xfId="9907" xr:uid="{8F8C02ED-2DA6-4E53-AD91-0AE24AEB4704}"/>
    <cellStyle name="Normal 8 2 3 3 4" xfId="1788" xr:uid="{00000000-0005-0000-0000-0000C51C0000}"/>
    <cellStyle name="Normal 8 2 3 3 4 2" xfId="4018" xr:uid="{00000000-0005-0000-0000-0000C61C0000}"/>
    <cellStyle name="Normal 8 2 3 3 4 2 2" xfId="8241" xr:uid="{00000000-0005-0000-0000-0000C71C0000}"/>
    <cellStyle name="Normal 8 2 3 3 4 2 2 2" xfId="16683" xr:uid="{331352BF-3B2C-4D94-9982-74CD7B463897}"/>
    <cellStyle name="Normal 8 2 3 3 4 2 3" xfId="12465" xr:uid="{769DB573-9DEE-4615-9A83-8E588251F41B}"/>
    <cellStyle name="Normal 8 2 3 3 4 3" xfId="6096" xr:uid="{00000000-0005-0000-0000-0000C81C0000}"/>
    <cellStyle name="Normal 8 2 3 3 4 3 2" xfId="14538" xr:uid="{CF7D4CDC-F3DC-4FAB-9A3F-4CF55F2CB1DB}"/>
    <cellStyle name="Normal 8 2 3 3 4 4" xfId="10320" xr:uid="{A7969DBA-1742-4A07-AF58-B09429A81F05}"/>
    <cellStyle name="Normal 8 2 3 3 5" xfId="2202" xr:uid="{00000000-0005-0000-0000-0000C91C0000}"/>
    <cellStyle name="Normal 8 2 3 3 5 2" xfId="4431" xr:uid="{00000000-0005-0000-0000-0000CA1C0000}"/>
    <cellStyle name="Normal 8 2 3 3 5 2 2" xfId="8654" xr:uid="{00000000-0005-0000-0000-0000CB1C0000}"/>
    <cellStyle name="Normal 8 2 3 3 5 2 2 2" xfId="17096" xr:uid="{0BEF4C93-5534-43BB-9184-D3F9B8AB20AD}"/>
    <cellStyle name="Normal 8 2 3 3 5 2 3" xfId="12878" xr:uid="{9594C8FC-2A06-40EA-960B-1085086CF29F}"/>
    <cellStyle name="Normal 8 2 3 3 5 3" xfId="6509" xr:uid="{00000000-0005-0000-0000-0000CC1C0000}"/>
    <cellStyle name="Normal 8 2 3 3 5 3 2" xfId="14951" xr:uid="{1A712225-BB15-4DFB-B4C2-B0B1D36724A5}"/>
    <cellStyle name="Normal 8 2 3 3 5 4" xfId="10733" xr:uid="{5F57D767-B366-4120-9E3B-4AD43336F493}"/>
    <cellStyle name="Normal 8 2 3 3 6" xfId="2638" xr:uid="{00000000-0005-0000-0000-0000CD1C0000}"/>
    <cellStyle name="Normal 8 2 3 3 6 2" xfId="6922" xr:uid="{00000000-0005-0000-0000-0000CE1C0000}"/>
    <cellStyle name="Normal 8 2 3 3 6 2 2" xfId="15364" xr:uid="{258DD94A-14CD-4DDE-BA6A-BC71B1DAE9B7}"/>
    <cellStyle name="Normal 8 2 3 3 6 3" xfId="11146" xr:uid="{FF527976-EDA0-46DB-A8E7-8B3EE4A87538}"/>
    <cellStyle name="Normal 8 2 3 3 7" xfId="4857" xr:uid="{00000000-0005-0000-0000-0000CF1C0000}"/>
    <cellStyle name="Normal 8 2 3 3 7 2" xfId="13299" xr:uid="{CF8E83CD-DD38-4B1A-B2DF-D349BE506652}"/>
    <cellStyle name="Normal 8 2 3 3 8" xfId="9081" xr:uid="{F868536B-EB71-40BE-9972-DD06A94D36B5}"/>
    <cellStyle name="Normal 8 2 3 4" xfId="955" xr:uid="{00000000-0005-0000-0000-0000D01C0000}"/>
    <cellStyle name="Normal 8 2 3 4 2" xfId="3189" xr:uid="{00000000-0005-0000-0000-0000D11C0000}"/>
    <cellStyle name="Normal 8 2 3 4 2 2" xfId="7412" xr:uid="{00000000-0005-0000-0000-0000D21C0000}"/>
    <cellStyle name="Normal 8 2 3 4 2 2 2" xfId="15854" xr:uid="{ABAE3EEC-C5AB-4E6D-9B74-BB4204559324}"/>
    <cellStyle name="Normal 8 2 3 4 2 3" xfId="11636" xr:uid="{E1B7D574-BFB8-4F60-83CF-0C7D6E585B6B}"/>
    <cellStyle name="Normal 8 2 3 4 3" xfId="5267" xr:uid="{00000000-0005-0000-0000-0000D31C0000}"/>
    <cellStyle name="Normal 8 2 3 4 3 2" xfId="13709" xr:uid="{30F6FF0E-20B3-4836-B3E6-62BD5F4FC2CC}"/>
    <cellStyle name="Normal 8 2 3 4 4" xfId="9491" xr:uid="{76450A97-6CFB-4116-BE61-27C4CCFFF660}"/>
    <cellStyle name="Normal 8 2 3 5" xfId="1372" xr:uid="{00000000-0005-0000-0000-0000D41C0000}"/>
    <cellStyle name="Normal 8 2 3 5 2" xfId="3602" xr:uid="{00000000-0005-0000-0000-0000D51C0000}"/>
    <cellStyle name="Normal 8 2 3 5 2 2" xfId="7825" xr:uid="{00000000-0005-0000-0000-0000D61C0000}"/>
    <cellStyle name="Normal 8 2 3 5 2 2 2" xfId="16267" xr:uid="{0DE5D303-AA00-47F0-A3A7-7EBF4C0B2D76}"/>
    <cellStyle name="Normal 8 2 3 5 2 3" xfId="12049" xr:uid="{8A6D449F-F8D7-448D-98AA-468C90509650}"/>
    <cellStyle name="Normal 8 2 3 5 3" xfId="5680" xr:uid="{00000000-0005-0000-0000-0000D71C0000}"/>
    <cellStyle name="Normal 8 2 3 5 3 2" xfId="14122" xr:uid="{60E4CBA3-78F1-40E7-AFF5-719E7EBBF64D}"/>
    <cellStyle name="Normal 8 2 3 5 4" xfId="9904" xr:uid="{6A543857-FB75-4F75-9169-16191613FCBB}"/>
    <cellStyle name="Normal 8 2 3 6" xfId="1785" xr:uid="{00000000-0005-0000-0000-0000D81C0000}"/>
    <cellStyle name="Normal 8 2 3 6 2" xfId="4015" xr:uid="{00000000-0005-0000-0000-0000D91C0000}"/>
    <cellStyle name="Normal 8 2 3 6 2 2" xfId="8238" xr:uid="{00000000-0005-0000-0000-0000DA1C0000}"/>
    <cellStyle name="Normal 8 2 3 6 2 2 2" xfId="16680" xr:uid="{0FD258F4-F3BB-456D-BED6-A740F6D9ACA5}"/>
    <cellStyle name="Normal 8 2 3 6 2 3" xfId="12462" xr:uid="{0BCA10E2-CEA8-446A-AA78-BC1A6CE339A0}"/>
    <cellStyle name="Normal 8 2 3 6 3" xfId="6093" xr:uid="{00000000-0005-0000-0000-0000DB1C0000}"/>
    <cellStyle name="Normal 8 2 3 6 3 2" xfId="14535" xr:uid="{EE9CF16B-4312-40F0-A447-E781D99B7ACD}"/>
    <cellStyle name="Normal 8 2 3 6 4" xfId="10317" xr:uid="{4AA907AF-43B7-468D-A23D-5A0C55B4B366}"/>
    <cellStyle name="Normal 8 2 3 7" xfId="2199" xr:uid="{00000000-0005-0000-0000-0000DC1C0000}"/>
    <cellStyle name="Normal 8 2 3 7 2" xfId="4428" xr:uid="{00000000-0005-0000-0000-0000DD1C0000}"/>
    <cellStyle name="Normal 8 2 3 7 2 2" xfId="8651" xr:uid="{00000000-0005-0000-0000-0000DE1C0000}"/>
    <cellStyle name="Normal 8 2 3 7 2 2 2" xfId="17093" xr:uid="{182501E3-D4CC-4ABD-9A60-66CE5132965F}"/>
    <cellStyle name="Normal 8 2 3 7 2 3" xfId="12875" xr:uid="{3A98457F-3572-43B7-B4EC-3DCB96DA9D35}"/>
    <cellStyle name="Normal 8 2 3 7 3" xfId="6506" xr:uid="{00000000-0005-0000-0000-0000DF1C0000}"/>
    <cellStyle name="Normal 8 2 3 7 3 2" xfId="14948" xr:uid="{1AC9E8FF-88A7-499B-B232-F99882003A10}"/>
    <cellStyle name="Normal 8 2 3 7 4" xfId="10730" xr:uid="{B5928B00-6155-4605-8869-B520B5205D80}"/>
    <cellStyle name="Normal 8 2 3 8" xfId="2635" xr:uid="{00000000-0005-0000-0000-0000E01C0000}"/>
    <cellStyle name="Normal 8 2 3 8 2" xfId="6919" xr:uid="{00000000-0005-0000-0000-0000E11C0000}"/>
    <cellStyle name="Normal 8 2 3 8 2 2" xfId="15361" xr:uid="{EC66B1AA-D89B-4454-BAB4-8EC70EDA7EE7}"/>
    <cellStyle name="Normal 8 2 3 8 3" xfId="11143" xr:uid="{7D9F1E2A-2AA9-49B5-8244-8D076C68A256}"/>
    <cellStyle name="Normal 8 2 3 9" xfId="4854" xr:uid="{00000000-0005-0000-0000-0000E21C0000}"/>
    <cellStyle name="Normal 8 2 3 9 2" xfId="13296" xr:uid="{D286F82B-2D27-4BF0-A6D6-564C8D46DD31}"/>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2 2 2" xfId="15859" xr:uid="{4E2351F0-2E7A-4546-BF61-F43E15DF2414}"/>
    <cellStyle name="Normal 8 2 4 2 2 2 3" xfId="11641" xr:uid="{511C2536-E859-4C31-A429-7582CD24A05C}"/>
    <cellStyle name="Normal 8 2 4 2 2 3" xfId="5272" xr:uid="{00000000-0005-0000-0000-0000E81C0000}"/>
    <cellStyle name="Normal 8 2 4 2 2 3 2" xfId="13714" xr:uid="{AE5C419D-D347-42FE-B667-FBD65C789C74}"/>
    <cellStyle name="Normal 8 2 4 2 2 4" xfId="9496" xr:uid="{D2CBDA64-E750-4849-9031-8E89F462D1D6}"/>
    <cellStyle name="Normal 8 2 4 2 3" xfId="1377" xr:uid="{00000000-0005-0000-0000-0000E91C0000}"/>
    <cellStyle name="Normal 8 2 4 2 3 2" xfId="3607" xr:uid="{00000000-0005-0000-0000-0000EA1C0000}"/>
    <cellStyle name="Normal 8 2 4 2 3 2 2" xfId="7830" xr:uid="{00000000-0005-0000-0000-0000EB1C0000}"/>
    <cellStyle name="Normal 8 2 4 2 3 2 2 2" xfId="16272" xr:uid="{BF97783F-53A4-4E3A-BAFC-DB36ADCCBBCC}"/>
    <cellStyle name="Normal 8 2 4 2 3 2 3" xfId="12054" xr:uid="{5A7A2E71-8478-4AC1-81C9-0C842E4B573B}"/>
    <cellStyle name="Normal 8 2 4 2 3 3" xfId="5685" xr:uid="{00000000-0005-0000-0000-0000EC1C0000}"/>
    <cellStyle name="Normal 8 2 4 2 3 3 2" xfId="14127" xr:uid="{36B81A83-2740-4CF6-A3CD-504C1DBEFACA}"/>
    <cellStyle name="Normal 8 2 4 2 3 4" xfId="9909" xr:uid="{C8C53C07-C814-4315-BA83-10085672B9BA}"/>
    <cellStyle name="Normal 8 2 4 2 4" xfId="1790" xr:uid="{00000000-0005-0000-0000-0000ED1C0000}"/>
    <cellStyle name="Normal 8 2 4 2 4 2" xfId="4020" xr:uid="{00000000-0005-0000-0000-0000EE1C0000}"/>
    <cellStyle name="Normal 8 2 4 2 4 2 2" xfId="8243" xr:uid="{00000000-0005-0000-0000-0000EF1C0000}"/>
    <cellStyle name="Normal 8 2 4 2 4 2 2 2" xfId="16685" xr:uid="{F3458861-AB9E-4251-A323-30F1BE9B1478}"/>
    <cellStyle name="Normal 8 2 4 2 4 2 3" xfId="12467" xr:uid="{12AEA801-2F9F-4F06-AEA3-146D8AD78769}"/>
    <cellStyle name="Normal 8 2 4 2 4 3" xfId="6098" xr:uid="{00000000-0005-0000-0000-0000F01C0000}"/>
    <cellStyle name="Normal 8 2 4 2 4 3 2" xfId="14540" xr:uid="{1A58569A-FF37-43E6-A6C3-8C7237EE71D5}"/>
    <cellStyle name="Normal 8 2 4 2 4 4" xfId="10322" xr:uid="{C5AC7DC1-84B5-4833-AC74-73CE91F46826}"/>
    <cellStyle name="Normal 8 2 4 2 5" xfId="2204" xr:uid="{00000000-0005-0000-0000-0000F11C0000}"/>
    <cellStyle name="Normal 8 2 4 2 5 2" xfId="4433" xr:uid="{00000000-0005-0000-0000-0000F21C0000}"/>
    <cellStyle name="Normal 8 2 4 2 5 2 2" xfId="8656" xr:uid="{00000000-0005-0000-0000-0000F31C0000}"/>
    <cellStyle name="Normal 8 2 4 2 5 2 2 2" xfId="17098" xr:uid="{ABB13A32-E8CA-4056-AC6D-E0560445FAEF}"/>
    <cellStyle name="Normal 8 2 4 2 5 2 3" xfId="12880" xr:uid="{3182DE55-61E7-4A6F-9DD2-C9271C28F2DF}"/>
    <cellStyle name="Normal 8 2 4 2 5 3" xfId="6511" xr:uid="{00000000-0005-0000-0000-0000F41C0000}"/>
    <cellStyle name="Normal 8 2 4 2 5 3 2" xfId="14953" xr:uid="{94E598A3-AB9C-411E-AE28-DA36E363E0E2}"/>
    <cellStyle name="Normal 8 2 4 2 5 4" xfId="10735" xr:uid="{B0B9188A-73AB-47FA-9107-D8311FEEB57E}"/>
    <cellStyle name="Normal 8 2 4 2 6" xfId="2640" xr:uid="{00000000-0005-0000-0000-0000F51C0000}"/>
    <cellStyle name="Normal 8 2 4 2 6 2" xfId="6924" xr:uid="{00000000-0005-0000-0000-0000F61C0000}"/>
    <cellStyle name="Normal 8 2 4 2 6 2 2" xfId="15366" xr:uid="{43182450-C5E1-4431-B140-AE7B3A767746}"/>
    <cellStyle name="Normal 8 2 4 2 6 3" xfId="11148" xr:uid="{2DBE366D-1A60-47F2-917B-BC164ADE3BB9}"/>
    <cellStyle name="Normal 8 2 4 2 7" xfId="4859" xr:uid="{00000000-0005-0000-0000-0000F71C0000}"/>
    <cellStyle name="Normal 8 2 4 2 7 2" xfId="13301" xr:uid="{3D4A63C3-C1CE-4FDD-9A7B-B3B8B79964FE}"/>
    <cellStyle name="Normal 8 2 4 2 8" xfId="9083" xr:uid="{73AB0FDC-5EC0-4FD2-94FF-3623BEF5C56F}"/>
    <cellStyle name="Normal 8 2 4 3" xfId="959" xr:uid="{00000000-0005-0000-0000-0000F81C0000}"/>
    <cellStyle name="Normal 8 2 4 3 2" xfId="3193" xr:uid="{00000000-0005-0000-0000-0000F91C0000}"/>
    <cellStyle name="Normal 8 2 4 3 2 2" xfId="7416" xr:uid="{00000000-0005-0000-0000-0000FA1C0000}"/>
    <cellStyle name="Normal 8 2 4 3 2 2 2" xfId="15858" xr:uid="{FF71B698-C3D7-4E84-A080-98631A618C68}"/>
    <cellStyle name="Normal 8 2 4 3 2 3" xfId="11640" xr:uid="{3DD65E59-36D8-41E2-A8E7-B61BEA320199}"/>
    <cellStyle name="Normal 8 2 4 3 3" xfId="5271" xr:uid="{00000000-0005-0000-0000-0000FB1C0000}"/>
    <cellStyle name="Normal 8 2 4 3 3 2" xfId="13713" xr:uid="{8B469391-F14B-4374-A1DF-503754DCE516}"/>
    <cellStyle name="Normal 8 2 4 3 4" xfId="9495" xr:uid="{503F5505-9038-4471-9876-F526C27FF688}"/>
    <cellStyle name="Normal 8 2 4 4" xfId="1376" xr:uid="{00000000-0005-0000-0000-0000FC1C0000}"/>
    <cellStyle name="Normal 8 2 4 4 2" xfId="3606" xr:uid="{00000000-0005-0000-0000-0000FD1C0000}"/>
    <cellStyle name="Normal 8 2 4 4 2 2" xfId="7829" xr:uid="{00000000-0005-0000-0000-0000FE1C0000}"/>
    <cellStyle name="Normal 8 2 4 4 2 2 2" xfId="16271" xr:uid="{E9945FE6-02A0-4B31-A7A0-0B765B88BAC6}"/>
    <cellStyle name="Normal 8 2 4 4 2 3" xfId="12053" xr:uid="{919EAEDB-A7FF-4C6F-967E-884E69D0E588}"/>
    <cellStyle name="Normal 8 2 4 4 3" xfId="5684" xr:uid="{00000000-0005-0000-0000-0000FF1C0000}"/>
    <cellStyle name="Normal 8 2 4 4 3 2" xfId="14126" xr:uid="{DEA31D0C-08E6-419C-9A92-BB1724FE90F2}"/>
    <cellStyle name="Normal 8 2 4 4 4" xfId="9908" xr:uid="{6EE9171B-92DF-4D97-8094-2A28EAC55066}"/>
    <cellStyle name="Normal 8 2 4 5" xfId="1789" xr:uid="{00000000-0005-0000-0000-0000001D0000}"/>
    <cellStyle name="Normal 8 2 4 5 2" xfId="4019" xr:uid="{00000000-0005-0000-0000-0000011D0000}"/>
    <cellStyle name="Normal 8 2 4 5 2 2" xfId="8242" xr:uid="{00000000-0005-0000-0000-0000021D0000}"/>
    <cellStyle name="Normal 8 2 4 5 2 2 2" xfId="16684" xr:uid="{6D784F0F-8F75-4AAA-B07A-B1E22D9144C4}"/>
    <cellStyle name="Normal 8 2 4 5 2 3" xfId="12466" xr:uid="{C7F25DB3-8D80-46CF-B6A6-451FED99BABA}"/>
    <cellStyle name="Normal 8 2 4 5 3" xfId="6097" xr:uid="{00000000-0005-0000-0000-0000031D0000}"/>
    <cellStyle name="Normal 8 2 4 5 3 2" xfId="14539" xr:uid="{3D8AF2B5-4CE2-4074-9164-2D46C01381B9}"/>
    <cellStyle name="Normal 8 2 4 5 4" xfId="10321" xr:uid="{CBC961CD-0217-49C8-87E8-AF03E946563B}"/>
    <cellStyle name="Normal 8 2 4 6" xfId="2203" xr:uid="{00000000-0005-0000-0000-0000041D0000}"/>
    <cellStyle name="Normal 8 2 4 6 2" xfId="4432" xr:uid="{00000000-0005-0000-0000-0000051D0000}"/>
    <cellStyle name="Normal 8 2 4 6 2 2" xfId="8655" xr:uid="{00000000-0005-0000-0000-0000061D0000}"/>
    <cellStyle name="Normal 8 2 4 6 2 2 2" xfId="17097" xr:uid="{FEBBBF79-0B71-40D6-9DC7-96F21CC5CE68}"/>
    <cellStyle name="Normal 8 2 4 6 2 3" xfId="12879" xr:uid="{16CD89C0-A7DA-455C-87FB-61BACAF2128D}"/>
    <cellStyle name="Normal 8 2 4 6 3" xfId="6510" xr:uid="{00000000-0005-0000-0000-0000071D0000}"/>
    <cellStyle name="Normal 8 2 4 6 3 2" xfId="14952" xr:uid="{0B2FBAB7-FAA3-4C02-A5A6-5967B30CE497}"/>
    <cellStyle name="Normal 8 2 4 6 4" xfId="10734" xr:uid="{0D98CB20-0D8B-4B49-9B44-F84209920D03}"/>
    <cellStyle name="Normal 8 2 4 7" xfId="2639" xr:uid="{00000000-0005-0000-0000-0000081D0000}"/>
    <cellStyle name="Normal 8 2 4 7 2" xfId="6923" xr:uid="{00000000-0005-0000-0000-0000091D0000}"/>
    <cellStyle name="Normal 8 2 4 7 2 2" xfId="15365" xr:uid="{62C1E244-B25A-4598-B1C5-B42D7670D0C6}"/>
    <cellStyle name="Normal 8 2 4 7 3" xfId="11147" xr:uid="{2C7B2076-C108-4C7D-9596-1E8F15F9C81F}"/>
    <cellStyle name="Normal 8 2 4 8" xfId="4858" xr:uid="{00000000-0005-0000-0000-00000A1D0000}"/>
    <cellStyle name="Normal 8 2 4 8 2" xfId="13300" xr:uid="{4075BB6E-421B-4888-A4FB-84A96F2E16DF}"/>
    <cellStyle name="Normal 8 2 4 9" xfId="9082" xr:uid="{A97B1EAF-18F5-4AB9-8FBC-7AE87514F003}"/>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2 2 2" xfId="15860" xr:uid="{D34FA555-83D7-42A5-A471-A4596AF71DBA}"/>
    <cellStyle name="Normal 8 2 5 2 2 3" xfId="11642" xr:uid="{71175AF9-9BEA-4D61-B2D1-C7E68B2A3C9E}"/>
    <cellStyle name="Normal 8 2 5 2 3" xfId="5273" xr:uid="{00000000-0005-0000-0000-00000F1D0000}"/>
    <cellStyle name="Normal 8 2 5 2 3 2" xfId="13715" xr:uid="{10D704AA-B1E3-4D64-B183-69739CF01E52}"/>
    <cellStyle name="Normal 8 2 5 2 4" xfId="9497" xr:uid="{5F43E3A9-A019-4FB8-9A9F-68EB9E092012}"/>
    <cellStyle name="Normal 8 2 5 3" xfId="1378" xr:uid="{00000000-0005-0000-0000-0000101D0000}"/>
    <cellStyle name="Normal 8 2 5 3 2" xfId="3608" xr:uid="{00000000-0005-0000-0000-0000111D0000}"/>
    <cellStyle name="Normal 8 2 5 3 2 2" xfId="7831" xr:uid="{00000000-0005-0000-0000-0000121D0000}"/>
    <cellStyle name="Normal 8 2 5 3 2 2 2" xfId="16273" xr:uid="{D070B03F-ADCF-490D-8800-287F0A7DE5FC}"/>
    <cellStyle name="Normal 8 2 5 3 2 3" xfId="12055" xr:uid="{9ED350C7-3178-4AC8-BA71-F2B5E7CFD361}"/>
    <cellStyle name="Normal 8 2 5 3 3" xfId="5686" xr:uid="{00000000-0005-0000-0000-0000131D0000}"/>
    <cellStyle name="Normal 8 2 5 3 3 2" xfId="14128" xr:uid="{79F4C3BD-8124-4D7F-A246-75F903E0A770}"/>
    <cellStyle name="Normal 8 2 5 3 4" xfId="9910" xr:uid="{C8C4D6E5-0790-4512-BB41-70FF6727F78B}"/>
    <cellStyle name="Normal 8 2 5 4" xfId="1791" xr:uid="{00000000-0005-0000-0000-0000141D0000}"/>
    <cellStyle name="Normal 8 2 5 4 2" xfId="4021" xr:uid="{00000000-0005-0000-0000-0000151D0000}"/>
    <cellStyle name="Normal 8 2 5 4 2 2" xfId="8244" xr:uid="{00000000-0005-0000-0000-0000161D0000}"/>
    <cellStyle name="Normal 8 2 5 4 2 2 2" xfId="16686" xr:uid="{341E30A1-F8B0-468F-8A87-B6AD28775661}"/>
    <cellStyle name="Normal 8 2 5 4 2 3" xfId="12468" xr:uid="{5FF16AD5-FD67-48D1-B905-9433E30D0D7F}"/>
    <cellStyle name="Normal 8 2 5 4 3" xfId="6099" xr:uid="{00000000-0005-0000-0000-0000171D0000}"/>
    <cellStyle name="Normal 8 2 5 4 3 2" xfId="14541" xr:uid="{4E62E891-1E36-49EA-AEC6-4EC1E6953C50}"/>
    <cellStyle name="Normal 8 2 5 4 4" xfId="10323" xr:uid="{66F7B9E2-2ACA-4B6B-9DAF-D64ECDF77BA7}"/>
    <cellStyle name="Normal 8 2 5 5" xfId="2205" xr:uid="{00000000-0005-0000-0000-0000181D0000}"/>
    <cellStyle name="Normal 8 2 5 5 2" xfId="4434" xr:uid="{00000000-0005-0000-0000-0000191D0000}"/>
    <cellStyle name="Normal 8 2 5 5 2 2" xfId="8657" xr:uid="{00000000-0005-0000-0000-00001A1D0000}"/>
    <cellStyle name="Normal 8 2 5 5 2 2 2" xfId="17099" xr:uid="{E4DF8E4F-ED5D-469F-842E-5347D03524D2}"/>
    <cellStyle name="Normal 8 2 5 5 2 3" xfId="12881" xr:uid="{EA4F2196-91EA-4CCA-985C-73ED9E5ABE84}"/>
    <cellStyle name="Normal 8 2 5 5 3" xfId="6512" xr:uid="{00000000-0005-0000-0000-00001B1D0000}"/>
    <cellStyle name="Normal 8 2 5 5 3 2" xfId="14954" xr:uid="{36EF0F03-E7DF-481F-9637-148468D779BD}"/>
    <cellStyle name="Normal 8 2 5 5 4" xfId="10736" xr:uid="{91CA1979-2F55-4141-B9CB-8615B50389D3}"/>
    <cellStyle name="Normal 8 2 5 6" xfId="2641" xr:uid="{00000000-0005-0000-0000-00001C1D0000}"/>
    <cellStyle name="Normal 8 2 5 6 2" xfId="6925" xr:uid="{00000000-0005-0000-0000-00001D1D0000}"/>
    <cellStyle name="Normal 8 2 5 6 2 2" xfId="15367" xr:uid="{7C69B5EB-3F6E-441E-B8CD-163E80D0575B}"/>
    <cellStyle name="Normal 8 2 5 6 3" xfId="11149" xr:uid="{21CEB540-8273-4E09-B2DE-00D8761F0598}"/>
    <cellStyle name="Normal 8 2 5 7" xfId="4860" xr:uid="{00000000-0005-0000-0000-00001E1D0000}"/>
    <cellStyle name="Normal 8 2 5 7 2" xfId="13302" xr:uid="{6690D4F3-76B3-4CF3-BD74-6FFD96B2F130}"/>
    <cellStyle name="Normal 8 2 5 8" xfId="9084" xr:uid="{3A03009C-3B10-42D3-9F70-ED6D6A17D9F8}"/>
    <cellStyle name="Normal 8 2 6" xfId="946" xr:uid="{00000000-0005-0000-0000-00001F1D0000}"/>
    <cellStyle name="Normal 8 2 6 2" xfId="3180" xr:uid="{00000000-0005-0000-0000-0000201D0000}"/>
    <cellStyle name="Normal 8 2 6 2 2" xfId="7403" xr:uid="{00000000-0005-0000-0000-0000211D0000}"/>
    <cellStyle name="Normal 8 2 6 2 2 2" xfId="15845" xr:uid="{32F9A3B1-0014-4A43-A708-F81A770C6CFB}"/>
    <cellStyle name="Normal 8 2 6 2 3" xfId="11627" xr:uid="{7EC3AC09-365C-4A82-B72E-93C85EE75B2F}"/>
    <cellStyle name="Normal 8 2 6 3" xfId="5258" xr:uid="{00000000-0005-0000-0000-0000221D0000}"/>
    <cellStyle name="Normal 8 2 6 3 2" xfId="13700" xr:uid="{7DD2A341-0B02-4292-908A-3D046E485CDD}"/>
    <cellStyle name="Normal 8 2 6 4" xfId="9482" xr:uid="{5C90C333-AB2B-4746-B923-548CC57C2CDD}"/>
    <cellStyle name="Normal 8 2 7" xfId="1363" xr:uid="{00000000-0005-0000-0000-0000231D0000}"/>
    <cellStyle name="Normal 8 2 7 2" xfId="3593" xr:uid="{00000000-0005-0000-0000-0000241D0000}"/>
    <cellStyle name="Normal 8 2 7 2 2" xfId="7816" xr:uid="{00000000-0005-0000-0000-0000251D0000}"/>
    <cellStyle name="Normal 8 2 7 2 2 2" xfId="16258" xr:uid="{4572B36F-3602-4982-8E9E-1BC6A1BEFDCD}"/>
    <cellStyle name="Normal 8 2 7 2 3" xfId="12040" xr:uid="{B77C4D66-C4C0-48FC-ACC3-5A3F3AE0E54E}"/>
    <cellStyle name="Normal 8 2 7 3" xfId="5671" xr:uid="{00000000-0005-0000-0000-0000261D0000}"/>
    <cellStyle name="Normal 8 2 7 3 2" xfId="14113" xr:uid="{B99B3FDD-273B-4008-ADF2-8DBDFD0B0EA4}"/>
    <cellStyle name="Normal 8 2 7 4" xfId="9895" xr:uid="{8C902170-558F-4802-9710-41720D1CED7B}"/>
    <cellStyle name="Normal 8 2 8" xfId="1776" xr:uid="{00000000-0005-0000-0000-0000271D0000}"/>
    <cellStyle name="Normal 8 2 8 2" xfId="4006" xr:uid="{00000000-0005-0000-0000-0000281D0000}"/>
    <cellStyle name="Normal 8 2 8 2 2" xfId="8229" xr:uid="{00000000-0005-0000-0000-0000291D0000}"/>
    <cellStyle name="Normal 8 2 8 2 2 2" xfId="16671" xr:uid="{12839CF0-75FC-4F50-98C8-8F2CEE313FB1}"/>
    <cellStyle name="Normal 8 2 8 2 3" xfId="12453" xr:uid="{A707136B-3837-4D25-934A-2BB3757E86E2}"/>
    <cellStyle name="Normal 8 2 8 3" xfId="6084" xr:uid="{00000000-0005-0000-0000-00002A1D0000}"/>
    <cellStyle name="Normal 8 2 8 3 2" xfId="14526" xr:uid="{B82B9299-B983-465B-A793-93EAF4642084}"/>
    <cellStyle name="Normal 8 2 8 4" xfId="10308" xr:uid="{05EA25CD-FFD8-473C-B0FA-9742604F3678}"/>
    <cellStyle name="Normal 8 2 9" xfId="2190" xr:uid="{00000000-0005-0000-0000-00002B1D0000}"/>
    <cellStyle name="Normal 8 2 9 2" xfId="4419" xr:uid="{00000000-0005-0000-0000-00002C1D0000}"/>
    <cellStyle name="Normal 8 2 9 2 2" xfId="8642" xr:uid="{00000000-0005-0000-0000-00002D1D0000}"/>
    <cellStyle name="Normal 8 2 9 2 2 2" xfId="17084" xr:uid="{DC80525D-B1C7-4906-A846-7A64DAD94977}"/>
    <cellStyle name="Normal 8 2 9 2 3" xfId="12866" xr:uid="{DB6B3288-805D-4B6E-9797-5A01A41A6947}"/>
    <cellStyle name="Normal 8 2 9 3" xfId="6497" xr:uid="{00000000-0005-0000-0000-00002E1D0000}"/>
    <cellStyle name="Normal 8 2 9 3 2" xfId="14939" xr:uid="{4D98F26D-2B4B-4465-90E0-7F35C015473D}"/>
    <cellStyle name="Normal 8 2 9 4" xfId="10721" xr:uid="{2256F635-830C-43D4-87E8-E9BCA63367F9}"/>
    <cellStyle name="Normal 8 3" xfId="495" xr:uid="{00000000-0005-0000-0000-00002F1D0000}"/>
    <cellStyle name="Normal 8 3 10" xfId="4861" xr:uid="{00000000-0005-0000-0000-0000301D0000}"/>
    <cellStyle name="Normal 8 3 10 2" xfId="13303" xr:uid="{B69FFCFB-2097-4453-8BD2-12930550F2F3}"/>
    <cellStyle name="Normal 8 3 11" xfId="9085" xr:uid="{CC33B220-197B-4E3C-A1F0-B57506DDC553}"/>
    <cellStyle name="Normal 8 3 2" xfId="496" xr:uid="{00000000-0005-0000-0000-0000311D0000}"/>
    <cellStyle name="Normal 8 3 2 10" xfId="9086" xr:uid="{EFF1454D-0537-446E-8D2E-678D21E85916}"/>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2 2 2" xfId="15864" xr:uid="{94B034E0-B90F-4E9A-8E34-43DD923EA475}"/>
    <cellStyle name="Normal 8 3 2 2 2 2 2 3" xfId="11646" xr:uid="{3AAB630A-B5F9-4ACB-98FF-53B2B1BF7037}"/>
    <cellStyle name="Normal 8 3 2 2 2 2 3" xfId="5277" xr:uid="{00000000-0005-0000-0000-0000371D0000}"/>
    <cellStyle name="Normal 8 3 2 2 2 2 3 2" xfId="13719" xr:uid="{6A7DCF7B-0204-4050-AC93-484ED44E1643}"/>
    <cellStyle name="Normal 8 3 2 2 2 2 4" xfId="9501" xr:uid="{B86C75E8-6EAD-46EF-90A5-2BF8FF809044}"/>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2 2 2" xfId="16277" xr:uid="{9406AFD6-6278-4D4E-A5B5-B583E71C0EB7}"/>
    <cellStyle name="Normal 8 3 2 2 2 3 2 3" xfId="12059" xr:uid="{A95E63EA-06EB-4D90-8F22-89872D930274}"/>
    <cellStyle name="Normal 8 3 2 2 2 3 3" xfId="5690" xr:uid="{00000000-0005-0000-0000-00003B1D0000}"/>
    <cellStyle name="Normal 8 3 2 2 2 3 3 2" xfId="14132" xr:uid="{734AF2A7-B445-4A95-8FB1-F45EFF071404}"/>
    <cellStyle name="Normal 8 3 2 2 2 3 4" xfId="9914" xr:uid="{95CB3BB5-AB05-4E33-9E1F-D73903632B7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2 2 2" xfId="16690" xr:uid="{87355CF2-9F6E-4730-87A7-B616F5B6BAE5}"/>
    <cellStyle name="Normal 8 3 2 2 2 4 2 3" xfId="12472" xr:uid="{EED5B80D-AB0B-4532-8D14-7A34C3980C89}"/>
    <cellStyle name="Normal 8 3 2 2 2 4 3" xfId="6103" xr:uid="{00000000-0005-0000-0000-00003F1D0000}"/>
    <cellStyle name="Normal 8 3 2 2 2 4 3 2" xfId="14545" xr:uid="{68FFA111-0A9E-4458-B8AA-ED93D2F58049}"/>
    <cellStyle name="Normal 8 3 2 2 2 4 4" xfId="10327" xr:uid="{4B4A464D-E600-4B98-9E45-A9C36080C614}"/>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2 2 2" xfId="17103" xr:uid="{9F8F118E-351E-4331-9AA9-EAB438365196}"/>
    <cellStyle name="Normal 8 3 2 2 2 5 2 3" xfId="12885" xr:uid="{607DAADC-BE00-4415-A6A3-DF71AC111507}"/>
    <cellStyle name="Normal 8 3 2 2 2 5 3" xfId="6516" xr:uid="{00000000-0005-0000-0000-0000431D0000}"/>
    <cellStyle name="Normal 8 3 2 2 2 5 3 2" xfId="14958" xr:uid="{F1CA4DDC-CCDB-4ECD-BB71-6C54466E943F}"/>
    <cellStyle name="Normal 8 3 2 2 2 5 4" xfId="10740" xr:uid="{D205BD14-D772-4C02-B0F4-5C3269BA3F21}"/>
    <cellStyle name="Normal 8 3 2 2 2 6" xfId="2645" xr:uid="{00000000-0005-0000-0000-0000441D0000}"/>
    <cellStyle name="Normal 8 3 2 2 2 6 2" xfId="6929" xr:uid="{00000000-0005-0000-0000-0000451D0000}"/>
    <cellStyle name="Normal 8 3 2 2 2 6 2 2" xfId="15371" xr:uid="{CF20C759-FC76-4DDD-B633-13DC35DBC8BB}"/>
    <cellStyle name="Normal 8 3 2 2 2 6 3" xfId="11153" xr:uid="{5529E4FF-C30C-46D3-808F-37B8D0B15062}"/>
    <cellStyle name="Normal 8 3 2 2 2 7" xfId="4864" xr:uid="{00000000-0005-0000-0000-0000461D0000}"/>
    <cellStyle name="Normal 8 3 2 2 2 7 2" xfId="13306" xr:uid="{3857429D-87F3-49DD-A8F9-E81BC79208F3}"/>
    <cellStyle name="Normal 8 3 2 2 2 8" xfId="9088" xr:uid="{33ADA4DE-D89A-4FBD-B144-08D51F6462FF}"/>
    <cellStyle name="Normal 8 3 2 2 3" xfId="964" xr:uid="{00000000-0005-0000-0000-0000471D0000}"/>
    <cellStyle name="Normal 8 3 2 2 3 2" xfId="3198" xr:uid="{00000000-0005-0000-0000-0000481D0000}"/>
    <cellStyle name="Normal 8 3 2 2 3 2 2" xfId="7421" xr:uid="{00000000-0005-0000-0000-0000491D0000}"/>
    <cellStyle name="Normal 8 3 2 2 3 2 2 2" xfId="15863" xr:uid="{7CA2180B-E241-433A-AAC5-6A7FD20E2440}"/>
    <cellStyle name="Normal 8 3 2 2 3 2 3" xfId="11645" xr:uid="{1283260C-F717-4248-87E2-0DDA46D53056}"/>
    <cellStyle name="Normal 8 3 2 2 3 3" xfId="5276" xr:uid="{00000000-0005-0000-0000-00004A1D0000}"/>
    <cellStyle name="Normal 8 3 2 2 3 3 2" xfId="13718" xr:uid="{F83EA312-A760-4E92-A19A-45D39EA124F9}"/>
    <cellStyle name="Normal 8 3 2 2 3 4" xfId="9500" xr:uid="{D009E5B2-BC34-4B28-90C3-56DBCEE3A693}"/>
    <cellStyle name="Normal 8 3 2 2 4" xfId="1381" xr:uid="{00000000-0005-0000-0000-00004B1D0000}"/>
    <cellStyle name="Normal 8 3 2 2 4 2" xfId="3611" xr:uid="{00000000-0005-0000-0000-00004C1D0000}"/>
    <cellStyle name="Normal 8 3 2 2 4 2 2" xfId="7834" xr:uid="{00000000-0005-0000-0000-00004D1D0000}"/>
    <cellStyle name="Normal 8 3 2 2 4 2 2 2" xfId="16276" xr:uid="{983935DE-F9D1-41E8-B5BD-597B91104F13}"/>
    <cellStyle name="Normal 8 3 2 2 4 2 3" xfId="12058" xr:uid="{CCA32BB6-9881-4383-AF9C-8D317C1A003A}"/>
    <cellStyle name="Normal 8 3 2 2 4 3" xfId="5689" xr:uid="{00000000-0005-0000-0000-00004E1D0000}"/>
    <cellStyle name="Normal 8 3 2 2 4 3 2" xfId="14131" xr:uid="{B10CF930-C0E5-4C27-8A52-B816917AD653}"/>
    <cellStyle name="Normal 8 3 2 2 4 4" xfId="9913" xr:uid="{5DAE9561-0715-4A64-857E-03C59AAE4B5D}"/>
    <cellStyle name="Normal 8 3 2 2 5" xfId="1794" xr:uid="{00000000-0005-0000-0000-00004F1D0000}"/>
    <cellStyle name="Normal 8 3 2 2 5 2" xfId="4024" xr:uid="{00000000-0005-0000-0000-0000501D0000}"/>
    <cellStyle name="Normal 8 3 2 2 5 2 2" xfId="8247" xr:uid="{00000000-0005-0000-0000-0000511D0000}"/>
    <cellStyle name="Normal 8 3 2 2 5 2 2 2" xfId="16689" xr:uid="{6512C73A-BDD5-447B-A598-9694BB87ED3F}"/>
    <cellStyle name="Normal 8 3 2 2 5 2 3" xfId="12471" xr:uid="{43F15D0E-7551-4CB6-9B25-87EFCE38B9E2}"/>
    <cellStyle name="Normal 8 3 2 2 5 3" xfId="6102" xr:uid="{00000000-0005-0000-0000-0000521D0000}"/>
    <cellStyle name="Normal 8 3 2 2 5 3 2" xfId="14544" xr:uid="{D1B48DD6-767A-4164-8E1B-2CD580689E62}"/>
    <cellStyle name="Normal 8 3 2 2 5 4" xfId="10326" xr:uid="{A7EC9674-BE8A-4A64-8F8E-F8C0BA982DFE}"/>
    <cellStyle name="Normal 8 3 2 2 6" xfId="2208" xr:uid="{00000000-0005-0000-0000-0000531D0000}"/>
    <cellStyle name="Normal 8 3 2 2 6 2" xfId="4437" xr:uid="{00000000-0005-0000-0000-0000541D0000}"/>
    <cellStyle name="Normal 8 3 2 2 6 2 2" xfId="8660" xr:uid="{00000000-0005-0000-0000-0000551D0000}"/>
    <cellStyle name="Normal 8 3 2 2 6 2 2 2" xfId="17102" xr:uid="{98F6AF0F-3CE1-49C0-BBAD-479283457E87}"/>
    <cellStyle name="Normal 8 3 2 2 6 2 3" xfId="12884" xr:uid="{05D77EA3-C017-4506-8F85-A9C0DD5A3722}"/>
    <cellStyle name="Normal 8 3 2 2 6 3" xfId="6515" xr:uid="{00000000-0005-0000-0000-0000561D0000}"/>
    <cellStyle name="Normal 8 3 2 2 6 3 2" xfId="14957" xr:uid="{C455B004-8C7A-498F-B4FB-4FDDB37A774F}"/>
    <cellStyle name="Normal 8 3 2 2 6 4" xfId="10739" xr:uid="{B3FE0D1B-5DB0-4131-9AA1-5F5B9A589E0B}"/>
    <cellStyle name="Normal 8 3 2 2 7" xfId="2644" xr:uid="{00000000-0005-0000-0000-0000571D0000}"/>
    <cellStyle name="Normal 8 3 2 2 7 2" xfId="6928" xr:uid="{00000000-0005-0000-0000-0000581D0000}"/>
    <cellStyle name="Normal 8 3 2 2 7 2 2" xfId="15370" xr:uid="{39044D50-8A21-4F9D-B11C-35AAB41365B5}"/>
    <cellStyle name="Normal 8 3 2 2 7 3" xfId="11152" xr:uid="{E40F5B44-7DA4-4F25-89ED-D94BCE48DE80}"/>
    <cellStyle name="Normal 8 3 2 2 8" xfId="4863" xr:uid="{00000000-0005-0000-0000-0000591D0000}"/>
    <cellStyle name="Normal 8 3 2 2 8 2" xfId="13305" xr:uid="{A1E82CB3-768F-4E2E-A7B5-DD55876E5EB0}"/>
    <cellStyle name="Normal 8 3 2 2 9" xfId="9087" xr:uid="{73398F97-C856-42D9-AA26-83AE0CD9C20C}"/>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2 2 2" xfId="15865" xr:uid="{269CD9DC-5613-41D0-BF91-36D89CF1A3B8}"/>
    <cellStyle name="Normal 8 3 2 3 2 2 3" xfId="11647" xr:uid="{ED1F416E-6886-4A21-BF51-F7F1E1974A95}"/>
    <cellStyle name="Normal 8 3 2 3 2 3" xfId="5278" xr:uid="{00000000-0005-0000-0000-00005E1D0000}"/>
    <cellStyle name="Normal 8 3 2 3 2 3 2" xfId="13720" xr:uid="{50C65368-6702-4112-9458-D2A04FD615F2}"/>
    <cellStyle name="Normal 8 3 2 3 2 4" xfId="9502" xr:uid="{65A17031-04EF-4D36-8774-1A1CF5C6F3BE}"/>
    <cellStyle name="Normal 8 3 2 3 3" xfId="1383" xr:uid="{00000000-0005-0000-0000-00005F1D0000}"/>
    <cellStyle name="Normal 8 3 2 3 3 2" xfId="3613" xr:uid="{00000000-0005-0000-0000-0000601D0000}"/>
    <cellStyle name="Normal 8 3 2 3 3 2 2" xfId="7836" xr:uid="{00000000-0005-0000-0000-0000611D0000}"/>
    <cellStyle name="Normal 8 3 2 3 3 2 2 2" xfId="16278" xr:uid="{899C1643-127C-4AE2-88D6-C653F42A7660}"/>
    <cellStyle name="Normal 8 3 2 3 3 2 3" xfId="12060" xr:uid="{D6F4E0DF-141F-4529-9A0F-9A3471F1A2CE}"/>
    <cellStyle name="Normal 8 3 2 3 3 3" xfId="5691" xr:uid="{00000000-0005-0000-0000-0000621D0000}"/>
    <cellStyle name="Normal 8 3 2 3 3 3 2" xfId="14133" xr:uid="{2BEEBF42-EDEC-4173-A342-674A60DCA768}"/>
    <cellStyle name="Normal 8 3 2 3 3 4" xfId="9915" xr:uid="{0E70BEEE-381A-4C0E-8F18-566E312B9717}"/>
    <cellStyle name="Normal 8 3 2 3 4" xfId="1796" xr:uid="{00000000-0005-0000-0000-0000631D0000}"/>
    <cellStyle name="Normal 8 3 2 3 4 2" xfId="4026" xr:uid="{00000000-0005-0000-0000-0000641D0000}"/>
    <cellStyle name="Normal 8 3 2 3 4 2 2" xfId="8249" xr:uid="{00000000-0005-0000-0000-0000651D0000}"/>
    <cellStyle name="Normal 8 3 2 3 4 2 2 2" xfId="16691" xr:uid="{26CF19FA-967A-430C-B703-E35B103B53A0}"/>
    <cellStyle name="Normal 8 3 2 3 4 2 3" xfId="12473" xr:uid="{C8E1E16B-D418-4CC1-9FBE-65693DE2C5B7}"/>
    <cellStyle name="Normal 8 3 2 3 4 3" xfId="6104" xr:uid="{00000000-0005-0000-0000-0000661D0000}"/>
    <cellStyle name="Normal 8 3 2 3 4 3 2" xfId="14546" xr:uid="{84ABF3F3-03AB-4857-A1BF-619EBDA63648}"/>
    <cellStyle name="Normal 8 3 2 3 4 4" xfId="10328" xr:uid="{5440F642-4231-4A5A-8260-523EF85F0D03}"/>
    <cellStyle name="Normal 8 3 2 3 5" xfId="2210" xr:uid="{00000000-0005-0000-0000-0000671D0000}"/>
    <cellStyle name="Normal 8 3 2 3 5 2" xfId="4439" xr:uid="{00000000-0005-0000-0000-0000681D0000}"/>
    <cellStyle name="Normal 8 3 2 3 5 2 2" xfId="8662" xr:uid="{00000000-0005-0000-0000-0000691D0000}"/>
    <cellStyle name="Normal 8 3 2 3 5 2 2 2" xfId="17104" xr:uid="{F9426F51-10C5-4356-8B95-6D08853E944E}"/>
    <cellStyle name="Normal 8 3 2 3 5 2 3" xfId="12886" xr:uid="{97CCA085-3FF6-4C50-8A62-78070DDE7C80}"/>
    <cellStyle name="Normal 8 3 2 3 5 3" xfId="6517" xr:uid="{00000000-0005-0000-0000-00006A1D0000}"/>
    <cellStyle name="Normal 8 3 2 3 5 3 2" xfId="14959" xr:uid="{9CD6A3D7-40EF-41DC-82CA-3C0EA848A4C2}"/>
    <cellStyle name="Normal 8 3 2 3 5 4" xfId="10741" xr:uid="{82404CDC-CD04-4261-A43B-8484C2423C80}"/>
    <cellStyle name="Normal 8 3 2 3 6" xfId="2646" xr:uid="{00000000-0005-0000-0000-00006B1D0000}"/>
    <cellStyle name="Normal 8 3 2 3 6 2" xfId="6930" xr:uid="{00000000-0005-0000-0000-00006C1D0000}"/>
    <cellStyle name="Normal 8 3 2 3 6 2 2" xfId="15372" xr:uid="{0B1690D7-705A-4581-B430-E69B4A7CF1D3}"/>
    <cellStyle name="Normal 8 3 2 3 6 3" xfId="11154" xr:uid="{221E5A4B-596D-4D30-9ECC-98CA0DCA7599}"/>
    <cellStyle name="Normal 8 3 2 3 7" xfId="4865" xr:uid="{00000000-0005-0000-0000-00006D1D0000}"/>
    <cellStyle name="Normal 8 3 2 3 7 2" xfId="13307" xr:uid="{302270C7-632B-41EA-BAFC-2F4C83F0023F}"/>
    <cellStyle name="Normal 8 3 2 3 8" xfId="9089" xr:uid="{06408FB4-36B3-4FE9-8F99-D155A0A90EF4}"/>
    <cellStyle name="Normal 8 3 2 4" xfId="963" xr:uid="{00000000-0005-0000-0000-00006E1D0000}"/>
    <cellStyle name="Normal 8 3 2 4 2" xfId="3197" xr:uid="{00000000-0005-0000-0000-00006F1D0000}"/>
    <cellStyle name="Normal 8 3 2 4 2 2" xfId="7420" xr:uid="{00000000-0005-0000-0000-0000701D0000}"/>
    <cellStyle name="Normal 8 3 2 4 2 2 2" xfId="15862" xr:uid="{58748220-82E9-40C6-AB4C-8ABCB23CA0EF}"/>
    <cellStyle name="Normal 8 3 2 4 2 3" xfId="11644" xr:uid="{04258D27-4650-428C-A5F5-B979D2865F20}"/>
    <cellStyle name="Normal 8 3 2 4 3" xfId="5275" xr:uid="{00000000-0005-0000-0000-0000711D0000}"/>
    <cellStyle name="Normal 8 3 2 4 3 2" xfId="13717" xr:uid="{4E0EF954-53C7-4B6A-BA82-2D8D8D497465}"/>
    <cellStyle name="Normal 8 3 2 4 4" xfId="9499" xr:uid="{7810A23C-29CC-43C5-AE32-152D7A468323}"/>
    <cellStyle name="Normal 8 3 2 5" xfId="1380" xr:uid="{00000000-0005-0000-0000-0000721D0000}"/>
    <cellStyle name="Normal 8 3 2 5 2" xfId="3610" xr:uid="{00000000-0005-0000-0000-0000731D0000}"/>
    <cellStyle name="Normal 8 3 2 5 2 2" xfId="7833" xr:uid="{00000000-0005-0000-0000-0000741D0000}"/>
    <cellStyle name="Normal 8 3 2 5 2 2 2" xfId="16275" xr:uid="{5A1BDEAB-A65E-4BBA-8D5A-74E617D78B27}"/>
    <cellStyle name="Normal 8 3 2 5 2 3" xfId="12057" xr:uid="{F4F30590-FE07-4120-9351-905432E7C56B}"/>
    <cellStyle name="Normal 8 3 2 5 3" xfId="5688" xr:uid="{00000000-0005-0000-0000-0000751D0000}"/>
    <cellStyle name="Normal 8 3 2 5 3 2" xfId="14130" xr:uid="{397C4F72-AE34-4E95-ACF5-3FD981A3222A}"/>
    <cellStyle name="Normal 8 3 2 5 4" xfId="9912" xr:uid="{E911C88A-0A4A-40DB-B377-59812A26AE0F}"/>
    <cellStyle name="Normal 8 3 2 6" xfId="1793" xr:uid="{00000000-0005-0000-0000-0000761D0000}"/>
    <cellStyle name="Normal 8 3 2 6 2" xfId="4023" xr:uid="{00000000-0005-0000-0000-0000771D0000}"/>
    <cellStyle name="Normal 8 3 2 6 2 2" xfId="8246" xr:uid="{00000000-0005-0000-0000-0000781D0000}"/>
    <cellStyle name="Normal 8 3 2 6 2 2 2" xfId="16688" xr:uid="{B0BED7BF-6B3C-4D72-BC8A-144C11B4827E}"/>
    <cellStyle name="Normal 8 3 2 6 2 3" xfId="12470" xr:uid="{F7FFB8A7-A176-4A96-AD1A-52878796445E}"/>
    <cellStyle name="Normal 8 3 2 6 3" xfId="6101" xr:uid="{00000000-0005-0000-0000-0000791D0000}"/>
    <cellStyle name="Normal 8 3 2 6 3 2" xfId="14543" xr:uid="{BC3EA6A4-85BB-4217-BEB5-B19695632F60}"/>
    <cellStyle name="Normal 8 3 2 6 4" xfId="10325" xr:uid="{7D9A0739-3C3A-4F3F-BA61-9CA35D21D9BB}"/>
    <cellStyle name="Normal 8 3 2 7" xfId="2207" xr:uid="{00000000-0005-0000-0000-00007A1D0000}"/>
    <cellStyle name="Normal 8 3 2 7 2" xfId="4436" xr:uid="{00000000-0005-0000-0000-00007B1D0000}"/>
    <cellStyle name="Normal 8 3 2 7 2 2" xfId="8659" xr:uid="{00000000-0005-0000-0000-00007C1D0000}"/>
    <cellStyle name="Normal 8 3 2 7 2 2 2" xfId="17101" xr:uid="{9C91665F-05B4-4310-B4D4-8072A6441D7C}"/>
    <cellStyle name="Normal 8 3 2 7 2 3" xfId="12883" xr:uid="{64CD2F86-F924-44E4-8862-691B8BEE38BE}"/>
    <cellStyle name="Normal 8 3 2 7 3" xfId="6514" xr:uid="{00000000-0005-0000-0000-00007D1D0000}"/>
    <cellStyle name="Normal 8 3 2 7 3 2" xfId="14956" xr:uid="{B2385923-2AB3-4EDE-8BEF-5621A01AE0AD}"/>
    <cellStyle name="Normal 8 3 2 7 4" xfId="10738" xr:uid="{19DD9009-030B-4471-A2CA-F5F915CBAEBC}"/>
    <cellStyle name="Normal 8 3 2 8" xfId="2643" xr:uid="{00000000-0005-0000-0000-00007E1D0000}"/>
    <cellStyle name="Normal 8 3 2 8 2" xfId="6927" xr:uid="{00000000-0005-0000-0000-00007F1D0000}"/>
    <cellStyle name="Normal 8 3 2 8 2 2" xfId="15369" xr:uid="{E6F7DAE8-DFBC-4238-89DB-7CB20A810F41}"/>
    <cellStyle name="Normal 8 3 2 8 3" xfId="11151" xr:uid="{AB9E9B46-9C65-4CB9-A773-34AA2E2B11C5}"/>
    <cellStyle name="Normal 8 3 2 9" xfId="4862" xr:uid="{00000000-0005-0000-0000-0000801D0000}"/>
    <cellStyle name="Normal 8 3 2 9 2" xfId="13304" xr:uid="{6E98A20D-B6F1-4782-9966-E19E4FC290CF}"/>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2 2 2" xfId="15867" xr:uid="{F3E75303-2F76-46A3-BAC3-3DF3BAA9908B}"/>
    <cellStyle name="Normal 8 3 3 2 2 2 3" xfId="11649" xr:uid="{35E7A7C0-0FEF-40B9-9F00-8A3D4669B96B}"/>
    <cellStyle name="Normal 8 3 3 2 2 3" xfId="5280" xr:uid="{00000000-0005-0000-0000-0000861D0000}"/>
    <cellStyle name="Normal 8 3 3 2 2 3 2" xfId="13722" xr:uid="{14E4702B-BDAC-46CE-8D53-13D8446F2977}"/>
    <cellStyle name="Normal 8 3 3 2 2 4" xfId="9504" xr:uid="{F0E5824E-1828-497E-9EE1-7B4DBBB23CDA}"/>
    <cellStyle name="Normal 8 3 3 2 3" xfId="1385" xr:uid="{00000000-0005-0000-0000-0000871D0000}"/>
    <cellStyle name="Normal 8 3 3 2 3 2" xfId="3615" xr:uid="{00000000-0005-0000-0000-0000881D0000}"/>
    <cellStyle name="Normal 8 3 3 2 3 2 2" xfId="7838" xr:uid="{00000000-0005-0000-0000-0000891D0000}"/>
    <cellStyle name="Normal 8 3 3 2 3 2 2 2" xfId="16280" xr:uid="{A976C417-B932-4201-8644-1827D985B3F7}"/>
    <cellStyle name="Normal 8 3 3 2 3 2 3" xfId="12062" xr:uid="{C571BBE5-F273-454C-BF89-8128CFBBFA40}"/>
    <cellStyle name="Normal 8 3 3 2 3 3" xfId="5693" xr:uid="{00000000-0005-0000-0000-00008A1D0000}"/>
    <cellStyle name="Normal 8 3 3 2 3 3 2" xfId="14135" xr:uid="{67F1D017-5555-4620-98D0-BB7C6A6C0D83}"/>
    <cellStyle name="Normal 8 3 3 2 3 4" xfId="9917" xr:uid="{81C5C0C9-AD22-444E-B2A8-7CE36DE960F5}"/>
    <cellStyle name="Normal 8 3 3 2 4" xfId="1798" xr:uid="{00000000-0005-0000-0000-00008B1D0000}"/>
    <cellStyle name="Normal 8 3 3 2 4 2" xfId="4028" xr:uid="{00000000-0005-0000-0000-00008C1D0000}"/>
    <cellStyle name="Normal 8 3 3 2 4 2 2" xfId="8251" xr:uid="{00000000-0005-0000-0000-00008D1D0000}"/>
    <cellStyle name="Normal 8 3 3 2 4 2 2 2" xfId="16693" xr:uid="{4690419A-B385-46DA-AA65-AC55D243E3A5}"/>
    <cellStyle name="Normal 8 3 3 2 4 2 3" xfId="12475" xr:uid="{249A3B15-24A2-44AB-9795-4CF3A2B89B3B}"/>
    <cellStyle name="Normal 8 3 3 2 4 3" xfId="6106" xr:uid="{00000000-0005-0000-0000-00008E1D0000}"/>
    <cellStyle name="Normal 8 3 3 2 4 3 2" xfId="14548" xr:uid="{3903A6EB-58E2-4274-B391-09E771FABFF2}"/>
    <cellStyle name="Normal 8 3 3 2 4 4" xfId="10330" xr:uid="{E51E599E-7B97-474D-943C-06F68ED852BB}"/>
    <cellStyle name="Normal 8 3 3 2 5" xfId="2212" xr:uid="{00000000-0005-0000-0000-00008F1D0000}"/>
    <cellStyle name="Normal 8 3 3 2 5 2" xfId="4441" xr:uid="{00000000-0005-0000-0000-0000901D0000}"/>
    <cellStyle name="Normal 8 3 3 2 5 2 2" xfId="8664" xr:uid="{00000000-0005-0000-0000-0000911D0000}"/>
    <cellStyle name="Normal 8 3 3 2 5 2 2 2" xfId="17106" xr:uid="{2D895A16-269A-455B-A005-E7DC85C703A6}"/>
    <cellStyle name="Normal 8 3 3 2 5 2 3" xfId="12888" xr:uid="{21AEFFBA-440F-44CA-9B30-DFC8BD416F4A}"/>
    <cellStyle name="Normal 8 3 3 2 5 3" xfId="6519" xr:uid="{00000000-0005-0000-0000-0000921D0000}"/>
    <cellStyle name="Normal 8 3 3 2 5 3 2" xfId="14961" xr:uid="{9C34C1B5-9F85-4860-8631-E392417F3D8F}"/>
    <cellStyle name="Normal 8 3 3 2 5 4" xfId="10743" xr:uid="{C0C01791-5FFE-4E23-A72A-FF7D409F7A90}"/>
    <cellStyle name="Normal 8 3 3 2 6" xfId="2648" xr:uid="{00000000-0005-0000-0000-0000931D0000}"/>
    <cellStyle name="Normal 8 3 3 2 6 2" xfId="6932" xr:uid="{00000000-0005-0000-0000-0000941D0000}"/>
    <cellStyle name="Normal 8 3 3 2 6 2 2" xfId="15374" xr:uid="{69FC8DF6-8BC0-4211-8FE0-97CA47C1A4D5}"/>
    <cellStyle name="Normal 8 3 3 2 6 3" xfId="11156" xr:uid="{B52E478B-95FE-4011-BF07-D9D5CC266BD0}"/>
    <cellStyle name="Normal 8 3 3 2 7" xfId="4867" xr:uid="{00000000-0005-0000-0000-0000951D0000}"/>
    <cellStyle name="Normal 8 3 3 2 7 2" xfId="13309" xr:uid="{5E1ED23D-B3D0-4835-A2C6-CBE0F9530B65}"/>
    <cellStyle name="Normal 8 3 3 2 8" xfId="9091" xr:uid="{BB58B27C-FDF8-42DE-AA0B-53A85CACF42C}"/>
    <cellStyle name="Normal 8 3 3 3" xfId="967" xr:uid="{00000000-0005-0000-0000-0000961D0000}"/>
    <cellStyle name="Normal 8 3 3 3 2" xfId="3201" xr:uid="{00000000-0005-0000-0000-0000971D0000}"/>
    <cellStyle name="Normal 8 3 3 3 2 2" xfId="7424" xr:uid="{00000000-0005-0000-0000-0000981D0000}"/>
    <cellStyle name="Normal 8 3 3 3 2 2 2" xfId="15866" xr:uid="{0ECE2573-DFED-4EF8-B603-16F42E47031B}"/>
    <cellStyle name="Normal 8 3 3 3 2 3" xfId="11648" xr:uid="{CA1726A6-A36F-4A9A-86DC-BA44A9140D2C}"/>
    <cellStyle name="Normal 8 3 3 3 3" xfId="5279" xr:uid="{00000000-0005-0000-0000-0000991D0000}"/>
    <cellStyle name="Normal 8 3 3 3 3 2" xfId="13721" xr:uid="{AF197445-1BA3-42D4-AF59-51100D0EB054}"/>
    <cellStyle name="Normal 8 3 3 3 4" xfId="9503" xr:uid="{A1A9A703-9533-40F8-BCBF-B1E78CE1C41E}"/>
    <cellStyle name="Normal 8 3 3 4" xfId="1384" xr:uid="{00000000-0005-0000-0000-00009A1D0000}"/>
    <cellStyle name="Normal 8 3 3 4 2" xfId="3614" xr:uid="{00000000-0005-0000-0000-00009B1D0000}"/>
    <cellStyle name="Normal 8 3 3 4 2 2" xfId="7837" xr:uid="{00000000-0005-0000-0000-00009C1D0000}"/>
    <cellStyle name="Normal 8 3 3 4 2 2 2" xfId="16279" xr:uid="{66119EF0-D462-4BA7-8F76-9581AF82F2E1}"/>
    <cellStyle name="Normal 8 3 3 4 2 3" xfId="12061" xr:uid="{0FE63696-0A89-46B6-8D29-E6A53BE35AB1}"/>
    <cellStyle name="Normal 8 3 3 4 3" xfId="5692" xr:uid="{00000000-0005-0000-0000-00009D1D0000}"/>
    <cellStyle name="Normal 8 3 3 4 3 2" xfId="14134" xr:uid="{D1E3E667-A3C9-4CB6-935F-A2CC84461325}"/>
    <cellStyle name="Normal 8 3 3 4 4" xfId="9916" xr:uid="{8FC0E499-3954-48C4-A1B8-7AB25A72F6C1}"/>
    <cellStyle name="Normal 8 3 3 5" xfId="1797" xr:uid="{00000000-0005-0000-0000-00009E1D0000}"/>
    <cellStyle name="Normal 8 3 3 5 2" xfId="4027" xr:uid="{00000000-0005-0000-0000-00009F1D0000}"/>
    <cellStyle name="Normal 8 3 3 5 2 2" xfId="8250" xr:uid="{00000000-0005-0000-0000-0000A01D0000}"/>
    <cellStyle name="Normal 8 3 3 5 2 2 2" xfId="16692" xr:uid="{5756B5E5-D25D-42A6-811C-8B54C7D27EE6}"/>
    <cellStyle name="Normal 8 3 3 5 2 3" xfId="12474" xr:uid="{F80850AE-B60C-4D29-A963-50783056747C}"/>
    <cellStyle name="Normal 8 3 3 5 3" xfId="6105" xr:uid="{00000000-0005-0000-0000-0000A11D0000}"/>
    <cellStyle name="Normal 8 3 3 5 3 2" xfId="14547" xr:uid="{9113F8DD-2999-4A93-BF61-1082CE9B949F}"/>
    <cellStyle name="Normal 8 3 3 5 4" xfId="10329" xr:uid="{CA82A2CF-1ADD-4324-8E57-9966928EA1F6}"/>
    <cellStyle name="Normal 8 3 3 6" xfId="2211" xr:uid="{00000000-0005-0000-0000-0000A21D0000}"/>
    <cellStyle name="Normal 8 3 3 6 2" xfId="4440" xr:uid="{00000000-0005-0000-0000-0000A31D0000}"/>
    <cellStyle name="Normal 8 3 3 6 2 2" xfId="8663" xr:uid="{00000000-0005-0000-0000-0000A41D0000}"/>
    <cellStyle name="Normal 8 3 3 6 2 2 2" xfId="17105" xr:uid="{A78078B9-9746-44A0-9D35-EF48ECC177F7}"/>
    <cellStyle name="Normal 8 3 3 6 2 3" xfId="12887" xr:uid="{3F6A2BAB-44C2-446A-92D0-36C4FB1C9F3F}"/>
    <cellStyle name="Normal 8 3 3 6 3" xfId="6518" xr:uid="{00000000-0005-0000-0000-0000A51D0000}"/>
    <cellStyle name="Normal 8 3 3 6 3 2" xfId="14960" xr:uid="{DD213CB3-15B1-41E8-8BC3-20CFF612CEF6}"/>
    <cellStyle name="Normal 8 3 3 6 4" xfId="10742" xr:uid="{F7AADEC3-A3FA-482E-B708-EB440E76C783}"/>
    <cellStyle name="Normal 8 3 3 7" xfId="2647" xr:uid="{00000000-0005-0000-0000-0000A61D0000}"/>
    <cellStyle name="Normal 8 3 3 7 2" xfId="6931" xr:uid="{00000000-0005-0000-0000-0000A71D0000}"/>
    <cellStyle name="Normal 8 3 3 7 2 2" xfId="15373" xr:uid="{E737F60F-9BAE-4042-8F04-B74FC9AE0ED1}"/>
    <cellStyle name="Normal 8 3 3 7 3" xfId="11155" xr:uid="{15441834-92C2-4504-B830-D35A2CBC63CC}"/>
    <cellStyle name="Normal 8 3 3 8" xfId="4866" xr:uid="{00000000-0005-0000-0000-0000A81D0000}"/>
    <cellStyle name="Normal 8 3 3 8 2" xfId="13308" xr:uid="{6353AFA3-9FAD-4F74-AE6C-C10147757F85}"/>
    <cellStyle name="Normal 8 3 3 9" xfId="9090" xr:uid="{4F0232F8-D907-40DC-8B7F-A348AC79BB8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2 2 2" xfId="15868" xr:uid="{C4DB8AFA-F728-4885-9BBA-9442FAE97612}"/>
    <cellStyle name="Normal 8 3 4 2 2 3" xfId="11650" xr:uid="{08F18E46-A8F8-4E74-B621-57E7EA956708}"/>
    <cellStyle name="Normal 8 3 4 2 3" xfId="5281" xr:uid="{00000000-0005-0000-0000-0000AD1D0000}"/>
    <cellStyle name="Normal 8 3 4 2 3 2" xfId="13723" xr:uid="{6A4F7EDC-30AC-448A-A529-AB5ABD3602F9}"/>
    <cellStyle name="Normal 8 3 4 2 4" xfId="9505" xr:uid="{08C0809C-6452-471D-8A40-BE5624D3FAE7}"/>
    <cellStyle name="Normal 8 3 4 3" xfId="1386" xr:uid="{00000000-0005-0000-0000-0000AE1D0000}"/>
    <cellStyle name="Normal 8 3 4 3 2" xfId="3616" xr:uid="{00000000-0005-0000-0000-0000AF1D0000}"/>
    <cellStyle name="Normal 8 3 4 3 2 2" xfId="7839" xr:uid="{00000000-0005-0000-0000-0000B01D0000}"/>
    <cellStyle name="Normal 8 3 4 3 2 2 2" xfId="16281" xr:uid="{99B8AF92-6AF1-419B-B6DE-EEFD13C98724}"/>
    <cellStyle name="Normal 8 3 4 3 2 3" xfId="12063" xr:uid="{664687D1-F787-439A-B803-FEFE862E6C89}"/>
    <cellStyle name="Normal 8 3 4 3 3" xfId="5694" xr:uid="{00000000-0005-0000-0000-0000B11D0000}"/>
    <cellStyle name="Normal 8 3 4 3 3 2" xfId="14136" xr:uid="{1EC32358-F960-466B-AD10-0EBE498015BD}"/>
    <cellStyle name="Normal 8 3 4 3 4" xfId="9918" xr:uid="{914E68F2-97F9-4697-99EE-6128C8330244}"/>
    <cellStyle name="Normal 8 3 4 4" xfId="1799" xr:uid="{00000000-0005-0000-0000-0000B21D0000}"/>
    <cellStyle name="Normal 8 3 4 4 2" xfId="4029" xr:uid="{00000000-0005-0000-0000-0000B31D0000}"/>
    <cellStyle name="Normal 8 3 4 4 2 2" xfId="8252" xr:uid="{00000000-0005-0000-0000-0000B41D0000}"/>
    <cellStyle name="Normal 8 3 4 4 2 2 2" xfId="16694" xr:uid="{D0FD7E0E-21C2-4380-A24B-75F37C435384}"/>
    <cellStyle name="Normal 8 3 4 4 2 3" xfId="12476" xr:uid="{DB319B71-83B1-45AD-A967-9A4D9ACD6352}"/>
    <cellStyle name="Normal 8 3 4 4 3" xfId="6107" xr:uid="{00000000-0005-0000-0000-0000B51D0000}"/>
    <cellStyle name="Normal 8 3 4 4 3 2" xfId="14549" xr:uid="{C7A41884-291C-4935-9B65-D47205462EB3}"/>
    <cellStyle name="Normal 8 3 4 4 4" xfId="10331" xr:uid="{25E7031D-FEDC-4516-9FEC-EC5A618E997E}"/>
    <cellStyle name="Normal 8 3 4 5" xfId="2213" xr:uid="{00000000-0005-0000-0000-0000B61D0000}"/>
    <cellStyle name="Normal 8 3 4 5 2" xfId="4442" xr:uid="{00000000-0005-0000-0000-0000B71D0000}"/>
    <cellStyle name="Normal 8 3 4 5 2 2" xfId="8665" xr:uid="{00000000-0005-0000-0000-0000B81D0000}"/>
    <cellStyle name="Normal 8 3 4 5 2 2 2" xfId="17107" xr:uid="{52993EA7-DC0B-43BB-AC8A-3D2A32FC0A48}"/>
    <cellStyle name="Normal 8 3 4 5 2 3" xfId="12889" xr:uid="{5298474A-9D4C-48E3-958D-A70A9020B56A}"/>
    <cellStyle name="Normal 8 3 4 5 3" xfId="6520" xr:uid="{00000000-0005-0000-0000-0000B91D0000}"/>
    <cellStyle name="Normal 8 3 4 5 3 2" xfId="14962" xr:uid="{29131012-FE22-4879-9E7D-0FB5618D3CC5}"/>
    <cellStyle name="Normal 8 3 4 5 4" xfId="10744" xr:uid="{0B79F4E5-B3AB-445E-BA35-A270D627FFBC}"/>
    <cellStyle name="Normal 8 3 4 6" xfId="2649" xr:uid="{00000000-0005-0000-0000-0000BA1D0000}"/>
    <cellStyle name="Normal 8 3 4 6 2" xfId="6933" xr:uid="{00000000-0005-0000-0000-0000BB1D0000}"/>
    <cellStyle name="Normal 8 3 4 6 2 2" xfId="15375" xr:uid="{1C03F6A1-BB6F-449D-875E-CDD2DBAE966A}"/>
    <cellStyle name="Normal 8 3 4 6 3" xfId="11157" xr:uid="{7DAE0CA4-343F-48D9-8E0F-5D6B804EA200}"/>
    <cellStyle name="Normal 8 3 4 7" xfId="4868" xr:uid="{00000000-0005-0000-0000-0000BC1D0000}"/>
    <cellStyle name="Normal 8 3 4 7 2" xfId="13310" xr:uid="{AEA22953-2ACE-40D0-BA1E-6DA42D4804CC}"/>
    <cellStyle name="Normal 8 3 4 8" xfId="9092" xr:uid="{8AF3FD9C-788D-4F4A-A7C5-FD2008C58394}"/>
    <cellStyle name="Normal 8 3 5" xfId="962" xr:uid="{00000000-0005-0000-0000-0000BD1D0000}"/>
    <cellStyle name="Normal 8 3 5 2" xfId="3196" xr:uid="{00000000-0005-0000-0000-0000BE1D0000}"/>
    <cellStyle name="Normal 8 3 5 2 2" xfId="7419" xr:uid="{00000000-0005-0000-0000-0000BF1D0000}"/>
    <cellStyle name="Normal 8 3 5 2 2 2" xfId="15861" xr:uid="{115A2492-FD99-416F-AC19-2E420C3F418B}"/>
    <cellStyle name="Normal 8 3 5 2 3" xfId="11643" xr:uid="{F744D705-CB0A-4F8C-9A0F-A95F215E3C70}"/>
    <cellStyle name="Normal 8 3 5 3" xfId="5274" xr:uid="{00000000-0005-0000-0000-0000C01D0000}"/>
    <cellStyle name="Normal 8 3 5 3 2" xfId="13716" xr:uid="{6319F889-EB4D-44B7-AF0B-5C01C5DB8309}"/>
    <cellStyle name="Normal 8 3 5 4" xfId="9498" xr:uid="{B805F89E-A798-447F-BFAC-0047CEA64271}"/>
    <cellStyle name="Normal 8 3 6" xfId="1379" xr:uid="{00000000-0005-0000-0000-0000C11D0000}"/>
    <cellStyle name="Normal 8 3 6 2" xfId="3609" xr:uid="{00000000-0005-0000-0000-0000C21D0000}"/>
    <cellStyle name="Normal 8 3 6 2 2" xfId="7832" xr:uid="{00000000-0005-0000-0000-0000C31D0000}"/>
    <cellStyle name="Normal 8 3 6 2 2 2" xfId="16274" xr:uid="{FF80280C-C64D-40B5-BC51-5F313BFC6B3A}"/>
    <cellStyle name="Normal 8 3 6 2 3" xfId="12056" xr:uid="{5A08D3B3-42CD-47E1-8F2D-F519A5F97815}"/>
    <cellStyle name="Normal 8 3 6 3" xfId="5687" xr:uid="{00000000-0005-0000-0000-0000C41D0000}"/>
    <cellStyle name="Normal 8 3 6 3 2" xfId="14129" xr:uid="{A2CAB6F7-DB8B-4E04-A996-47D344A50438}"/>
    <cellStyle name="Normal 8 3 6 4" xfId="9911" xr:uid="{1A91D7F2-59F5-49D9-8998-7ABB36ECADB0}"/>
    <cellStyle name="Normal 8 3 7" xfId="1792" xr:uid="{00000000-0005-0000-0000-0000C51D0000}"/>
    <cellStyle name="Normal 8 3 7 2" xfId="4022" xr:uid="{00000000-0005-0000-0000-0000C61D0000}"/>
    <cellStyle name="Normal 8 3 7 2 2" xfId="8245" xr:uid="{00000000-0005-0000-0000-0000C71D0000}"/>
    <cellStyle name="Normal 8 3 7 2 2 2" xfId="16687" xr:uid="{BE329E37-A563-4EEA-A753-53B7482C73A0}"/>
    <cellStyle name="Normal 8 3 7 2 3" xfId="12469" xr:uid="{3F03E5FA-DF9F-418F-8CFE-365B04C16885}"/>
    <cellStyle name="Normal 8 3 7 3" xfId="6100" xr:uid="{00000000-0005-0000-0000-0000C81D0000}"/>
    <cellStyle name="Normal 8 3 7 3 2" xfId="14542" xr:uid="{AAD10BBC-78B1-4ECC-9E94-D29C3A8EBFC9}"/>
    <cellStyle name="Normal 8 3 7 4" xfId="10324" xr:uid="{E686DE9B-D7C9-4568-85DB-9CB5DA2DAB3E}"/>
    <cellStyle name="Normal 8 3 8" xfId="2206" xr:uid="{00000000-0005-0000-0000-0000C91D0000}"/>
    <cellStyle name="Normal 8 3 8 2" xfId="4435" xr:uid="{00000000-0005-0000-0000-0000CA1D0000}"/>
    <cellStyle name="Normal 8 3 8 2 2" xfId="8658" xr:uid="{00000000-0005-0000-0000-0000CB1D0000}"/>
    <cellStyle name="Normal 8 3 8 2 2 2" xfId="17100" xr:uid="{A4EB3AA8-E5D4-4A8A-9B5E-F58AC71F331D}"/>
    <cellStyle name="Normal 8 3 8 2 3" xfId="12882" xr:uid="{CE6976B9-0080-434C-A976-A48F299B367A}"/>
    <cellStyle name="Normal 8 3 8 3" xfId="6513" xr:uid="{00000000-0005-0000-0000-0000CC1D0000}"/>
    <cellStyle name="Normal 8 3 8 3 2" xfId="14955" xr:uid="{F1B29F01-05F8-447E-AB6D-C2F07215C2B4}"/>
    <cellStyle name="Normal 8 3 8 4" xfId="10737" xr:uid="{E74ED181-4443-4238-9972-6C1CBD5FC3B6}"/>
    <cellStyle name="Normal 8 3 9" xfId="2642" xr:uid="{00000000-0005-0000-0000-0000CD1D0000}"/>
    <cellStyle name="Normal 8 3 9 2" xfId="6926" xr:uid="{00000000-0005-0000-0000-0000CE1D0000}"/>
    <cellStyle name="Normal 8 3 9 2 2" xfId="15368" xr:uid="{B72C77BC-3577-47BA-9E0C-FD8AAE74033B}"/>
    <cellStyle name="Normal 8 3 9 3" xfId="11150" xr:uid="{2845F571-9376-4460-B32D-FD816314AA6B}"/>
    <cellStyle name="Normal 8 4" xfId="503" xr:uid="{00000000-0005-0000-0000-0000CF1D0000}"/>
    <cellStyle name="Normal 8 4 10" xfId="9093" xr:uid="{5482FB0F-B48E-404D-8E4A-6330B4713AE4}"/>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2 2 2" xfId="15871" xr:uid="{DF684299-5660-412C-BF12-0EA442EC0A34}"/>
    <cellStyle name="Normal 8 4 2 2 2 2 3" xfId="11653" xr:uid="{98B45504-6DFB-4DC6-BECA-6D9D8499DDB9}"/>
    <cellStyle name="Normal 8 4 2 2 2 3" xfId="5284" xr:uid="{00000000-0005-0000-0000-0000D51D0000}"/>
    <cellStyle name="Normal 8 4 2 2 2 3 2" xfId="13726" xr:uid="{CEC63CC9-14D5-48FF-BD8C-CC47E16C6014}"/>
    <cellStyle name="Normal 8 4 2 2 2 4" xfId="9508" xr:uid="{57EB49BD-25EA-48FF-A3C9-E6B1796E8A3E}"/>
    <cellStyle name="Normal 8 4 2 2 3" xfId="1389" xr:uid="{00000000-0005-0000-0000-0000D61D0000}"/>
    <cellStyle name="Normal 8 4 2 2 3 2" xfId="3619" xr:uid="{00000000-0005-0000-0000-0000D71D0000}"/>
    <cellStyle name="Normal 8 4 2 2 3 2 2" xfId="7842" xr:uid="{00000000-0005-0000-0000-0000D81D0000}"/>
    <cellStyle name="Normal 8 4 2 2 3 2 2 2" xfId="16284" xr:uid="{14195952-F9C4-42B8-BD30-1C3D923F500E}"/>
    <cellStyle name="Normal 8 4 2 2 3 2 3" xfId="12066" xr:uid="{6EDFADB3-3968-4375-836C-B60AB12AF7DF}"/>
    <cellStyle name="Normal 8 4 2 2 3 3" xfId="5697" xr:uid="{00000000-0005-0000-0000-0000D91D0000}"/>
    <cellStyle name="Normal 8 4 2 2 3 3 2" xfId="14139" xr:uid="{305BC088-D49D-4341-B91A-B1847104C525}"/>
    <cellStyle name="Normal 8 4 2 2 3 4" xfId="9921" xr:uid="{6F989D03-15FA-45E2-80F4-541F39283314}"/>
    <cellStyle name="Normal 8 4 2 2 4" xfId="1802" xr:uid="{00000000-0005-0000-0000-0000DA1D0000}"/>
    <cellStyle name="Normal 8 4 2 2 4 2" xfId="4032" xr:uid="{00000000-0005-0000-0000-0000DB1D0000}"/>
    <cellStyle name="Normal 8 4 2 2 4 2 2" xfId="8255" xr:uid="{00000000-0005-0000-0000-0000DC1D0000}"/>
    <cellStyle name="Normal 8 4 2 2 4 2 2 2" xfId="16697" xr:uid="{00B9BE3A-29E6-4B49-B111-C0A4D0811C9E}"/>
    <cellStyle name="Normal 8 4 2 2 4 2 3" xfId="12479" xr:uid="{1B16EB48-7D76-49D8-877A-06BD6BC5EF2B}"/>
    <cellStyle name="Normal 8 4 2 2 4 3" xfId="6110" xr:uid="{00000000-0005-0000-0000-0000DD1D0000}"/>
    <cellStyle name="Normal 8 4 2 2 4 3 2" xfId="14552" xr:uid="{83D3DA8A-494C-475A-9BFB-D73634838F7F}"/>
    <cellStyle name="Normal 8 4 2 2 4 4" xfId="10334" xr:uid="{3E771285-225F-48C5-BB30-B709EB9DE7ED}"/>
    <cellStyle name="Normal 8 4 2 2 5" xfId="2216" xr:uid="{00000000-0005-0000-0000-0000DE1D0000}"/>
    <cellStyle name="Normal 8 4 2 2 5 2" xfId="4445" xr:uid="{00000000-0005-0000-0000-0000DF1D0000}"/>
    <cellStyle name="Normal 8 4 2 2 5 2 2" xfId="8668" xr:uid="{00000000-0005-0000-0000-0000E01D0000}"/>
    <cellStyle name="Normal 8 4 2 2 5 2 2 2" xfId="17110" xr:uid="{F23B2A9B-B59E-4E82-8A5E-0260EA4FCA4B}"/>
    <cellStyle name="Normal 8 4 2 2 5 2 3" xfId="12892" xr:uid="{F834A45B-4B9E-4EFA-88D7-42D6CED6D6A2}"/>
    <cellStyle name="Normal 8 4 2 2 5 3" xfId="6523" xr:uid="{00000000-0005-0000-0000-0000E11D0000}"/>
    <cellStyle name="Normal 8 4 2 2 5 3 2" xfId="14965" xr:uid="{98E6DC01-98DE-4838-A7D7-505D08BA8654}"/>
    <cellStyle name="Normal 8 4 2 2 5 4" xfId="10747" xr:uid="{7CBDA558-C398-4003-A7A3-4BD2BF53D572}"/>
    <cellStyle name="Normal 8 4 2 2 6" xfId="2652" xr:uid="{00000000-0005-0000-0000-0000E21D0000}"/>
    <cellStyle name="Normal 8 4 2 2 6 2" xfId="6936" xr:uid="{00000000-0005-0000-0000-0000E31D0000}"/>
    <cellStyle name="Normal 8 4 2 2 6 2 2" xfId="15378" xr:uid="{FCB98E89-8AC9-46CA-AA74-4F9FD5F80280}"/>
    <cellStyle name="Normal 8 4 2 2 6 3" xfId="11160" xr:uid="{66B0F06A-3701-4067-A198-756C0E156888}"/>
    <cellStyle name="Normal 8 4 2 2 7" xfId="4871" xr:uid="{00000000-0005-0000-0000-0000E41D0000}"/>
    <cellStyle name="Normal 8 4 2 2 7 2" xfId="13313" xr:uid="{E47294AA-6672-44EF-AE9F-7F003359B00C}"/>
    <cellStyle name="Normal 8 4 2 2 8" xfId="9095" xr:uid="{04CD4CB4-AA9E-4DA4-A059-B65A519FCFA0}"/>
    <cellStyle name="Normal 8 4 2 3" xfId="971" xr:uid="{00000000-0005-0000-0000-0000E51D0000}"/>
    <cellStyle name="Normal 8 4 2 3 2" xfId="3205" xr:uid="{00000000-0005-0000-0000-0000E61D0000}"/>
    <cellStyle name="Normal 8 4 2 3 2 2" xfId="7428" xr:uid="{00000000-0005-0000-0000-0000E71D0000}"/>
    <cellStyle name="Normal 8 4 2 3 2 2 2" xfId="15870" xr:uid="{6242914F-219E-4B79-B034-84777EAF7D8D}"/>
    <cellStyle name="Normal 8 4 2 3 2 3" xfId="11652" xr:uid="{EB89C159-5A55-49F6-A4F3-F0365B059357}"/>
    <cellStyle name="Normal 8 4 2 3 3" xfId="5283" xr:uid="{00000000-0005-0000-0000-0000E81D0000}"/>
    <cellStyle name="Normal 8 4 2 3 3 2" xfId="13725" xr:uid="{C3CF3697-E909-4EFF-8CDE-662D89DAC43B}"/>
    <cellStyle name="Normal 8 4 2 3 4" xfId="9507" xr:uid="{58D584BB-40BE-49D4-AAE8-BF5AC55DB9F8}"/>
    <cellStyle name="Normal 8 4 2 4" xfId="1388" xr:uid="{00000000-0005-0000-0000-0000E91D0000}"/>
    <cellStyle name="Normal 8 4 2 4 2" xfId="3618" xr:uid="{00000000-0005-0000-0000-0000EA1D0000}"/>
    <cellStyle name="Normal 8 4 2 4 2 2" xfId="7841" xr:uid="{00000000-0005-0000-0000-0000EB1D0000}"/>
    <cellStyle name="Normal 8 4 2 4 2 2 2" xfId="16283" xr:uid="{9C5BBBB5-ABBD-485D-B543-E009B9C8D162}"/>
    <cellStyle name="Normal 8 4 2 4 2 3" xfId="12065" xr:uid="{EC98FD6A-E896-47BA-838F-E6C3E6388BFE}"/>
    <cellStyle name="Normal 8 4 2 4 3" xfId="5696" xr:uid="{00000000-0005-0000-0000-0000EC1D0000}"/>
    <cellStyle name="Normal 8 4 2 4 3 2" xfId="14138" xr:uid="{985A80F6-3456-435A-9741-4F0CD725460F}"/>
    <cellStyle name="Normal 8 4 2 4 4" xfId="9920" xr:uid="{0DF061E9-AE70-4F93-8DCA-8886B81A48E1}"/>
    <cellStyle name="Normal 8 4 2 5" xfId="1801" xr:uid="{00000000-0005-0000-0000-0000ED1D0000}"/>
    <cellStyle name="Normal 8 4 2 5 2" xfId="4031" xr:uid="{00000000-0005-0000-0000-0000EE1D0000}"/>
    <cellStyle name="Normal 8 4 2 5 2 2" xfId="8254" xr:uid="{00000000-0005-0000-0000-0000EF1D0000}"/>
    <cellStyle name="Normal 8 4 2 5 2 2 2" xfId="16696" xr:uid="{460FF6B6-8D13-419E-8F3B-386923DC9D4B}"/>
    <cellStyle name="Normal 8 4 2 5 2 3" xfId="12478" xr:uid="{B6C3D604-0068-4D66-BF5F-CE8643881FC0}"/>
    <cellStyle name="Normal 8 4 2 5 3" xfId="6109" xr:uid="{00000000-0005-0000-0000-0000F01D0000}"/>
    <cellStyle name="Normal 8 4 2 5 3 2" xfId="14551" xr:uid="{8F650592-912C-4C86-9F03-83B156A1EB79}"/>
    <cellStyle name="Normal 8 4 2 5 4" xfId="10333" xr:uid="{FFB539BA-D746-4FC0-B24F-E923E4B72FA8}"/>
    <cellStyle name="Normal 8 4 2 6" xfId="2215" xr:uid="{00000000-0005-0000-0000-0000F11D0000}"/>
    <cellStyle name="Normal 8 4 2 6 2" xfId="4444" xr:uid="{00000000-0005-0000-0000-0000F21D0000}"/>
    <cellStyle name="Normal 8 4 2 6 2 2" xfId="8667" xr:uid="{00000000-0005-0000-0000-0000F31D0000}"/>
    <cellStyle name="Normal 8 4 2 6 2 2 2" xfId="17109" xr:uid="{F4F26397-2BC3-4B30-8B0A-C15395FE27DF}"/>
    <cellStyle name="Normal 8 4 2 6 2 3" xfId="12891" xr:uid="{4AA923F0-39EE-4996-9698-56A772895A03}"/>
    <cellStyle name="Normal 8 4 2 6 3" xfId="6522" xr:uid="{00000000-0005-0000-0000-0000F41D0000}"/>
    <cellStyle name="Normal 8 4 2 6 3 2" xfId="14964" xr:uid="{BD9C3ED4-146B-4733-832F-F6CEC88DDEA7}"/>
    <cellStyle name="Normal 8 4 2 6 4" xfId="10746" xr:uid="{1DAE92DA-EDD6-4A50-A25C-41CB0365050F}"/>
    <cellStyle name="Normal 8 4 2 7" xfId="2651" xr:uid="{00000000-0005-0000-0000-0000F51D0000}"/>
    <cellStyle name="Normal 8 4 2 7 2" xfId="6935" xr:uid="{00000000-0005-0000-0000-0000F61D0000}"/>
    <cellStyle name="Normal 8 4 2 7 2 2" xfId="15377" xr:uid="{C4DE6ADF-0FDF-4A52-A4E0-04F62A130553}"/>
    <cellStyle name="Normal 8 4 2 7 3" xfId="11159" xr:uid="{18C78278-3E38-4175-9B13-030FA5BB9F96}"/>
    <cellStyle name="Normal 8 4 2 8" xfId="4870" xr:uid="{00000000-0005-0000-0000-0000F71D0000}"/>
    <cellStyle name="Normal 8 4 2 8 2" xfId="13312" xr:uid="{06388DE0-1A98-4A05-8FED-DFA4D04DE3FB}"/>
    <cellStyle name="Normal 8 4 2 9" xfId="9094" xr:uid="{7DCE21CB-BCA2-4824-ABE6-EF3B4D521F49}"/>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2 2 2" xfId="15872" xr:uid="{E0179E83-A344-4BC4-9872-5DEF900339BF}"/>
    <cellStyle name="Normal 8 4 3 2 2 3" xfId="11654" xr:uid="{0AC73439-B36C-47AF-BEFA-187F678CC573}"/>
    <cellStyle name="Normal 8 4 3 2 3" xfId="5285" xr:uid="{00000000-0005-0000-0000-0000FC1D0000}"/>
    <cellStyle name="Normal 8 4 3 2 3 2" xfId="13727" xr:uid="{2BA4EAA7-2747-4289-9FC5-AE5C08C95F68}"/>
    <cellStyle name="Normal 8 4 3 2 4" xfId="9509" xr:uid="{CAA11201-EA12-436D-8938-90D135E72388}"/>
    <cellStyle name="Normal 8 4 3 3" xfId="1390" xr:uid="{00000000-0005-0000-0000-0000FD1D0000}"/>
    <cellStyle name="Normal 8 4 3 3 2" xfId="3620" xr:uid="{00000000-0005-0000-0000-0000FE1D0000}"/>
    <cellStyle name="Normal 8 4 3 3 2 2" xfId="7843" xr:uid="{00000000-0005-0000-0000-0000FF1D0000}"/>
    <cellStyle name="Normal 8 4 3 3 2 2 2" xfId="16285" xr:uid="{E9036FAE-0680-4C08-AA39-602732369940}"/>
    <cellStyle name="Normal 8 4 3 3 2 3" xfId="12067" xr:uid="{2CC650BD-06C0-4D8A-81C0-D921416A03D4}"/>
    <cellStyle name="Normal 8 4 3 3 3" xfId="5698" xr:uid="{00000000-0005-0000-0000-0000001E0000}"/>
    <cellStyle name="Normal 8 4 3 3 3 2" xfId="14140" xr:uid="{C70D37F3-155F-48EA-96D7-72A190FB246D}"/>
    <cellStyle name="Normal 8 4 3 3 4" xfId="9922" xr:uid="{2A485753-510A-424F-A738-9488DE48DDB4}"/>
    <cellStyle name="Normal 8 4 3 4" xfId="1803" xr:uid="{00000000-0005-0000-0000-0000011E0000}"/>
    <cellStyle name="Normal 8 4 3 4 2" xfId="4033" xr:uid="{00000000-0005-0000-0000-0000021E0000}"/>
    <cellStyle name="Normal 8 4 3 4 2 2" xfId="8256" xr:uid="{00000000-0005-0000-0000-0000031E0000}"/>
    <cellStyle name="Normal 8 4 3 4 2 2 2" xfId="16698" xr:uid="{50DFFC30-036E-493B-BC60-6F5E391CAFF0}"/>
    <cellStyle name="Normal 8 4 3 4 2 3" xfId="12480" xr:uid="{64D4AF8D-E51E-4622-B58E-C3CE883374C4}"/>
    <cellStyle name="Normal 8 4 3 4 3" xfId="6111" xr:uid="{00000000-0005-0000-0000-0000041E0000}"/>
    <cellStyle name="Normal 8 4 3 4 3 2" xfId="14553" xr:uid="{22E7F2A8-BB26-4A43-B9FB-73180CD94A66}"/>
    <cellStyle name="Normal 8 4 3 4 4" xfId="10335" xr:uid="{514987FB-4192-40DF-8EDA-80D2FC5FF1E3}"/>
    <cellStyle name="Normal 8 4 3 5" xfId="2217" xr:uid="{00000000-0005-0000-0000-0000051E0000}"/>
    <cellStyle name="Normal 8 4 3 5 2" xfId="4446" xr:uid="{00000000-0005-0000-0000-0000061E0000}"/>
    <cellStyle name="Normal 8 4 3 5 2 2" xfId="8669" xr:uid="{00000000-0005-0000-0000-0000071E0000}"/>
    <cellStyle name="Normal 8 4 3 5 2 2 2" xfId="17111" xr:uid="{AE76121B-6AA4-4B0F-9D5F-C096C31EFD70}"/>
    <cellStyle name="Normal 8 4 3 5 2 3" xfId="12893" xr:uid="{1DA47E07-15EF-46C8-B104-91CAC7BC935F}"/>
    <cellStyle name="Normal 8 4 3 5 3" xfId="6524" xr:uid="{00000000-0005-0000-0000-0000081E0000}"/>
    <cellStyle name="Normal 8 4 3 5 3 2" xfId="14966" xr:uid="{E4AFE840-5DC4-48F6-86A0-A12C62DAE4EC}"/>
    <cellStyle name="Normal 8 4 3 5 4" xfId="10748" xr:uid="{5D9750F0-9ECD-4D43-9969-4C7C1242F585}"/>
    <cellStyle name="Normal 8 4 3 6" xfId="2653" xr:uid="{00000000-0005-0000-0000-0000091E0000}"/>
    <cellStyle name="Normal 8 4 3 6 2" xfId="6937" xr:uid="{00000000-0005-0000-0000-00000A1E0000}"/>
    <cellStyle name="Normal 8 4 3 6 2 2" xfId="15379" xr:uid="{C5EA3898-0E90-463B-8F13-5FF2EF6E6AC3}"/>
    <cellStyle name="Normal 8 4 3 6 3" xfId="11161" xr:uid="{99B073D1-C769-44AB-B693-0DBCC9E9EFAE}"/>
    <cellStyle name="Normal 8 4 3 7" xfId="4872" xr:uid="{00000000-0005-0000-0000-00000B1E0000}"/>
    <cellStyle name="Normal 8 4 3 7 2" xfId="13314" xr:uid="{AD05AB9C-336A-489A-8DA7-DF6C4723032E}"/>
    <cellStyle name="Normal 8 4 3 8" xfId="9096" xr:uid="{40C14221-0E07-48A6-A343-6FA108AA9BC2}"/>
    <cellStyle name="Normal 8 4 4" xfId="970" xr:uid="{00000000-0005-0000-0000-00000C1E0000}"/>
    <cellStyle name="Normal 8 4 4 2" xfId="3204" xr:uid="{00000000-0005-0000-0000-00000D1E0000}"/>
    <cellStyle name="Normal 8 4 4 2 2" xfId="7427" xr:uid="{00000000-0005-0000-0000-00000E1E0000}"/>
    <cellStyle name="Normal 8 4 4 2 2 2" xfId="15869" xr:uid="{7F4FBE6C-3D53-4297-92E3-13720A8242BA}"/>
    <cellStyle name="Normal 8 4 4 2 3" xfId="11651" xr:uid="{FD8D8942-53FB-4935-9E5F-2B38322CC3F5}"/>
    <cellStyle name="Normal 8 4 4 3" xfId="5282" xr:uid="{00000000-0005-0000-0000-00000F1E0000}"/>
    <cellStyle name="Normal 8 4 4 3 2" xfId="13724" xr:uid="{EFFFFBBA-1657-49A3-A70D-4820235DD933}"/>
    <cellStyle name="Normal 8 4 4 4" xfId="9506" xr:uid="{BB2EDAC5-5765-4C7E-80F3-8E6903AC9055}"/>
    <cellStyle name="Normal 8 4 5" xfId="1387" xr:uid="{00000000-0005-0000-0000-0000101E0000}"/>
    <cellStyle name="Normal 8 4 5 2" xfId="3617" xr:uid="{00000000-0005-0000-0000-0000111E0000}"/>
    <cellStyle name="Normal 8 4 5 2 2" xfId="7840" xr:uid="{00000000-0005-0000-0000-0000121E0000}"/>
    <cellStyle name="Normal 8 4 5 2 2 2" xfId="16282" xr:uid="{E694F51E-A845-4821-8BEC-4549AB380C30}"/>
    <cellStyle name="Normal 8 4 5 2 3" xfId="12064" xr:uid="{2EF37AEA-0078-43BD-9539-9566031BD6B3}"/>
    <cellStyle name="Normal 8 4 5 3" xfId="5695" xr:uid="{00000000-0005-0000-0000-0000131E0000}"/>
    <cellStyle name="Normal 8 4 5 3 2" xfId="14137" xr:uid="{A6AF9008-6852-41E5-99DD-F73AA3ACB2C5}"/>
    <cellStyle name="Normal 8 4 5 4" xfId="9919" xr:uid="{68834691-9323-4D6C-8F19-43DA404397FD}"/>
    <cellStyle name="Normal 8 4 6" xfId="1800" xr:uid="{00000000-0005-0000-0000-0000141E0000}"/>
    <cellStyle name="Normal 8 4 6 2" xfId="4030" xr:uid="{00000000-0005-0000-0000-0000151E0000}"/>
    <cellStyle name="Normal 8 4 6 2 2" xfId="8253" xr:uid="{00000000-0005-0000-0000-0000161E0000}"/>
    <cellStyle name="Normal 8 4 6 2 2 2" xfId="16695" xr:uid="{7BC465B2-4918-4A0F-9DBD-4CE60495052A}"/>
    <cellStyle name="Normal 8 4 6 2 3" xfId="12477" xr:uid="{C41DB8D7-E089-48DF-A099-D4DBC9C05CEB}"/>
    <cellStyle name="Normal 8 4 6 3" xfId="6108" xr:uid="{00000000-0005-0000-0000-0000171E0000}"/>
    <cellStyle name="Normal 8 4 6 3 2" xfId="14550" xr:uid="{0EFA4384-8F2F-4FEB-9BB2-1D73A56CE491}"/>
    <cellStyle name="Normal 8 4 6 4" xfId="10332" xr:uid="{9AF31F69-3BDE-401B-911C-019739399D22}"/>
    <cellStyle name="Normal 8 4 7" xfId="2214" xr:uid="{00000000-0005-0000-0000-0000181E0000}"/>
    <cellStyle name="Normal 8 4 7 2" xfId="4443" xr:uid="{00000000-0005-0000-0000-0000191E0000}"/>
    <cellStyle name="Normal 8 4 7 2 2" xfId="8666" xr:uid="{00000000-0005-0000-0000-00001A1E0000}"/>
    <cellStyle name="Normal 8 4 7 2 2 2" xfId="17108" xr:uid="{FA00010B-5DA2-4D47-BB6D-5BE6A1895236}"/>
    <cellStyle name="Normal 8 4 7 2 3" xfId="12890" xr:uid="{673ECF61-8B17-4755-A7D3-AA536B98998E}"/>
    <cellStyle name="Normal 8 4 7 3" xfId="6521" xr:uid="{00000000-0005-0000-0000-00001B1E0000}"/>
    <cellStyle name="Normal 8 4 7 3 2" xfId="14963" xr:uid="{BFC400B5-2011-4D82-BD83-2531EC85EECE}"/>
    <cellStyle name="Normal 8 4 7 4" xfId="10745" xr:uid="{90D5100C-145F-4EDA-87EC-0BB5BA13872F}"/>
    <cellStyle name="Normal 8 4 8" xfId="2650" xr:uid="{00000000-0005-0000-0000-00001C1E0000}"/>
    <cellStyle name="Normal 8 4 8 2" xfId="6934" xr:uid="{00000000-0005-0000-0000-00001D1E0000}"/>
    <cellStyle name="Normal 8 4 8 2 2" xfId="15376" xr:uid="{B8883D28-EC7D-4D42-B03E-8B22C92E00FD}"/>
    <cellStyle name="Normal 8 4 8 3" xfId="11158" xr:uid="{B14C04ED-2AB7-470A-B0C5-0523A398055B}"/>
    <cellStyle name="Normal 8 4 9" xfId="4869" xr:uid="{00000000-0005-0000-0000-00001E1E0000}"/>
    <cellStyle name="Normal 8 4 9 2" xfId="13311" xr:uid="{6249D6CF-9325-4F12-B826-2760B04021C2}"/>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2 2 2" xfId="15874" xr:uid="{FB13604E-CEB0-475C-977D-0D025D25E81D}"/>
    <cellStyle name="Normal 8 5 2 2 2 3" xfId="11656" xr:uid="{63B6922B-3905-40C2-AF4F-2C26B745FC96}"/>
    <cellStyle name="Normal 8 5 2 2 3" xfId="5287" xr:uid="{00000000-0005-0000-0000-0000241E0000}"/>
    <cellStyle name="Normal 8 5 2 2 3 2" xfId="13729" xr:uid="{1E07E93A-46BC-48E2-8968-BBD0C9DE0BDC}"/>
    <cellStyle name="Normal 8 5 2 2 4" xfId="9511" xr:uid="{B5126D27-1D2C-4227-B9CC-BA30EAD74400}"/>
    <cellStyle name="Normal 8 5 2 3" xfId="1392" xr:uid="{00000000-0005-0000-0000-0000251E0000}"/>
    <cellStyle name="Normal 8 5 2 3 2" xfId="3622" xr:uid="{00000000-0005-0000-0000-0000261E0000}"/>
    <cellStyle name="Normal 8 5 2 3 2 2" xfId="7845" xr:uid="{00000000-0005-0000-0000-0000271E0000}"/>
    <cellStyle name="Normal 8 5 2 3 2 2 2" xfId="16287" xr:uid="{9F5C9EBD-1BDE-4E2E-9FDF-928E7FE0C5A6}"/>
    <cellStyle name="Normal 8 5 2 3 2 3" xfId="12069" xr:uid="{E6573331-B424-4C4A-A4C1-49D6DA47D20C}"/>
    <cellStyle name="Normal 8 5 2 3 3" xfId="5700" xr:uid="{00000000-0005-0000-0000-0000281E0000}"/>
    <cellStyle name="Normal 8 5 2 3 3 2" xfId="14142" xr:uid="{00499A56-0EF3-4D5F-BFD3-FEFC5AFA284F}"/>
    <cellStyle name="Normal 8 5 2 3 4" xfId="9924" xr:uid="{7FE2136B-03B2-4FD2-A50E-75FEA8711C8D}"/>
    <cellStyle name="Normal 8 5 2 4" xfId="1805" xr:uid="{00000000-0005-0000-0000-0000291E0000}"/>
    <cellStyle name="Normal 8 5 2 4 2" xfId="4035" xr:uid="{00000000-0005-0000-0000-00002A1E0000}"/>
    <cellStyle name="Normal 8 5 2 4 2 2" xfId="8258" xr:uid="{00000000-0005-0000-0000-00002B1E0000}"/>
    <cellStyle name="Normal 8 5 2 4 2 2 2" xfId="16700" xr:uid="{735B6D2A-97DB-48D3-9B68-953DA36840AC}"/>
    <cellStyle name="Normal 8 5 2 4 2 3" xfId="12482" xr:uid="{AF846E7C-23AA-4C55-BEB2-549459AE246D}"/>
    <cellStyle name="Normal 8 5 2 4 3" xfId="6113" xr:uid="{00000000-0005-0000-0000-00002C1E0000}"/>
    <cellStyle name="Normal 8 5 2 4 3 2" xfId="14555" xr:uid="{B7213B89-0AF2-432E-A089-9A51E8212BD7}"/>
    <cellStyle name="Normal 8 5 2 4 4" xfId="10337" xr:uid="{051E67EA-4A23-4216-863A-33F25282C715}"/>
    <cellStyle name="Normal 8 5 2 5" xfId="2219" xr:uid="{00000000-0005-0000-0000-00002D1E0000}"/>
    <cellStyle name="Normal 8 5 2 5 2" xfId="4448" xr:uid="{00000000-0005-0000-0000-00002E1E0000}"/>
    <cellStyle name="Normal 8 5 2 5 2 2" xfId="8671" xr:uid="{00000000-0005-0000-0000-00002F1E0000}"/>
    <cellStyle name="Normal 8 5 2 5 2 2 2" xfId="17113" xr:uid="{3CE807B5-942D-4019-BE24-E31F648D1643}"/>
    <cellStyle name="Normal 8 5 2 5 2 3" xfId="12895" xr:uid="{88FCDB76-AEE1-4312-9DA1-6516B5C59801}"/>
    <cellStyle name="Normal 8 5 2 5 3" xfId="6526" xr:uid="{00000000-0005-0000-0000-0000301E0000}"/>
    <cellStyle name="Normal 8 5 2 5 3 2" xfId="14968" xr:uid="{4B35F48C-B861-47B5-96C2-EA389AEA202F}"/>
    <cellStyle name="Normal 8 5 2 5 4" xfId="10750" xr:uid="{A16ADEFF-6470-4874-8E06-DC8A697AD790}"/>
    <cellStyle name="Normal 8 5 2 6" xfId="2655" xr:uid="{00000000-0005-0000-0000-0000311E0000}"/>
    <cellStyle name="Normal 8 5 2 6 2" xfId="6939" xr:uid="{00000000-0005-0000-0000-0000321E0000}"/>
    <cellStyle name="Normal 8 5 2 6 2 2" xfId="15381" xr:uid="{B55B3525-EA01-4836-9EE3-525D3AB0CE2A}"/>
    <cellStyle name="Normal 8 5 2 6 3" xfId="11163" xr:uid="{D935FC04-ADF4-4FC1-9BFA-6F8FE686E02B}"/>
    <cellStyle name="Normal 8 5 2 7" xfId="4874" xr:uid="{00000000-0005-0000-0000-0000331E0000}"/>
    <cellStyle name="Normal 8 5 2 7 2" xfId="13316" xr:uid="{822240FF-6CFD-47DF-8508-0A4064E6AFE5}"/>
    <cellStyle name="Normal 8 5 2 8" xfId="9098" xr:uid="{1BC76ECD-6069-403A-86EB-99668289CA92}"/>
    <cellStyle name="Normal 8 5 3" xfId="974" xr:uid="{00000000-0005-0000-0000-0000341E0000}"/>
    <cellStyle name="Normal 8 5 3 2" xfId="3208" xr:uid="{00000000-0005-0000-0000-0000351E0000}"/>
    <cellStyle name="Normal 8 5 3 2 2" xfId="7431" xr:uid="{00000000-0005-0000-0000-0000361E0000}"/>
    <cellStyle name="Normal 8 5 3 2 2 2" xfId="15873" xr:uid="{0B7AA36E-7BE0-46D0-89A6-D7A8C325416C}"/>
    <cellStyle name="Normal 8 5 3 2 3" xfId="11655" xr:uid="{527D20E3-C4B8-474D-9085-6CF3937008EF}"/>
    <cellStyle name="Normal 8 5 3 3" xfId="5286" xr:uid="{00000000-0005-0000-0000-0000371E0000}"/>
    <cellStyle name="Normal 8 5 3 3 2" xfId="13728" xr:uid="{A7C10347-FDC1-452C-8372-7B5FD265C27A}"/>
    <cellStyle name="Normal 8 5 3 4" xfId="9510" xr:uid="{0FAB66E1-711D-4C04-AC16-0B16B6377EF7}"/>
    <cellStyle name="Normal 8 5 4" xfId="1391" xr:uid="{00000000-0005-0000-0000-0000381E0000}"/>
    <cellStyle name="Normal 8 5 4 2" xfId="3621" xr:uid="{00000000-0005-0000-0000-0000391E0000}"/>
    <cellStyle name="Normal 8 5 4 2 2" xfId="7844" xr:uid="{00000000-0005-0000-0000-00003A1E0000}"/>
    <cellStyle name="Normal 8 5 4 2 2 2" xfId="16286" xr:uid="{7C48452B-7266-4B38-B6C5-621F09010EEE}"/>
    <cellStyle name="Normal 8 5 4 2 3" xfId="12068" xr:uid="{7078D884-4025-4813-9706-4FA30B82C72C}"/>
    <cellStyle name="Normal 8 5 4 3" xfId="5699" xr:uid="{00000000-0005-0000-0000-00003B1E0000}"/>
    <cellStyle name="Normal 8 5 4 3 2" xfId="14141" xr:uid="{43A61F1B-00B8-4A2D-A655-5978521BBF3E}"/>
    <cellStyle name="Normal 8 5 4 4" xfId="9923" xr:uid="{A4D2C887-97B6-478D-8773-83775A4A99B0}"/>
    <cellStyle name="Normal 8 5 5" xfId="1804" xr:uid="{00000000-0005-0000-0000-00003C1E0000}"/>
    <cellStyle name="Normal 8 5 5 2" xfId="4034" xr:uid="{00000000-0005-0000-0000-00003D1E0000}"/>
    <cellStyle name="Normal 8 5 5 2 2" xfId="8257" xr:uid="{00000000-0005-0000-0000-00003E1E0000}"/>
    <cellStyle name="Normal 8 5 5 2 2 2" xfId="16699" xr:uid="{4C247869-643D-442A-85C6-75D70F0EA277}"/>
    <cellStyle name="Normal 8 5 5 2 3" xfId="12481" xr:uid="{26AECA51-4E49-44D3-A2B8-29C08B39F61F}"/>
    <cellStyle name="Normal 8 5 5 3" xfId="6112" xr:uid="{00000000-0005-0000-0000-00003F1E0000}"/>
    <cellStyle name="Normal 8 5 5 3 2" xfId="14554" xr:uid="{54C11390-BFD9-4EDF-B027-F7707192374E}"/>
    <cellStyle name="Normal 8 5 5 4" xfId="10336" xr:uid="{61CE8B9C-A676-4321-A3F6-DA37A6AA331A}"/>
    <cellStyle name="Normal 8 5 6" xfId="2218" xr:uid="{00000000-0005-0000-0000-0000401E0000}"/>
    <cellStyle name="Normal 8 5 6 2" xfId="4447" xr:uid="{00000000-0005-0000-0000-0000411E0000}"/>
    <cellStyle name="Normal 8 5 6 2 2" xfId="8670" xr:uid="{00000000-0005-0000-0000-0000421E0000}"/>
    <cellStyle name="Normal 8 5 6 2 2 2" xfId="17112" xr:uid="{38FD7F61-6254-4B3C-837F-0A9EDA036AEA}"/>
    <cellStyle name="Normal 8 5 6 2 3" xfId="12894" xr:uid="{EABEF0A8-C8B3-4D4B-B38E-E26E91BB1372}"/>
    <cellStyle name="Normal 8 5 6 3" xfId="6525" xr:uid="{00000000-0005-0000-0000-0000431E0000}"/>
    <cellStyle name="Normal 8 5 6 3 2" xfId="14967" xr:uid="{38D3DA50-9B5A-4C44-B701-BE5FAAA707AC}"/>
    <cellStyle name="Normal 8 5 6 4" xfId="10749" xr:uid="{31DDFEF5-11FB-43A1-9B74-8748F7A35DBE}"/>
    <cellStyle name="Normal 8 5 7" xfId="2654" xr:uid="{00000000-0005-0000-0000-0000441E0000}"/>
    <cellStyle name="Normal 8 5 7 2" xfId="6938" xr:uid="{00000000-0005-0000-0000-0000451E0000}"/>
    <cellStyle name="Normal 8 5 7 2 2" xfId="15380" xr:uid="{5460205A-043F-4448-B0FE-893BBEDE001F}"/>
    <cellStyle name="Normal 8 5 7 3" xfId="11162" xr:uid="{F1D6A60E-BCFE-4F0E-870E-1132077A9F77}"/>
    <cellStyle name="Normal 8 5 8" xfId="4873" xr:uid="{00000000-0005-0000-0000-0000461E0000}"/>
    <cellStyle name="Normal 8 5 8 2" xfId="13315" xr:uid="{3CB376CD-F2E5-441F-9C3B-0164BA6C3658}"/>
    <cellStyle name="Normal 8 5 9" xfId="9097" xr:uid="{80C21BA0-F399-437B-B339-0BDCE5986346}"/>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2 2 2" xfId="15875" xr:uid="{9B65860F-FCC9-4B73-8466-B6BCAA864C50}"/>
    <cellStyle name="Normal 8 6 2 2 3" xfId="11657" xr:uid="{1AF97658-E9BC-45FE-B0E1-9BED725F54AA}"/>
    <cellStyle name="Normal 8 6 2 3" xfId="5288" xr:uid="{00000000-0005-0000-0000-00004B1E0000}"/>
    <cellStyle name="Normal 8 6 2 3 2" xfId="13730" xr:uid="{46CFFB24-AC1C-4352-BACF-8331FB492D8C}"/>
    <cellStyle name="Normal 8 6 2 4" xfId="9512" xr:uid="{CE96A864-BC8D-4318-A08D-3472CB6099D9}"/>
    <cellStyle name="Normal 8 6 3" xfId="1393" xr:uid="{00000000-0005-0000-0000-00004C1E0000}"/>
    <cellStyle name="Normal 8 6 3 2" xfId="3623" xr:uid="{00000000-0005-0000-0000-00004D1E0000}"/>
    <cellStyle name="Normal 8 6 3 2 2" xfId="7846" xr:uid="{00000000-0005-0000-0000-00004E1E0000}"/>
    <cellStyle name="Normal 8 6 3 2 2 2" xfId="16288" xr:uid="{1FC384E7-A7DF-498D-8AA8-C804126B6116}"/>
    <cellStyle name="Normal 8 6 3 2 3" xfId="12070" xr:uid="{EE1E8916-906F-4777-B2B7-9D913CCA1D94}"/>
    <cellStyle name="Normal 8 6 3 3" xfId="5701" xr:uid="{00000000-0005-0000-0000-00004F1E0000}"/>
    <cellStyle name="Normal 8 6 3 3 2" xfId="14143" xr:uid="{F25A499F-10DC-4A28-9406-615FA71A4D5F}"/>
    <cellStyle name="Normal 8 6 3 4" xfId="9925" xr:uid="{7816668F-13C1-48B4-99E8-2EFD5EA36FF2}"/>
    <cellStyle name="Normal 8 6 4" xfId="1806" xr:uid="{00000000-0005-0000-0000-0000501E0000}"/>
    <cellStyle name="Normal 8 6 4 2" xfId="4036" xr:uid="{00000000-0005-0000-0000-0000511E0000}"/>
    <cellStyle name="Normal 8 6 4 2 2" xfId="8259" xr:uid="{00000000-0005-0000-0000-0000521E0000}"/>
    <cellStyle name="Normal 8 6 4 2 2 2" xfId="16701" xr:uid="{B2A0FE6D-E4DE-44A8-8D7A-CD38266E5DAE}"/>
    <cellStyle name="Normal 8 6 4 2 3" xfId="12483" xr:uid="{41FFDE59-1614-4104-8C0E-EEA8196C79C6}"/>
    <cellStyle name="Normal 8 6 4 3" xfId="6114" xr:uid="{00000000-0005-0000-0000-0000531E0000}"/>
    <cellStyle name="Normal 8 6 4 3 2" xfId="14556" xr:uid="{C2411256-A803-44AC-928C-B53F097D8963}"/>
    <cellStyle name="Normal 8 6 4 4" xfId="10338" xr:uid="{AAC04041-BF2D-4637-9884-4960B4381822}"/>
    <cellStyle name="Normal 8 6 5" xfId="2220" xr:uid="{00000000-0005-0000-0000-0000541E0000}"/>
    <cellStyle name="Normal 8 6 5 2" xfId="4449" xr:uid="{00000000-0005-0000-0000-0000551E0000}"/>
    <cellStyle name="Normal 8 6 5 2 2" xfId="8672" xr:uid="{00000000-0005-0000-0000-0000561E0000}"/>
    <cellStyle name="Normal 8 6 5 2 2 2" xfId="17114" xr:uid="{118A02D5-6BC0-4074-BC29-52C3A2BD68A7}"/>
    <cellStyle name="Normal 8 6 5 2 3" xfId="12896" xr:uid="{8879C3C2-BE90-491F-A31C-BDA41DB39168}"/>
    <cellStyle name="Normal 8 6 5 3" xfId="6527" xr:uid="{00000000-0005-0000-0000-0000571E0000}"/>
    <cellStyle name="Normal 8 6 5 3 2" xfId="14969" xr:uid="{1046671E-7F0A-442B-913D-0B39106B2D2F}"/>
    <cellStyle name="Normal 8 6 5 4" xfId="10751" xr:uid="{297C39F6-A99F-44EA-9146-9D664B0E4D27}"/>
    <cellStyle name="Normal 8 6 6" xfId="2656" xr:uid="{00000000-0005-0000-0000-0000581E0000}"/>
    <cellStyle name="Normal 8 6 6 2" xfId="6940" xr:uid="{00000000-0005-0000-0000-0000591E0000}"/>
    <cellStyle name="Normal 8 6 6 2 2" xfId="15382" xr:uid="{8A48BA38-5E00-4BA7-A95B-8A652652B240}"/>
    <cellStyle name="Normal 8 6 6 3" xfId="11164" xr:uid="{3EEC8CEC-0675-46ED-A3B2-7776DCE4C717}"/>
    <cellStyle name="Normal 8 6 7" xfId="4875" xr:uid="{00000000-0005-0000-0000-00005A1E0000}"/>
    <cellStyle name="Normal 8 6 7 2" xfId="13317" xr:uid="{A83B5CEB-9111-424F-8BC1-85495FB01C07}"/>
    <cellStyle name="Normal 8 6 8" xfId="9099" xr:uid="{E096D91E-59A5-43B9-9D66-545E2A436FE9}"/>
    <cellStyle name="Normal 8 7" xfId="945" xr:uid="{00000000-0005-0000-0000-00005B1E0000}"/>
    <cellStyle name="Normal 8 7 2" xfId="3179" xr:uid="{00000000-0005-0000-0000-00005C1E0000}"/>
    <cellStyle name="Normal 8 7 2 2" xfId="7402" xr:uid="{00000000-0005-0000-0000-00005D1E0000}"/>
    <cellStyle name="Normal 8 7 2 2 2" xfId="15844" xr:uid="{8361E61E-EDA4-430A-A1AE-E94FE74FD88B}"/>
    <cellStyle name="Normal 8 7 2 3" xfId="11626" xr:uid="{3EB51E36-5B7E-4511-B399-431F778A9D52}"/>
    <cellStyle name="Normal 8 7 3" xfId="5257" xr:uid="{00000000-0005-0000-0000-00005E1E0000}"/>
    <cellStyle name="Normal 8 7 3 2" xfId="13699" xr:uid="{B1B59C05-1853-4E2D-9809-D360EA32DB6C}"/>
    <cellStyle name="Normal 8 7 4" xfId="9481" xr:uid="{6E3E815D-F8DD-47FE-B420-885F56764C6D}"/>
    <cellStyle name="Normal 8 8" xfId="1362" xr:uid="{00000000-0005-0000-0000-00005F1E0000}"/>
    <cellStyle name="Normal 8 8 2" xfId="3592" xr:uid="{00000000-0005-0000-0000-0000601E0000}"/>
    <cellStyle name="Normal 8 8 2 2" xfId="7815" xr:uid="{00000000-0005-0000-0000-0000611E0000}"/>
    <cellStyle name="Normal 8 8 2 2 2" xfId="16257" xr:uid="{8E20BED8-3EAE-4B62-A0D7-AD4F25BC79AB}"/>
    <cellStyle name="Normal 8 8 2 3" xfId="12039" xr:uid="{6F3CA53E-C867-4014-ACD2-6BDE4A6BC614}"/>
    <cellStyle name="Normal 8 8 3" xfId="5670" xr:uid="{00000000-0005-0000-0000-0000621E0000}"/>
    <cellStyle name="Normal 8 8 3 2" xfId="14112" xr:uid="{1E1E8AC8-A5C7-4B5A-9044-7FB9093D5E74}"/>
    <cellStyle name="Normal 8 8 4" xfId="9894" xr:uid="{BE86F03F-5139-40C1-9859-D6E12D1F647F}"/>
    <cellStyle name="Normal 8 9" xfId="1775" xr:uid="{00000000-0005-0000-0000-0000631E0000}"/>
    <cellStyle name="Normal 8 9 2" xfId="4005" xr:uid="{00000000-0005-0000-0000-0000641E0000}"/>
    <cellStyle name="Normal 8 9 2 2" xfId="8228" xr:uid="{00000000-0005-0000-0000-0000651E0000}"/>
    <cellStyle name="Normal 8 9 2 2 2" xfId="16670" xr:uid="{21400C49-EDCD-4EC6-A405-F13490734387}"/>
    <cellStyle name="Normal 8 9 2 3" xfId="12452" xr:uid="{25F476BD-7840-418E-A973-45173C994EBF}"/>
    <cellStyle name="Normal 8 9 3" xfId="6083" xr:uid="{00000000-0005-0000-0000-0000661E0000}"/>
    <cellStyle name="Normal 8 9 3 2" xfId="14525" xr:uid="{7EEEF73A-84D3-43EB-A292-749490297918}"/>
    <cellStyle name="Normal 8 9 4" xfId="10307" xr:uid="{E129228D-8E79-49E6-9F61-523D3065F1D6}"/>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0 2 2" xfId="15383" xr:uid="{76C4CBA9-2548-4595-8B10-9CDF0460C968}"/>
    <cellStyle name="Normal 9 2 10 3" xfId="11165" xr:uid="{C99F4522-59D4-428E-9DD8-0FE650C53896}"/>
    <cellStyle name="Normal 9 2 11" xfId="4876" xr:uid="{00000000-0005-0000-0000-00006B1E0000}"/>
    <cellStyle name="Normal 9 2 11 2" xfId="13318" xr:uid="{A7D0A3F8-7909-4FD2-B7D1-CF926181FC79}"/>
    <cellStyle name="Normal 9 2 12" xfId="9100" xr:uid="{CE5F1063-C800-444C-8DF8-72C98B12EF9E}"/>
    <cellStyle name="Normal 9 2 2" xfId="512" xr:uid="{00000000-0005-0000-0000-00006C1E0000}"/>
    <cellStyle name="Normal 9 2 2 10" xfId="4877" xr:uid="{00000000-0005-0000-0000-00006D1E0000}"/>
    <cellStyle name="Normal 9 2 2 10 2" xfId="13319" xr:uid="{86EACAC0-5B60-4DF5-BB1C-F4B9F4DF4C8F}"/>
    <cellStyle name="Normal 9 2 2 11" xfId="9101" xr:uid="{59028AAA-33DA-46EB-BDF3-2809BD49A937}"/>
    <cellStyle name="Normal 9 2 2 2" xfId="513" xr:uid="{00000000-0005-0000-0000-00006E1E0000}"/>
    <cellStyle name="Normal 9 2 2 2 10" xfId="9102" xr:uid="{4FB2D80D-087C-4EFC-BAA2-AD8EAC72B817}"/>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2 2 2" xfId="15880" xr:uid="{72E0057D-81EB-4254-902D-2D914500A129}"/>
    <cellStyle name="Normal 9 2 2 2 2 2 2 2 3" xfId="11662" xr:uid="{E0ECF92D-7177-4D20-8867-6631C68BC655}"/>
    <cellStyle name="Normal 9 2 2 2 2 2 2 3" xfId="5293" xr:uid="{00000000-0005-0000-0000-0000741E0000}"/>
    <cellStyle name="Normal 9 2 2 2 2 2 2 3 2" xfId="13735" xr:uid="{C3124975-29ED-43D6-BE67-36D18D93BA9B}"/>
    <cellStyle name="Normal 9 2 2 2 2 2 2 4" xfId="9517" xr:uid="{B89CF084-DD79-4F23-8121-46994555147F}"/>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2 2 2" xfId="16293" xr:uid="{5B80A02D-1855-4565-B8B2-75625D469BF7}"/>
    <cellStyle name="Normal 9 2 2 2 2 2 3 2 3" xfId="12075" xr:uid="{998E9931-39D5-40C0-98B4-ECEAEF397960}"/>
    <cellStyle name="Normal 9 2 2 2 2 2 3 3" xfId="5706" xr:uid="{00000000-0005-0000-0000-0000781E0000}"/>
    <cellStyle name="Normal 9 2 2 2 2 2 3 3 2" xfId="14148" xr:uid="{AEB66704-F098-4D22-AEDC-E6A1C0154CBD}"/>
    <cellStyle name="Normal 9 2 2 2 2 2 3 4" xfId="9930" xr:uid="{1F4D66D2-98A2-4A50-8BDF-0850255D0A47}"/>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2 2 2" xfId="16706" xr:uid="{E44485CA-93CD-4846-B9E3-C4C9C6260631}"/>
    <cellStyle name="Normal 9 2 2 2 2 2 4 2 3" xfId="12488" xr:uid="{32EFFE86-71EC-45F2-9BF6-1DE121995657}"/>
    <cellStyle name="Normal 9 2 2 2 2 2 4 3" xfId="6119" xr:uid="{00000000-0005-0000-0000-00007C1E0000}"/>
    <cellStyle name="Normal 9 2 2 2 2 2 4 3 2" xfId="14561" xr:uid="{28FBCB05-6B6B-4567-89E5-701B85CC79CC}"/>
    <cellStyle name="Normal 9 2 2 2 2 2 4 4" xfId="10343" xr:uid="{E3E4AFD8-1E08-436F-9096-254A3A757596}"/>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2 2 2" xfId="17119" xr:uid="{7D10BCFC-573A-4591-9955-D3C7B062F59A}"/>
    <cellStyle name="Normal 9 2 2 2 2 2 5 2 3" xfId="12901" xr:uid="{8BAF885B-BCBC-46A1-95F8-F3DDCAD8D3AE}"/>
    <cellStyle name="Normal 9 2 2 2 2 2 5 3" xfId="6532" xr:uid="{00000000-0005-0000-0000-0000801E0000}"/>
    <cellStyle name="Normal 9 2 2 2 2 2 5 3 2" xfId="14974" xr:uid="{9F8CD485-804B-4353-A7D6-5AD89D0D5CA1}"/>
    <cellStyle name="Normal 9 2 2 2 2 2 5 4" xfId="10756" xr:uid="{64704B89-85B0-4486-A55E-31FBF2A658DE}"/>
    <cellStyle name="Normal 9 2 2 2 2 2 6" xfId="2661" xr:uid="{00000000-0005-0000-0000-0000811E0000}"/>
    <cellStyle name="Normal 9 2 2 2 2 2 6 2" xfId="6945" xr:uid="{00000000-0005-0000-0000-0000821E0000}"/>
    <cellStyle name="Normal 9 2 2 2 2 2 6 2 2" xfId="15387" xr:uid="{B719CDD4-E6BB-47C0-9391-4922745CAD75}"/>
    <cellStyle name="Normal 9 2 2 2 2 2 6 3" xfId="11169" xr:uid="{BC89F7EF-9A50-46A8-AD34-3122EAEFF95B}"/>
    <cellStyle name="Normal 9 2 2 2 2 2 7" xfId="4880" xr:uid="{00000000-0005-0000-0000-0000831E0000}"/>
    <cellStyle name="Normal 9 2 2 2 2 2 7 2" xfId="13322" xr:uid="{E7079757-FAE7-4CF4-BB8F-75524AFD10FF}"/>
    <cellStyle name="Normal 9 2 2 2 2 2 8" xfId="9104" xr:uid="{D5857910-D8A2-4A57-858F-4B1F58FCA34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2 2 2" xfId="15879" xr:uid="{BF9638AD-C210-4712-B19C-22E658732EFD}"/>
    <cellStyle name="Normal 9 2 2 2 2 3 2 3" xfId="11661" xr:uid="{ECB86F7C-E337-4656-9E10-5B4234AE2E31}"/>
    <cellStyle name="Normal 9 2 2 2 2 3 3" xfId="5292" xr:uid="{00000000-0005-0000-0000-0000871E0000}"/>
    <cellStyle name="Normal 9 2 2 2 2 3 3 2" xfId="13734" xr:uid="{A5126C2C-5A46-415E-9C8E-27916236F7C2}"/>
    <cellStyle name="Normal 9 2 2 2 2 3 4" xfId="9516" xr:uid="{80BC42C3-0AFB-4851-9106-554460650D84}"/>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2 2 2" xfId="16292" xr:uid="{ADC3C66D-62E1-4531-BE24-7B12E569B098}"/>
    <cellStyle name="Normal 9 2 2 2 2 4 2 3" xfId="12074" xr:uid="{D6AD418F-5ACC-400E-8D87-B0816674B977}"/>
    <cellStyle name="Normal 9 2 2 2 2 4 3" xfId="5705" xr:uid="{00000000-0005-0000-0000-00008B1E0000}"/>
    <cellStyle name="Normal 9 2 2 2 2 4 3 2" xfId="14147" xr:uid="{2B9942A3-B474-4578-97D7-30AACBF63813}"/>
    <cellStyle name="Normal 9 2 2 2 2 4 4" xfId="9929" xr:uid="{8BCD514C-DA8F-4B68-B954-D9DD8D5DD0DA}"/>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2 2 2" xfId="16705" xr:uid="{A03B8DD1-7154-40C6-8A89-8CA52027F063}"/>
    <cellStyle name="Normal 9 2 2 2 2 5 2 3" xfId="12487" xr:uid="{02424F1C-A215-48B8-9483-DDD2D85F0839}"/>
    <cellStyle name="Normal 9 2 2 2 2 5 3" xfId="6118" xr:uid="{00000000-0005-0000-0000-00008F1E0000}"/>
    <cellStyle name="Normal 9 2 2 2 2 5 3 2" xfId="14560" xr:uid="{30FD10FD-AD6D-481D-9B6D-D28E63F7CFE5}"/>
    <cellStyle name="Normal 9 2 2 2 2 5 4" xfId="10342" xr:uid="{4FFC8412-94E1-439A-9CAA-25F75A1769FF}"/>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2 2 2" xfId="17118" xr:uid="{F5333F2D-D0E8-465D-ADD2-82934A794E74}"/>
    <cellStyle name="Normal 9 2 2 2 2 6 2 3" xfId="12900" xr:uid="{1B5CA064-651B-46C7-9539-ADF3D3245676}"/>
    <cellStyle name="Normal 9 2 2 2 2 6 3" xfId="6531" xr:uid="{00000000-0005-0000-0000-0000931E0000}"/>
    <cellStyle name="Normal 9 2 2 2 2 6 3 2" xfId="14973" xr:uid="{A794EFE8-95A0-4B72-8F54-051C69C40A1B}"/>
    <cellStyle name="Normal 9 2 2 2 2 6 4" xfId="10755" xr:uid="{793BBC95-DA7E-4F0B-9333-9898E48BFFC6}"/>
    <cellStyle name="Normal 9 2 2 2 2 7" xfId="2660" xr:uid="{00000000-0005-0000-0000-0000941E0000}"/>
    <cellStyle name="Normal 9 2 2 2 2 7 2" xfId="6944" xr:uid="{00000000-0005-0000-0000-0000951E0000}"/>
    <cellStyle name="Normal 9 2 2 2 2 7 2 2" xfId="15386" xr:uid="{376A11C3-ED12-4F88-94FE-A59BCA6C90E6}"/>
    <cellStyle name="Normal 9 2 2 2 2 7 3" xfId="11168" xr:uid="{218B0230-5931-44BC-BDF0-1EDBAE58D743}"/>
    <cellStyle name="Normal 9 2 2 2 2 8" xfId="4879" xr:uid="{00000000-0005-0000-0000-0000961E0000}"/>
    <cellStyle name="Normal 9 2 2 2 2 8 2" xfId="13321" xr:uid="{27A87610-6343-4B16-8F76-A4600E317B8A}"/>
    <cellStyle name="Normal 9 2 2 2 2 9" xfId="9103" xr:uid="{D971B5C2-EA2B-4A0E-BF6C-BD656F50CB31}"/>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2 2 2" xfId="15881" xr:uid="{3D21FC51-FE68-4A27-BE3C-330142315BA1}"/>
    <cellStyle name="Normal 9 2 2 2 3 2 2 3" xfId="11663" xr:uid="{D6BF9EB6-6015-4B04-A966-F394A2879DEE}"/>
    <cellStyle name="Normal 9 2 2 2 3 2 3" xfId="5294" xr:uid="{00000000-0005-0000-0000-00009B1E0000}"/>
    <cellStyle name="Normal 9 2 2 2 3 2 3 2" xfId="13736" xr:uid="{B500FFEB-EC3C-434A-9B52-BC98C9545CD1}"/>
    <cellStyle name="Normal 9 2 2 2 3 2 4" xfId="9518" xr:uid="{655CBA52-9ED0-484E-9CB5-3D3948A68B74}"/>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2 2 2" xfId="16294" xr:uid="{DDE82591-D2FC-48E2-9C43-D1CC1B69F92A}"/>
    <cellStyle name="Normal 9 2 2 2 3 3 2 3" xfId="12076" xr:uid="{4D6D5455-9089-438E-A40C-7D9B7465123D}"/>
    <cellStyle name="Normal 9 2 2 2 3 3 3" xfId="5707" xr:uid="{00000000-0005-0000-0000-00009F1E0000}"/>
    <cellStyle name="Normal 9 2 2 2 3 3 3 2" xfId="14149" xr:uid="{CBA34469-DE05-48A3-A513-2C50EC335FC1}"/>
    <cellStyle name="Normal 9 2 2 2 3 3 4" xfId="9931" xr:uid="{3EED5E3B-0340-4B3F-9DBA-7C7FCCF997D4}"/>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2 2 2" xfId="16707" xr:uid="{13AA7EB5-8DAE-4532-94C9-BA695B4B6892}"/>
    <cellStyle name="Normal 9 2 2 2 3 4 2 3" xfId="12489" xr:uid="{FF874085-7A66-4117-9CB0-CCD2BDD0A6D6}"/>
    <cellStyle name="Normal 9 2 2 2 3 4 3" xfId="6120" xr:uid="{00000000-0005-0000-0000-0000A31E0000}"/>
    <cellStyle name="Normal 9 2 2 2 3 4 3 2" xfId="14562" xr:uid="{5D700088-DC6B-4D3B-80BD-381B2DDA597D}"/>
    <cellStyle name="Normal 9 2 2 2 3 4 4" xfId="10344" xr:uid="{F3CAC0BD-21C1-4D21-9E94-58E629F97973}"/>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2 2 2" xfId="17120" xr:uid="{9B6353DF-0F62-4D65-82AC-5DB9C4FFF52E}"/>
    <cellStyle name="Normal 9 2 2 2 3 5 2 3" xfId="12902" xr:uid="{D0E49464-D6FD-486D-9104-0A38AFFF0A4E}"/>
    <cellStyle name="Normal 9 2 2 2 3 5 3" xfId="6533" xr:uid="{00000000-0005-0000-0000-0000A71E0000}"/>
    <cellStyle name="Normal 9 2 2 2 3 5 3 2" xfId="14975" xr:uid="{773D1C27-AB5A-478A-859A-D1C4CC9B3D98}"/>
    <cellStyle name="Normal 9 2 2 2 3 5 4" xfId="10757" xr:uid="{DF4B535C-8211-44D5-8C26-928B1848ED4C}"/>
    <cellStyle name="Normal 9 2 2 2 3 6" xfId="2662" xr:uid="{00000000-0005-0000-0000-0000A81E0000}"/>
    <cellStyle name="Normal 9 2 2 2 3 6 2" xfId="6946" xr:uid="{00000000-0005-0000-0000-0000A91E0000}"/>
    <cellStyle name="Normal 9 2 2 2 3 6 2 2" xfId="15388" xr:uid="{DF705ADC-3961-4607-B38B-8FF9C24D80E4}"/>
    <cellStyle name="Normal 9 2 2 2 3 6 3" xfId="11170" xr:uid="{C9EFA155-4400-46B4-8930-DC2F348BA23A}"/>
    <cellStyle name="Normal 9 2 2 2 3 7" xfId="4881" xr:uid="{00000000-0005-0000-0000-0000AA1E0000}"/>
    <cellStyle name="Normal 9 2 2 2 3 7 2" xfId="13323" xr:uid="{6C4B80A8-95D8-4BFD-80C0-F1FF6B04AA1F}"/>
    <cellStyle name="Normal 9 2 2 2 3 8" xfId="9105" xr:uid="{59FDD9DD-763A-434F-92A3-198B17841CC7}"/>
    <cellStyle name="Normal 9 2 2 2 4" xfId="980" xr:uid="{00000000-0005-0000-0000-0000AB1E0000}"/>
    <cellStyle name="Normal 9 2 2 2 4 2" xfId="3213" xr:uid="{00000000-0005-0000-0000-0000AC1E0000}"/>
    <cellStyle name="Normal 9 2 2 2 4 2 2" xfId="7436" xr:uid="{00000000-0005-0000-0000-0000AD1E0000}"/>
    <cellStyle name="Normal 9 2 2 2 4 2 2 2" xfId="15878" xr:uid="{659320E8-3317-402F-B8E2-BC93D8BA8647}"/>
    <cellStyle name="Normal 9 2 2 2 4 2 3" xfId="11660" xr:uid="{7A0443D7-DFA7-4590-9A96-EDA2A61FA3A9}"/>
    <cellStyle name="Normal 9 2 2 2 4 3" xfId="5291" xr:uid="{00000000-0005-0000-0000-0000AE1E0000}"/>
    <cellStyle name="Normal 9 2 2 2 4 3 2" xfId="13733" xr:uid="{9157C694-04D2-4721-8CC0-203483B94406}"/>
    <cellStyle name="Normal 9 2 2 2 4 4" xfId="9515" xr:uid="{7071D6F7-68B5-47EC-B80F-E21018B67A28}"/>
    <cellStyle name="Normal 9 2 2 2 5" xfId="1396" xr:uid="{00000000-0005-0000-0000-0000AF1E0000}"/>
    <cellStyle name="Normal 9 2 2 2 5 2" xfId="3626" xr:uid="{00000000-0005-0000-0000-0000B01E0000}"/>
    <cellStyle name="Normal 9 2 2 2 5 2 2" xfId="7849" xr:uid="{00000000-0005-0000-0000-0000B11E0000}"/>
    <cellStyle name="Normal 9 2 2 2 5 2 2 2" xfId="16291" xr:uid="{DDCE151B-8BF3-4EDE-8A7A-24071825BBF4}"/>
    <cellStyle name="Normal 9 2 2 2 5 2 3" xfId="12073" xr:uid="{EBCE78E4-27A3-4992-AA08-1318D4667840}"/>
    <cellStyle name="Normal 9 2 2 2 5 3" xfId="5704" xr:uid="{00000000-0005-0000-0000-0000B21E0000}"/>
    <cellStyle name="Normal 9 2 2 2 5 3 2" xfId="14146" xr:uid="{4A355326-AA26-4D18-8FCA-2B08EDCEAC3B}"/>
    <cellStyle name="Normal 9 2 2 2 5 4" xfId="9928" xr:uid="{613BC29F-C895-44B1-A9B9-047394E40669}"/>
    <cellStyle name="Normal 9 2 2 2 6" xfId="1809" xr:uid="{00000000-0005-0000-0000-0000B31E0000}"/>
    <cellStyle name="Normal 9 2 2 2 6 2" xfId="4039" xr:uid="{00000000-0005-0000-0000-0000B41E0000}"/>
    <cellStyle name="Normal 9 2 2 2 6 2 2" xfId="8262" xr:uid="{00000000-0005-0000-0000-0000B51E0000}"/>
    <cellStyle name="Normal 9 2 2 2 6 2 2 2" xfId="16704" xr:uid="{BCC54F81-858B-4BC0-9BC6-EF4F5E7540E7}"/>
    <cellStyle name="Normal 9 2 2 2 6 2 3" xfId="12486" xr:uid="{B4DBC666-21DC-4184-BA05-87C672864BB7}"/>
    <cellStyle name="Normal 9 2 2 2 6 3" xfId="6117" xr:uid="{00000000-0005-0000-0000-0000B61E0000}"/>
    <cellStyle name="Normal 9 2 2 2 6 3 2" xfId="14559" xr:uid="{DA20A334-1619-40F0-95B1-48B8ABC3E01E}"/>
    <cellStyle name="Normal 9 2 2 2 6 4" xfId="10341" xr:uid="{DCEFA1DA-C38E-4FFC-A976-16E5F97DCEEF}"/>
    <cellStyle name="Normal 9 2 2 2 7" xfId="2223" xr:uid="{00000000-0005-0000-0000-0000B71E0000}"/>
    <cellStyle name="Normal 9 2 2 2 7 2" xfId="4452" xr:uid="{00000000-0005-0000-0000-0000B81E0000}"/>
    <cellStyle name="Normal 9 2 2 2 7 2 2" xfId="8675" xr:uid="{00000000-0005-0000-0000-0000B91E0000}"/>
    <cellStyle name="Normal 9 2 2 2 7 2 2 2" xfId="17117" xr:uid="{7898F820-C1AA-4BC3-8C50-0DC0B31E419C}"/>
    <cellStyle name="Normal 9 2 2 2 7 2 3" xfId="12899" xr:uid="{E1AB1CF7-F10F-4B2C-84F2-2087088236EF}"/>
    <cellStyle name="Normal 9 2 2 2 7 3" xfId="6530" xr:uid="{00000000-0005-0000-0000-0000BA1E0000}"/>
    <cellStyle name="Normal 9 2 2 2 7 3 2" xfId="14972" xr:uid="{99236083-9D8F-4BCB-83EE-63A1880BFE6F}"/>
    <cellStyle name="Normal 9 2 2 2 7 4" xfId="10754" xr:uid="{ABD6F240-BEDD-4F45-A737-4F66CEB2D5EA}"/>
    <cellStyle name="Normal 9 2 2 2 8" xfId="2659" xr:uid="{00000000-0005-0000-0000-0000BB1E0000}"/>
    <cellStyle name="Normal 9 2 2 2 8 2" xfId="6943" xr:uid="{00000000-0005-0000-0000-0000BC1E0000}"/>
    <cellStyle name="Normal 9 2 2 2 8 2 2" xfId="15385" xr:uid="{BEFDB1F4-B60F-4AB8-9D0E-062098719BE3}"/>
    <cellStyle name="Normal 9 2 2 2 8 3" xfId="11167" xr:uid="{47122657-0F8D-4AE4-96B9-0B3F7E4A054D}"/>
    <cellStyle name="Normal 9 2 2 2 9" xfId="4878" xr:uid="{00000000-0005-0000-0000-0000BD1E0000}"/>
    <cellStyle name="Normal 9 2 2 2 9 2" xfId="13320" xr:uid="{4FD0236D-84A3-4E6D-B889-C46857316356}"/>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2 2 2" xfId="15883" xr:uid="{1CCBDC0C-ECE8-4767-BFEB-CECDC7D9AFB7}"/>
    <cellStyle name="Normal 9 2 2 3 2 2 2 3" xfId="11665" xr:uid="{5859E323-DD10-49C4-8C2B-1700E1196176}"/>
    <cellStyle name="Normal 9 2 2 3 2 2 3" xfId="5296" xr:uid="{00000000-0005-0000-0000-0000C31E0000}"/>
    <cellStyle name="Normal 9 2 2 3 2 2 3 2" xfId="13738" xr:uid="{4B18A311-AE4E-44B8-9072-E5057B5460C4}"/>
    <cellStyle name="Normal 9 2 2 3 2 2 4" xfId="9520" xr:uid="{E74B0B47-83D4-4E93-AD07-CA19AAC5A477}"/>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2 2 2" xfId="16296" xr:uid="{2298D9EA-EEBA-43E9-AA3B-1A46E625445E}"/>
    <cellStyle name="Normal 9 2 2 3 2 3 2 3" xfId="12078" xr:uid="{5CEDDE74-B9AF-405F-9CD1-7773BCC2F20F}"/>
    <cellStyle name="Normal 9 2 2 3 2 3 3" xfId="5709" xr:uid="{00000000-0005-0000-0000-0000C71E0000}"/>
    <cellStyle name="Normal 9 2 2 3 2 3 3 2" xfId="14151" xr:uid="{391FFC9F-615D-4925-9927-68640448C01C}"/>
    <cellStyle name="Normal 9 2 2 3 2 3 4" xfId="9933" xr:uid="{48F98A23-5381-4F2C-95D8-A9852FCCD32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2 2 2" xfId="16709" xr:uid="{87FDF1D2-4C95-42AF-B4F7-2383BD1FB566}"/>
    <cellStyle name="Normal 9 2 2 3 2 4 2 3" xfId="12491" xr:uid="{451225A0-5A91-47AD-85B2-FE0338645EA9}"/>
    <cellStyle name="Normal 9 2 2 3 2 4 3" xfId="6122" xr:uid="{00000000-0005-0000-0000-0000CB1E0000}"/>
    <cellStyle name="Normal 9 2 2 3 2 4 3 2" xfId="14564" xr:uid="{71B7AD60-5E03-41D0-8549-60C9BB5CDA17}"/>
    <cellStyle name="Normal 9 2 2 3 2 4 4" xfId="10346" xr:uid="{F7EE091F-FE22-4CE6-83F5-CC75FA333F0F}"/>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2 2 2" xfId="17122" xr:uid="{C088BABC-33F4-4684-BFCA-F760AECD7C2D}"/>
    <cellStyle name="Normal 9 2 2 3 2 5 2 3" xfId="12904" xr:uid="{06F35631-642B-425B-8E5D-3AB71DB69489}"/>
    <cellStyle name="Normal 9 2 2 3 2 5 3" xfId="6535" xr:uid="{00000000-0005-0000-0000-0000CF1E0000}"/>
    <cellStyle name="Normal 9 2 2 3 2 5 3 2" xfId="14977" xr:uid="{BC020145-FC2E-46BF-A9EC-E2FAFE13752D}"/>
    <cellStyle name="Normal 9 2 2 3 2 5 4" xfId="10759" xr:uid="{3F079868-CC2D-42BD-81EC-6EBD4CFAE2F7}"/>
    <cellStyle name="Normal 9 2 2 3 2 6" xfId="2664" xr:uid="{00000000-0005-0000-0000-0000D01E0000}"/>
    <cellStyle name="Normal 9 2 2 3 2 6 2" xfId="6948" xr:uid="{00000000-0005-0000-0000-0000D11E0000}"/>
    <cellStyle name="Normal 9 2 2 3 2 6 2 2" xfId="15390" xr:uid="{D3F0ACF2-8DA3-4876-A4B3-8944280ADFFC}"/>
    <cellStyle name="Normal 9 2 2 3 2 6 3" xfId="11172" xr:uid="{5BC1A973-2F70-43A3-B3E8-90CF9F024D3D}"/>
    <cellStyle name="Normal 9 2 2 3 2 7" xfId="4883" xr:uid="{00000000-0005-0000-0000-0000D21E0000}"/>
    <cellStyle name="Normal 9 2 2 3 2 7 2" xfId="13325" xr:uid="{540ED8C0-4C23-43AC-9DE2-D4E20D3A4EE4}"/>
    <cellStyle name="Normal 9 2 2 3 2 8" xfId="9107" xr:uid="{344483B6-2B79-4181-8CF3-D7B0041580D4}"/>
    <cellStyle name="Normal 9 2 2 3 3" xfId="984" xr:uid="{00000000-0005-0000-0000-0000D31E0000}"/>
    <cellStyle name="Normal 9 2 2 3 3 2" xfId="3217" xr:uid="{00000000-0005-0000-0000-0000D41E0000}"/>
    <cellStyle name="Normal 9 2 2 3 3 2 2" xfId="7440" xr:uid="{00000000-0005-0000-0000-0000D51E0000}"/>
    <cellStyle name="Normal 9 2 2 3 3 2 2 2" xfId="15882" xr:uid="{B10F8217-B71B-4134-A05D-FD4E6CC86A80}"/>
    <cellStyle name="Normal 9 2 2 3 3 2 3" xfId="11664" xr:uid="{ECC9B03C-4F5D-4E7F-9FCB-682487D8D82F}"/>
    <cellStyle name="Normal 9 2 2 3 3 3" xfId="5295" xr:uid="{00000000-0005-0000-0000-0000D61E0000}"/>
    <cellStyle name="Normal 9 2 2 3 3 3 2" xfId="13737" xr:uid="{295D20E8-5ED9-4E32-8EE1-F9FA38AF6224}"/>
    <cellStyle name="Normal 9 2 2 3 3 4" xfId="9519" xr:uid="{AB92F67B-64E6-451F-815E-7244D091BF94}"/>
    <cellStyle name="Normal 9 2 2 3 4" xfId="1400" xr:uid="{00000000-0005-0000-0000-0000D71E0000}"/>
    <cellStyle name="Normal 9 2 2 3 4 2" xfId="3630" xr:uid="{00000000-0005-0000-0000-0000D81E0000}"/>
    <cellStyle name="Normal 9 2 2 3 4 2 2" xfId="7853" xr:uid="{00000000-0005-0000-0000-0000D91E0000}"/>
    <cellStyle name="Normal 9 2 2 3 4 2 2 2" xfId="16295" xr:uid="{56F38DE7-B22C-44CB-9F02-63E37A81CDF6}"/>
    <cellStyle name="Normal 9 2 2 3 4 2 3" xfId="12077" xr:uid="{6F540F83-D082-421A-858F-7D5C69BEA651}"/>
    <cellStyle name="Normal 9 2 2 3 4 3" xfId="5708" xr:uid="{00000000-0005-0000-0000-0000DA1E0000}"/>
    <cellStyle name="Normal 9 2 2 3 4 3 2" xfId="14150" xr:uid="{978F3F8B-20F7-4B9B-BCE2-F17706022116}"/>
    <cellStyle name="Normal 9 2 2 3 4 4" xfId="9932" xr:uid="{7ACBE69E-40B2-4827-AB1A-C6FDA23E2012}"/>
    <cellStyle name="Normal 9 2 2 3 5" xfId="1813" xr:uid="{00000000-0005-0000-0000-0000DB1E0000}"/>
    <cellStyle name="Normal 9 2 2 3 5 2" xfId="4043" xr:uid="{00000000-0005-0000-0000-0000DC1E0000}"/>
    <cellStyle name="Normal 9 2 2 3 5 2 2" xfId="8266" xr:uid="{00000000-0005-0000-0000-0000DD1E0000}"/>
    <cellStyle name="Normal 9 2 2 3 5 2 2 2" xfId="16708" xr:uid="{03F3B010-ADB4-4BA6-A400-54DD84746213}"/>
    <cellStyle name="Normal 9 2 2 3 5 2 3" xfId="12490" xr:uid="{AC9D67F6-4A32-437F-8AD9-DF6C67F9739D}"/>
    <cellStyle name="Normal 9 2 2 3 5 3" xfId="6121" xr:uid="{00000000-0005-0000-0000-0000DE1E0000}"/>
    <cellStyle name="Normal 9 2 2 3 5 3 2" xfId="14563" xr:uid="{2B423355-867F-40C0-B43E-04F54EFFDF84}"/>
    <cellStyle name="Normal 9 2 2 3 5 4" xfId="10345" xr:uid="{F9ABFE18-9113-4624-B2DB-077F6F84ED77}"/>
    <cellStyle name="Normal 9 2 2 3 6" xfId="2227" xr:uid="{00000000-0005-0000-0000-0000DF1E0000}"/>
    <cellStyle name="Normal 9 2 2 3 6 2" xfId="4456" xr:uid="{00000000-0005-0000-0000-0000E01E0000}"/>
    <cellStyle name="Normal 9 2 2 3 6 2 2" xfId="8679" xr:uid="{00000000-0005-0000-0000-0000E11E0000}"/>
    <cellStyle name="Normal 9 2 2 3 6 2 2 2" xfId="17121" xr:uid="{990857D1-887C-424F-8AB9-D4AFCE22C8DB}"/>
    <cellStyle name="Normal 9 2 2 3 6 2 3" xfId="12903" xr:uid="{BD007000-CFE8-4515-8539-DAC90675B249}"/>
    <cellStyle name="Normal 9 2 2 3 6 3" xfId="6534" xr:uid="{00000000-0005-0000-0000-0000E21E0000}"/>
    <cellStyle name="Normal 9 2 2 3 6 3 2" xfId="14976" xr:uid="{EBC40121-101C-4CC3-A545-A62A930C7AB7}"/>
    <cellStyle name="Normal 9 2 2 3 6 4" xfId="10758" xr:uid="{25CA77A3-E69D-4EB3-88B2-39414582F416}"/>
    <cellStyle name="Normal 9 2 2 3 7" xfId="2663" xr:uid="{00000000-0005-0000-0000-0000E31E0000}"/>
    <cellStyle name="Normal 9 2 2 3 7 2" xfId="6947" xr:uid="{00000000-0005-0000-0000-0000E41E0000}"/>
    <cellStyle name="Normal 9 2 2 3 7 2 2" xfId="15389" xr:uid="{36DA4892-D70C-43FF-BC95-CFC1367479D0}"/>
    <cellStyle name="Normal 9 2 2 3 7 3" xfId="11171" xr:uid="{6BE54096-155E-4FEA-9B75-C54DE50671CF}"/>
    <cellStyle name="Normal 9 2 2 3 8" xfId="4882" xr:uid="{00000000-0005-0000-0000-0000E51E0000}"/>
    <cellStyle name="Normal 9 2 2 3 8 2" xfId="13324" xr:uid="{409A2FA6-C788-4D85-ACB3-33E5DE536F3B}"/>
    <cellStyle name="Normal 9 2 2 3 9" xfId="9106" xr:uid="{9E57483A-21C9-4D91-BF8A-986C97AB223F}"/>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2 2 2" xfId="15884" xr:uid="{F74D849D-2EF3-40E3-95D0-8CCD075B8C14}"/>
    <cellStyle name="Normal 9 2 2 4 2 2 3" xfId="11666" xr:uid="{1009BB18-5D87-4EB7-86FC-775A57AF7822}"/>
    <cellStyle name="Normal 9 2 2 4 2 3" xfId="5297" xr:uid="{00000000-0005-0000-0000-0000EA1E0000}"/>
    <cellStyle name="Normal 9 2 2 4 2 3 2" xfId="13739" xr:uid="{494E728F-86E9-4360-99D9-A0951AEC18D2}"/>
    <cellStyle name="Normal 9 2 2 4 2 4" xfId="9521" xr:uid="{322F3060-647E-4238-8E08-A80A909A4125}"/>
    <cellStyle name="Normal 9 2 2 4 3" xfId="1402" xr:uid="{00000000-0005-0000-0000-0000EB1E0000}"/>
    <cellStyle name="Normal 9 2 2 4 3 2" xfId="3632" xr:uid="{00000000-0005-0000-0000-0000EC1E0000}"/>
    <cellStyle name="Normal 9 2 2 4 3 2 2" xfId="7855" xr:uid="{00000000-0005-0000-0000-0000ED1E0000}"/>
    <cellStyle name="Normal 9 2 2 4 3 2 2 2" xfId="16297" xr:uid="{C9835E32-8E40-490F-AEEB-1F09D4752363}"/>
    <cellStyle name="Normal 9 2 2 4 3 2 3" xfId="12079" xr:uid="{D5763F0A-B3BA-44F6-B6F5-C8EF19A5B6AE}"/>
    <cellStyle name="Normal 9 2 2 4 3 3" xfId="5710" xr:uid="{00000000-0005-0000-0000-0000EE1E0000}"/>
    <cellStyle name="Normal 9 2 2 4 3 3 2" xfId="14152" xr:uid="{4865A4C2-D5BF-484E-8E8A-D5A964A5A7F5}"/>
    <cellStyle name="Normal 9 2 2 4 3 4" xfId="9934" xr:uid="{C484C933-9C1F-4C6E-A8AF-AAB317803E58}"/>
    <cellStyle name="Normal 9 2 2 4 4" xfId="1815" xr:uid="{00000000-0005-0000-0000-0000EF1E0000}"/>
    <cellStyle name="Normal 9 2 2 4 4 2" xfId="4045" xr:uid="{00000000-0005-0000-0000-0000F01E0000}"/>
    <cellStyle name="Normal 9 2 2 4 4 2 2" xfId="8268" xr:uid="{00000000-0005-0000-0000-0000F11E0000}"/>
    <cellStyle name="Normal 9 2 2 4 4 2 2 2" xfId="16710" xr:uid="{B6E2144B-E307-4942-931B-ADEF122D52EF}"/>
    <cellStyle name="Normal 9 2 2 4 4 2 3" xfId="12492" xr:uid="{CD9F6D26-488E-4F36-942A-E2A832254E2F}"/>
    <cellStyle name="Normal 9 2 2 4 4 3" xfId="6123" xr:uid="{00000000-0005-0000-0000-0000F21E0000}"/>
    <cellStyle name="Normal 9 2 2 4 4 3 2" xfId="14565" xr:uid="{E88F435D-88FA-4BD0-BF8A-048878EA7B5B}"/>
    <cellStyle name="Normal 9 2 2 4 4 4" xfId="10347" xr:uid="{1791D084-F519-4D82-818A-EC1C312596CF}"/>
    <cellStyle name="Normal 9 2 2 4 5" xfId="2229" xr:uid="{00000000-0005-0000-0000-0000F31E0000}"/>
    <cellStyle name="Normal 9 2 2 4 5 2" xfId="4458" xr:uid="{00000000-0005-0000-0000-0000F41E0000}"/>
    <cellStyle name="Normal 9 2 2 4 5 2 2" xfId="8681" xr:uid="{00000000-0005-0000-0000-0000F51E0000}"/>
    <cellStyle name="Normal 9 2 2 4 5 2 2 2" xfId="17123" xr:uid="{A626A883-E288-4573-9B2C-77CC4AF12818}"/>
    <cellStyle name="Normal 9 2 2 4 5 2 3" xfId="12905" xr:uid="{C075F788-96B7-4E2C-A7BE-18BC1351FD86}"/>
    <cellStyle name="Normal 9 2 2 4 5 3" xfId="6536" xr:uid="{00000000-0005-0000-0000-0000F61E0000}"/>
    <cellStyle name="Normal 9 2 2 4 5 3 2" xfId="14978" xr:uid="{85DA20EF-2D4C-44AF-AA4F-72C08566A0EC}"/>
    <cellStyle name="Normal 9 2 2 4 5 4" xfId="10760" xr:uid="{F4F70E7E-AB10-4813-9693-3D56894EDE11}"/>
    <cellStyle name="Normal 9 2 2 4 6" xfId="2665" xr:uid="{00000000-0005-0000-0000-0000F71E0000}"/>
    <cellStyle name="Normal 9 2 2 4 6 2" xfId="6949" xr:uid="{00000000-0005-0000-0000-0000F81E0000}"/>
    <cellStyle name="Normal 9 2 2 4 6 2 2" xfId="15391" xr:uid="{FC6C77DA-8DBF-4BAC-B368-022C6D1E150E}"/>
    <cellStyle name="Normal 9 2 2 4 6 3" xfId="11173" xr:uid="{B288143B-76BA-4FDD-AFFE-1F2F2F92C681}"/>
    <cellStyle name="Normal 9 2 2 4 7" xfId="4884" xr:uid="{00000000-0005-0000-0000-0000F91E0000}"/>
    <cellStyle name="Normal 9 2 2 4 7 2" xfId="13326" xr:uid="{0768ED4A-A945-4870-9EEA-51719E5A5E63}"/>
    <cellStyle name="Normal 9 2 2 4 8" xfId="9108" xr:uid="{BDE77917-A63A-4A45-9B37-785870FB407D}"/>
    <cellStyle name="Normal 9 2 2 5" xfId="979" xr:uid="{00000000-0005-0000-0000-0000FA1E0000}"/>
    <cellStyle name="Normal 9 2 2 5 2" xfId="3212" xr:uid="{00000000-0005-0000-0000-0000FB1E0000}"/>
    <cellStyle name="Normal 9 2 2 5 2 2" xfId="7435" xr:uid="{00000000-0005-0000-0000-0000FC1E0000}"/>
    <cellStyle name="Normal 9 2 2 5 2 2 2" xfId="15877" xr:uid="{59E16693-B651-4A16-A8C6-223214E0EC7D}"/>
    <cellStyle name="Normal 9 2 2 5 2 3" xfId="11659" xr:uid="{2C95FC5D-5305-4BC3-AFA3-FDBF0D6313B5}"/>
    <cellStyle name="Normal 9 2 2 5 3" xfId="5290" xr:uid="{00000000-0005-0000-0000-0000FD1E0000}"/>
    <cellStyle name="Normal 9 2 2 5 3 2" xfId="13732" xr:uid="{99902E43-1B4A-4A23-89C0-D3ED432DE437}"/>
    <cellStyle name="Normal 9 2 2 5 4" xfId="9514" xr:uid="{AFA0BBD2-1510-4524-9B8B-EE4032F7C36D}"/>
    <cellStyle name="Normal 9 2 2 6" xfId="1395" xr:uid="{00000000-0005-0000-0000-0000FE1E0000}"/>
    <cellStyle name="Normal 9 2 2 6 2" xfId="3625" xr:uid="{00000000-0005-0000-0000-0000FF1E0000}"/>
    <cellStyle name="Normal 9 2 2 6 2 2" xfId="7848" xr:uid="{00000000-0005-0000-0000-0000001F0000}"/>
    <cellStyle name="Normal 9 2 2 6 2 2 2" xfId="16290" xr:uid="{7E9E1939-7204-453F-8E8C-A53A05214E19}"/>
    <cellStyle name="Normal 9 2 2 6 2 3" xfId="12072" xr:uid="{54F3ECF0-B473-46C7-9F77-F06C57A05FB6}"/>
    <cellStyle name="Normal 9 2 2 6 3" xfId="5703" xr:uid="{00000000-0005-0000-0000-0000011F0000}"/>
    <cellStyle name="Normal 9 2 2 6 3 2" xfId="14145" xr:uid="{B471C181-6DFD-4036-B771-7F3820515A8B}"/>
    <cellStyle name="Normal 9 2 2 6 4" xfId="9927" xr:uid="{8B53CEA7-AC03-4003-8936-5474022FDCBE}"/>
    <cellStyle name="Normal 9 2 2 7" xfId="1808" xr:uid="{00000000-0005-0000-0000-0000021F0000}"/>
    <cellStyle name="Normal 9 2 2 7 2" xfId="4038" xr:uid="{00000000-0005-0000-0000-0000031F0000}"/>
    <cellStyle name="Normal 9 2 2 7 2 2" xfId="8261" xr:uid="{00000000-0005-0000-0000-0000041F0000}"/>
    <cellStyle name="Normal 9 2 2 7 2 2 2" xfId="16703" xr:uid="{FAD73AF1-386F-4B3B-BD3A-81BB932604C8}"/>
    <cellStyle name="Normal 9 2 2 7 2 3" xfId="12485" xr:uid="{C26E9C1E-5C56-4B84-90F7-1E5C0FEFEFA7}"/>
    <cellStyle name="Normal 9 2 2 7 3" xfId="6116" xr:uid="{00000000-0005-0000-0000-0000051F0000}"/>
    <cellStyle name="Normal 9 2 2 7 3 2" xfId="14558" xr:uid="{6BF0B2EF-C3FF-4436-A9D8-16A8959BAF17}"/>
    <cellStyle name="Normal 9 2 2 7 4" xfId="10340" xr:uid="{AA8E6A00-B76B-40B5-91A9-4DF2FD3FBD57}"/>
    <cellStyle name="Normal 9 2 2 8" xfId="2222" xr:uid="{00000000-0005-0000-0000-0000061F0000}"/>
    <cellStyle name="Normal 9 2 2 8 2" xfId="4451" xr:uid="{00000000-0005-0000-0000-0000071F0000}"/>
    <cellStyle name="Normal 9 2 2 8 2 2" xfId="8674" xr:uid="{00000000-0005-0000-0000-0000081F0000}"/>
    <cellStyle name="Normal 9 2 2 8 2 2 2" xfId="17116" xr:uid="{ED1C683E-38C1-4B08-B02F-CE192F75B04F}"/>
    <cellStyle name="Normal 9 2 2 8 2 3" xfId="12898" xr:uid="{2768923D-7FF9-4A49-AE08-FBDEA6A34FDF}"/>
    <cellStyle name="Normal 9 2 2 8 3" xfId="6529" xr:uid="{00000000-0005-0000-0000-0000091F0000}"/>
    <cellStyle name="Normal 9 2 2 8 3 2" xfId="14971" xr:uid="{78CD0DC6-2558-43B9-921C-B5205A5EFE92}"/>
    <cellStyle name="Normal 9 2 2 8 4" xfId="10753" xr:uid="{7B40249B-CE8C-41DD-B02C-14EA7F5B7B07}"/>
    <cellStyle name="Normal 9 2 2 9" xfId="2658" xr:uid="{00000000-0005-0000-0000-00000A1F0000}"/>
    <cellStyle name="Normal 9 2 2 9 2" xfId="6942" xr:uid="{00000000-0005-0000-0000-00000B1F0000}"/>
    <cellStyle name="Normal 9 2 2 9 2 2" xfId="15384" xr:uid="{123BD319-9A08-4EAB-BF24-796642099150}"/>
    <cellStyle name="Normal 9 2 2 9 3" xfId="11166" xr:uid="{798AFEA5-E69A-43CE-9CD6-D28F61729B33}"/>
    <cellStyle name="Normal 9 2 3" xfId="520" xr:uid="{00000000-0005-0000-0000-00000C1F0000}"/>
    <cellStyle name="Normal 9 2 3 10" xfId="9109" xr:uid="{CD7D46AE-EAA5-413B-B95E-4F6EAF8661C5}"/>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2 2 2" xfId="15887" xr:uid="{C8583CA9-7F60-403D-9278-7758E3C2BE0B}"/>
    <cellStyle name="Normal 9 2 3 2 2 2 2 3" xfId="11669" xr:uid="{70C586B9-83B3-4B3A-B17F-A6DE75CA19E8}"/>
    <cellStyle name="Normal 9 2 3 2 2 2 3" xfId="5300" xr:uid="{00000000-0005-0000-0000-0000121F0000}"/>
    <cellStyle name="Normal 9 2 3 2 2 2 3 2" xfId="13742" xr:uid="{92C3CD02-041A-4A9E-B82E-95E6252DE573}"/>
    <cellStyle name="Normal 9 2 3 2 2 2 4" xfId="9524" xr:uid="{485E54CE-CE4F-4132-8F78-D932163C6612}"/>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2 2 2" xfId="16300" xr:uid="{4515AC6B-1E9F-45D8-85FE-55A28925754E}"/>
    <cellStyle name="Normal 9 2 3 2 2 3 2 3" xfId="12082" xr:uid="{242B6159-81B5-486F-9228-15955A68B374}"/>
    <cellStyle name="Normal 9 2 3 2 2 3 3" xfId="5713" xr:uid="{00000000-0005-0000-0000-0000161F0000}"/>
    <cellStyle name="Normal 9 2 3 2 2 3 3 2" xfId="14155" xr:uid="{5CDCE28F-50F1-4F2D-918E-B3614EB75AFF}"/>
    <cellStyle name="Normal 9 2 3 2 2 3 4" xfId="9937" xr:uid="{773EAB9F-60F6-47FD-A00E-8DBC5C6C3512}"/>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2 2 2" xfId="16713" xr:uid="{7F6E44A6-4AF9-4633-A8EC-FAF7695E8390}"/>
    <cellStyle name="Normal 9 2 3 2 2 4 2 3" xfId="12495" xr:uid="{E83CE94C-2523-4CAD-8803-7EBD94EAC159}"/>
    <cellStyle name="Normal 9 2 3 2 2 4 3" xfId="6126" xr:uid="{00000000-0005-0000-0000-00001A1F0000}"/>
    <cellStyle name="Normal 9 2 3 2 2 4 3 2" xfId="14568" xr:uid="{19CD4D18-B22D-4AA4-BB2D-F22B982EAD70}"/>
    <cellStyle name="Normal 9 2 3 2 2 4 4" xfId="10350" xr:uid="{598F6568-361D-4F2F-8465-888F9791419E}"/>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2 2 2" xfId="17126" xr:uid="{85607280-B863-4747-926F-10804F6758C8}"/>
    <cellStyle name="Normal 9 2 3 2 2 5 2 3" xfId="12908" xr:uid="{39563FDA-DC2D-4C4E-91B3-41F283D541A5}"/>
    <cellStyle name="Normal 9 2 3 2 2 5 3" xfId="6539" xr:uid="{00000000-0005-0000-0000-00001E1F0000}"/>
    <cellStyle name="Normal 9 2 3 2 2 5 3 2" xfId="14981" xr:uid="{0D924B8B-6D8A-4E8C-A8B6-F40CF04C2F14}"/>
    <cellStyle name="Normal 9 2 3 2 2 5 4" xfId="10763" xr:uid="{C2915A39-CD2E-44AF-947E-87BC484D86CA}"/>
    <cellStyle name="Normal 9 2 3 2 2 6" xfId="2668" xr:uid="{00000000-0005-0000-0000-00001F1F0000}"/>
    <cellStyle name="Normal 9 2 3 2 2 6 2" xfId="6952" xr:uid="{00000000-0005-0000-0000-0000201F0000}"/>
    <cellStyle name="Normal 9 2 3 2 2 6 2 2" xfId="15394" xr:uid="{A1F534BC-1B1C-44E2-AE73-C58A16CCA08C}"/>
    <cellStyle name="Normal 9 2 3 2 2 6 3" xfId="11176" xr:uid="{0CFACFD0-0045-4762-BC40-86F6B7BE3BFC}"/>
    <cellStyle name="Normal 9 2 3 2 2 7" xfId="4887" xr:uid="{00000000-0005-0000-0000-0000211F0000}"/>
    <cellStyle name="Normal 9 2 3 2 2 7 2" xfId="13329" xr:uid="{C459271B-FBBF-4C3F-8F77-50275A4D0381}"/>
    <cellStyle name="Normal 9 2 3 2 2 8" xfId="9111" xr:uid="{D968C46A-9678-421B-9874-9FBDA0426AFF}"/>
    <cellStyle name="Normal 9 2 3 2 3" xfId="988" xr:uid="{00000000-0005-0000-0000-0000221F0000}"/>
    <cellStyle name="Normal 9 2 3 2 3 2" xfId="3221" xr:uid="{00000000-0005-0000-0000-0000231F0000}"/>
    <cellStyle name="Normal 9 2 3 2 3 2 2" xfId="7444" xr:uid="{00000000-0005-0000-0000-0000241F0000}"/>
    <cellStyle name="Normal 9 2 3 2 3 2 2 2" xfId="15886" xr:uid="{68A10123-1191-43BD-8F49-DC03F1AECF0E}"/>
    <cellStyle name="Normal 9 2 3 2 3 2 3" xfId="11668" xr:uid="{2FB08F84-D059-4840-8079-FE96D78E6CF3}"/>
    <cellStyle name="Normal 9 2 3 2 3 3" xfId="5299" xr:uid="{00000000-0005-0000-0000-0000251F0000}"/>
    <cellStyle name="Normal 9 2 3 2 3 3 2" xfId="13741" xr:uid="{FCFBCB5B-FE35-43F8-A90A-A3639F741DC0}"/>
    <cellStyle name="Normal 9 2 3 2 3 4" xfId="9523" xr:uid="{E2A1744B-718C-4BE4-985F-C001F87B6881}"/>
    <cellStyle name="Normal 9 2 3 2 4" xfId="1404" xr:uid="{00000000-0005-0000-0000-0000261F0000}"/>
    <cellStyle name="Normal 9 2 3 2 4 2" xfId="3634" xr:uid="{00000000-0005-0000-0000-0000271F0000}"/>
    <cellStyle name="Normal 9 2 3 2 4 2 2" xfId="7857" xr:uid="{00000000-0005-0000-0000-0000281F0000}"/>
    <cellStyle name="Normal 9 2 3 2 4 2 2 2" xfId="16299" xr:uid="{F0DF879C-DDBD-4A09-A8FF-A1DB6D9E6D5B}"/>
    <cellStyle name="Normal 9 2 3 2 4 2 3" xfId="12081" xr:uid="{100F74FB-EC79-4B79-8004-67131BF6E302}"/>
    <cellStyle name="Normal 9 2 3 2 4 3" xfId="5712" xr:uid="{00000000-0005-0000-0000-0000291F0000}"/>
    <cellStyle name="Normal 9 2 3 2 4 3 2" xfId="14154" xr:uid="{08ACE9AB-E898-4C46-AFD1-BE7A4894C78E}"/>
    <cellStyle name="Normal 9 2 3 2 4 4" xfId="9936" xr:uid="{3CA1E200-8524-4E0A-BB9A-A498148B393B}"/>
    <cellStyle name="Normal 9 2 3 2 5" xfId="1817" xr:uid="{00000000-0005-0000-0000-00002A1F0000}"/>
    <cellStyle name="Normal 9 2 3 2 5 2" xfId="4047" xr:uid="{00000000-0005-0000-0000-00002B1F0000}"/>
    <cellStyle name="Normal 9 2 3 2 5 2 2" xfId="8270" xr:uid="{00000000-0005-0000-0000-00002C1F0000}"/>
    <cellStyle name="Normal 9 2 3 2 5 2 2 2" xfId="16712" xr:uid="{0BED1442-DC0A-4962-91B8-D996FC4497BC}"/>
    <cellStyle name="Normal 9 2 3 2 5 2 3" xfId="12494" xr:uid="{CF34127A-8795-4A8E-A098-B26E54D5B5C6}"/>
    <cellStyle name="Normal 9 2 3 2 5 3" xfId="6125" xr:uid="{00000000-0005-0000-0000-00002D1F0000}"/>
    <cellStyle name="Normal 9 2 3 2 5 3 2" xfId="14567" xr:uid="{DEEBEF45-5DF4-44F6-B939-C0431EB11143}"/>
    <cellStyle name="Normal 9 2 3 2 5 4" xfId="10349" xr:uid="{4DB6C397-ED12-4B73-AB1B-CA12DDC32F9E}"/>
    <cellStyle name="Normal 9 2 3 2 6" xfId="2231" xr:uid="{00000000-0005-0000-0000-00002E1F0000}"/>
    <cellStyle name="Normal 9 2 3 2 6 2" xfId="4460" xr:uid="{00000000-0005-0000-0000-00002F1F0000}"/>
    <cellStyle name="Normal 9 2 3 2 6 2 2" xfId="8683" xr:uid="{00000000-0005-0000-0000-0000301F0000}"/>
    <cellStyle name="Normal 9 2 3 2 6 2 2 2" xfId="17125" xr:uid="{E85B6FB1-F241-4AC3-9E27-F9260729124F}"/>
    <cellStyle name="Normal 9 2 3 2 6 2 3" xfId="12907" xr:uid="{BDF805EC-F279-48F8-8E1D-4D8EC4C88F84}"/>
    <cellStyle name="Normal 9 2 3 2 6 3" xfId="6538" xr:uid="{00000000-0005-0000-0000-0000311F0000}"/>
    <cellStyle name="Normal 9 2 3 2 6 3 2" xfId="14980" xr:uid="{1BA262D5-31C7-40CE-8B86-0A70D7BBEDF4}"/>
    <cellStyle name="Normal 9 2 3 2 6 4" xfId="10762" xr:uid="{EAD4857D-180B-49B2-A291-F2C74D1C8E55}"/>
    <cellStyle name="Normal 9 2 3 2 7" xfId="2667" xr:uid="{00000000-0005-0000-0000-0000321F0000}"/>
    <cellStyle name="Normal 9 2 3 2 7 2" xfId="6951" xr:uid="{00000000-0005-0000-0000-0000331F0000}"/>
    <cellStyle name="Normal 9 2 3 2 7 2 2" xfId="15393" xr:uid="{9AC81178-FAAE-469F-B549-912F72AA54F2}"/>
    <cellStyle name="Normal 9 2 3 2 7 3" xfId="11175" xr:uid="{D53D4D9F-1141-4830-957F-9E0973DB68FB}"/>
    <cellStyle name="Normal 9 2 3 2 8" xfId="4886" xr:uid="{00000000-0005-0000-0000-0000341F0000}"/>
    <cellStyle name="Normal 9 2 3 2 8 2" xfId="13328" xr:uid="{BBBE3029-35A4-4593-81E3-12E39BC336AF}"/>
    <cellStyle name="Normal 9 2 3 2 9" xfId="9110" xr:uid="{2C1D7C42-457E-475B-839B-65F5EB51DB9E}"/>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2 2 2" xfId="15888" xr:uid="{11797DC6-AB73-4EBE-A267-34CB22983FDC}"/>
    <cellStyle name="Normal 9 2 3 3 2 2 3" xfId="11670" xr:uid="{24B9E1B2-B7B2-42EE-88F5-B4718EC5CDEC}"/>
    <cellStyle name="Normal 9 2 3 3 2 3" xfId="5301" xr:uid="{00000000-0005-0000-0000-0000391F0000}"/>
    <cellStyle name="Normal 9 2 3 3 2 3 2" xfId="13743" xr:uid="{D3027F31-52B1-40EE-99C8-DFF21139863C}"/>
    <cellStyle name="Normal 9 2 3 3 2 4" xfId="9525" xr:uid="{7DF78B83-FC9B-48CE-981E-4B684D5F7972}"/>
    <cellStyle name="Normal 9 2 3 3 3" xfId="1406" xr:uid="{00000000-0005-0000-0000-00003A1F0000}"/>
    <cellStyle name="Normal 9 2 3 3 3 2" xfId="3636" xr:uid="{00000000-0005-0000-0000-00003B1F0000}"/>
    <cellStyle name="Normal 9 2 3 3 3 2 2" xfId="7859" xr:uid="{00000000-0005-0000-0000-00003C1F0000}"/>
    <cellStyle name="Normal 9 2 3 3 3 2 2 2" xfId="16301" xr:uid="{4ADF3C8B-00FA-452E-8C9D-A0B972D72A90}"/>
    <cellStyle name="Normal 9 2 3 3 3 2 3" xfId="12083" xr:uid="{03DF7D6D-16C9-4F67-88E8-E360261F9FDD}"/>
    <cellStyle name="Normal 9 2 3 3 3 3" xfId="5714" xr:uid="{00000000-0005-0000-0000-00003D1F0000}"/>
    <cellStyle name="Normal 9 2 3 3 3 3 2" xfId="14156" xr:uid="{9FDCA1EB-95C0-4064-A13F-1684292207CE}"/>
    <cellStyle name="Normal 9 2 3 3 3 4" xfId="9938" xr:uid="{4C5EE434-0FF4-42F7-8E8D-F68B053E65B5}"/>
    <cellStyle name="Normal 9 2 3 3 4" xfId="1819" xr:uid="{00000000-0005-0000-0000-00003E1F0000}"/>
    <cellStyle name="Normal 9 2 3 3 4 2" xfId="4049" xr:uid="{00000000-0005-0000-0000-00003F1F0000}"/>
    <cellStyle name="Normal 9 2 3 3 4 2 2" xfId="8272" xr:uid="{00000000-0005-0000-0000-0000401F0000}"/>
    <cellStyle name="Normal 9 2 3 3 4 2 2 2" xfId="16714" xr:uid="{58338DE0-5FC5-4A3E-A041-2F7708A353D4}"/>
    <cellStyle name="Normal 9 2 3 3 4 2 3" xfId="12496" xr:uid="{94D690C3-850F-488F-A233-53D22B71A52B}"/>
    <cellStyle name="Normal 9 2 3 3 4 3" xfId="6127" xr:uid="{00000000-0005-0000-0000-0000411F0000}"/>
    <cellStyle name="Normal 9 2 3 3 4 3 2" xfId="14569" xr:uid="{00328757-C55E-4E77-BF21-CFA9A9D6050F}"/>
    <cellStyle name="Normal 9 2 3 3 4 4" xfId="10351" xr:uid="{00F58BFB-4074-4FA0-AAAB-1D6722AE22DF}"/>
    <cellStyle name="Normal 9 2 3 3 5" xfId="2233" xr:uid="{00000000-0005-0000-0000-0000421F0000}"/>
    <cellStyle name="Normal 9 2 3 3 5 2" xfId="4462" xr:uid="{00000000-0005-0000-0000-0000431F0000}"/>
    <cellStyle name="Normal 9 2 3 3 5 2 2" xfId="8685" xr:uid="{00000000-0005-0000-0000-0000441F0000}"/>
    <cellStyle name="Normal 9 2 3 3 5 2 2 2" xfId="17127" xr:uid="{96CEF580-A4FF-48B9-96EE-7F5A7A25B070}"/>
    <cellStyle name="Normal 9 2 3 3 5 2 3" xfId="12909" xr:uid="{35AB8741-8868-4D67-9B91-A61193D0B749}"/>
    <cellStyle name="Normal 9 2 3 3 5 3" xfId="6540" xr:uid="{00000000-0005-0000-0000-0000451F0000}"/>
    <cellStyle name="Normal 9 2 3 3 5 3 2" xfId="14982" xr:uid="{A9D43280-85B6-4777-B057-43353755DD06}"/>
    <cellStyle name="Normal 9 2 3 3 5 4" xfId="10764" xr:uid="{BFAEDF3E-D4FD-4625-9BC8-9D103B6BD98A}"/>
    <cellStyle name="Normal 9 2 3 3 6" xfId="2669" xr:uid="{00000000-0005-0000-0000-0000461F0000}"/>
    <cellStyle name="Normal 9 2 3 3 6 2" xfId="6953" xr:uid="{00000000-0005-0000-0000-0000471F0000}"/>
    <cellStyle name="Normal 9 2 3 3 6 2 2" xfId="15395" xr:uid="{694793A4-0DE7-4AE1-AE63-7B1602CBBF70}"/>
    <cellStyle name="Normal 9 2 3 3 6 3" xfId="11177" xr:uid="{31E0C2E6-5FA4-4E79-A15B-AAD14DB3FD3C}"/>
    <cellStyle name="Normal 9 2 3 3 7" xfId="4888" xr:uid="{00000000-0005-0000-0000-0000481F0000}"/>
    <cellStyle name="Normal 9 2 3 3 7 2" xfId="13330" xr:uid="{BBE15003-4D7B-45E3-AC73-A999D8F402D7}"/>
    <cellStyle name="Normal 9 2 3 3 8" xfId="9112" xr:uid="{181AF85E-A466-4435-97C3-402F2AD8BEED}"/>
    <cellStyle name="Normal 9 2 3 4" xfId="987" xr:uid="{00000000-0005-0000-0000-0000491F0000}"/>
    <cellStyle name="Normal 9 2 3 4 2" xfId="3220" xr:uid="{00000000-0005-0000-0000-00004A1F0000}"/>
    <cellStyle name="Normal 9 2 3 4 2 2" xfId="7443" xr:uid="{00000000-0005-0000-0000-00004B1F0000}"/>
    <cellStyle name="Normal 9 2 3 4 2 2 2" xfId="15885" xr:uid="{CDC654CC-69BF-4EA6-A0D5-AF96D21D19A7}"/>
    <cellStyle name="Normal 9 2 3 4 2 3" xfId="11667" xr:uid="{FBDE1F8F-53A4-4B9B-8063-DF6880DBABBF}"/>
    <cellStyle name="Normal 9 2 3 4 3" xfId="5298" xr:uid="{00000000-0005-0000-0000-00004C1F0000}"/>
    <cellStyle name="Normal 9 2 3 4 3 2" xfId="13740" xr:uid="{3A3EFC13-D42A-44B5-9B4E-7A11FDC61C79}"/>
    <cellStyle name="Normal 9 2 3 4 4" xfId="9522" xr:uid="{ED35870D-2F02-4EE4-BA83-510A424F76C6}"/>
    <cellStyle name="Normal 9 2 3 5" xfId="1403" xr:uid="{00000000-0005-0000-0000-00004D1F0000}"/>
    <cellStyle name="Normal 9 2 3 5 2" xfId="3633" xr:uid="{00000000-0005-0000-0000-00004E1F0000}"/>
    <cellStyle name="Normal 9 2 3 5 2 2" xfId="7856" xr:uid="{00000000-0005-0000-0000-00004F1F0000}"/>
    <cellStyle name="Normal 9 2 3 5 2 2 2" xfId="16298" xr:uid="{BBDE0C95-CB86-4C8A-BB87-8E29EC954E0A}"/>
    <cellStyle name="Normal 9 2 3 5 2 3" xfId="12080" xr:uid="{F737273B-2934-489C-8D61-9A02A617924E}"/>
    <cellStyle name="Normal 9 2 3 5 3" xfId="5711" xr:uid="{00000000-0005-0000-0000-0000501F0000}"/>
    <cellStyle name="Normal 9 2 3 5 3 2" xfId="14153" xr:uid="{9D026226-9E6D-47F6-9172-E3EB1B5B7A4F}"/>
    <cellStyle name="Normal 9 2 3 5 4" xfId="9935" xr:uid="{1248A85D-C675-4513-819D-0EE1FC30522F}"/>
    <cellStyle name="Normal 9 2 3 6" xfId="1816" xr:uid="{00000000-0005-0000-0000-0000511F0000}"/>
    <cellStyle name="Normal 9 2 3 6 2" xfId="4046" xr:uid="{00000000-0005-0000-0000-0000521F0000}"/>
    <cellStyle name="Normal 9 2 3 6 2 2" xfId="8269" xr:uid="{00000000-0005-0000-0000-0000531F0000}"/>
    <cellStyle name="Normal 9 2 3 6 2 2 2" xfId="16711" xr:uid="{A716FBB1-D9B9-4120-8A4E-6170E8380101}"/>
    <cellStyle name="Normal 9 2 3 6 2 3" xfId="12493" xr:uid="{E1F80477-530C-495A-BE3D-47C5929B101B}"/>
    <cellStyle name="Normal 9 2 3 6 3" xfId="6124" xr:uid="{00000000-0005-0000-0000-0000541F0000}"/>
    <cellStyle name="Normal 9 2 3 6 3 2" xfId="14566" xr:uid="{CB2D3347-BEA9-4BD6-B103-616FDFB731C4}"/>
    <cellStyle name="Normal 9 2 3 6 4" xfId="10348" xr:uid="{44B2D1E7-932B-4B9A-BC01-1FCDB3A0F956}"/>
    <cellStyle name="Normal 9 2 3 7" xfId="2230" xr:uid="{00000000-0005-0000-0000-0000551F0000}"/>
    <cellStyle name="Normal 9 2 3 7 2" xfId="4459" xr:uid="{00000000-0005-0000-0000-0000561F0000}"/>
    <cellStyle name="Normal 9 2 3 7 2 2" xfId="8682" xr:uid="{00000000-0005-0000-0000-0000571F0000}"/>
    <cellStyle name="Normal 9 2 3 7 2 2 2" xfId="17124" xr:uid="{B0356C18-1683-4486-949D-11239D6965E5}"/>
    <cellStyle name="Normal 9 2 3 7 2 3" xfId="12906" xr:uid="{36B1C24C-2650-4299-B26A-4E56D78E086E}"/>
    <cellStyle name="Normal 9 2 3 7 3" xfId="6537" xr:uid="{00000000-0005-0000-0000-0000581F0000}"/>
    <cellStyle name="Normal 9 2 3 7 3 2" xfId="14979" xr:uid="{BF77E24A-8569-48BD-BAED-F58AED20B702}"/>
    <cellStyle name="Normal 9 2 3 7 4" xfId="10761" xr:uid="{6FDB7D0B-A34D-49A5-ADC0-9DA857AF72E4}"/>
    <cellStyle name="Normal 9 2 3 8" xfId="2666" xr:uid="{00000000-0005-0000-0000-0000591F0000}"/>
    <cellStyle name="Normal 9 2 3 8 2" xfId="6950" xr:uid="{00000000-0005-0000-0000-00005A1F0000}"/>
    <cellStyle name="Normal 9 2 3 8 2 2" xfId="15392" xr:uid="{064F3BFE-2C27-4BCF-BD77-32937C783D95}"/>
    <cellStyle name="Normal 9 2 3 8 3" xfId="11174" xr:uid="{F07035FD-31CF-4F7E-AA25-B4F7C9FAA2E1}"/>
    <cellStyle name="Normal 9 2 3 9" xfId="4885" xr:uid="{00000000-0005-0000-0000-00005B1F0000}"/>
    <cellStyle name="Normal 9 2 3 9 2" xfId="13327" xr:uid="{29296C11-5A31-4FBF-A73F-C8F663DEF397}"/>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2 2 2" xfId="15890" xr:uid="{CB0DDD8C-64F8-434D-9001-6D4578E63F00}"/>
    <cellStyle name="Normal 9 2 4 2 2 2 3" xfId="11672" xr:uid="{8F8F1050-DC51-4B0D-A978-0F76BCBC40D3}"/>
    <cellStyle name="Normal 9 2 4 2 2 3" xfId="5303" xr:uid="{00000000-0005-0000-0000-0000611F0000}"/>
    <cellStyle name="Normal 9 2 4 2 2 3 2" xfId="13745" xr:uid="{E0A64923-8680-4AEC-B995-6D3F184353EF}"/>
    <cellStyle name="Normal 9 2 4 2 2 4" xfId="9527" xr:uid="{D59428BC-1BEE-4DDB-B828-B0FBE85C8E7E}"/>
    <cellStyle name="Normal 9 2 4 2 3" xfId="1408" xr:uid="{00000000-0005-0000-0000-0000621F0000}"/>
    <cellStyle name="Normal 9 2 4 2 3 2" xfId="3638" xr:uid="{00000000-0005-0000-0000-0000631F0000}"/>
    <cellStyle name="Normal 9 2 4 2 3 2 2" xfId="7861" xr:uid="{00000000-0005-0000-0000-0000641F0000}"/>
    <cellStyle name="Normal 9 2 4 2 3 2 2 2" xfId="16303" xr:uid="{21F1A3C9-33CC-4978-A93E-2121585E6301}"/>
    <cellStyle name="Normal 9 2 4 2 3 2 3" xfId="12085" xr:uid="{C7DFC7FF-574A-4536-BAD2-484D55861C1C}"/>
    <cellStyle name="Normal 9 2 4 2 3 3" xfId="5716" xr:uid="{00000000-0005-0000-0000-0000651F0000}"/>
    <cellStyle name="Normal 9 2 4 2 3 3 2" xfId="14158" xr:uid="{B70C9C6C-BD3C-45DC-A23A-22EA9F91DA92}"/>
    <cellStyle name="Normal 9 2 4 2 3 4" xfId="9940" xr:uid="{E52C3FB8-1EC8-4501-BD16-2ABDD0DBF4C0}"/>
    <cellStyle name="Normal 9 2 4 2 4" xfId="1821" xr:uid="{00000000-0005-0000-0000-0000661F0000}"/>
    <cellStyle name="Normal 9 2 4 2 4 2" xfId="4051" xr:uid="{00000000-0005-0000-0000-0000671F0000}"/>
    <cellStyle name="Normal 9 2 4 2 4 2 2" xfId="8274" xr:uid="{00000000-0005-0000-0000-0000681F0000}"/>
    <cellStyle name="Normal 9 2 4 2 4 2 2 2" xfId="16716" xr:uid="{B96EE692-7A2A-40D7-902C-36EBEF174205}"/>
    <cellStyle name="Normal 9 2 4 2 4 2 3" xfId="12498" xr:uid="{848553D2-5B3F-47D7-8BF8-F2FCB3B4B00D}"/>
    <cellStyle name="Normal 9 2 4 2 4 3" xfId="6129" xr:uid="{00000000-0005-0000-0000-0000691F0000}"/>
    <cellStyle name="Normal 9 2 4 2 4 3 2" xfId="14571" xr:uid="{738F2423-E659-4364-A14D-F19508E4323A}"/>
    <cellStyle name="Normal 9 2 4 2 4 4" xfId="10353" xr:uid="{B740B6E0-1926-4991-81B5-7EF513A7F467}"/>
    <cellStyle name="Normal 9 2 4 2 5" xfId="2235" xr:uid="{00000000-0005-0000-0000-00006A1F0000}"/>
    <cellStyle name="Normal 9 2 4 2 5 2" xfId="4464" xr:uid="{00000000-0005-0000-0000-00006B1F0000}"/>
    <cellStyle name="Normal 9 2 4 2 5 2 2" xfId="8687" xr:uid="{00000000-0005-0000-0000-00006C1F0000}"/>
    <cellStyle name="Normal 9 2 4 2 5 2 2 2" xfId="17129" xr:uid="{0E894710-798D-4379-A292-1AE6F63F380E}"/>
    <cellStyle name="Normal 9 2 4 2 5 2 3" xfId="12911" xr:uid="{85A7C520-685C-4BCF-9422-29DDC0A3F0F8}"/>
    <cellStyle name="Normal 9 2 4 2 5 3" xfId="6542" xr:uid="{00000000-0005-0000-0000-00006D1F0000}"/>
    <cellStyle name="Normal 9 2 4 2 5 3 2" xfId="14984" xr:uid="{4175FD96-C100-4E7A-95D8-A6EF173A3A68}"/>
    <cellStyle name="Normal 9 2 4 2 5 4" xfId="10766" xr:uid="{4BADBF52-2D17-474E-A1CC-8F1DD26CCDCA}"/>
    <cellStyle name="Normal 9 2 4 2 6" xfId="2671" xr:uid="{00000000-0005-0000-0000-00006E1F0000}"/>
    <cellStyle name="Normal 9 2 4 2 6 2" xfId="6955" xr:uid="{00000000-0005-0000-0000-00006F1F0000}"/>
    <cellStyle name="Normal 9 2 4 2 6 2 2" xfId="15397" xr:uid="{1FA4A363-7E21-4C11-9E48-B720AE099566}"/>
    <cellStyle name="Normal 9 2 4 2 6 3" xfId="11179" xr:uid="{CF067E3E-B960-487C-9104-4A7937D69CB0}"/>
    <cellStyle name="Normal 9 2 4 2 7" xfId="4890" xr:uid="{00000000-0005-0000-0000-0000701F0000}"/>
    <cellStyle name="Normal 9 2 4 2 7 2" xfId="13332" xr:uid="{E6FF2632-56B4-4FBA-B631-7719A766F79B}"/>
    <cellStyle name="Normal 9 2 4 2 8" xfId="9114" xr:uid="{1CE83420-A6BD-4E44-B3D5-B1DA24889236}"/>
    <cellStyle name="Normal 9 2 4 3" xfId="991" xr:uid="{00000000-0005-0000-0000-0000711F0000}"/>
    <cellStyle name="Normal 9 2 4 3 2" xfId="3224" xr:uid="{00000000-0005-0000-0000-0000721F0000}"/>
    <cellStyle name="Normal 9 2 4 3 2 2" xfId="7447" xr:uid="{00000000-0005-0000-0000-0000731F0000}"/>
    <cellStyle name="Normal 9 2 4 3 2 2 2" xfId="15889" xr:uid="{B00D1100-FF56-422B-A7B9-819F9C8C82B0}"/>
    <cellStyle name="Normal 9 2 4 3 2 3" xfId="11671" xr:uid="{C3C909FF-201E-4A59-9F07-2DA3F30D36CD}"/>
    <cellStyle name="Normal 9 2 4 3 3" xfId="5302" xr:uid="{00000000-0005-0000-0000-0000741F0000}"/>
    <cellStyle name="Normal 9 2 4 3 3 2" xfId="13744" xr:uid="{FA0EB9FD-AA63-416A-A485-3102C488515C}"/>
    <cellStyle name="Normal 9 2 4 3 4" xfId="9526" xr:uid="{93CD278E-0B80-41D5-96D3-DA2EA0268074}"/>
    <cellStyle name="Normal 9 2 4 4" xfId="1407" xr:uid="{00000000-0005-0000-0000-0000751F0000}"/>
    <cellStyle name="Normal 9 2 4 4 2" xfId="3637" xr:uid="{00000000-0005-0000-0000-0000761F0000}"/>
    <cellStyle name="Normal 9 2 4 4 2 2" xfId="7860" xr:uid="{00000000-0005-0000-0000-0000771F0000}"/>
    <cellStyle name="Normal 9 2 4 4 2 2 2" xfId="16302" xr:uid="{7FB17CD4-650E-453D-9B02-C42B7DBCEBC4}"/>
    <cellStyle name="Normal 9 2 4 4 2 3" xfId="12084" xr:uid="{693BA644-048A-4503-A6D9-C516C273992A}"/>
    <cellStyle name="Normal 9 2 4 4 3" xfId="5715" xr:uid="{00000000-0005-0000-0000-0000781F0000}"/>
    <cellStyle name="Normal 9 2 4 4 3 2" xfId="14157" xr:uid="{B93F7B69-A0A1-4DDD-8C30-B66F27F6B0EA}"/>
    <cellStyle name="Normal 9 2 4 4 4" xfId="9939" xr:uid="{8E8D07CA-9A3D-4CA8-A045-6304F4B19A09}"/>
    <cellStyle name="Normal 9 2 4 5" xfId="1820" xr:uid="{00000000-0005-0000-0000-0000791F0000}"/>
    <cellStyle name="Normal 9 2 4 5 2" xfId="4050" xr:uid="{00000000-0005-0000-0000-00007A1F0000}"/>
    <cellStyle name="Normal 9 2 4 5 2 2" xfId="8273" xr:uid="{00000000-0005-0000-0000-00007B1F0000}"/>
    <cellStyle name="Normal 9 2 4 5 2 2 2" xfId="16715" xr:uid="{9BC598BB-AABA-4009-B513-BF24F12366E7}"/>
    <cellStyle name="Normal 9 2 4 5 2 3" xfId="12497" xr:uid="{30635169-CC96-4C79-BE45-CC53F419BEC6}"/>
    <cellStyle name="Normal 9 2 4 5 3" xfId="6128" xr:uid="{00000000-0005-0000-0000-00007C1F0000}"/>
    <cellStyle name="Normal 9 2 4 5 3 2" xfId="14570" xr:uid="{DEA18561-6BB4-4717-8C3C-FAECD94FA1D7}"/>
    <cellStyle name="Normal 9 2 4 5 4" xfId="10352" xr:uid="{DA3519BF-8B9D-4D7A-98C3-AB73D93F3364}"/>
    <cellStyle name="Normal 9 2 4 6" xfId="2234" xr:uid="{00000000-0005-0000-0000-00007D1F0000}"/>
    <cellStyle name="Normal 9 2 4 6 2" xfId="4463" xr:uid="{00000000-0005-0000-0000-00007E1F0000}"/>
    <cellStyle name="Normal 9 2 4 6 2 2" xfId="8686" xr:uid="{00000000-0005-0000-0000-00007F1F0000}"/>
    <cellStyle name="Normal 9 2 4 6 2 2 2" xfId="17128" xr:uid="{97D4C14F-4C5F-495C-8CB4-5ABD72FB4212}"/>
    <cellStyle name="Normal 9 2 4 6 2 3" xfId="12910" xr:uid="{46CF4FA8-3679-427E-8202-1CDEC31B113B}"/>
    <cellStyle name="Normal 9 2 4 6 3" xfId="6541" xr:uid="{00000000-0005-0000-0000-0000801F0000}"/>
    <cellStyle name="Normal 9 2 4 6 3 2" xfId="14983" xr:uid="{89AB5BC9-C9AC-482E-BDCC-CA16207EC525}"/>
    <cellStyle name="Normal 9 2 4 6 4" xfId="10765" xr:uid="{1D7B09F5-98CC-4998-B215-9A3B167888A2}"/>
    <cellStyle name="Normal 9 2 4 7" xfId="2670" xr:uid="{00000000-0005-0000-0000-0000811F0000}"/>
    <cellStyle name="Normal 9 2 4 7 2" xfId="6954" xr:uid="{00000000-0005-0000-0000-0000821F0000}"/>
    <cellStyle name="Normal 9 2 4 7 2 2" xfId="15396" xr:uid="{FE939489-B788-4EC3-AF56-273256BD40CE}"/>
    <cellStyle name="Normal 9 2 4 7 3" xfId="11178" xr:uid="{D34FBF79-007A-455B-AE6A-30FAE9FCAB87}"/>
    <cellStyle name="Normal 9 2 4 8" xfId="4889" xr:uid="{00000000-0005-0000-0000-0000831F0000}"/>
    <cellStyle name="Normal 9 2 4 8 2" xfId="13331" xr:uid="{DF98EB83-257B-46E5-A094-C53B7C949210}"/>
    <cellStyle name="Normal 9 2 4 9" xfId="9113" xr:uid="{66A917D7-7287-4570-AB92-714B03B15F3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2 2 2" xfId="15891" xr:uid="{C93D6F70-3DDA-4023-B782-B48FFEA10F56}"/>
    <cellStyle name="Normal 9 2 5 2 2 3" xfId="11673" xr:uid="{CEDA10CF-777D-45FE-9A6D-5409FB1F9E37}"/>
    <cellStyle name="Normal 9 2 5 2 3" xfId="5304" xr:uid="{00000000-0005-0000-0000-0000881F0000}"/>
    <cellStyle name="Normal 9 2 5 2 3 2" xfId="13746" xr:uid="{827BC533-6EB7-4F34-B6E9-8CA388B4A314}"/>
    <cellStyle name="Normal 9 2 5 2 4" xfId="9528" xr:uid="{0538D116-B1D7-4D75-8949-CCE0CE530558}"/>
    <cellStyle name="Normal 9 2 5 3" xfId="1409" xr:uid="{00000000-0005-0000-0000-0000891F0000}"/>
    <cellStyle name="Normal 9 2 5 3 2" xfId="3639" xr:uid="{00000000-0005-0000-0000-00008A1F0000}"/>
    <cellStyle name="Normal 9 2 5 3 2 2" xfId="7862" xr:uid="{00000000-0005-0000-0000-00008B1F0000}"/>
    <cellStyle name="Normal 9 2 5 3 2 2 2" xfId="16304" xr:uid="{CAD7AB7B-B638-45F5-B2E8-52FFCBF13FEF}"/>
    <cellStyle name="Normal 9 2 5 3 2 3" xfId="12086" xr:uid="{7CB1541E-6600-4BCA-B6F8-0BD503CFB05A}"/>
    <cellStyle name="Normal 9 2 5 3 3" xfId="5717" xr:uid="{00000000-0005-0000-0000-00008C1F0000}"/>
    <cellStyle name="Normal 9 2 5 3 3 2" xfId="14159" xr:uid="{F3F890A3-8DCB-4064-8D24-0FDA700B8C62}"/>
    <cellStyle name="Normal 9 2 5 3 4" xfId="9941" xr:uid="{C3AE556E-21CE-49DB-90BB-755E6164D9D0}"/>
    <cellStyle name="Normal 9 2 5 4" xfId="1822" xr:uid="{00000000-0005-0000-0000-00008D1F0000}"/>
    <cellStyle name="Normal 9 2 5 4 2" xfId="4052" xr:uid="{00000000-0005-0000-0000-00008E1F0000}"/>
    <cellStyle name="Normal 9 2 5 4 2 2" xfId="8275" xr:uid="{00000000-0005-0000-0000-00008F1F0000}"/>
    <cellStyle name="Normal 9 2 5 4 2 2 2" xfId="16717" xr:uid="{82E9F758-53C5-4DF6-B381-BF48C9A50DF8}"/>
    <cellStyle name="Normal 9 2 5 4 2 3" xfId="12499" xr:uid="{258FFDE3-A549-4D78-A652-862DF62BA862}"/>
    <cellStyle name="Normal 9 2 5 4 3" xfId="6130" xr:uid="{00000000-0005-0000-0000-0000901F0000}"/>
    <cellStyle name="Normal 9 2 5 4 3 2" xfId="14572" xr:uid="{E8A3B919-F2C7-4661-B2C6-FA97BDFEB06A}"/>
    <cellStyle name="Normal 9 2 5 4 4" xfId="10354" xr:uid="{5C53DBE4-9A75-4438-A00A-535A57726924}"/>
    <cellStyle name="Normal 9 2 5 5" xfId="2236" xr:uid="{00000000-0005-0000-0000-0000911F0000}"/>
    <cellStyle name="Normal 9 2 5 5 2" xfId="4465" xr:uid="{00000000-0005-0000-0000-0000921F0000}"/>
    <cellStyle name="Normal 9 2 5 5 2 2" xfId="8688" xr:uid="{00000000-0005-0000-0000-0000931F0000}"/>
    <cellStyle name="Normal 9 2 5 5 2 2 2" xfId="17130" xr:uid="{2A747292-F156-4BA5-A0C3-3793B54FE1CE}"/>
    <cellStyle name="Normal 9 2 5 5 2 3" xfId="12912" xr:uid="{B1EFD6CD-6E4A-4789-9B72-B26D67271A31}"/>
    <cellStyle name="Normal 9 2 5 5 3" xfId="6543" xr:uid="{00000000-0005-0000-0000-0000941F0000}"/>
    <cellStyle name="Normal 9 2 5 5 3 2" xfId="14985" xr:uid="{058A178C-08EC-4BA9-9ECB-BA7597FC1FA6}"/>
    <cellStyle name="Normal 9 2 5 5 4" xfId="10767" xr:uid="{53D1C79D-AB99-4838-A102-A36B986ECBD2}"/>
    <cellStyle name="Normal 9 2 5 6" xfId="2672" xr:uid="{00000000-0005-0000-0000-0000951F0000}"/>
    <cellStyle name="Normal 9 2 5 6 2" xfId="6956" xr:uid="{00000000-0005-0000-0000-0000961F0000}"/>
    <cellStyle name="Normal 9 2 5 6 2 2" xfId="15398" xr:uid="{1086158A-699B-449F-B064-9181C672A645}"/>
    <cellStyle name="Normal 9 2 5 6 3" xfId="11180" xr:uid="{D200BC29-717B-4826-8770-1633BD7047FD}"/>
    <cellStyle name="Normal 9 2 5 7" xfId="4891" xr:uid="{00000000-0005-0000-0000-0000971F0000}"/>
    <cellStyle name="Normal 9 2 5 7 2" xfId="13333" xr:uid="{377FE9FB-8B7F-401D-BCB5-CC97EF8A4F89}"/>
    <cellStyle name="Normal 9 2 5 8" xfId="9115" xr:uid="{4579119F-9710-4400-BC87-4C296958BAF1}"/>
    <cellStyle name="Normal 9 2 6" xfId="978" xr:uid="{00000000-0005-0000-0000-0000981F0000}"/>
    <cellStyle name="Normal 9 2 6 2" xfId="3211" xr:uid="{00000000-0005-0000-0000-0000991F0000}"/>
    <cellStyle name="Normal 9 2 6 2 2" xfId="7434" xr:uid="{00000000-0005-0000-0000-00009A1F0000}"/>
    <cellStyle name="Normal 9 2 6 2 2 2" xfId="15876" xr:uid="{E65ABA51-1E28-4A83-97EE-E8B568592116}"/>
    <cellStyle name="Normal 9 2 6 2 3" xfId="11658" xr:uid="{0648B6FD-9EE2-4F34-AFF3-4CE67D6A4592}"/>
    <cellStyle name="Normal 9 2 6 3" xfId="5289" xr:uid="{00000000-0005-0000-0000-00009B1F0000}"/>
    <cellStyle name="Normal 9 2 6 3 2" xfId="13731" xr:uid="{8D00801F-C89C-400F-B077-FD683CDBC862}"/>
    <cellStyle name="Normal 9 2 6 4" xfId="9513" xr:uid="{842715E0-19F2-4E04-AA7D-7080FC1A7044}"/>
    <cellStyle name="Normal 9 2 7" xfId="1394" xr:uid="{00000000-0005-0000-0000-00009C1F0000}"/>
    <cellStyle name="Normal 9 2 7 2" xfId="3624" xr:uid="{00000000-0005-0000-0000-00009D1F0000}"/>
    <cellStyle name="Normal 9 2 7 2 2" xfId="7847" xr:uid="{00000000-0005-0000-0000-00009E1F0000}"/>
    <cellStyle name="Normal 9 2 7 2 2 2" xfId="16289" xr:uid="{327EB0D1-116A-44BE-AA8A-1136BD929D0B}"/>
    <cellStyle name="Normal 9 2 7 2 3" xfId="12071" xr:uid="{360AC5E9-B92C-4E08-AE3E-F1D17433E5B2}"/>
    <cellStyle name="Normal 9 2 7 3" xfId="5702" xr:uid="{00000000-0005-0000-0000-00009F1F0000}"/>
    <cellStyle name="Normal 9 2 7 3 2" xfId="14144" xr:uid="{06DB86A2-BADF-4E58-83ED-4ABA938B9388}"/>
    <cellStyle name="Normal 9 2 7 4" xfId="9926" xr:uid="{38DDFF8B-628F-4662-9A5D-CBC7004C4E65}"/>
    <cellStyle name="Normal 9 2 8" xfId="1807" xr:uid="{00000000-0005-0000-0000-0000A01F0000}"/>
    <cellStyle name="Normal 9 2 8 2" xfId="4037" xr:uid="{00000000-0005-0000-0000-0000A11F0000}"/>
    <cellStyle name="Normal 9 2 8 2 2" xfId="8260" xr:uid="{00000000-0005-0000-0000-0000A21F0000}"/>
    <cellStyle name="Normal 9 2 8 2 2 2" xfId="16702" xr:uid="{64B4C9C5-2399-42F0-8493-32018FAB3CA3}"/>
    <cellStyle name="Normal 9 2 8 2 3" xfId="12484" xr:uid="{F37A98B4-EF13-407D-831D-06AC9518C92D}"/>
    <cellStyle name="Normal 9 2 8 3" xfId="6115" xr:uid="{00000000-0005-0000-0000-0000A31F0000}"/>
    <cellStyle name="Normal 9 2 8 3 2" xfId="14557" xr:uid="{67A3BBF6-8A7D-407A-A02C-7EE9F4DDC38F}"/>
    <cellStyle name="Normal 9 2 8 4" xfId="10339" xr:uid="{2E49DD5C-E03F-424E-86AE-0BA0CD40F7A8}"/>
    <cellStyle name="Normal 9 2 9" xfId="2221" xr:uid="{00000000-0005-0000-0000-0000A41F0000}"/>
    <cellStyle name="Normal 9 2 9 2" xfId="4450" xr:uid="{00000000-0005-0000-0000-0000A51F0000}"/>
    <cellStyle name="Normal 9 2 9 2 2" xfId="8673" xr:uid="{00000000-0005-0000-0000-0000A61F0000}"/>
    <cellStyle name="Normal 9 2 9 2 2 2" xfId="17115" xr:uid="{664B161A-FAAC-4C72-A867-B0EAFA2E7A24}"/>
    <cellStyle name="Normal 9 2 9 2 3" xfId="12897" xr:uid="{C280B756-A3FE-4F11-8D49-95CDCC44198B}"/>
    <cellStyle name="Normal 9 2 9 3" xfId="6528" xr:uid="{00000000-0005-0000-0000-0000A71F0000}"/>
    <cellStyle name="Normal 9 2 9 3 2" xfId="14970" xr:uid="{A0C88933-65DB-41EF-9B12-787E29631C6F}"/>
    <cellStyle name="Normal 9 2 9 4" xfId="10752" xr:uid="{2E00721D-2124-4D0A-B305-C84FACCB31E3}"/>
    <cellStyle name="Normal 9 3" xfId="527" xr:uid="{00000000-0005-0000-0000-0000A81F0000}"/>
    <cellStyle name="Normal 9 3 10" xfId="4892" xr:uid="{00000000-0005-0000-0000-0000A91F0000}"/>
    <cellStyle name="Normal 9 3 10 2" xfId="13334" xr:uid="{47EC77B6-2552-443F-B46E-DDE046317129}"/>
    <cellStyle name="Normal 9 3 11" xfId="9116" xr:uid="{0A97EE90-F6D4-4D07-8A68-7B708AD548F7}"/>
    <cellStyle name="Normal 9 3 2" xfId="528" xr:uid="{00000000-0005-0000-0000-0000AA1F0000}"/>
    <cellStyle name="Normal 9 3 2 10" xfId="9117" xr:uid="{44EC54E0-1DB1-4CAE-B60C-E3E5E6455AB1}"/>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2 2 2" xfId="15895" xr:uid="{91B1E075-3DC3-488D-B8E9-B4E9922F511D}"/>
    <cellStyle name="Normal 9 3 2 2 2 2 2 3" xfId="11677" xr:uid="{2F2A7D29-3B4A-41AC-9D53-BB1102D1B5BB}"/>
    <cellStyle name="Normal 9 3 2 2 2 2 3" xfId="5308" xr:uid="{00000000-0005-0000-0000-0000B01F0000}"/>
    <cellStyle name="Normal 9 3 2 2 2 2 3 2" xfId="13750" xr:uid="{0ADF0BEA-AC84-48A7-A820-101340684A85}"/>
    <cellStyle name="Normal 9 3 2 2 2 2 4" xfId="9532" xr:uid="{7595B910-475F-437E-913E-0F2F52B74CCE}"/>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2 2 2" xfId="16308" xr:uid="{07E25952-D4BB-4B97-A68D-62CF9A6A2DBC}"/>
    <cellStyle name="Normal 9 3 2 2 2 3 2 3" xfId="12090" xr:uid="{75060451-C8ED-43B3-A968-167654C55A9E}"/>
    <cellStyle name="Normal 9 3 2 2 2 3 3" xfId="5721" xr:uid="{00000000-0005-0000-0000-0000B41F0000}"/>
    <cellStyle name="Normal 9 3 2 2 2 3 3 2" xfId="14163" xr:uid="{AAF7E70D-3223-46AE-9010-68673C14163D}"/>
    <cellStyle name="Normal 9 3 2 2 2 3 4" xfId="9945" xr:uid="{A0A41278-EA8F-44A9-B0C6-D704FE1EC812}"/>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2 2 2" xfId="16721" xr:uid="{E2BDC910-6B6B-4C21-9CBA-50E6DA4CCA95}"/>
    <cellStyle name="Normal 9 3 2 2 2 4 2 3" xfId="12503" xr:uid="{051934C8-1991-49F9-8CE4-002DE83B4665}"/>
    <cellStyle name="Normal 9 3 2 2 2 4 3" xfId="6134" xr:uid="{00000000-0005-0000-0000-0000B81F0000}"/>
    <cellStyle name="Normal 9 3 2 2 2 4 3 2" xfId="14576" xr:uid="{D1F0F92D-E847-402B-8CB0-D36C0920C38D}"/>
    <cellStyle name="Normal 9 3 2 2 2 4 4" xfId="10358" xr:uid="{3F319B46-7962-49C3-9621-BBFCE091E139}"/>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2 2 2" xfId="17134" xr:uid="{3684C75F-CDE2-4CAA-B386-09783D252206}"/>
    <cellStyle name="Normal 9 3 2 2 2 5 2 3" xfId="12916" xr:uid="{73C97D13-5DC6-409B-912B-41AE48A1A62E}"/>
    <cellStyle name="Normal 9 3 2 2 2 5 3" xfId="6547" xr:uid="{00000000-0005-0000-0000-0000BC1F0000}"/>
    <cellStyle name="Normal 9 3 2 2 2 5 3 2" xfId="14989" xr:uid="{2BF43966-4619-4DB2-A53B-C0E17A124BD7}"/>
    <cellStyle name="Normal 9 3 2 2 2 5 4" xfId="10771" xr:uid="{EF9502A5-290D-40F8-81FB-138406F791BB}"/>
    <cellStyle name="Normal 9 3 2 2 2 6" xfId="2676" xr:uid="{00000000-0005-0000-0000-0000BD1F0000}"/>
    <cellStyle name="Normal 9 3 2 2 2 6 2" xfId="6960" xr:uid="{00000000-0005-0000-0000-0000BE1F0000}"/>
    <cellStyle name="Normal 9 3 2 2 2 6 2 2" xfId="15402" xr:uid="{F2E42BAA-088A-47E9-9408-D6C8E83B9B62}"/>
    <cellStyle name="Normal 9 3 2 2 2 6 3" xfId="11184" xr:uid="{FA436CF9-24AA-4F64-94ED-D7E039A54450}"/>
    <cellStyle name="Normal 9 3 2 2 2 7" xfId="4895" xr:uid="{00000000-0005-0000-0000-0000BF1F0000}"/>
    <cellStyle name="Normal 9 3 2 2 2 7 2" xfId="13337" xr:uid="{06B6D31F-3557-45F1-BE3A-170BF891F22E}"/>
    <cellStyle name="Normal 9 3 2 2 2 8" xfId="9119" xr:uid="{46D494B5-5D85-4529-9C3E-E0C0A726892C}"/>
    <cellStyle name="Normal 9 3 2 2 3" xfId="996" xr:uid="{00000000-0005-0000-0000-0000C01F0000}"/>
    <cellStyle name="Normal 9 3 2 2 3 2" xfId="3229" xr:uid="{00000000-0005-0000-0000-0000C11F0000}"/>
    <cellStyle name="Normal 9 3 2 2 3 2 2" xfId="7452" xr:uid="{00000000-0005-0000-0000-0000C21F0000}"/>
    <cellStyle name="Normal 9 3 2 2 3 2 2 2" xfId="15894" xr:uid="{D59DD1AA-5043-46BD-8013-4C40B8564E19}"/>
    <cellStyle name="Normal 9 3 2 2 3 2 3" xfId="11676" xr:uid="{8F4CEA87-C98A-47EE-9E4A-55CCA24CB364}"/>
    <cellStyle name="Normal 9 3 2 2 3 3" xfId="5307" xr:uid="{00000000-0005-0000-0000-0000C31F0000}"/>
    <cellStyle name="Normal 9 3 2 2 3 3 2" xfId="13749" xr:uid="{8F91D45E-AAFA-45DC-B5C9-ABB50233FF23}"/>
    <cellStyle name="Normal 9 3 2 2 3 4" xfId="9531" xr:uid="{E7BF5F8A-A4E1-4F7A-AA42-B9AE75D4B899}"/>
    <cellStyle name="Normal 9 3 2 2 4" xfId="1412" xr:uid="{00000000-0005-0000-0000-0000C41F0000}"/>
    <cellStyle name="Normal 9 3 2 2 4 2" xfId="3642" xr:uid="{00000000-0005-0000-0000-0000C51F0000}"/>
    <cellStyle name="Normal 9 3 2 2 4 2 2" xfId="7865" xr:uid="{00000000-0005-0000-0000-0000C61F0000}"/>
    <cellStyle name="Normal 9 3 2 2 4 2 2 2" xfId="16307" xr:uid="{26B2B024-6014-4067-BA00-9F11E0DF26A9}"/>
    <cellStyle name="Normal 9 3 2 2 4 2 3" xfId="12089" xr:uid="{C29980EF-4E1F-4EE2-B878-D1E73ABD658C}"/>
    <cellStyle name="Normal 9 3 2 2 4 3" xfId="5720" xr:uid="{00000000-0005-0000-0000-0000C71F0000}"/>
    <cellStyle name="Normal 9 3 2 2 4 3 2" xfId="14162" xr:uid="{7B398CFF-51C2-40EA-A496-A4BB57A1C811}"/>
    <cellStyle name="Normal 9 3 2 2 4 4" xfId="9944" xr:uid="{F86BBAE5-5DA4-4C0E-B0CC-CE18311677B5}"/>
    <cellStyle name="Normal 9 3 2 2 5" xfId="1825" xr:uid="{00000000-0005-0000-0000-0000C81F0000}"/>
    <cellStyle name="Normal 9 3 2 2 5 2" xfId="4055" xr:uid="{00000000-0005-0000-0000-0000C91F0000}"/>
    <cellStyle name="Normal 9 3 2 2 5 2 2" xfId="8278" xr:uid="{00000000-0005-0000-0000-0000CA1F0000}"/>
    <cellStyle name="Normal 9 3 2 2 5 2 2 2" xfId="16720" xr:uid="{C54F4304-F84C-4C7B-ACE5-4C2929B5C05F}"/>
    <cellStyle name="Normal 9 3 2 2 5 2 3" xfId="12502" xr:uid="{AFC49C96-10CD-47E5-B969-F74F2FEF79B4}"/>
    <cellStyle name="Normal 9 3 2 2 5 3" xfId="6133" xr:uid="{00000000-0005-0000-0000-0000CB1F0000}"/>
    <cellStyle name="Normal 9 3 2 2 5 3 2" xfId="14575" xr:uid="{BE0C06BE-4ECB-4121-A4DD-7AC1E28EC98B}"/>
    <cellStyle name="Normal 9 3 2 2 5 4" xfId="10357" xr:uid="{74BEF952-3CA8-44DC-9115-69F37F3C3D0C}"/>
    <cellStyle name="Normal 9 3 2 2 6" xfId="2239" xr:uid="{00000000-0005-0000-0000-0000CC1F0000}"/>
    <cellStyle name="Normal 9 3 2 2 6 2" xfId="4468" xr:uid="{00000000-0005-0000-0000-0000CD1F0000}"/>
    <cellStyle name="Normal 9 3 2 2 6 2 2" xfId="8691" xr:uid="{00000000-0005-0000-0000-0000CE1F0000}"/>
    <cellStyle name="Normal 9 3 2 2 6 2 2 2" xfId="17133" xr:uid="{5F969496-A915-4B25-823F-EC416636A09E}"/>
    <cellStyle name="Normal 9 3 2 2 6 2 3" xfId="12915" xr:uid="{A2AFF276-8381-4FB1-82AE-AB88FA3ECB9A}"/>
    <cellStyle name="Normal 9 3 2 2 6 3" xfId="6546" xr:uid="{00000000-0005-0000-0000-0000CF1F0000}"/>
    <cellStyle name="Normal 9 3 2 2 6 3 2" xfId="14988" xr:uid="{CD0E3E0B-B41C-4B55-B2A1-6226BBC18039}"/>
    <cellStyle name="Normal 9 3 2 2 6 4" xfId="10770" xr:uid="{C2FBA245-9060-4FB9-A303-B1B03A2F1562}"/>
    <cellStyle name="Normal 9 3 2 2 7" xfId="2675" xr:uid="{00000000-0005-0000-0000-0000D01F0000}"/>
    <cellStyle name="Normal 9 3 2 2 7 2" xfId="6959" xr:uid="{00000000-0005-0000-0000-0000D11F0000}"/>
    <cellStyle name="Normal 9 3 2 2 7 2 2" xfId="15401" xr:uid="{9D382491-7504-4D4D-822B-17284E6A5FE4}"/>
    <cellStyle name="Normal 9 3 2 2 7 3" xfId="11183" xr:uid="{18665ABB-BDB5-4941-A8A0-7AE4EF04CC85}"/>
    <cellStyle name="Normal 9 3 2 2 8" xfId="4894" xr:uid="{00000000-0005-0000-0000-0000D21F0000}"/>
    <cellStyle name="Normal 9 3 2 2 8 2" xfId="13336" xr:uid="{3A8F2C71-1C81-4E78-A15F-97EC0FADBD79}"/>
    <cellStyle name="Normal 9 3 2 2 9" xfId="9118" xr:uid="{1B234574-10B2-4026-B065-9422A89816DB}"/>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2 2 2" xfId="15896" xr:uid="{84E4D48B-79D3-403E-8DA2-99E4355D0B4A}"/>
    <cellStyle name="Normal 9 3 2 3 2 2 3" xfId="11678" xr:uid="{2361462D-82B9-498C-BE0B-CAEE820E9FAA}"/>
    <cellStyle name="Normal 9 3 2 3 2 3" xfId="5309" xr:uid="{00000000-0005-0000-0000-0000D71F0000}"/>
    <cellStyle name="Normal 9 3 2 3 2 3 2" xfId="13751" xr:uid="{510CB9ED-B6B5-44DF-B549-8B7C8815F285}"/>
    <cellStyle name="Normal 9 3 2 3 2 4" xfId="9533" xr:uid="{CE14B4B8-D49B-41C1-A1CB-F17ADDE68C58}"/>
    <cellStyle name="Normal 9 3 2 3 3" xfId="1414" xr:uid="{00000000-0005-0000-0000-0000D81F0000}"/>
    <cellStyle name="Normal 9 3 2 3 3 2" xfId="3644" xr:uid="{00000000-0005-0000-0000-0000D91F0000}"/>
    <cellStyle name="Normal 9 3 2 3 3 2 2" xfId="7867" xr:uid="{00000000-0005-0000-0000-0000DA1F0000}"/>
    <cellStyle name="Normal 9 3 2 3 3 2 2 2" xfId="16309" xr:uid="{40D3AC13-0E30-44ED-AB45-61E5EE91A8ED}"/>
    <cellStyle name="Normal 9 3 2 3 3 2 3" xfId="12091" xr:uid="{3E345A9C-2835-4FEB-B4DF-54780B90B564}"/>
    <cellStyle name="Normal 9 3 2 3 3 3" xfId="5722" xr:uid="{00000000-0005-0000-0000-0000DB1F0000}"/>
    <cellStyle name="Normal 9 3 2 3 3 3 2" xfId="14164" xr:uid="{E8D098E6-2263-4A6F-86F0-583EAADAE0B0}"/>
    <cellStyle name="Normal 9 3 2 3 3 4" xfId="9946" xr:uid="{4C811B93-4ECD-49CE-BE6B-C17883A508FD}"/>
    <cellStyle name="Normal 9 3 2 3 4" xfId="1827" xr:uid="{00000000-0005-0000-0000-0000DC1F0000}"/>
    <cellStyle name="Normal 9 3 2 3 4 2" xfId="4057" xr:uid="{00000000-0005-0000-0000-0000DD1F0000}"/>
    <cellStyle name="Normal 9 3 2 3 4 2 2" xfId="8280" xr:uid="{00000000-0005-0000-0000-0000DE1F0000}"/>
    <cellStyle name="Normal 9 3 2 3 4 2 2 2" xfId="16722" xr:uid="{401CD331-5A02-426F-AB9F-F4DAD72016BF}"/>
    <cellStyle name="Normal 9 3 2 3 4 2 3" xfId="12504" xr:uid="{EA90E858-875E-4179-A404-3F0665FDE00C}"/>
    <cellStyle name="Normal 9 3 2 3 4 3" xfId="6135" xr:uid="{00000000-0005-0000-0000-0000DF1F0000}"/>
    <cellStyle name="Normal 9 3 2 3 4 3 2" xfId="14577" xr:uid="{7DDC3C29-E2FA-4901-8466-434F5F0DA107}"/>
    <cellStyle name="Normal 9 3 2 3 4 4" xfId="10359" xr:uid="{BF233528-2BAA-4586-BE33-16E5E03A6F6A}"/>
    <cellStyle name="Normal 9 3 2 3 5" xfId="2241" xr:uid="{00000000-0005-0000-0000-0000E01F0000}"/>
    <cellStyle name="Normal 9 3 2 3 5 2" xfId="4470" xr:uid="{00000000-0005-0000-0000-0000E11F0000}"/>
    <cellStyle name="Normal 9 3 2 3 5 2 2" xfId="8693" xr:uid="{00000000-0005-0000-0000-0000E21F0000}"/>
    <cellStyle name="Normal 9 3 2 3 5 2 2 2" xfId="17135" xr:uid="{7BEE6A15-BDE2-4C4A-A2EA-B64CA4A20D92}"/>
    <cellStyle name="Normal 9 3 2 3 5 2 3" xfId="12917" xr:uid="{2724D9D9-DFA2-401A-A939-34A50FC7D285}"/>
    <cellStyle name="Normal 9 3 2 3 5 3" xfId="6548" xr:uid="{00000000-0005-0000-0000-0000E31F0000}"/>
    <cellStyle name="Normal 9 3 2 3 5 3 2" xfId="14990" xr:uid="{99726FF9-A33F-4A71-AEE1-5BF6865B6DED}"/>
    <cellStyle name="Normal 9 3 2 3 5 4" xfId="10772" xr:uid="{5CB57BA8-E842-42E9-9C46-A62D148BCDFB}"/>
    <cellStyle name="Normal 9 3 2 3 6" xfId="2677" xr:uid="{00000000-0005-0000-0000-0000E41F0000}"/>
    <cellStyle name="Normal 9 3 2 3 6 2" xfId="6961" xr:uid="{00000000-0005-0000-0000-0000E51F0000}"/>
    <cellStyle name="Normal 9 3 2 3 6 2 2" xfId="15403" xr:uid="{C19423DB-526A-4BD6-AC95-A3ADFCC695FD}"/>
    <cellStyle name="Normal 9 3 2 3 6 3" xfId="11185" xr:uid="{9D12E63D-E7B9-4094-93BE-E0C9F9A9B6DE}"/>
    <cellStyle name="Normal 9 3 2 3 7" xfId="4896" xr:uid="{00000000-0005-0000-0000-0000E61F0000}"/>
    <cellStyle name="Normal 9 3 2 3 7 2" xfId="13338" xr:uid="{802F19BA-F1D2-4761-A8F6-41B23EC8F3EA}"/>
    <cellStyle name="Normal 9 3 2 3 8" xfId="9120" xr:uid="{2D06A4E8-8529-43FB-BF32-5AF382085B9D}"/>
    <cellStyle name="Normal 9 3 2 4" xfId="995" xr:uid="{00000000-0005-0000-0000-0000E71F0000}"/>
    <cellStyle name="Normal 9 3 2 4 2" xfId="3228" xr:uid="{00000000-0005-0000-0000-0000E81F0000}"/>
    <cellStyle name="Normal 9 3 2 4 2 2" xfId="7451" xr:uid="{00000000-0005-0000-0000-0000E91F0000}"/>
    <cellStyle name="Normal 9 3 2 4 2 2 2" xfId="15893" xr:uid="{D044BFC3-E74D-4094-89E2-837F0916D2A9}"/>
    <cellStyle name="Normal 9 3 2 4 2 3" xfId="11675" xr:uid="{9323345C-657C-4273-99C2-9535127720DE}"/>
    <cellStyle name="Normal 9 3 2 4 3" xfId="5306" xr:uid="{00000000-0005-0000-0000-0000EA1F0000}"/>
    <cellStyle name="Normal 9 3 2 4 3 2" xfId="13748" xr:uid="{44F55936-6B1B-4290-B768-88946F46C322}"/>
    <cellStyle name="Normal 9 3 2 4 4" xfId="9530" xr:uid="{EE2ACD3D-5773-4DED-9DFC-75068D6441C1}"/>
    <cellStyle name="Normal 9 3 2 5" xfId="1411" xr:uid="{00000000-0005-0000-0000-0000EB1F0000}"/>
    <cellStyle name="Normal 9 3 2 5 2" xfId="3641" xr:uid="{00000000-0005-0000-0000-0000EC1F0000}"/>
    <cellStyle name="Normal 9 3 2 5 2 2" xfId="7864" xr:uid="{00000000-0005-0000-0000-0000ED1F0000}"/>
    <cellStyle name="Normal 9 3 2 5 2 2 2" xfId="16306" xr:uid="{492629CB-6B6D-41DA-8280-8F16E08351E8}"/>
    <cellStyle name="Normal 9 3 2 5 2 3" xfId="12088" xr:uid="{4138C21E-1EC8-4119-8C37-72AD06CFD7B7}"/>
    <cellStyle name="Normal 9 3 2 5 3" xfId="5719" xr:uid="{00000000-0005-0000-0000-0000EE1F0000}"/>
    <cellStyle name="Normal 9 3 2 5 3 2" xfId="14161" xr:uid="{EC1585D4-C150-4D26-8436-20482D69995C}"/>
    <cellStyle name="Normal 9 3 2 5 4" xfId="9943" xr:uid="{247059BB-811A-4F5A-BE84-83733783E842}"/>
    <cellStyle name="Normal 9 3 2 6" xfId="1824" xr:uid="{00000000-0005-0000-0000-0000EF1F0000}"/>
    <cellStyle name="Normal 9 3 2 6 2" xfId="4054" xr:uid="{00000000-0005-0000-0000-0000F01F0000}"/>
    <cellStyle name="Normal 9 3 2 6 2 2" xfId="8277" xr:uid="{00000000-0005-0000-0000-0000F11F0000}"/>
    <cellStyle name="Normal 9 3 2 6 2 2 2" xfId="16719" xr:uid="{33414F0D-23EF-4621-A634-C7B6831C3912}"/>
    <cellStyle name="Normal 9 3 2 6 2 3" xfId="12501" xr:uid="{627C7769-4A5E-4F21-99D2-B938DEA12C8A}"/>
    <cellStyle name="Normal 9 3 2 6 3" xfId="6132" xr:uid="{00000000-0005-0000-0000-0000F21F0000}"/>
    <cellStyle name="Normal 9 3 2 6 3 2" xfId="14574" xr:uid="{0223A6C7-1773-4E3D-BC8C-9EC366997C24}"/>
    <cellStyle name="Normal 9 3 2 6 4" xfId="10356" xr:uid="{BD440AD9-15F5-4A06-B0AA-D3A7655C344E}"/>
    <cellStyle name="Normal 9 3 2 7" xfId="2238" xr:uid="{00000000-0005-0000-0000-0000F31F0000}"/>
    <cellStyle name="Normal 9 3 2 7 2" xfId="4467" xr:uid="{00000000-0005-0000-0000-0000F41F0000}"/>
    <cellStyle name="Normal 9 3 2 7 2 2" xfId="8690" xr:uid="{00000000-0005-0000-0000-0000F51F0000}"/>
    <cellStyle name="Normal 9 3 2 7 2 2 2" xfId="17132" xr:uid="{BCC08EE9-B342-4481-8F79-EE00664F9732}"/>
    <cellStyle name="Normal 9 3 2 7 2 3" xfId="12914" xr:uid="{AE998726-0B7F-4519-B10A-7708B87AFCA2}"/>
    <cellStyle name="Normal 9 3 2 7 3" xfId="6545" xr:uid="{00000000-0005-0000-0000-0000F61F0000}"/>
    <cellStyle name="Normal 9 3 2 7 3 2" xfId="14987" xr:uid="{6429D87F-C3C0-43B4-940D-20B3662595F5}"/>
    <cellStyle name="Normal 9 3 2 7 4" xfId="10769" xr:uid="{0F2AC163-7867-4F99-9118-519E306B0BCB}"/>
    <cellStyle name="Normal 9 3 2 8" xfId="2674" xr:uid="{00000000-0005-0000-0000-0000F71F0000}"/>
    <cellStyle name="Normal 9 3 2 8 2" xfId="6958" xr:uid="{00000000-0005-0000-0000-0000F81F0000}"/>
    <cellStyle name="Normal 9 3 2 8 2 2" xfId="15400" xr:uid="{5F17D77B-BB28-461C-A052-4273B0D2D29F}"/>
    <cellStyle name="Normal 9 3 2 8 3" xfId="11182" xr:uid="{B02B052A-8A10-444B-AB02-84E5EF63C702}"/>
    <cellStyle name="Normal 9 3 2 9" xfId="4893" xr:uid="{00000000-0005-0000-0000-0000F91F0000}"/>
    <cellStyle name="Normal 9 3 2 9 2" xfId="13335" xr:uid="{6762A583-2F7B-4DDD-A15B-6823D3BA8F0D}"/>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2 2 2" xfId="15898" xr:uid="{4676428E-D5D6-4783-9309-C5472333DA00}"/>
    <cellStyle name="Normal 9 3 3 2 2 2 3" xfId="11680" xr:uid="{7A967643-A77F-403C-BC59-B68A9AFEA4CF}"/>
    <cellStyle name="Normal 9 3 3 2 2 3" xfId="5311" xr:uid="{00000000-0005-0000-0000-0000FF1F0000}"/>
    <cellStyle name="Normal 9 3 3 2 2 3 2" xfId="13753" xr:uid="{AAE43AE5-F4EA-4F30-93F3-500CA6D7B49F}"/>
    <cellStyle name="Normal 9 3 3 2 2 4" xfId="9535" xr:uid="{9AE94618-5AA0-48F1-8B04-610A483A8966}"/>
    <cellStyle name="Normal 9 3 3 2 3" xfId="1416" xr:uid="{00000000-0005-0000-0000-000000200000}"/>
    <cellStyle name="Normal 9 3 3 2 3 2" xfId="3646" xr:uid="{00000000-0005-0000-0000-000001200000}"/>
    <cellStyle name="Normal 9 3 3 2 3 2 2" xfId="7869" xr:uid="{00000000-0005-0000-0000-000002200000}"/>
    <cellStyle name="Normal 9 3 3 2 3 2 2 2" xfId="16311" xr:uid="{3465C556-8C0B-4E79-9B09-1A202C7C81D4}"/>
    <cellStyle name="Normal 9 3 3 2 3 2 3" xfId="12093" xr:uid="{AB9C7DC4-D10E-4ECF-A299-275BC4E6F0E3}"/>
    <cellStyle name="Normal 9 3 3 2 3 3" xfId="5724" xr:uid="{00000000-0005-0000-0000-000003200000}"/>
    <cellStyle name="Normal 9 3 3 2 3 3 2" xfId="14166" xr:uid="{70D4AAC6-9EF6-446A-A5AC-F4BC22EB65EF}"/>
    <cellStyle name="Normal 9 3 3 2 3 4" xfId="9948" xr:uid="{2ED7D65B-852A-4252-A860-DF9E31439D0A}"/>
    <cellStyle name="Normal 9 3 3 2 4" xfId="1829" xr:uid="{00000000-0005-0000-0000-000004200000}"/>
    <cellStyle name="Normal 9 3 3 2 4 2" xfId="4059" xr:uid="{00000000-0005-0000-0000-000005200000}"/>
    <cellStyle name="Normal 9 3 3 2 4 2 2" xfId="8282" xr:uid="{00000000-0005-0000-0000-000006200000}"/>
    <cellStyle name="Normal 9 3 3 2 4 2 2 2" xfId="16724" xr:uid="{0362D0AC-CA94-4C9E-86A2-FC601BDE6236}"/>
    <cellStyle name="Normal 9 3 3 2 4 2 3" xfId="12506" xr:uid="{7BC7BC18-94DF-4071-A88D-D834F4936389}"/>
    <cellStyle name="Normal 9 3 3 2 4 3" xfId="6137" xr:uid="{00000000-0005-0000-0000-000007200000}"/>
    <cellStyle name="Normal 9 3 3 2 4 3 2" xfId="14579" xr:uid="{22A08B99-8BB6-45D3-9FAA-A6FC0181FA9B}"/>
    <cellStyle name="Normal 9 3 3 2 4 4" xfId="10361" xr:uid="{119FE164-2B8C-4B5E-A79A-AC7C620E99E6}"/>
    <cellStyle name="Normal 9 3 3 2 5" xfId="2243" xr:uid="{00000000-0005-0000-0000-000008200000}"/>
    <cellStyle name="Normal 9 3 3 2 5 2" xfId="4472" xr:uid="{00000000-0005-0000-0000-000009200000}"/>
    <cellStyle name="Normal 9 3 3 2 5 2 2" xfId="8695" xr:uid="{00000000-0005-0000-0000-00000A200000}"/>
    <cellStyle name="Normal 9 3 3 2 5 2 2 2" xfId="17137" xr:uid="{F5CDAC96-4067-4343-AF7B-E68B72426945}"/>
    <cellStyle name="Normal 9 3 3 2 5 2 3" xfId="12919" xr:uid="{92861C62-1578-40D8-98AB-975B7C2B3B74}"/>
    <cellStyle name="Normal 9 3 3 2 5 3" xfId="6550" xr:uid="{00000000-0005-0000-0000-00000B200000}"/>
    <cellStyle name="Normal 9 3 3 2 5 3 2" xfId="14992" xr:uid="{46674CB1-439E-4224-B7F8-C1D5880ACA30}"/>
    <cellStyle name="Normal 9 3 3 2 5 4" xfId="10774" xr:uid="{26EAE1E6-9689-4529-8864-08F85BE65FE8}"/>
    <cellStyle name="Normal 9 3 3 2 6" xfId="2679" xr:uid="{00000000-0005-0000-0000-00000C200000}"/>
    <cellStyle name="Normal 9 3 3 2 6 2" xfId="6963" xr:uid="{00000000-0005-0000-0000-00000D200000}"/>
    <cellStyle name="Normal 9 3 3 2 6 2 2" xfId="15405" xr:uid="{D89B77B4-85BE-41E8-883D-C6B717EB3A3E}"/>
    <cellStyle name="Normal 9 3 3 2 6 3" xfId="11187" xr:uid="{5FD3D4CF-5E48-419B-9536-F0689FC046A3}"/>
    <cellStyle name="Normal 9 3 3 2 7" xfId="4898" xr:uid="{00000000-0005-0000-0000-00000E200000}"/>
    <cellStyle name="Normal 9 3 3 2 7 2" xfId="13340" xr:uid="{A604F1CD-4E5A-445E-A5A8-0176FECCB673}"/>
    <cellStyle name="Normal 9 3 3 2 8" xfId="9122" xr:uid="{87A61000-933F-4A83-9C61-00E66FB0A831}"/>
    <cellStyle name="Normal 9 3 3 3" xfId="999" xr:uid="{00000000-0005-0000-0000-00000F200000}"/>
    <cellStyle name="Normal 9 3 3 3 2" xfId="3232" xr:uid="{00000000-0005-0000-0000-000010200000}"/>
    <cellStyle name="Normal 9 3 3 3 2 2" xfId="7455" xr:uid="{00000000-0005-0000-0000-000011200000}"/>
    <cellStyle name="Normal 9 3 3 3 2 2 2" xfId="15897" xr:uid="{A0FE1C8C-A2A5-426A-9016-6D45B277427A}"/>
    <cellStyle name="Normal 9 3 3 3 2 3" xfId="11679" xr:uid="{7EC90EFE-CD4C-41E4-A355-8E38F3DD5DA1}"/>
    <cellStyle name="Normal 9 3 3 3 3" xfId="5310" xr:uid="{00000000-0005-0000-0000-000012200000}"/>
    <cellStyle name="Normal 9 3 3 3 3 2" xfId="13752" xr:uid="{703C9A83-48AF-4E4B-8AD3-B8553F6FD3D0}"/>
    <cellStyle name="Normal 9 3 3 3 4" xfId="9534" xr:uid="{EBAC7DE2-581A-44E4-998D-845611DC9321}"/>
    <cellStyle name="Normal 9 3 3 4" xfId="1415" xr:uid="{00000000-0005-0000-0000-000013200000}"/>
    <cellStyle name="Normal 9 3 3 4 2" xfId="3645" xr:uid="{00000000-0005-0000-0000-000014200000}"/>
    <cellStyle name="Normal 9 3 3 4 2 2" xfId="7868" xr:uid="{00000000-0005-0000-0000-000015200000}"/>
    <cellStyle name="Normal 9 3 3 4 2 2 2" xfId="16310" xr:uid="{4136B7DB-4338-4572-8625-167712E7B5BE}"/>
    <cellStyle name="Normal 9 3 3 4 2 3" xfId="12092" xr:uid="{151AB8C9-1488-47E8-B1E8-5C00B26793F6}"/>
    <cellStyle name="Normal 9 3 3 4 3" xfId="5723" xr:uid="{00000000-0005-0000-0000-000016200000}"/>
    <cellStyle name="Normal 9 3 3 4 3 2" xfId="14165" xr:uid="{DD988B11-556E-4C70-A3FA-3A52D9164BA7}"/>
    <cellStyle name="Normal 9 3 3 4 4" xfId="9947" xr:uid="{BB07B1F6-47F6-4041-8D76-D35FC81D8768}"/>
    <cellStyle name="Normal 9 3 3 5" xfId="1828" xr:uid="{00000000-0005-0000-0000-000017200000}"/>
    <cellStyle name="Normal 9 3 3 5 2" xfId="4058" xr:uid="{00000000-0005-0000-0000-000018200000}"/>
    <cellStyle name="Normal 9 3 3 5 2 2" xfId="8281" xr:uid="{00000000-0005-0000-0000-000019200000}"/>
    <cellStyle name="Normal 9 3 3 5 2 2 2" xfId="16723" xr:uid="{1808A44E-1EEA-4800-986B-B634A1B780B1}"/>
    <cellStyle name="Normal 9 3 3 5 2 3" xfId="12505" xr:uid="{8028880E-48FB-4263-A7BE-3D9046E8177F}"/>
    <cellStyle name="Normal 9 3 3 5 3" xfId="6136" xr:uid="{00000000-0005-0000-0000-00001A200000}"/>
    <cellStyle name="Normal 9 3 3 5 3 2" xfId="14578" xr:uid="{2510E119-5B40-4BF6-BC96-5E98B3526F24}"/>
    <cellStyle name="Normal 9 3 3 5 4" xfId="10360" xr:uid="{CD7D3B0C-1A60-4B8C-BA66-D24D13ED762A}"/>
    <cellStyle name="Normal 9 3 3 6" xfId="2242" xr:uid="{00000000-0005-0000-0000-00001B200000}"/>
    <cellStyle name="Normal 9 3 3 6 2" xfId="4471" xr:uid="{00000000-0005-0000-0000-00001C200000}"/>
    <cellStyle name="Normal 9 3 3 6 2 2" xfId="8694" xr:uid="{00000000-0005-0000-0000-00001D200000}"/>
    <cellStyle name="Normal 9 3 3 6 2 2 2" xfId="17136" xr:uid="{4FDB8B04-27D7-4AD7-BD6B-38A4C202ECC5}"/>
    <cellStyle name="Normal 9 3 3 6 2 3" xfId="12918" xr:uid="{12C344E5-2070-4B5B-817D-00F0DD3BE723}"/>
    <cellStyle name="Normal 9 3 3 6 3" xfId="6549" xr:uid="{00000000-0005-0000-0000-00001E200000}"/>
    <cellStyle name="Normal 9 3 3 6 3 2" xfId="14991" xr:uid="{A6E997C1-D413-4D81-9F2E-6895A15043BE}"/>
    <cellStyle name="Normal 9 3 3 6 4" xfId="10773" xr:uid="{D0DC75CB-43DF-4750-B6CE-B1F7251F16C5}"/>
    <cellStyle name="Normal 9 3 3 7" xfId="2678" xr:uid="{00000000-0005-0000-0000-00001F200000}"/>
    <cellStyle name="Normal 9 3 3 7 2" xfId="6962" xr:uid="{00000000-0005-0000-0000-000020200000}"/>
    <cellStyle name="Normal 9 3 3 7 2 2" xfId="15404" xr:uid="{C972A33F-04B7-40FE-ABAC-A1E36A81171F}"/>
    <cellStyle name="Normal 9 3 3 7 3" xfId="11186" xr:uid="{30D613C7-E0C7-4B14-8CCC-D4D6B374B2DC}"/>
    <cellStyle name="Normal 9 3 3 8" xfId="4897" xr:uid="{00000000-0005-0000-0000-000021200000}"/>
    <cellStyle name="Normal 9 3 3 8 2" xfId="13339" xr:uid="{D8503A4B-FEA4-45DC-A6E3-3DDDEB5D6D15}"/>
    <cellStyle name="Normal 9 3 3 9" xfId="9121" xr:uid="{EE7654BE-C3A2-4817-BC93-8ADC49D8CBE9}"/>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2 2 2" xfId="15899" xr:uid="{CCE1B645-CDAF-4512-BB16-C75034BE8F83}"/>
    <cellStyle name="Normal 9 3 4 2 2 3" xfId="11681" xr:uid="{A9FBD562-4FC4-4699-A291-E26AE4448E5C}"/>
    <cellStyle name="Normal 9 3 4 2 3" xfId="5312" xr:uid="{00000000-0005-0000-0000-000026200000}"/>
    <cellStyle name="Normal 9 3 4 2 3 2" xfId="13754" xr:uid="{10E49EA0-EBA7-4672-9BBB-865BBB6DD1BC}"/>
    <cellStyle name="Normal 9 3 4 2 4" xfId="9536" xr:uid="{F145371C-9716-4B59-99F6-AA3BD8F6F5B7}"/>
    <cellStyle name="Normal 9 3 4 3" xfId="1417" xr:uid="{00000000-0005-0000-0000-000027200000}"/>
    <cellStyle name="Normal 9 3 4 3 2" xfId="3647" xr:uid="{00000000-0005-0000-0000-000028200000}"/>
    <cellStyle name="Normal 9 3 4 3 2 2" xfId="7870" xr:uid="{00000000-0005-0000-0000-000029200000}"/>
    <cellStyle name="Normal 9 3 4 3 2 2 2" xfId="16312" xr:uid="{201EDA00-F0AE-444A-99D6-D7F67E6BA21E}"/>
    <cellStyle name="Normal 9 3 4 3 2 3" xfId="12094" xr:uid="{2171DBBD-059F-42D4-AE96-559142199FE3}"/>
    <cellStyle name="Normal 9 3 4 3 3" xfId="5725" xr:uid="{00000000-0005-0000-0000-00002A200000}"/>
    <cellStyle name="Normal 9 3 4 3 3 2" xfId="14167" xr:uid="{79B7C9CC-93C9-476E-9EA1-C3F2F3B44165}"/>
    <cellStyle name="Normal 9 3 4 3 4" xfId="9949" xr:uid="{199204C2-91BB-4698-8722-C1FD4C91A2FD}"/>
    <cellStyle name="Normal 9 3 4 4" xfId="1830" xr:uid="{00000000-0005-0000-0000-00002B200000}"/>
    <cellStyle name="Normal 9 3 4 4 2" xfId="4060" xr:uid="{00000000-0005-0000-0000-00002C200000}"/>
    <cellStyle name="Normal 9 3 4 4 2 2" xfId="8283" xr:uid="{00000000-0005-0000-0000-00002D200000}"/>
    <cellStyle name="Normal 9 3 4 4 2 2 2" xfId="16725" xr:uid="{6047FDA1-FCB3-427D-9A08-C93EA125E0E5}"/>
    <cellStyle name="Normal 9 3 4 4 2 3" xfId="12507" xr:uid="{51B40324-9770-4DEF-BA27-CFEB4D090DD6}"/>
    <cellStyle name="Normal 9 3 4 4 3" xfId="6138" xr:uid="{00000000-0005-0000-0000-00002E200000}"/>
    <cellStyle name="Normal 9 3 4 4 3 2" xfId="14580" xr:uid="{679E9EBF-3533-4B34-8BCA-906E916FC854}"/>
    <cellStyle name="Normal 9 3 4 4 4" xfId="10362" xr:uid="{C086F595-7FFE-4E82-A842-C886FD462869}"/>
    <cellStyle name="Normal 9 3 4 5" xfId="2244" xr:uid="{00000000-0005-0000-0000-00002F200000}"/>
    <cellStyle name="Normal 9 3 4 5 2" xfId="4473" xr:uid="{00000000-0005-0000-0000-000030200000}"/>
    <cellStyle name="Normal 9 3 4 5 2 2" xfId="8696" xr:uid="{00000000-0005-0000-0000-000031200000}"/>
    <cellStyle name="Normal 9 3 4 5 2 2 2" xfId="17138" xr:uid="{DF4457C4-C95D-40EC-946E-034BB897615F}"/>
    <cellStyle name="Normal 9 3 4 5 2 3" xfId="12920" xr:uid="{186EB437-6487-431D-8F69-72B801183646}"/>
    <cellStyle name="Normal 9 3 4 5 3" xfId="6551" xr:uid="{00000000-0005-0000-0000-000032200000}"/>
    <cellStyle name="Normal 9 3 4 5 3 2" xfId="14993" xr:uid="{6943AC53-0D3E-46A2-819C-2DF9323ACB6B}"/>
    <cellStyle name="Normal 9 3 4 5 4" xfId="10775" xr:uid="{E5EBDA89-8584-4CFA-9DAA-9FEE270D5275}"/>
    <cellStyle name="Normal 9 3 4 6" xfId="2680" xr:uid="{00000000-0005-0000-0000-000033200000}"/>
    <cellStyle name="Normal 9 3 4 6 2" xfId="6964" xr:uid="{00000000-0005-0000-0000-000034200000}"/>
    <cellStyle name="Normal 9 3 4 6 2 2" xfId="15406" xr:uid="{964C3D26-61A2-4BBA-8795-C500360ADC7E}"/>
    <cellStyle name="Normal 9 3 4 6 3" xfId="11188" xr:uid="{C2080D30-5F43-469F-AF39-A7D381195B87}"/>
    <cellStyle name="Normal 9 3 4 7" xfId="4899" xr:uid="{00000000-0005-0000-0000-000035200000}"/>
    <cellStyle name="Normal 9 3 4 7 2" xfId="13341" xr:uid="{B7A328AC-331A-4BB7-95B4-82D0CA0F3888}"/>
    <cellStyle name="Normal 9 3 4 8" xfId="9123" xr:uid="{23BED2A8-2990-4435-AD16-CCB2F346AA0E}"/>
    <cellStyle name="Normal 9 3 5" xfId="994" xr:uid="{00000000-0005-0000-0000-000036200000}"/>
    <cellStyle name="Normal 9 3 5 2" xfId="3227" xr:uid="{00000000-0005-0000-0000-000037200000}"/>
    <cellStyle name="Normal 9 3 5 2 2" xfId="7450" xr:uid="{00000000-0005-0000-0000-000038200000}"/>
    <cellStyle name="Normal 9 3 5 2 2 2" xfId="15892" xr:uid="{A9F40084-9898-4B0F-9A9C-8045D428E4DE}"/>
    <cellStyle name="Normal 9 3 5 2 3" xfId="11674" xr:uid="{45F2584C-3CF8-43FB-B116-3796FB28D4D2}"/>
    <cellStyle name="Normal 9 3 5 3" xfId="5305" xr:uid="{00000000-0005-0000-0000-000039200000}"/>
    <cellStyle name="Normal 9 3 5 3 2" xfId="13747" xr:uid="{B7E5CD08-24E7-49A8-902D-4FFCE00C73FD}"/>
    <cellStyle name="Normal 9 3 5 4" xfId="9529" xr:uid="{E2DF494D-E7BD-4556-813F-B0F09A9A3323}"/>
    <cellStyle name="Normal 9 3 6" xfId="1410" xr:uid="{00000000-0005-0000-0000-00003A200000}"/>
    <cellStyle name="Normal 9 3 6 2" xfId="3640" xr:uid="{00000000-0005-0000-0000-00003B200000}"/>
    <cellStyle name="Normal 9 3 6 2 2" xfId="7863" xr:uid="{00000000-0005-0000-0000-00003C200000}"/>
    <cellStyle name="Normal 9 3 6 2 2 2" xfId="16305" xr:uid="{27B48E93-FE7F-4903-9780-E23A693BD752}"/>
    <cellStyle name="Normal 9 3 6 2 3" xfId="12087" xr:uid="{9C264CC0-47FC-4D3A-A6F5-E878379A64D3}"/>
    <cellStyle name="Normal 9 3 6 3" xfId="5718" xr:uid="{00000000-0005-0000-0000-00003D200000}"/>
    <cellStyle name="Normal 9 3 6 3 2" xfId="14160" xr:uid="{57D7E981-0B52-4005-82C8-059552743170}"/>
    <cellStyle name="Normal 9 3 6 4" xfId="9942" xr:uid="{7C7E28F3-93D5-4F3C-9FBE-D9E70A25314F}"/>
    <cellStyle name="Normal 9 3 7" xfId="1823" xr:uid="{00000000-0005-0000-0000-00003E200000}"/>
    <cellStyle name="Normal 9 3 7 2" xfId="4053" xr:uid="{00000000-0005-0000-0000-00003F200000}"/>
    <cellStyle name="Normal 9 3 7 2 2" xfId="8276" xr:uid="{00000000-0005-0000-0000-000040200000}"/>
    <cellStyle name="Normal 9 3 7 2 2 2" xfId="16718" xr:uid="{99443D3C-BFBD-43F0-9C44-8A700379125A}"/>
    <cellStyle name="Normal 9 3 7 2 3" xfId="12500" xr:uid="{A706B831-737D-4521-AFCF-235056596A0C}"/>
    <cellStyle name="Normal 9 3 7 3" xfId="6131" xr:uid="{00000000-0005-0000-0000-000041200000}"/>
    <cellStyle name="Normal 9 3 7 3 2" xfId="14573" xr:uid="{6A32D303-20EC-45B6-A330-2B623C4965A7}"/>
    <cellStyle name="Normal 9 3 7 4" xfId="10355" xr:uid="{D3B7F31D-3400-41B0-83E2-C708EC69608E}"/>
    <cellStyle name="Normal 9 3 8" xfId="2237" xr:uid="{00000000-0005-0000-0000-000042200000}"/>
    <cellStyle name="Normal 9 3 8 2" xfId="4466" xr:uid="{00000000-0005-0000-0000-000043200000}"/>
    <cellStyle name="Normal 9 3 8 2 2" xfId="8689" xr:uid="{00000000-0005-0000-0000-000044200000}"/>
    <cellStyle name="Normal 9 3 8 2 2 2" xfId="17131" xr:uid="{BF4AB1BF-1FFF-4F3F-86C1-D6835D117751}"/>
    <cellStyle name="Normal 9 3 8 2 3" xfId="12913" xr:uid="{B5CB9022-E3DE-400D-B82F-C6B0C1A833BD}"/>
    <cellStyle name="Normal 9 3 8 3" xfId="6544" xr:uid="{00000000-0005-0000-0000-000045200000}"/>
    <cellStyle name="Normal 9 3 8 3 2" xfId="14986" xr:uid="{231375AB-051D-43A4-B7FD-E990CD5763C5}"/>
    <cellStyle name="Normal 9 3 8 4" xfId="10768" xr:uid="{B27ECAD0-062B-436D-A864-13BD2E0B30C5}"/>
    <cellStyle name="Normal 9 3 9" xfId="2673" xr:uid="{00000000-0005-0000-0000-000046200000}"/>
    <cellStyle name="Normal 9 3 9 2" xfId="6957" xr:uid="{00000000-0005-0000-0000-000047200000}"/>
    <cellStyle name="Normal 9 3 9 2 2" xfId="15399" xr:uid="{F14ECFC0-BC3B-4FC4-9A56-3D398CB53F47}"/>
    <cellStyle name="Normal 9 3 9 3" xfId="11181" xr:uid="{0450C9F2-7AB5-4B70-8D38-42057F22A8A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2 2 2" xfId="15901" xr:uid="{D612990C-A173-4060-860B-8D2030149A07}"/>
    <cellStyle name="Normal 9 5 2 2 2 3" xfId="11683" xr:uid="{C543ED63-DD05-4243-B2B8-C9AB94F8BAD4}"/>
    <cellStyle name="Normal 9 5 2 2 3" xfId="5314" xr:uid="{00000000-0005-0000-0000-00004F200000}"/>
    <cellStyle name="Normal 9 5 2 2 3 2" xfId="13756" xr:uid="{EBD9DA6E-4DAD-4A48-8C45-BBC7E0759AD5}"/>
    <cellStyle name="Normal 9 5 2 2 4" xfId="9538" xr:uid="{3B0A394A-3B2B-45EA-82D1-FA3E189507DF}"/>
    <cellStyle name="Normal 9 5 2 3" xfId="1419" xr:uid="{00000000-0005-0000-0000-000050200000}"/>
    <cellStyle name="Normal 9 5 2 3 2" xfId="3649" xr:uid="{00000000-0005-0000-0000-000051200000}"/>
    <cellStyle name="Normal 9 5 2 3 2 2" xfId="7872" xr:uid="{00000000-0005-0000-0000-000052200000}"/>
    <cellStyle name="Normal 9 5 2 3 2 2 2" xfId="16314" xr:uid="{771A23B1-4CC1-446C-9EBF-2D2AC999E2FB}"/>
    <cellStyle name="Normal 9 5 2 3 2 3" xfId="12096" xr:uid="{E1B2A108-4873-470F-A437-23F39AC3C9F1}"/>
    <cellStyle name="Normal 9 5 2 3 3" xfId="5727" xr:uid="{00000000-0005-0000-0000-000053200000}"/>
    <cellStyle name="Normal 9 5 2 3 3 2" xfId="14169" xr:uid="{E5A4882C-6E2C-4C8C-8D94-F9788B562043}"/>
    <cellStyle name="Normal 9 5 2 3 4" xfId="9951" xr:uid="{2C096641-0366-4D76-ABE2-611FBC36F841}"/>
    <cellStyle name="Normal 9 5 2 4" xfId="1832" xr:uid="{00000000-0005-0000-0000-000054200000}"/>
    <cellStyle name="Normal 9 5 2 4 2" xfId="4062" xr:uid="{00000000-0005-0000-0000-000055200000}"/>
    <cellStyle name="Normal 9 5 2 4 2 2" xfId="8285" xr:uid="{00000000-0005-0000-0000-000056200000}"/>
    <cellStyle name="Normal 9 5 2 4 2 2 2" xfId="16727" xr:uid="{92603338-C3BF-434C-89C1-B658C6CE5732}"/>
    <cellStyle name="Normal 9 5 2 4 2 3" xfId="12509" xr:uid="{102C5474-29CA-49A2-AAC1-ADE1FA6ABDD2}"/>
    <cellStyle name="Normal 9 5 2 4 3" xfId="6140" xr:uid="{00000000-0005-0000-0000-000057200000}"/>
    <cellStyle name="Normal 9 5 2 4 3 2" xfId="14582" xr:uid="{E22D76AF-0132-4578-9C1A-5398F37A479B}"/>
    <cellStyle name="Normal 9 5 2 4 4" xfId="10364" xr:uid="{B54D7B9F-2FAE-455C-A930-7D36666B1EA2}"/>
    <cellStyle name="Normal 9 5 2 5" xfId="2246" xr:uid="{00000000-0005-0000-0000-000058200000}"/>
    <cellStyle name="Normal 9 5 2 5 2" xfId="4475" xr:uid="{00000000-0005-0000-0000-000059200000}"/>
    <cellStyle name="Normal 9 5 2 5 2 2" xfId="8698" xr:uid="{00000000-0005-0000-0000-00005A200000}"/>
    <cellStyle name="Normal 9 5 2 5 2 2 2" xfId="17140" xr:uid="{5133A83E-9CE9-4796-A795-188DF32B466C}"/>
    <cellStyle name="Normal 9 5 2 5 2 3" xfId="12922" xr:uid="{70B4D419-6B53-4AD2-8EFD-AFF1F97AA0AB}"/>
    <cellStyle name="Normal 9 5 2 5 3" xfId="6553" xr:uid="{00000000-0005-0000-0000-00005B200000}"/>
    <cellStyle name="Normal 9 5 2 5 3 2" xfId="14995" xr:uid="{C9C85825-4C2D-49A0-8248-9D284BEBEAF1}"/>
    <cellStyle name="Normal 9 5 2 5 4" xfId="10777" xr:uid="{03D10833-676B-40CA-8733-63AD7E6AE368}"/>
    <cellStyle name="Normal 9 5 2 6" xfId="2682" xr:uid="{00000000-0005-0000-0000-00005C200000}"/>
    <cellStyle name="Normal 9 5 2 6 2" xfId="6966" xr:uid="{00000000-0005-0000-0000-00005D200000}"/>
    <cellStyle name="Normal 9 5 2 6 2 2" xfId="15408" xr:uid="{E7E77153-3CBC-4F08-AEBF-988908A09E79}"/>
    <cellStyle name="Normal 9 5 2 6 3" xfId="11190" xr:uid="{7A6C5DB1-9EB2-46D2-8B3D-913D44C52F91}"/>
    <cellStyle name="Normal 9 5 2 7" xfId="4901" xr:uid="{00000000-0005-0000-0000-00005E200000}"/>
    <cellStyle name="Normal 9 5 2 7 2" xfId="13343" xr:uid="{80553CAD-8B7E-486B-ABD7-D2AB9CCA0EC3}"/>
    <cellStyle name="Normal 9 5 2 8" xfId="9125" xr:uid="{1CA6381E-293E-47B9-9DED-056F91842766}"/>
    <cellStyle name="Normal 9 5 3" xfId="1003" xr:uid="{00000000-0005-0000-0000-00005F200000}"/>
    <cellStyle name="Normal 9 5 3 2" xfId="3235" xr:uid="{00000000-0005-0000-0000-000060200000}"/>
    <cellStyle name="Normal 9 5 3 2 2" xfId="7458" xr:uid="{00000000-0005-0000-0000-000061200000}"/>
    <cellStyle name="Normal 9 5 3 2 2 2" xfId="15900" xr:uid="{20A886A6-8EFE-4952-9EFE-156D21B29879}"/>
    <cellStyle name="Normal 9 5 3 2 3" xfId="11682" xr:uid="{92E97E7C-4FA6-4A5D-8DC8-BDBCB836D950}"/>
    <cellStyle name="Normal 9 5 3 3" xfId="5313" xr:uid="{00000000-0005-0000-0000-000062200000}"/>
    <cellStyle name="Normal 9 5 3 3 2" xfId="13755" xr:uid="{285833A2-F62D-467F-86C2-7EFE43E994F1}"/>
    <cellStyle name="Normal 9 5 3 4" xfId="9537" xr:uid="{9078A164-71BD-4970-9C51-89D1F3B05078}"/>
    <cellStyle name="Normal 9 5 4" xfId="1418" xr:uid="{00000000-0005-0000-0000-000063200000}"/>
    <cellStyle name="Normal 9 5 4 2" xfId="3648" xr:uid="{00000000-0005-0000-0000-000064200000}"/>
    <cellStyle name="Normal 9 5 4 2 2" xfId="7871" xr:uid="{00000000-0005-0000-0000-000065200000}"/>
    <cellStyle name="Normal 9 5 4 2 2 2" xfId="16313" xr:uid="{A1E739E7-8167-4E4A-90AE-67FFBBDFA8A4}"/>
    <cellStyle name="Normal 9 5 4 2 3" xfId="12095" xr:uid="{BF0837B8-F978-4177-AAEA-247D7FC6D4E4}"/>
    <cellStyle name="Normal 9 5 4 3" xfId="5726" xr:uid="{00000000-0005-0000-0000-000066200000}"/>
    <cellStyle name="Normal 9 5 4 3 2" xfId="14168" xr:uid="{98BB2357-EF46-4F40-999E-AE8D39099F68}"/>
    <cellStyle name="Normal 9 5 4 4" xfId="9950" xr:uid="{DA7C4053-825F-454F-9F81-84F10E3DD40D}"/>
    <cellStyle name="Normal 9 5 5" xfId="1831" xr:uid="{00000000-0005-0000-0000-000067200000}"/>
    <cellStyle name="Normal 9 5 5 2" xfId="4061" xr:uid="{00000000-0005-0000-0000-000068200000}"/>
    <cellStyle name="Normal 9 5 5 2 2" xfId="8284" xr:uid="{00000000-0005-0000-0000-000069200000}"/>
    <cellStyle name="Normal 9 5 5 2 2 2" xfId="16726" xr:uid="{8C07CD7D-1F3C-45F6-AE80-91F206362772}"/>
    <cellStyle name="Normal 9 5 5 2 3" xfId="12508" xr:uid="{ED2587B7-CBD7-4CF7-8E40-694BF0D2DF25}"/>
    <cellStyle name="Normal 9 5 5 3" xfId="6139" xr:uid="{00000000-0005-0000-0000-00006A200000}"/>
    <cellStyle name="Normal 9 5 5 3 2" xfId="14581" xr:uid="{67A83085-7BA0-4306-90E5-A45EE3F957D8}"/>
    <cellStyle name="Normal 9 5 5 4" xfId="10363" xr:uid="{E6C4248D-F221-452B-8C44-625480EA9D85}"/>
    <cellStyle name="Normal 9 5 6" xfId="2245" xr:uid="{00000000-0005-0000-0000-00006B200000}"/>
    <cellStyle name="Normal 9 5 6 2" xfId="4474" xr:uid="{00000000-0005-0000-0000-00006C200000}"/>
    <cellStyle name="Normal 9 5 6 2 2" xfId="8697" xr:uid="{00000000-0005-0000-0000-00006D200000}"/>
    <cellStyle name="Normal 9 5 6 2 2 2" xfId="17139" xr:uid="{9AAA7941-9519-4AB5-96C2-982481C9A788}"/>
    <cellStyle name="Normal 9 5 6 2 3" xfId="12921" xr:uid="{1C3097FC-DA5E-4ECB-937C-AFAD70ADC183}"/>
    <cellStyle name="Normal 9 5 6 3" xfId="6552" xr:uid="{00000000-0005-0000-0000-00006E200000}"/>
    <cellStyle name="Normal 9 5 6 3 2" xfId="14994" xr:uid="{C7CA781A-5424-4F24-AD3B-3AD63931E5D0}"/>
    <cellStyle name="Normal 9 5 6 4" xfId="10776" xr:uid="{1638945B-BCA2-4F4C-A703-D5752C22F3EB}"/>
    <cellStyle name="Normal 9 5 7" xfId="2681" xr:uid="{00000000-0005-0000-0000-00006F200000}"/>
    <cellStyle name="Normal 9 5 7 2" xfId="6965" xr:uid="{00000000-0005-0000-0000-000070200000}"/>
    <cellStyle name="Normal 9 5 7 2 2" xfId="15407" xr:uid="{3E281395-809F-4006-8AE3-738B6D997725}"/>
    <cellStyle name="Normal 9 5 7 3" xfId="11189" xr:uid="{7ADAE24D-B189-4B3A-99AD-4FAD79B2A42E}"/>
    <cellStyle name="Normal 9 5 8" xfId="4900" xr:uid="{00000000-0005-0000-0000-000071200000}"/>
    <cellStyle name="Normal 9 5 8 2" xfId="13342" xr:uid="{02FC353F-B339-4198-ABF1-BA93BE14277C}"/>
    <cellStyle name="Normal 9 5 9" xfId="9124" xr:uid="{4F399BB0-C3E6-4703-AEE4-EC98E39205E1}"/>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2 2 2" xfId="15902" xr:uid="{E6C66317-1257-4B50-81A7-EC3953664B4A}"/>
    <cellStyle name="Normal 9 6 2 2 3" xfId="11684" xr:uid="{1656F9FF-8580-430A-9663-15F576EB73DC}"/>
    <cellStyle name="Normal 9 6 2 3" xfId="5315" xr:uid="{00000000-0005-0000-0000-000076200000}"/>
    <cellStyle name="Normal 9 6 2 3 2" xfId="13757" xr:uid="{47956C31-F43E-4934-87E0-E2F72BF511B0}"/>
    <cellStyle name="Normal 9 6 2 4" xfId="9539" xr:uid="{005BB554-564D-4382-BE74-0F3FC5383244}"/>
    <cellStyle name="Normal 9 6 3" xfId="1420" xr:uid="{00000000-0005-0000-0000-000077200000}"/>
    <cellStyle name="Normal 9 6 3 2" xfId="3650" xr:uid="{00000000-0005-0000-0000-000078200000}"/>
    <cellStyle name="Normal 9 6 3 2 2" xfId="7873" xr:uid="{00000000-0005-0000-0000-000079200000}"/>
    <cellStyle name="Normal 9 6 3 2 2 2" xfId="16315" xr:uid="{B3AC6533-A5FD-4D70-8D4C-737247F01890}"/>
    <cellStyle name="Normal 9 6 3 2 3" xfId="12097" xr:uid="{A37EEB65-CDE1-418C-8818-FE76C73E31A7}"/>
    <cellStyle name="Normal 9 6 3 3" xfId="5728" xr:uid="{00000000-0005-0000-0000-00007A200000}"/>
    <cellStyle name="Normal 9 6 3 3 2" xfId="14170" xr:uid="{41550D8C-24C0-4DEE-8DA9-983B30AD6638}"/>
    <cellStyle name="Normal 9 6 3 4" xfId="9952" xr:uid="{511382E9-4984-407C-B7EE-6CE1536BBFD2}"/>
    <cellStyle name="Normal 9 6 4" xfId="1833" xr:uid="{00000000-0005-0000-0000-00007B200000}"/>
    <cellStyle name="Normal 9 6 4 2" xfId="4063" xr:uid="{00000000-0005-0000-0000-00007C200000}"/>
    <cellStyle name="Normal 9 6 4 2 2" xfId="8286" xr:uid="{00000000-0005-0000-0000-00007D200000}"/>
    <cellStyle name="Normal 9 6 4 2 2 2" xfId="16728" xr:uid="{8114DF7E-550E-49A9-A05D-68537AC25810}"/>
    <cellStyle name="Normal 9 6 4 2 3" xfId="12510" xr:uid="{22E516D4-E2B3-478A-95AE-10380164348D}"/>
    <cellStyle name="Normal 9 6 4 3" xfId="6141" xr:uid="{00000000-0005-0000-0000-00007E200000}"/>
    <cellStyle name="Normal 9 6 4 3 2" xfId="14583" xr:uid="{14D3C480-51B1-47E6-8C10-3CDD54F861FB}"/>
    <cellStyle name="Normal 9 6 4 4" xfId="10365" xr:uid="{96C611B8-43E8-4BB8-977F-075A070FE885}"/>
    <cellStyle name="Normal 9 6 5" xfId="2247" xr:uid="{00000000-0005-0000-0000-00007F200000}"/>
    <cellStyle name="Normal 9 6 5 2" xfId="4476" xr:uid="{00000000-0005-0000-0000-000080200000}"/>
    <cellStyle name="Normal 9 6 5 2 2" xfId="8699" xr:uid="{00000000-0005-0000-0000-000081200000}"/>
    <cellStyle name="Normal 9 6 5 2 2 2" xfId="17141" xr:uid="{82BCD877-39FE-48F0-AAA7-4E83C1641F61}"/>
    <cellStyle name="Normal 9 6 5 2 3" xfId="12923" xr:uid="{FA49058E-ACF1-4EFD-B223-D413406798C0}"/>
    <cellStyle name="Normal 9 6 5 3" xfId="6554" xr:uid="{00000000-0005-0000-0000-000082200000}"/>
    <cellStyle name="Normal 9 6 5 3 2" xfId="14996" xr:uid="{DCACBC26-DB26-4F89-94D5-8FCC6D729E22}"/>
    <cellStyle name="Normal 9 6 5 4" xfId="10778" xr:uid="{027417C1-36D0-4E98-B046-E3A8FE552E22}"/>
    <cellStyle name="Normal 9 6 6" xfId="2683" xr:uid="{00000000-0005-0000-0000-000083200000}"/>
    <cellStyle name="Normal 9 6 6 2" xfId="6967" xr:uid="{00000000-0005-0000-0000-000084200000}"/>
    <cellStyle name="Normal 9 6 6 2 2" xfId="15409" xr:uid="{A253533F-2499-460B-9090-4D2366513665}"/>
    <cellStyle name="Normal 9 6 6 3" xfId="11191" xr:uid="{31CA0615-D720-4A08-88B0-94238026B2EE}"/>
    <cellStyle name="Normal 9 6 7" xfId="4902" xr:uid="{00000000-0005-0000-0000-000085200000}"/>
    <cellStyle name="Normal 9 6 7 2" xfId="13344" xr:uid="{7A4017CA-E72E-4126-AB68-02D47B86A356}"/>
    <cellStyle name="Normal 9 6 8" xfId="9126" xr:uid="{A8FA832E-FD86-44D9-A6E9-6E31180AE716}"/>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0 2 2" xfId="15490" xr:uid="{6BEBCB75-990E-4758-9B6F-C0A6B6040FF4}"/>
    <cellStyle name="Note 2 2 10 3" xfId="11272" xr:uid="{77C982C2-D83D-4CC5-A342-6F1C0223B688}"/>
    <cellStyle name="Note 2 2 11" xfId="4903" xr:uid="{00000000-0005-0000-0000-000094200000}"/>
    <cellStyle name="Note 2 2 11 2" xfId="13345" xr:uid="{5DB66C66-B4E9-48E1-A29A-8ABECC19ACCE}"/>
    <cellStyle name="Note 2 2 12" xfId="9127" xr:uid="{62B5811A-F97C-4FE9-825B-1E740D18E1CA}"/>
    <cellStyle name="Note 2 2 2" xfId="546" xr:uid="{00000000-0005-0000-0000-000095200000}"/>
    <cellStyle name="Note 2 2 2 10" xfId="4904" xr:uid="{00000000-0005-0000-0000-000096200000}"/>
    <cellStyle name="Note 2 2 2 10 2" xfId="13346" xr:uid="{81EAD68B-D5FC-4C31-9BF9-FFD8C80DEAA2}"/>
    <cellStyle name="Note 2 2 2 11" xfId="9128" xr:uid="{07CC21EA-7BAD-4E86-B89C-CF3D17C4D0F4}"/>
    <cellStyle name="Note 2 2 2 2" xfId="547" xr:uid="{00000000-0005-0000-0000-000097200000}"/>
    <cellStyle name="Note 2 2 2 2 10" xfId="9129" xr:uid="{1C5AF211-FE1E-4417-B252-166193D04837}"/>
    <cellStyle name="Note 2 2 2 2 2" xfId="1008" xr:uid="{00000000-0005-0000-0000-000098200000}"/>
    <cellStyle name="Note 2 2 2 2 2 2" xfId="3240" xr:uid="{00000000-0005-0000-0000-000099200000}"/>
    <cellStyle name="Note 2 2 2 2 2 2 2" xfId="7463" xr:uid="{00000000-0005-0000-0000-00009A200000}"/>
    <cellStyle name="Note 2 2 2 2 2 2 2 2" xfId="15905" xr:uid="{E643C112-B13F-443D-A7EF-B3A9060F3DCB}"/>
    <cellStyle name="Note 2 2 2 2 2 2 3" xfId="11687" xr:uid="{CFE93CA2-903B-4F5A-8208-DFA510BCCA69}"/>
    <cellStyle name="Note 2 2 2 2 2 3" xfId="5318" xr:uid="{00000000-0005-0000-0000-00009B200000}"/>
    <cellStyle name="Note 2 2 2 2 2 3 2" xfId="13760" xr:uid="{A9EE2F95-1E75-429C-939A-4BE8D8F28D6C}"/>
    <cellStyle name="Note 2 2 2 2 2 4" xfId="9542" xr:uid="{A89676BA-BF84-4B23-9060-2168CE0DBFCF}"/>
    <cellStyle name="Note 2 2 2 2 3" xfId="1423" xr:uid="{00000000-0005-0000-0000-00009C200000}"/>
    <cellStyle name="Note 2 2 2 2 3 2" xfId="3653" xr:uid="{00000000-0005-0000-0000-00009D200000}"/>
    <cellStyle name="Note 2 2 2 2 3 2 2" xfId="7876" xr:uid="{00000000-0005-0000-0000-00009E200000}"/>
    <cellStyle name="Note 2 2 2 2 3 2 2 2" xfId="16318" xr:uid="{EE6165AE-0C9D-43F6-8676-DFC7159C2F5D}"/>
    <cellStyle name="Note 2 2 2 2 3 2 3" xfId="12100" xr:uid="{67BDC729-FC5C-431F-9AD3-2FA037A5662C}"/>
    <cellStyle name="Note 2 2 2 2 3 3" xfId="5731" xr:uid="{00000000-0005-0000-0000-00009F200000}"/>
    <cellStyle name="Note 2 2 2 2 3 3 2" xfId="14173" xr:uid="{497707F2-BDBC-42B0-9E52-94CE04CDB0C0}"/>
    <cellStyle name="Note 2 2 2 2 3 4" xfId="9955" xr:uid="{8C9F37E2-51F9-4E35-86C1-BAE497751758}"/>
    <cellStyle name="Note 2 2 2 2 4" xfId="1837" xr:uid="{00000000-0005-0000-0000-0000A0200000}"/>
    <cellStyle name="Note 2 2 2 2 4 2" xfId="4066" xr:uid="{00000000-0005-0000-0000-0000A1200000}"/>
    <cellStyle name="Note 2 2 2 2 4 2 2" xfId="8289" xr:uid="{00000000-0005-0000-0000-0000A2200000}"/>
    <cellStyle name="Note 2 2 2 2 4 2 2 2" xfId="16731" xr:uid="{307FFECB-754B-4374-BB0D-8D94E2D8422B}"/>
    <cellStyle name="Note 2 2 2 2 4 2 3" xfId="12513" xr:uid="{8186DE5F-7900-4607-A8F2-2A3772FACC0A}"/>
    <cellStyle name="Note 2 2 2 2 4 3" xfId="6144" xr:uid="{00000000-0005-0000-0000-0000A3200000}"/>
    <cellStyle name="Note 2 2 2 2 4 3 2" xfId="14586" xr:uid="{F0E0B9D5-74B1-4962-A004-D679E5A00060}"/>
    <cellStyle name="Note 2 2 2 2 4 4" xfId="10368" xr:uid="{3868F299-CCB3-4874-8A53-2C1EA9C0A3CB}"/>
    <cellStyle name="Note 2 2 2 2 5" xfId="2250" xr:uid="{00000000-0005-0000-0000-0000A4200000}"/>
    <cellStyle name="Note 2 2 2 2 5 2" xfId="4479" xr:uid="{00000000-0005-0000-0000-0000A5200000}"/>
    <cellStyle name="Note 2 2 2 2 5 2 2" xfId="8702" xr:uid="{00000000-0005-0000-0000-0000A6200000}"/>
    <cellStyle name="Note 2 2 2 2 5 2 2 2" xfId="17144" xr:uid="{94FF0490-7523-4CC1-97FE-28283D38C9CE}"/>
    <cellStyle name="Note 2 2 2 2 5 2 3" xfId="12926" xr:uid="{8D5DE82C-3043-476A-B86A-A1E0B66440CF}"/>
    <cellStyle name="Note 2 2 2 2 5 3" xfId="6557" xr:uid="{00000000-0005-0000-0000-0000A7200000}"/>
    <cellStyle name="Note 2 2 2 2 5 3 2" xfId="14999" xr:uid="{153C7F5D-E648-484B-B306-622310DA234D}"/>
    <cellStyle name="Note 2 2 2 2 5 4" xfId="10781" xr:uid="{EE5FF59A-794C-4B96-8A6A-B59708D6250E}"/>
    <cellStyle name="Note 2 2 2 2 6" xfId="2686" xr:uid="{00000000-0005-0000-0000-0000A8200000}"/>
    <cellStyle name="Note 2 2 2 2 6 2" xfId="6970" xr:uid="{00000000-0005-0000-0000-0000A9200000}"/>
    <cellStyle name="Note 2 2 2 2 6 2 2" xfId="15412" xr:uid="{5D25EB83-809F-47C8-8C48-5DAE8455CCFB}"/>
    <cellStyle name="Note 2 2 2 2 6 3" xfId="11194" xr:uid="{16710CCF-CDD7-46EF-9D7D-0C22896E09CE}"/>
    <cellStyle name="Note 2 2 2 2 7" xfId="2745" xr:uid="{00000000-0005-0000-0000-0000AA200000}"/>
    <cellStyle name="Note 2 2 2 2 8" xfId="2826" xr:uid="{00000000-0005-0000-0000-0000AB200000}"/>
    <cellStyle name="Note 2 2 2 2 8 2" xfId="7050" xr:uid="{00000000-0005-0000-0000-0000AC200000}"/>
    <cellStyle name="Note 2 2 2 2 8 2 2" xfId="15492" xr:uid="{30676D5B-18AD-4D36-B14D-C4096F95FC13}"/>
    <cellStyle name="Note 2 2 2 2 8 3" xfId="11274" xr:uid="{A732963C-43D2-4F08-9CB2-FAF5DDD1D412}"/>
    <cellStyle name="Note 2 2 2 2 9" xfId="4905" xr:uid="{00000000-0005-0000-0000-0000AD200000}"/>
    <cellStyle name="Note 2 2 2 2 9 2" xfId="13347" xr:uid="{C777B7E2-8B70-435E-8646-BCA76D195BDB}"/>
    <cellStyle name="Note 2 2 2 3" xfId="1007" xr:uid="{00000000-0005-0000-0000-0000AE200000}"/>
    <cellStyle name="Note 2 2 2 3 2" xfId="3239" xr:uid="{00000000-0005-0000-0000-0000AF200000}"/>
    <cellStyle name="Note 2 2 2 3 2 2" xfId="7462" xr:uid="{00000000-0005-0000-0000-0000B0200000}"/>
    <cellStyle name="Note 2 2 2 3 2 2 2" xfId="15904" xr:uid="{E1812C05-CF00-4997-84E0-6D935E6392E1}"/>
    <cellStyle name="Note 2 2 2 3 2 3" xfId="11686" xr:uid="{83479CFD-4D5A-440E-BCD7-2423A3ED65F9}"/>
    <cellStyle name="Note 2 2 2 3 3" xfId="5317" xr:uid="{00000000-0005-0000-0000-0000B1200000}"/>
    <cellStyle name="Note 2 2 2 3 3 2" xfId="13759" xr:uid="{AD0D5EE4-9584-45F5-8EE3-6FF082BC4F25}"/>
    <cellStyle name="Note 2 2 2 3 4" xfId="9541" xr:uid="{AE9A0D01-9BE1-445F-9AFB-5EB7BB874E74}"/>
    <cellStyle name="Note 2 2 2 4" xfId="1422" xr:uid="{00000000-0005-0000-0000-0000B2200000}"/>
    <cellStyle name="Note 2 2 2 4 2" xfId="3652" xr:uid="{00000000-0005-0000-0000-0000B3200000}"/>
    <cellStyle name="Note 2 2 2 4 2 2" xfId="7875" xr:uid="{00000000-0005-0000-0000-0000B4200000}"/>
    <cellStyle name="Note 2 2 2 4 2 2 2" xfId="16317" xr:uid="{B4F1A2F8-005E-44BF-AD66-83DAE7078164}"/>
    <cellStyle name="Note 2 2 2 4 2 3" xfId="12099" xr:uid="{09DA9954-8A0C-4D75-B847-F8664D61B843}"/>
    <cellStyle name="Note 2 2 2 4 3" xfId="5730" xr:uid="{00000000-0005-0000-0000-0000B5200000}"/>
    <cellStyle name="Note 2 2 2 4 3 2" xfId="14172" xr:uid="{7CAE2CFD-D822-490E-91F4-DEA7D434077A}"/>
    <cellStyle name="Note 2 2 2 4 4" xfId="9954" xr:uid="{FC804669-B1F0-4663-A9DA-BEFF336ECC77}"/>
    <cellStyle name="Note 2 2 2 5" xfId="1836" xr:uid="{00000000-0005-0000-0000-0000B6200000}"/>
    <cellStyle name="Note 2 2 2 5 2" xfId="4065" xr:uid="{00000000-0005-0000-0000-0000B7200000}"/>
    <cellStyle name="Note 2 2 2 5 2 2" xfId="8288" xr:uid="{00000000-0005-0000-0000-0000B8200000}"/>
    <cellStyle name="Note 2 2 2 5 2 2 2" xfId="16730" xr:uid="{424133DC-CE3E-40BC-ACD4-3C8973D6E448}"/>
    <cellStyle name="Note 2 2 2 5 2 3" xfId="12512" xr:uid="{7694ECB3-920C-4B91-9636-4E80A7504170}"/>
    <cellStyle name="Note 2 2 2 5 3" xfId="6143" xr:uid="{00000000-0005-0000-0000-0000B9200000}"/>
    <cellStyle name="Note 2 2 2 5 3 2" xfId="14585" xr:uid="{954FDEEA-9268-40BC-AB22-53DB45D36435}"/>
    <cellStyle name="Note 2 2 2 5 4" xfId="10367" xr:uid="{A4346A8F-B304-4CB2-9A5A-67883E0E09E1}"/>
    <cellStyle name="Note 2 2 2 6" xfId="2249" xr:uid="{00000000-0005-0000-0000-0000BA200000}"/>
    <cellStyle name="Note 2 2 2 6 2" xfId="4478" xr:uid="{00000000-0005-0000-0000-0000BB200000}"/>
    <cellStyle name="Note 2 2 2 6 2 2" xfId="8701" xr:uid="{00000000-0005-0000-0000-0000BC200000}"/>
    <cellStyle name="Note 2 2 2 6 2 2 2" xfId="17143" xr:uid="{A80298D8-F117-4475-BF38-80163817B2BE}"/>
    <cellStyle name="Note 2 2 2 6 2 3" xfId="12925" xr:uid="{8AC81D68-FF93-4062-9C46-36BD54C0F74B}"/>
    <cellStyle name="Note 2 2 2 6 3" xfId="6556" xr:uid="{00000000-0005-0000-0000-0000BD200000}"/>
    <cellStyle name="Note 2 2 2 6 3 2" xfId="14998" xr:uid="{0361FD01-4045-4EEC-9795-709F804B63D1}"/>
    <cellStyle name="Note 2 2 2 6 4" xfId="10780" xr:uid="{76ED0795-95B3-4D9D-AB96-BD480EEA8078}"/>
    <cellStyle name="Note 2 2 2 7" xfId="2685" xr:uid="{00000000-0005-0000-0000-0000BE200000}"/>
    <cellStyle name="Note 2 2 2 7 2" xfId="6969" xr:uid="{00000000-0005-0000-0000-0000BF200000}"/>
    <cellStyle name="Note 2 2 2 7 2 2" xfId="15411" xr:uid="{79EA79B7-F463-43F9-827D-DA38EAD66D81}"/>
    <cellStyle name="Note 2 2 2 7 3" xfId="11193" xr:uid="{6756C8CB-5ED0-4679-942D-B5D6EC05D25F}"/>
    <cellStyle name="Note 2 2 2 8" xfId="2744" xr:uid="{00000000-0005-0000-0000-0000C0200000}"/>
    <cellStyle name="Note 2 2 2 9" xfId="2825" xr:uid="{00000000-0005-0000-0000-0000C1200000}"/>
    <cellStyle name="Note 2 2 2 9 2" xfId="7049" xr:uid="{00000000-0005-0000-0000-0000C2200000}"/>
    <cellStyle name="Note 2 2 2 9 2 2" xfId="15491" xr:uid="{4B6CE9C7-AB38-4F5C-B107-348976BF38E6}"/>
    <cellStyle name="Note 2 2 2 9 3" xfId="11273" xr:uid="{B74B963C-A7DF-4DE3-A3E3-B0AB1177E04F}"/>
    <cellStyle name="Note 2 2 3" xfId="548" xr:uid="{00000000-0005-0000-0000-0000C3200000}"/>
    <cellStyle name="Note 2 2 3 10" xfId="9130" xr:uid="{44DCCF94-8B67-4542-A2BD-0E5CDDF7FFEF}"/>
    <cellStyle name="Note 2 2 3 2" xfId="1009" xr:uid="{00000000-0005-0000-0000-0000C4200000}"/>
    <cellStyle name="Note 2 2 3 2 2" xfId="3241" xr:uid="{00000000-0005-0000-0000-0000C5200000}"/>
    <cellStyle name="Note 2 2 3 2 2 2" xfId="7464" xr:uid="{00000000-0005-0000-0000-0000C6200000}"/>
    <cellStyle name="Note 2 2 3 2 2 2 2" xfId="15906" xr:uid="{A2075EA3-26D2-4251-A2C4-1CF8D6B5AD75}"/>
    <cellStyle name="Note 2 2 3 2 2 3" xfId="11688" xr:uid="{90AE3827-733C-4906-80EA-53DD4EC21478}"/>
    <cellStyle name="Note 2 2 3 2 3" xfId="5319" xr:uid="{00000000-0005-0000-0000-0000C7200000}"/>
    <cellStyle name="Note 2 2 3 2 3 2" xfId="13761" xr:uid="{146EB526-7994-4A03-86C7-68751B46D1A3}"/>
    <cellStyle name="Note 2 2 3 2 4" xfId="9543" xr:uid="{D082E662-7FA2-4470-ABFD-9BE2DEBF1489}"/>
    <cellStyle name="Note 2 2 3 3" xfId="1424" xr:uid="{00000000-0005-0000-0000-0000C8200000}"/>
    <cellStyle name="Note 2 2 3 3 2" xfId="3654" xr:uid="{00000000-0005-0000-0000-0000C9200000}"/>
    <cellStyle name="Note 2 2 3 3 2 2" xfId="7877" xr:uid="{00000000-0005-0000-0000-0000CA200000}"/>
    <cellStyle name="Note 2 2 3 3 2 2 2" xfId="16319" xr:uid="{0A6CC3C6-9DFE-40FF-BD90-F0FEC480D9A5}"/>
    <cellStyle name="Note 2 2 3 3 2 3" xfId="12101" xr:uid="{AB1B92F3-B30D-4B22-A2CA-3C61F1CC577E}"/>
    <cellStyle name="Note 2 2 3 3 3" xfId="5732" xr:uid="{00000000-0005-0000-0000-0000CB200000}"/>
    <cellStyle name="Note 2 2 3 3 3 2" xfId="14174" xr:uid="{3AD35964-D7D1-485F-B227-318D149B8E53}"/>
    <cellStyle name="Note 2 2 3 3 4" xfId="9956" xr:uid="{682245C3-49AB-448B-A591-A0F77D20F216}"/>
    <cellStyle name="Note 2 2 3 4" xfId="1838" xr:uid="{00000000-0005-0000-0000-0000CC200000}"/>
    <cellStyle name="Note 2 2 3 4 2" xfId="4067" xr:uid="{00000000-0005-0000-0000-0000CD200000}"/>
    <cellStyle name="Note 2 2 3 4 2 2" xfId="8290" xr:uid="{00000000-0005-0000-0000-0000CE200000}"/>
    <cellStyle name="Note 2 2 3 4 2 2 2" xfId="16732" xr:uid="{3CB1C066-D6E4-421C-B220-665A26058617}"/>
    <cellStyle name="Note 2 2 3 4 2 3" xfId="12514" xr:uid="{C7862B20-364B-4C1C-B9EB-EC41E240362F}"/>
    <cellStyle name="Note 2 2 3 4 3" xfId="6145" xr:uid="{00000000-0005-0000-0000-0000CF200000}"/>
    <cellStyle name="Note 2 2 3 4 3 2" xfId="14587" xr:uid="{47C3098E-630A-41DC-A529-87514C7E367D}"/>
    <cellStyle name="Note 2 2 3 4 4" xfId="10369" xr:uid="{8E9F4E78-B80B-44B6-8330-15CB0F515762}"/>
    <cellStyle name="Note 2 2 3 5" xfId="2251" xr:uid="{00000000-0005-0000-0000-0000D0200000}"/>
    <cellStyle name="Note 2 2 3 5 2" xfId="4480" xr:uid="{00000000-0005-0000-0000-0000D1200000}"/>
    <cellStyle name="Note 2 2 3 5 2 2" xfId="8703" xr:uid="{00000000-0005-0000-0000-0000D2200000}"/>
    <cellStyle name="Note 2 2 3 5 2 2 2" xfId="17145" xr:uid="{D49BE08A-F1EE-4391-BE41-F487DC041C01}"/>
    <cellStyle name="Note 2 2 3 5 2 3" xfId="12927" xr:uid="{68D61B85-51BC-4081-A200-061A118E5DD7}"/>
    <cellStyle name="Note 2 2 3 5 3" xfId="6558" xr:uid="{00000000-0005-0000-0000-0000D3200000}"/>
    <cellStyle name="Note 2 2 3 5 3 2" xfId="15000" xr:uid="{42CDE64F-8056-4FE6-97B0-B7282EFEA9D0}"/>
    <cellStyle name="Note 2 2 3 5 4" xfId="10782" xr:uid="{0789A484-C003-4AF8-A204-97CD55D9D19C}"/>
    <cellStyle name="Note 2 2 3 6" xfId="2687" xr:uid="{00000000-0005-0000-0000-0000D4200000}"/>
    <cellStyle name="Note 2 2 3 6 2" xfId="6971" xr:uid="{00000000-0005-0000-0000-0000D5200000}"/>
    <cellStyle name="Note 2 2 3 6 2 2" xfId="15413" xr:uid="{CF5C9D8D-B10D-44EF-AC3B-A5018767ADF2}"/>
    <cellStyle name="Note 2 2 3 6 3" xfId="11195" xr:uid="{DDA58967-83B5-444A-A6BE-B90B71053376}"/>
    <cellStyle name="Note 2 2 3 7" xfId="2746" xr:uid="{00000000-0005-0000-0000-0000D6200000}"/>
    <cellStyle name="Note 2 2 3 8" xfId="2827" xr:uid="{00000000-0005-0000-0000-0000D7200000}"/>
    <cellStyle name="Note 2 2 3 8 2" xfId="7051" xr:uid="{00000000-0005-0000-0000-0000D8200000}"/>
    <cellStyle name="Note 2 2 3 8 2 2" xfId="15493" xr:uid="{CB5D5EFC-29E8-4986-8D41-C393D9C05A21}"/>
    <cellStyle name="Note 2 2 3 8 3" xfId="11275" xr:uid="{8EF486A5-6953-46E4-80AB-C0A388C9ED8F}"/>
    <cellStyle name="Note 2 2 3 9" xfId="4906" xr:uid="{00000000-0005-0000-0000-0000D9200000}"/>
    <cellStyle name="Note 2 2 3 9 2" xfId="13348" xr:uid="{076B8319-EDDB-4891-A696-EE4A5604515A}"/>
    <cellStyle name="Note 2 2 4" xfId="1006" xr:uid="{00000000-0005-0000-0000-0000DA200000}"/>
    <cellStyle name="Note 2 2 4 2" xfId="3238" xr:uid="{00000000-0005-0000-0000-0000DB200000}"/>
    <cellStyle name="Note 2 2 4 2 2" xfId="7461" xr:uid="{00000000-0005-0000-0000-0000DC200000}"/>
    <cellStyle name="Note 2 2 4 2 2 2" xfId="15903" xr:uid="{06E11B4B-B29F-49A7-B553-7650077567E1}"/>
    <cellStyle name="Note 2 2 4 2 3" xfId="11685" xr:uid="{6C693BA0-ACD3-46B5-80AF-7C92C612A7CD}"/>
    <cellStyle name="Note 2 2 4 3" xfId="5316" xr:uid="{00000000-0005-0000-0000-0000DD200000}"/>
    <cellStyle name="Note 2 2 4 3 2" xfId="13758" xr:uid="{24FCE859-07C7-49B1-8414-A12DEC29BFCC}"/>
    <cellStyle name="Note 2 2 4 4" xfId="9540" xr:uid="{B3532ABD-7408-480F-B6D8-662F990B41C2}"/>
    <cellStyle name="Note 2 2 5" xfId="1421" xr:uid="{00000000-0005-0000-0000-0000DE200000}"/>
    <cellStyle name="Note 2 2 5 2" xfId="3651" xr:uid="{00000000-0005-0000-0000-0000DF200000}"/>
    <cellStyle name="Note 2 2 5 2 2" xfId="7874" xr:uid="{00000000-0005-0000-0000-0000E0200000}"/>
    <cellStyle name="Note 2 2 5 2 2 2" xfId="16316" xr:uid="{C6DE9518-75DC-4811-9E49-6853C93D69DB}"/>
    <cellStyle name="Note 2 2 5 2 3" xfId="12098" xr:uid="{5EAB3D6D-C210-4657-8EB5-A32231CF6A10}"/>
    <cellStyle name="Note 2 2 5 3" xfId="5729" xr:uid="{00000000-0005-0000-0000-0000E1200000}"/>
    <cellStyle name="Note 2 2 5 3 2" xfId="14171" xr:uid="{88D8D98D-83B6-4E43-938E-9080F6E44B4F}"/>
    <cellStyle name="Note 2 2 5 4" xfId="9953" xr:uid="{E27C98E6-C1DF-41EA-8B9A-A0DFEE13608C}"/>
    <cellStyle name="Note 2 2 6" xfId="1835" xr:uid="{00000000-0005-0000-0000-0000E2200000}"/>
    <cellStyle name="Note 2 2 6 2" xfId="4064" xr:uid="{00000000-0005-0000-0000-0000E3200000}"/>
    <cellStyle name="Note 2 2 6 2 2" xfId="8287" xr:uid="{00000000-0005-0000-0000-0000E4200000}"/>
    <cellStyle name="Note 2 2 6 2 2 2" xfId="16729" xr:uid="{E9A19AC3-9EE7-4702-87CE-F1D4E4E14088}"/>
    <cellStyle name="Note 2 2 6 2 3" xfId="12511" xr:uid="{ED0F3EA8-B143-40B5-84BC-D529A35487CF}"/>
    <cellStyle name="Note 2 2 6 3" xfId="6142" xr:uid="{00000000-0005-0000-0000-0000E5200000}"/>
    <cellStyle name="Note 2 2 6 3 2" xfId="14584" xr:uid="{F1626DC2-C8A7-4DD1-B18E-F1846D11C393}"/>
    <cellStyle name="Note 2 2 6 4" xfId="10366" xr:uid="{E4EA4FA7-1CD9-4122-B004-41A6ACC494AB}"/>
    <cellStyle name="Note 2 2 7" xfId="2248" xr:uid="{00000000-0005-0000-0000-0000E6200000}"/>
    <cellStyle name="Note 2 2 7 2" xfId="4477" xr:uid="{00000000-0005-0000-0000-0000E7200000}"/>
    <cellStyle name="Note 2 2 7 2 2" xfId="8700" xr:uid="{00000000-0005-0000-0000-0000E8200000}"/>
    <cellStyle name="Note 2 2 7 2 2 2" xfId="17142" xr:uid="{E4564063-78FE-453A-9DAF-54CBCB541EE4}"/>
    <cellStyle name="Note 2 2 7 2 3" xfId="12924" xr:uid="{478C15E0-2113-4B29-BC14-8012A531E95B}"/>
    <cellStyle name="Note 2 2 7 3" xfId="6555" xr:uid="{00000000-0005-0000-0000-0000E9200000}"/>
    <cellStyle name="Note 2 2 7 3 2" xfId="14997" xr:uid="{7EB00874-65BE-4B5E-A2B4-DBA4133D8095}"/>
    <cellStyle name="Note 2 2 7 4" xfId="10779" xr:uid="{864BFC9B-D84E-4504-AC13-EA1E5DA030AB}"/>
    <cellStyle name="Note 2 2 8" xfId="2684" xr:uid="{00000000-0005-0000-0000-0000EA200000}"/>
    <cellStyle name="Note 2 2 8 2" xfId="6968" xr:uid="{00000000-0005-0000-0000-0000EB200000}"/>
    <cellStyle name="Note 2 2 8 2 2" xfId="15410" xr:uid="{6428579F-BCA8-446A-B12F-BF7C5C1BD189}"/>
    <cellStyle name="Note 2 2 8 3" xfId="11192" xr:uid="{735B6999-E365-424B-94BF-4B3589E44A2D}"/>
    <cellStyle name="Note 2 2 9" xfId="2743" xr:uid="{00000000-0005-0000-0000-0000EC200000}"/>
    <cellStyle name="Note 2 3" xfId="549" xr:uid="{00000000-0005-0000-0000-0000ED200000}"/>
    <cellStyle name="Note 2 3 10" xfId="4907" xr:uid="{00000000-0005-0000-0000-0000EE200000}"/>
    <cellStyle name="Note 2 3 10 2" xfId="13349" xr:uid="{33E70D04-9A13-4FAF-9B22-D12A462558C5}"/>
    <cellStyle name="Note 2 3 11" xfId="9131" xr:uid="{0D8BCB68-FC8F-4E8E-995D-2B391955F867}"/>
    <cellStyle name="Note 2 3 2" xfId="550" xr:uid="{00000000-0005-0000-0000-0000EF200000}"/>
    <cellStyle name="Note 2 3 2 10" xfId="9132" xr:uid="{7B9C3611-2FF8-4A96-BBB0-5FF1817E9142}"/>
    <cellStyle name="Note 2 3 2 2" xfId="1011" xr:uid="{00000000-0005-0000-0000-0000F0200000}"/>
    <cellStyle name="Note 2 3 2 2 2" xfId="3243" xr:uid="{00000000-0005-0000-0000-0000F1200000}"/>
    <cellStyle name="Note 2 3 2 2 2 2" xfId="7466" xr:uid="{00000000-0005-0000-0000-0000F2200000}"/>
    <cellStyle name="Note 2 3 2 2 2 2 2" xfId="15908" xr:uid="{209B54CB-C916-48F3-B5B5-F6F652B9013C}"/>
    <cellStyle name="Note 2 3 2 2 2 3" xfId="11690" xr:uid="{80F87996-D5F6-4428-B951-EAE2061C72F1}"/>
    <cellStyle name="Note 2 3 2 2 3" xfId="5321" xr:uid="{00000000-0005-0000-0000-0000F3200000}"/>
    <cellStyle name="Note 2 3 2 2 3 2" xfId="13763" xr:uid="{4C279567-2B16-429E-B9BA-EE1067B1FB01}"/>
    <cellStyle name="Note 2 3 2 2 4" xfId="9545" xr:uid="{AA159043-24F7-480D-9A06-2D91A3349F63}"/>
    <cellStyle name="Note 2 3 2 3" xfId="1426" xr:uid="{00000000-0005-0000-0000-0000F4200000}"/>
    <cellStyle name="Note 2 3 2 3 2" xfId="3656" xr:uid="{00000000-0005-0000-0000-0000F5200000}"/>
    <cellStyle name="Note 2 3 2 3 2 2" xfId="7879" xr:uid="{00000000-0005-0000-0000-0000F6200000}"/>
    <cellStyle name="Note 2 3 2 3 2 2 2" xfId="16321" xr:uid="{04AE726D-D2F8-4885-86F5-3A9E6427D0BF}"/>
    <cellStyle name="Note 2 3 2 3 2 3" xfId="12103" xr:uid="{8CFC0BFD-A69B-4F53-B2ED-C578543B4714}"/>
    <cellStyle name="Note 2 3 2 3 3" xfId="5734" xr:uid="{00000000-0005-0000-0000-0000F7200000}"/>
    <cellStyle name="Note 2 3 2 3 3 2" xfId="14176" xr:uid="{D6B4B559-50A0-4F2E-89A4-DA2321564CA4}"/>
    <cellStyle name="Note 2 3 2 3 4" xfId="9958" xr:uid="{AF479BCA-44B3-4C03-B940-3BCB4D8C8699}"/>
    <cellStyle name="Note 2 3 2 4" xfId="1840" xr:uid="{00000000-0005-0000-0000-0000F8200000}"/>
    <cellStyle name="Note 2 3 2 4 2" xfId="4069" xr:uid="{00000000-0005-0000-0000-0000F9200000}"/>
    <cellStyle name="Note 2 3 2 4 2 2" xfId="8292" xr:uid="{00000000-0005-0000-0000-0000FA200000}"/>
    <cellStyle name="Note 2 3 2 4 2 2 2" xfId="16734" xr:uid="{61B88DB5-AC02-44F4-A290-89088B518CCB}"/>
    <cellStyle name="Note 2 3 2 4 2 3" xfId="12516" xr:uid="{EEE4452E-C101-44DC-835D-5CDF390B5635}"/>
    <cellStyle name="Note 2 3 2 4 3" xfId="6147" xr:uid="{00000000-0005-0000-0000-0000FB200000}"/>
    <cellStyle name="Note 2 3 2 4 3 2" xfId="14589" xr:uid="{3DDA3E3E-2EB4-4FA1-9476-8916B3394EC0}"/>
    <cellStyle name="Note 2 3 2 4 4" xfId="10371" xr:uid="{63E4CAC6-F41E-4938-9C8C-17C09D7DC56C}"/>
    <cellStyle name="Note 2 3 2 5" xfId="2253" xr:uid="{00000000-0005-0000-0000-0000FC200000}"/>
    <cellStyle name="Note 2 3 2 5 2" xfId="4482" xr:uid="{00000000-0005-0000-0000-0000FD200000}"/>
    <cellStyle name="Note 2 3 2 5 2 2" xfId="8705" xr:uid="{00000000-0005-0000-0000-0000FE200000}"/>
    <cellStyle name="Note 2 3 2 5 2 2 2" xfId="17147" xr:uid="{C249D399-0290-4F16-8BED-5871126852E3}"/>
    <cellStyle name="Note 2 3 2 5 2 3" xfId="12929" xr:uid="{AF168B2B-A938-4231-BDA3-7F1A11A830F4}"/>
    <cellStyle name="Note 2 3 2 5 3" xfId="6560" xr:uid="{00000000-0005-0000-0000-0000FF200000}"/>
    <cellStyle name="Note 2 3 2 5 3 2" xfId="15002" xr:uid="{6AFA4949-2730-4B85-8984-73D59F7884A9}"/>
    <cellStyle name="Note 2 3 2 5 4" xfId="10784" xr:uid="{B6DD8EA5-96E2-42E7-AF78-E97E52D4DC01}"/>
    <cellStyle name="Note 2 3 2 6" xfId="2689" xr:uid="{00000000-0005-0000-0000-000000210000}"/>
    <cellStyle name="Note 2 3 2 6 2" xfId="6973" xr:uid="{00000000-0005-0000-0000-000001210000}"/>
    <cellStyle name="Note 2 3 2 6 2 2" xfId="15415" xr:uid="{189B69CA-A60D-4685-99DD-C5366B5B4F91}"/>
    <cellStyle name="Note 2 3 2 6 3" xfId="11197" xr:uid="{3074025D-9F84-4483-B816-5F81E4893FB4}"/>
    <cellStyle name="Note 2 3 2 7" xfId="2748" xr:uid="{00000000-0005-0000-0000-000002210000}"/>
    <cellStyle name="Note 2 3 2 8" xfId="2829" xr:uid="{00000000-0005-0000-0000-000003210000}"/>
    <cellStyle name="Note 2 3 2 8 2" xfId="7053" xr:uid="{00000000-0005-0000-0000-000004210000}"/>
    <cellStyle name="Note 2 3 2 8 2 2" xfId="15495" xr:uid="{F3202609-CB1F-46C1-879B-F0CF2A9CBD80}"/>
    <cellStyle name="Note 2 3 2 8 3" xfId="11277" xr:uid="{4DD2DECD-FE01-453B-9A5A-52C69DA41294}"/>
    <cellStyle name="Note 2 3 2 9" xfId="4908" xr:uid="{00000000-0005-0000-0000-000005210000}"/>
    <cellStyle name="Note 2 3 2 9 2" xfId="13350" xr:uid="{DB251EA0-A16F-41C2-8F8E-2B40004307A6}"/>
    <cellStyle name="Note 2 3 3" xfId="1010" xr:uid="{00000000-0005-0000-0000-000006210000}"/>
    <cellStyle name="Note 2 3 3 2" xfId="3242" xr:uid="{00000000-0005-0000-0000-000007210000}"/>
    <cellStyle name="Note 2 3 3 2 2" xfId="7465" xr:uid="{00000000-0005-0000-0000-000008210000}"/>
    <cellStyle name="Note 2 3 3 2 2 2" xfId="15907" xr:uid="{446A0954-19E6-441A-960A-9B54D503D48A}"/>
    <cellStyle name="Note 2 3 3 2 3" xfId="11689" xr:uid="{4F398DEB-085D-423E-9F9F-39805D534A46}"/>
    <cellStyle name="Note 2 3 3 3" xfId="5320" xr:uid="{00000000-0005-0000-0000-000009210000}"/>
    <cellStyle name="Note 2 3 3 3 2" xfId="13762" xr:uid="{3B4C4F17-203F-440D-8199-7E423BD39692}"/>
    <cellStyle name="Note 2 3 3 4" xfId="9544" xr:uid="{1406EF29-E2FD-4314-B3D2-0BD603EBEC08}"/>
    <cellStyle name="Note 2 3 4" xfId="1425" xr:uid="{00000000-0005-0000-0000-00000A210000}"/>
    <cellStyle name="Note 2 3 4 2" xfId="3655" xr:uid="{00000000-0005-0000-0000-00000B210000}"/>
    <cellStyle name="Note 2 3 4 2 2" xfId="7878" xr:uid="{00000000-0005-0000-0000-00000C210000}"/>
    <cellStyle name="Note 2 3 4 2 2 2" xfId="16320" xr:uid="{D295418E-4D0D-4687-A409-6016814955D1}"/>
    <cellStyle name="Note 2 3 4 2 3" xfId="12102" xr:uid="{6250A834-21EB-4F9B-A62A-EA961FE3C9E2}"/>
    <cellStyle name="Note 2 3 4 3" xfId="5733" xr:uid="{00000000-0005-0000-0000-00000D210000}"/>
    <cellStyle name="Note 2 3 4 3 2" xfId="14175" xr:uid="{51F3F855-078F-48AE-94BB-5F1EC74EB26D}"/>
    <cellStyle name="Note 2 3 4 4" xfId="9957" xr:uid="{F2B634D5-FD80-4766-AAD5-077CAD66FBAF}"/>
    <cellStyle name="Note 2 3 5" xfId="1839" xr:uid="{00000000-0005-0000-0000-00000E210000}"/>
    <cellStyle name="Note 2 3 5 2" xfId="4068" xr:uid="{00000000-0005-0000-0000-00000F210000}"/>
    <cellStyle name="Note 2 3 5 2 2" xfId="8291" xr:uid="{00000000-0005-0000-0000-000010210000}"/>
    <cellStyle name="Note 2 3 5 2 2 2" xfId="16733" xr:uid="{F4967FEB-DA74-43AB-A2DB-DF40A54F7422}"/>
    <cellStyle name="Note 2 3 5 2 3" xfId="12515" xr:uid="{86392A9A-DE1D-497D-8456-3497C32E884E}"/>
    <cellStyle name="Note 2 3 5 3" xfId="6146" xr:uid="{00000000-0005-0000-0000-000011210000}"/>
    <cellStyle name="Note 2 3 5 3 2" xfId="14588" xr:uid="{961A0E78-D610-4FBA-BC9F-67DAAC408833}"/>
    <cellStyle name="Note 2 3 5 4" xfId="10370" xr:uid="{B49DB3C0-A316-4698-B604-A8E7F945AF09}"/>
    <cellStyle name="Note 2 3 6" xfId="2252" xr:uid="{00000000-0005-0000-0000-000012210000}"/>
    <cellStyle name="Note 2 3 6 2" xfId="4481" xr:uid="{00000000-0005-0000-0000-000013210000}"/>
    <cellStyle name="Note 2 3 6 2 2" xfId="8704" xr:uid="{00000000-0005-0000-0000-000014210000}"/>
    <cellStyle name="Note 2 3 6 2 2 2" xfId="17146" xr:uid="{0651AFFF-669E-483E-967B-D7B27B5F5A0A}"/>
    <cellStyle name="Note 2 3 6 2 3" xfId="12928" xr:uid="{90A69189-047D-442C-B94D-0AAEEE1AFCFF}"/>
    <cellStyle name="Note 2 3 6 3" xfId="6559" xr:uid="{00000000-0005-0000-0000-000015210000}"/>
    <cellStyle name="Note 2 3 6 3 2" xfId="15001" xr:uid="{B977118E-0C63-46C4-85A5-4600C317960C}"/>
    <cellStyle name="Note 2 3 6 4" xfId="10783" xr:uid="{D352C1DD-1AB5-4125-8191-ED184A00A1E2}"/>
    <cellStyle name="Note 2 3 7" xfId="2688" xr:uid="{00000000-0005-0000-0000-000016210000}"/>
    <cellStyle name="Note 2 3 7 2" xfId="6972" xr:uid="{00000000-0005-0000-0000-000017210000}"/>
    <cellStyle name="Note 2 3 7 2 2" xfId="15414" xr:uid="{4DE49E7D-270E-4E32-8429-D8CE23253A2D}"/>
    <cellStyle name="Note 2 3 7 3" xfId="11196" xr:uid="{44F5364E-391C-4E89-8410-999EF0E173B2}"/>
    <cellStyle name="Note 2 3 8" xfId="2747" xr:uid="{00000000-0005-0000-0000-000018210000}"/>
    <cellStyle name="Note 2 3 9" xfId="2828" xr:uid="{00000000-0005-0000-0000-000019210000}"/>
    <cellStyle name="Note 2 3 9 2" xfId="7052" xr:uid="{00000000-0005-0000-0000-00001A210000}"/>
    <cellStyle name="Note 2 3 9 2 2" xfId="15494" xr:uid="{9CEACF5D-C0AB-4AB5-B5DC-E2EE3837AA11}"/>
    <cellStyle name="Note 2 3 9 3" xfId="11276" xr:uid="{6E82A4DB-D8D1-427D-8AEE-1BC97599F328}"/>
    <cellStyle name="Note 2 4" xfId="551" xr:uid="{00000000-0005-0000-0000-00001B210000}"/>
    <cellStyle name="Note 2 4 10" xfId="9133" xr:uid="{F0E1B965-545A-4589-BB3F-D490D797C3B9}"/>
    <cellStyle name="Note 2 4 2" xfId="1012" xr:uid="{00000000-0005-0000-0000-00001C210000}"/>
    <cellStyle name="Note 2 4 2 2" xfId="3244" xr:uid="{00000000-0005-0000-0000-00001D210000}"/>
    <cellStyle name="Note 2 4 2 2 2" xfId="7467" xr:uid="{00000000-0005-0000-0000-00001E210000}"/>
    <cellStyle name="Note 2 4 2 2 2 2" xfId="15909" xr:uid="{F2F8A225-D2B8-4313-BD7D-21772A8778D6}"/>
    <cellStyle name="Note 2 4 2 2 3" xfId="11691" xr:uid="{FDB5D405-5E29-423E-8C8D-32A5B8C1742C}"/>
    <cellStyle name="Note 2 4 2 3" xfId="5322" xr:uid="{00000000-0005-0000-0000-00001F210000}"/>
    <cellStyle name="Note 2 4 2 3 2" xfId="13764" xr:uid="{1BE292E4-0B65-410C-BBA4-31F645F4D19C}"/>
    <cellStyle name="Note 2 4 2 4" xfId="9546" xr:uid="{6BDEFA1C-692E-4AD4-9143-04FE93081B4D}"/>
    <cellStyle name="Note 2 4 3" xfId="1427" xr:uid="{00000000-0005-0000-0000-000020210000}"/>
    <cellStyle name="Note 2 4 3 2" xfId="3657" xr:uid="{00000000-0005-0000-0000-000021210000}"/>
    <cellStyle name="Note 2 4 3 2 2" xfId="7880" xr:uid="{00000000-0005-0000-0000-000022210000}"/>
    <cellStyle name="Note 2 4 3 2 2 2" xfId="16322" xr:uid="{724232F4-774A-4D1F-BC4A-3B8B68521313}"/>
    <cellStyle name="Note 2 4 3 2 3" xfId="12104" xr:uid="{666C724A-A45B-46D9-B211-A8CB3D82E9E5}"/>
    <cellStyle name="Note 2 4 3 3" xfId="5735" xr:uid="{00000000-0005-0000-0000-000023210000}"/>
    <cellStyle name="Note 2 4 3 3 2" xfId="14177" xr:uid="{6BB3155C-C151-49A3-A6D5-AEB4B1C2617D}"/>
    <cellStyle name="Note 2 4 3 4" xfId="9959" xr:uid="{3E430FE5-5C50-4BC5-9A17-7A0F2D913E60}"/>
    <cellStyle name="Note 2 4 4" xfId="1841" xr:uid="{00000000-0005-0000-0000-000024210000}"/>
    <cellStyle name="Note 2 4 4 2" xfId="4070" xr:uid="{00000000-0005-0000-0000-000025210000}"/>
    <cellStyle name="Note 2 4 4 2 2" xfId="8293" xr:uid="{00000000-0005-0000-0000-000026210000}"/>
    <cellStyle name="Note 2 4 4 2 2 2" xfId="16735" xr:uid="{A883B532-48CD-4D90-91DF-FCAB70356899}"/>
    <cellStyle name="Note 2 4 4 2 3" xfId="12517" xr:uid="{834F39E7-E194-4A0A-9474-C40331FB2548}"/>
    <cellStyle name="Note 2 4 4 3" xfId="6148" xr:uid="{00000000-0005-0000-0000-000027210000}"/>
    <cellStyle name="Note 2 4 4 3 2" xfId="14590" xr:uid="{0AF77FD0-EB33-480C-9088-1A5B2F957960}"/>
    <cellStyle name="Note 2 4 4 4" xfId="10372" xr:uid="{2E847A25-AC82-40B7-915C-513D661126ED}"/>
    <cellStyle name="Note 2 4 5" xfId="2254" xr:uid="{00000000-0005-0000-0000-000028210000}"/>
    <cellStyle name="Note 2 4 5 2" xfId="4483" xr:uid="{00000000-0005-0000-0000-000029210000}"/>
    <cellStyle name="Note 2 4 5 2 2" xfId="8706" xr:uid="{00000000-0005-0000-0000-00002A210000}"/>
    <cellStyle name="Note 2 4 5 2 2 2" xfId="17148" xr:uid="{E25F2109-B402-40C0-82C3-A0D1D43847C2}"/>
    <cellStyle name="Note 2 4 5 2 3" xfId="12930" xr:uid="{CE8686C3-CE9A-48E3-8AF2-197E691216D2}"/>
    <cellStyle name="Note 2 4 5 3" xfId="6561" xr:uid="{00000000-0005-0000-0000-00002B210000}"/>
    <cellStyle name="Note 2 4 5 3 2" xfId="15003" xr:uid="{C3223488-0412-4FFB-B11E-F842C8AA698C}"/>
    <cellStyle name="Note 2 4 5 4" xfId="10785" xr:uid="{C4AE1C85-E151-4A3F-BE56-8DDF56B2A39A}"/>
    <cellStyle name="Note 2 4 6" xfId="2690" xr:uid="{00000000-0005-0000-0000-00002C210000}"/>
    <cellStyle name="Note 2 4 6 2" xfId="6974" xr:uid="{00000000-0005-0000-0000-00002D210000}"/>
    <cellStyle name="Note 2 4 6 2 2" xfId="15416" xr:uid="{E92C856C-9673-4EDB-89A9-C5F2523BF6F5}"/>
    <cellStyle name="Note 2 4 6 3" xfId="11198" xr:uid="{28051589-DBAC-470C-8057-4F734E48731D}"/>
    <cellStyle name="Note 2 4 7" xfId="2749" xr:uid="{00000000-0005-0000-0000-00002E210000}"/>
    <cellStyle name="Note 2 4 8" xfId="2830" xr:uid="{00000000-0005-0000-0000-00002F210000}"/>
    <cellStyle name="Note 2 4 8 2" xfId="7054" xr:uid="{00000000-0005-0000-0000-000030210000}"/>
    <cellStyle name="Note 2 4 8 2 2" xfId="15496" xr:uid="{0DBEF8AD-4DB0-4503-9809-7A394C7E50D0}"/>
    <cellStyle name="Note 2 4 8 3" xfId="11278" xr:uid="{C68FADD3-6CB2-40CA-9047-4721DB5662D2}"/>
    <cellStyle name="Note 2 4 9" xfId="4909" xr:uid="{00000000-0005-0000-0000-000031210000}"/>
    <cellStyle name="Note 2 4 9 2" xfId="13351" xr:uid="{023A7F6D-FE99-4E82-A858-9FF50AE79980}"/>
    <cellStyle name="Note 2 5" xfId="552" xr:uid="{00000000-0005-0000-0000-000032210000}"/>
    <cellStyle name="Note 2 5 10" xfId="9134" xr:uid="{13FC2E40-4775-4B77-933E-3F4882E90E8F}"/>
    <cellStyle name="Note 2 5 2" xfId="1013" xr:uid="{00000000-0005-0000-0000-000033210000}"/>
    <cellStyle name="Note 2 5 2 2" xfId="3245" xr:uid="{00000000-0005-0000-0000-000034210000}"/>
    <cellStyle name="Note 2 5 2 2 2" xfId="7468" xr:uid="{00000000-0005-0000-0000-000035210000}"/>
    <cellStyle name="Note 2 5 2 2 2 2" xfId="15910" xr:uid="{93122F3B-C0C1-4B51-838A-46929A9B0126}"/>
    <cellStyle name="Note 2 5 2 2 3" xfId="11692" xr:uid="{A7C21F95-FB6C-443D-9D8A-CA5A26346353}"/>
    <cellStyle name="Note 2 5 2 3" xfId="5323" xr:uid="{00000000-0005-0000-0000-000036210000}"/>
    <cellStyle name="Note 2 5 2 3 2" xfId="13765" xr:uid="{B746A725-7C33-49F6-A13B-CAAAF014D476}"/>
    <cellStyle name="Note 2 5 2 4" xfId="9547" xr:uid="{987D185E-EF93-471D-8D02-840151DBC71B}"/>
    <cellStyle name="Note 2 5 3" xfId="1428" xr:uid="{00000000-0005-0000-0000-000037210000}"/>
    <cellStyle name="Note 2 5 3 2" xfId="3658" xr:uid="{00000000-0005-0000-0000-000038210000}"/>
    <cellStyle name="Note 2 5 3 2 2" xfId="7881" xr:uid="{00000000-0005-0000-0000-000039210000}"/>
    <cellStyle name="Note 2 5 3 2 2 2" xfId="16323" xr:uid="{6AFA62D1-0783-45D5-8168-498C6DEFB497}"/>
    <cellStyle name="Note 2 5 3 2 3" xfId="12105" xr:uid="{0ADB46EC-15F3-4AB0-B0DA-03C89967CCB3}"/>
    <cellStyle name="Note 2 5 3 3" xfId="5736" xr:uid="{00000000-0005-0000-0000-00003A210000}"/>
    <cellStyle name="Note 2 5 3 3 2" xfId="14178" xr:uid="{A0B40AC4-D166-47A9-870F-20145EE99966}"/>
    <cellStyle name="Note 2 5 3 4" xfId="9960" xr:uid="{FB11088A-50E2-447E-B8C0-58AA6ABF218A}"/>
    <cellStyle name="Note 2 5 4" xfId="1842" xr:uid="{00000000-0005-0000-0000-00003B210000}"/>
    <cellStyle name="Note 2 5 4 2" xfId="4071" xr:uid="{00000000-0005-0000-0000-00003C210000}"/>
    <cellStyle name="Note 2 5 4 2 2" xfId="8294" xr:uid="{00000000-0005-0000-0000-00003D210000}"/>
    <cellStyle name="Note 2 5 4 2 2 2" xfId="16736" xr:uid="{E5214457-298A-4D93-B85B-CC743B59F7F3}"/>
    <cellStyle name="Note 2 5 4 2 3" xfId="12518" xr:uid="{7FCDDA47-52B6-442D-9419-2B2487D2AFF9}"/>
    <cellStyle name="Note 2 5 4 3" xfId="6149" xr:uid="{00000000-0005-0000-0000-00003E210000}"/>
    <cellStyle name="Note 2 5 4 3 2" xfId="14591" xr:uid="{1A1B3E20-6061-4ADA-80EC-14C3FAE2C721}"/>
    <cellStyle name="Note 2 5 4 4" xfId="10373" xr:uid="{D1B6A1E7-4FD2-4A3F-98E0-C30CE1B6ACFD}"/>
    <cellStyle name="Note 2 5 5" xfId="2255" xr:uid="{00000000-0005-0000-0000-00003F210000}"/>
    <cellStyle name="Note 2 5 5 2" xfId="4484" xr:uid="{00000000-0005-0000-0000-000040210000}"/>
    <cellStyle name="Note 2 5 5 2 2" xfId="8707" xr:uid="{00000000-0005-0000-0000-000041210000}"/>
    <cellStyle name="Note 2 5 5 2 2 2" xfId="17149" xr:uid="{2DA4729F-A9AB-4039-99D2-C1985F716F3C}"/>
    <cellStyle name="Note 2 5 5 2 3" xfId="12931" xr:uid="{04B84783-E3DF-43EC-BD00-051B03A22068}"/>
    <cellStyle name="Note 2 5 5 3" xfId="6562" xr:uid="{00000000-0005-0000-0000-000042210000}"/>
    <cellStyle name="Note 2 5 5 3 2" xfId="15004" xr:uid="{C9886492-7FF3-4589-A99E-04A19EF4B68C}"/>
    <cellStyle name="Note 2 5 5 4" xfId="10786" xr:uid="{4211E9DF-2939-4F1E-9EBA-BDBDE7A26B94}"/>
    <cellStyle name="Note 2 5 6" xfId="2691" xr:uid="{00000000-0005-0000-0000-000043210000}"/>
    <cellStyle name="Note 2 5 6 2" xfId="6975" xr:uid="{00000000-0005-0000-0000-000044210000}"/>
    <cellStyle name="Note 2 5 6 2 2" xfId="15417" xr:uid="{D1451561-9E57-4392-B88D-AA2C4A5F85B9}"/>
    <cellStyle name="Note 2 5 6 3" xfId="11199" xr:uid="{750FA11C-7CAF-4B21-98F7-9A29C2895969}"/>
    <cellStyle name="Note 2 5 7" xfId="2750" xr:uid="{00000000-0005-0000-0000-000045210000}"/>
    <cellStyle name="Note 2 5 8" xfId="2831" xr:uid="{00000000-0005-0000-0000-000046210000}"/>
    <cellStyle name="Note 2 5 8 2" xfId="7055" xr:uid="{00000000-0005-0000-0000-000047210000}"/>
    <cellStyle name="Note 2 5 8 2 2" xfId="15497" xr:uid="{1D71AA25-8C63-4171-BE15-E6B5E17EBF60}"/>
    <cellStyle name="Note 2 5 8 3" xfId="11279" xr:uid="{C9E318EA-B6DB-4741-BBD1-848F91216A90}"/>
    <cellStyle name="Note 2 5 9" xfId="4910" xr:uid="{00000000-0005-0000-0000-000048210000}"/>
    <cellStyle name="Note 2 5 9 2" xfId="13352" xr:uid="{291235E8-582C-49B8-8D0C-BAF29ABF6661}"/>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0 2 2" xfId="15498" xr:uid="{CD64C3FA-BD2B-4D66-9383-35671EAD1C12}"/>
    <cellStyle name="Note 3 2 10 3" xfId="11280" xr:uid="{C2227ACE-60D5-49BF-8CE9-8EB269AFC60D}"/>
    <cellStyle name="Note 3 2 11" xfId="4911" xr:uid="{00000000-0005-0000-0000-00004D210000}"/>
    <cellStyle name="Note 3 2 11 2" xfId="13353" xr:uid="{15C954E7-436D-45DF-A18E-9A8DBE0928BE}"/>
    <cellStyle name="Note 3 2 12" xfId="9135" xr:uid="{F98F4C44-C020-41EE-9E12-B799CFF98816}"/>
    <cellStyle name="Note 3 2 2" xfId="555" xr:uid="{00000000-0005-0000-0000-00004E210000}"/>
    <cellStyle name="Note 3 2 2 10" xfId="4912" xr:uid="{00000000-0005-0000-0000-00004F210000}"/>
    <cellStyle name="Note 3 2 2 10 2" xfId="13354" xr:uid="{A3DBCA30-B462-4D29-B8EE-B9BAC8EA8925}"/>
    <cellStyle name="Note 3 2 2 11" xfId="9136" xr:uid="{2626CD7B-44F0-4966-9C05-74C7EB7CF4CD}"/>
    <cellStyle name="Note 3 2 2 2" xfId="556" xr:uid="{00000000-0005-0000-0000-000050210000}"/>
    <cellStyle name="Note 3 2 2 2 10" xfId="9137" xr:uid="{2E8C830F-5646-4F8C-892C-CE9990221D49}"/>
    <cellStyle name="Note 3 2 2 2 2" xfId="1016" xr:uid="{00000000-0005-0000-0000-000051210000}"/>
    <cellStyle name="Note 3 2 2 2 2 2" xfId="3248" xr:uid="{00000000-0005-0000-0000-000052210000}"/>
    <cellStyle name="Note 3 2 2 2 2 2 2" xfId="7471" xr:uid="{00000000-0005-0000-0000-000053210000}"/>
    <cellStyle name="Note 3 2 2 2 2 2 2 2" xfId="15913" xr:uid="{C2B7D37D-B46E-42D6-B0DC-07D45B864A2F}"/>
    <cellStyle name="Note 3 2 2 2 2 2 3" xfId="11695" xr:uid="{463F27CF-4CEB-4A2D-BF5C-84A4A1779790}"/>
    <cellStyle name="Note 3 2 2 2 2 3" xfId="5326" xr:uid="{00000000-0005-0000-0000-000054210000}"/>
    <cellStyle name="Note 3 2 2 2 2 3 2" xfId="13768" xr:uid="{72E83B41-6EE2-423E-B143-0E33B2ECDCD1}"/>
    <cellStyle name="Note 3 2 2 2 2 4" xfId="9550" xr:uid="{069AEC92-E766-4F67-9F55-8F4DB24EFD35}"/>
    <cellStyle name="Note 3 2 2 2 3" xfId="1431" xr:uid="{00000000-0005-0000-0000-000055210000}"/>
    <cellStyle name="Note 3 2 2 2 3 2" xfId="3661" xr:uid="{00000000-0005-0000-0000-000056210000}"/>
    <cellStyle name="Note 3 2 2 2 3 2 2" xfId="7884" xr:uid="{00000000-0005-0000-0000-000057210000}"/>
    <cellStyle name="Note 3 2 2 2 3 2 2 2" xfId="16326" xr:uid="{B79CC738-CEED-4CF4-A21F-C733E2CCDF98}"/>
    <cellStyle name="Note 3 2 2 2 3 2 3" xfId="12108" xr:uid="{1F3EBC6C-7414-4A29-BE50-AB76028A09D0}"/>
    <cellStyle name="Note 3 2 2 2 3 3" xfId="5739" xr:uid="{00000000-0005-0000-0000-000058210000}"/>
    <cellStyle name="Note 3 2 2 2 3 3 2" xfId="14181" xr:uid="{6228E909-AFAA-4255-AEF8-980176A2916F}"/>
    <cellStyle name="Note 3 2 2 2 3 4" xfId="9963" xr:uid="{098EE501-6CD7-4FDA-B68C-D1D875B4529D}"/>
    <cellStyle name="Note 3 2 2 2 4" xfId="1845" xr:uid="{00000000-0005-0000-0000-000059210000}"/>
    <cellStyle name="Note 3 2 2 2 4 2" xfId="4074" xr:uid="{00000000-0005-0000-0000-00005A210000}"/>
    <cellStyle name="Note 3 2 2 2 4 2 2" xfId="8297" xr:uid="{00000000-0005-0000-0000-00005B210000}"/>
    <cellStyle name="Note 3 2 2 2 4 2 2 2" xfId="16739" xr:uid="{A4ECD434-2CAD-4DA1-BDDF-C505EDC99482}"/>
    <cellStyle name="Note 3 2 2 2 4 2 3" xfId="12521" xr:uid="{B97E2329-D079-4117-9930-C188435840DF}"/>
    <cellStyle name="Note 3 2 2 2 4 3" xfId="6152" xr:uid="{00000000-0005-0000-0000-00005C210000}"/>
    <cellStyle name="Note 3 2 2 2 4 3 2" xfId="14594" xr:uid="{2691967F-3BC5-4E45-97E0-29F9693AA674}"/>
    <cellStyle name="Note 3 2 2 2 4 4" xfId="10376" xr:uid="{0B0831F1-57ED-484F-B368-FA809B1770EB}"/>
    <cellStyle name="Note 3 2 2 2 5" xfId="2258" xr:uid="{00000000-0005-0000-0000-00005D210000}"/>
    <cellStyle name="Note 3 2 2 2 5 2" xfId="4487" xr:uid="{00000000-0005-0000-0000-00005E210000}"/>
    <cellStyle name="Note 3 2 2 2 5 2 2" xfId="8710" xr:uid="{00000000-0005-0000-0000-00005F210000}"/>
    <cellStyle name="Note 3 2 2 2 5 2 2 2" xfId="17152" xr:uid="{72B447E3-E88F-4FBE-911E-0D4E24B2A54B}"/>
    <cellStyle name="Note 3 2 2 2 5 2 3" xfId="12934" xr:uid="{49E79FF4-5616-4325-B976-896C74C18DD8}"/>
    <cellStyle name="Note 3 2 2 2 5 3" xfId="6565" xr:uid="{00000000-0005-0000-0000-000060210000}"/>
    <cellStyle name="Note 3 2 2 2 5 3 2" xfId="15007" xr:uid="{754BC417-0B09-4D97-87AA-50B24B59EF5E}"/>
    <cellStyle name="Note 3 2 2 2 5 4" xfId="10789" xr:uid="{99C60EE9-9EE1-4C08-BF91-D75A53543A34}"/>
    <cellStyle name="Note 3 2 2 2 6" xfId="2694" xr:uid="{00000000-0005-0000-0000-000061210000}"/>
    <cellStyle name="Note 3 2 2 2 6 2" xfId="6978" xr:uid="{00000000-0005-0000-0000-000062210000}"/>
    <cellStyle name="Note 3 2 2 2 6 2 2" xfId="15420" xr:uid="{CFE7C9B4-2812-4966-89F5-21065A36FDD2}"/>
    <cellStyle name="Note 3 2 2 2 6 3" xfId="11202" xr:uid="{DDD4C8B6-BF71-43C3-BBA2-913DD4DA06DD}"/>
    <cellStyle name="Note 3 2 2 2 7" xfId="2753" xr:uid="{00000000-0005-0000-0000-000063210000}"/>
    <cellStyle name="Note 3 2 2 2 8" xfId="2834" xr:uid="{00000000-0005-0000-0000-000064210000}"/>
    <cellStyle name="Note 3 2 2 2 8 2" xfId="7058" xr:uid="{00000000-0005-0000-0000-000065210000}"/>
    <cellStyle name="Note 3 2 2 2 8 2 2" xfId="15500" xr:uid="{9EA0EC04-A82B-4B93-9A24-09CBC32B41F7}"/>
    <cellStyle name="Note 3 2 2 2 8 3" xfId="11282" xr:uid="{997DEE40-9217-41C6-801E-581F4ED159E5}"/>
    <cellStyle name="Note 3 2 2 2 9" xfId="4913" xr:uid="{00000000-0005-0000-0000-000066210000}"/>
    <cellStyle name="Note 3 2 2 2 9 2" xfId="13355" xr:uid="{E3E6A738-3DE2-4C58-B06A-36BF288A9BAD}"/>
    <cellStyle name="Note 3 2 2 3" xfId="1015" xr:uid="{00000000-0005-0000-0000-000067210000}"/>
    <cellStyle name="Note 3 2 2 3 2" xfId="3247" xr:uid="{00000000-0005-0000-0000-000068210000}"/>
    <cellStyle name="Note 3 2 2 3 2 2" xfId="7470" xr:uid="{00000000-0005-0000-0000-000069210000}"/>
    <cellStyle name="Note 3 2 2 3 2 2 2" xfId="15912" xr:uid="{8B3DF503-4D3C-4F46-BF91-95F8D258208F}"/>
    <cellStyle name="Note 3 2 2 3 2 3" xfId="11694" xr:uid="{BF74D923-154B-47BF-B2D8-5F57DCA1BE57}"/>
    <cellStyle name="Note 3 2 2 3 3" xfId="5325" xr:uid="{00000000-0005-0000-0000-00006A210000}"/>
    <cellStyle name="Note 3 2 2 3 3 2" xfId="13767" xr:uid="{A4AAD438-062F-4F1F-B366-2FD56D88B204}"/>
    <cellStyle name="Note 3 2 2 3 4" xfId="9549" xr:uid="{647EA33C-E5A3-4DEC-B797-B01FA363DC07}"/>
    <cellStyle name="Note 3 2 2 4" xfId="1430" xr:uid="{00000000-0005-0000-0000-00006B210000}"/>
    <cellStyle name="Note 3 2 2 4 2" xfId="3660" xr:uid="{00000000-0005-0000-0000-00006C210000}"/>
    <cellStyle name="Note 3 2 2 4 2 2" xfId="7883" xr:uid="{00000000-0005-0000-0000-00006D210000}"/>
    <cellStyle name="Note 3 2 2 4 2 2 2" xfId="16325" xr:uid="{22479BFF-BC1C-47C7-B1E1-494D5CE0414B}"/>
    <cellStyle name="Note 3 2 2 4 2 3" xfId="12107" xr:uid="{D71BD2B2-F6F9-4377-88AC-1E3D85758735}"/>
    <cellStyle name="Note 3 2 2 4 3" xfId="5738" xr:uid="{00000000-0005-0000-0000-00006E210000}"/>
    <cellStyle name="Note 3 2 2 4 3 2" xfId="14180" xr:uid="{7934CC4B-FC01-480E-BBE1-5C2F941A7FD5}"/>
    <cellStyle name="Note 3 2 2 4 4" xfId="9962" xr:uid="{D4EBEA10-AA20-4BF2-B596-24F20BE35AEF}"/>
    <cellStyle name="Note 3 2 2 5" xfId="1844" xr:uid="{00000000-0005-0000-0000-00006F210000}"/>
    <cellStyle name="Note 3 2 2 5 2" xfId="4073" xr:uid="{00000000-0005-0000-0000-000070210000}"/>
    <cellStyle name="Note 3 2 2 5 2 2" xfId="8296" xr:uid="{00000000-0005-0000-0000-000071210000}"/>
    <cellStyle name="Note 3 2 2 5 2 2 2" xfId="16738" xr:uid="{12C6E22E-72D2-4671-B3B5-09D0B757C1DA}"/>
    <cellStyle name="Note 3 2 2 5 2 3" xfId="12520" xr:uid="{9F8D9835-8C3F-40BD-BE99-3FD7FF0601EE}"/>
    <cellStyle name="Note 3 2 2 5 3" xfId="6151" xr:uid="{00000000-0005-0000-0000-000072210000}"/>
    <cellStyle name="Note 3 2 2 5 3 2" xfId="14593" xr:uid="{AF650E92-7F6D-4261-A206-B6A25BF1CFFB}"/>
    <cellStyle name="Note 3 2 2 5 4" xfId="10375" xr:uid="{A1C4D2CA-3975-47B0-A507-48717D0D975F}"/>
    <cellStyle name="Note 3 2 2 6" xfId="2257" xr:uid="{00000000-0005-0000-0000-000073210000}"/>
    <cellStyle name="Note 3 2 2 6 2" xfId="4486" xr:uid="{00000000-0005-0000-0000-000074210000}"/>
    <cellStyle name="Note 3 2 2 6 2 2" xfId="8709" xr:uid="{00000000-0005-0000-0000-000075210000}"/>
    <cellStyle name="Note 3 2 2 6 2 2 2" xfId="17151" xr:uid="{A8519272-5722-40A5-AB68-857734D15766}"/>
    <cellStyle name="Note 3 2 2 6 2 3" xfId="12933" xr:uid="{B295DD12-2333-467C-9816-0D34AFAB5B97}"/>
    <cellStyle name="Note 3 2 2 6 3" xfId="6564" xr:uid="{00000000-0005-0000-0000-000076210000}"/>
    <cellStyle name="Note 3 2 2 6 3 2" xfId="15006" xr:uid="{6A7DF978-C44A-4C65-BAF5-C9D2EC79B1CB}"/>
    <cellStyle name="Note 3 2 2 6 4" xfId="10788" xr:uid="{D5211AF1-65D5-439A-8902-638DAEBAABA5}"/>
    <cellStyle name="Note 3 2 2 7" xfId="2693" xr:uid="{00000000-0005-0000-0000-000077210000}"/>
    <cellStyle name="Note 3 2 2 7 2" xfId="6977" xr:uid="{00000000-0005-0000-0000-000078210000}"/>
    <cellStyle name="Note 3 2 2 7 2 2" xfId="15419" xr:uid="{7CB4914E-4E73-4D3E-8028-2F8CC15E29CB}"/>
    <cellStyle name="Note 3 2 2 7 3" xfId="11201" xr:uid="{0B9CDFB2-FB8F-488B-B147-681477C5EC07}"/>
    <cellStyle name="Note 3 2 2 8" xfId="2752" xr:uid="{00000000-0005-0000-0000-000079210000}"/>
    <cellStyle name="Note 3 2 2 9" xfId="2833" xr:uid="{00000000-0005-0000-0000-00007A210000}"/>
    <cellStyle name="Note 3 2 2 9 2" xfId="7057" xr:uid="{00000000-0005-0000-0000-00007B210000}"/>
    <cellStyle name="Note 3 2 2 9 2 2" xfId="15499" xr:uid="{36E9E1B7-B7C2-4C17-B8DB-559035B23CF8}"/>
    <cellStyle name="Note 3 2 2 9 3" xfId="11281" xr:uid="{100302DF-C17B-4632-A304-F0186C079791}"/>
    <cellStyle name="Note 3 2 3" xfId="557" xr:uid="{00000000-0005-0000-0000-00007C210000}"/>
    <cellStyle name="Note 3 2 3 10" xfId="9138" xr:uid="{615B1C8C-C0D8-4A2B-B2ED-8167E3D84508}"/>
    <cellStyle name="Note 3 2 3 2" xfId="1017" xr:uid="{00000000-0005-0000-0000-00007D210000}"/>
    <cellStyle name="Note 3 2 3 2 2" xfId="3249" xr:uid="{00000000-0005-0000-0000-00007E210000}"/>
    <cellStyle name="Note 3 2 3 2 2 2" xfId="7472" xr:uid="{00000000-0005-0000-0000-00007F210000}"/>
    <cellStyle name="Note 3 2 3 2 2 2 2" xfId="15914" xr:uid="{0AC65623-50C0-40F1-A61B-1CE137F8FBA6}"/>
    <cellStyle name="Note 3 2 3 2 2 3" xfId="11696" xr:uid="{2F4E1C12-8F72-4623-88A8-C135715448C8}"/>
    <cellStyle name="Note 3 2 3 2 3" xfId="5327" xr:uid="{00000000-0005-0000-0000-000080210000}"/>
    <cellStyle name="Note 3 2 3 2 3 2" xfId="13769" xr:uid="{94E15CBF-AE23-4094-A800-0239FC7457B5}"/>
    <cellStyle name="Note 3 2 3 2 4" xfId="9551" xr:uid="{00B8DDCB-83CF-4C9F-9058-3473A583C81B}"/>
    <cellStyle name="Note 3 2 3 3" xfId="1432" xr:uid="{00000000-0005-0000-0000-000081210000}"/>
    <cellStyle name="Note 3 2 3 3 2" xfId="3662" xr:uid="{00000000-0005-0000-0000-000082210000}"/>
    <cellStyle name="Note 3 2 3 3 2 2" xfId="7885" xr:uid="{00000000-0005-0000-0000-000083210000}"/>
    <cellStyle name="Note 3 2 3 3 2 2 2" xfId="16327" xr:uid="{E7C7B501-38A2-42F5-8BBD-177398F37027}"/>
    <cellStyle name="Note 3 2 3 3 2 3" xfId="12109" xr:uid="{537F119D-3870-441A-9A5C-FDE089F78105}"/>
    <cellStyle name="Note 3 2 3 3 3" xfId="5740" xr:uid="{00000000-0005-0000-0000-000084210000}"/>
    <cellStyle name="Note 3 2 3 3 3 2" xfId="14182" xr:uid="{B760B933-E917-4ECC-B367-BB827150F1D6}"/>
    <cellStyle name="Note 3 2 3 3 4" xfId="9964" xr:uid="{0EE6DA56-F9F2-47B8-B10B-3D1D36A24C6D}"/>
    <cellStyle name="Note 3 2 3 4" xfId="1846" xr:uid="{00000000-0005-0000-0000-000085210000}"/>
    <cellStyle name="Note 3 2 3 4 2" xfId="4075" xr:uid="{00000000-0005-0000-0000-000086210000}"/>
    <cellStyle name="Note 3 2 3 4 2 2" xfId="8298" xr:uid="{00000000-0005-0000-0000-000087210000}"/>
    <cellStyle name="Note 3 2 3 4 2 2 2" xfId="16740" xr:uid="{D61B9AD5-0C93-490B-BB59-53B5D32643A5}"/>
    <cellStyle name="Note 3 2 3 4 2 3" xfId="12522" xr:uid="{FDE8EEA4-7247-41F4-81CA-C63756900498}"/>
    <cellStyle name="Note 3 2 3 4 3" xfId="6153" xr:uid="{00000000-0005-0000-0000-000088210000}"/>
    <cellStyle name="Note 3 2 3 4 3 2" xfId="14595" xr:uid="{95041764-99D1-4AD9-8183-59F429774EA2}"/>
    <cellStyle name="Note 3 2 3 4 4" xfId="10377" xr:uid="{D6FE84A7-2BC5-424E-ADC9-F7589DB9D674}"/>
    <cellStyle name="Note 3 2 3 5" xfId="2259" xr:uid="{00000000-0005-0000-0000-000089210000}"/>
    <cellStyle name="Note 3 2 3 5 2" xfId="4488" xr:uid="{00000000-0005-0000-0000-00008A210000}"/>
    <cellStyle name="Note 3 2 3 5 2 2" xfId="8711" xr:uid="{00000000-0005-0000-0000-00008B210000}"/>
    <cellStyle name="Note 3 2 3 5 2 2 2" xfId="17153" xr:uid="{301B7F88-0C9F-41B3-B478-8E60D9C08CF6}"/>
    <cellStyle name="Note 3 2 3 5 2 3" xfId="12935" xr:uid="{DC5D0AD2-AFFA-4F53-BA49-874892A9FEA0}"/>
    <cellStyle name="Note 3 2 3 5 3" xfId="6566" xr:uid="{00000000-0005-0000-0000-00008C210000}"/>
    <cellStyle name="Note 3 2 3 5 3 2" xfId="15008" xr:uid="{567C8E3B-4638-4CC0-A24C-F984EAE80AC2}"/>
    <cellStyle name="Note 3 2 3 5 4" xfId="10790" xr:uid="{591C81C8-176E-4BD9-B000-54312B31E5CB}"/>
    <cellStyle name="Note 3 2 3 6" xfId="2695" xr:uid="{00000000-0005-0000-0000-00008D210000}"/>
    <cellStyle name="Note 3 2 3 6 2" xfId="6979" xr:uid="{00000000-0005-0000-0000-00008E210000}"/>
    <cellStyle name="Note 3 2 3 6 2 2" xfId="15421" xr:uid="{803B5098-31EF-4F02-A248-06800FB6CCB2}"/>
    <cellStyle name="Note 3 2 3 6 3" xfId="11203" xr:uid="{66550904-3576-47A7-87A3-C2E135150541}"/>
    <cellStyle name="Note 3 2 3 7" xfId="2754" xr:uid="{00000000-0005-0000-0000-00008F210000}"/>
    <cellStyle name="Note 3 2 3 8" xfId="2835" xr:uid="{00000000-0005-0000-0000-000090210000}"/>
    <cellStyle name="Note 3 2 3 8 2" xfId="7059" xr:uid="{00000000-0005-0000-0000-000091210000}"/>
    <cellStyle name="Note 3 2 3 8 2 2" xfId="15501" xr:uid="{3AFF7366-EEED-4B49-B7B9-150A9255FE55}"/>
    <cellStyle name="Note 3 2 3 8 3" xfId="11283" xr:uid="{6B4976CE-5A1E-4158-B3DF-4E19D82C8F4A}"/>
    <cellStyle name="Note 3 2 3 9" xfId="4914" xr:uid="{00000000-0005-0000-0000-000092210000}"/>
    <cellStyle name="Note 3 2 3 9 2" xfId="13356" xr:uid="{797139E0-98C8-46EE-9883-4FDEDDB4133D}"/>
    <cellStyle name="Note 3 2 4" xfId="1014" xr:uid="{00000000-0005-0000-0000-000093210000}"/>
    <cellStyle name="Note 3 2 4 2" xfId="3246" xr:uid="{00000000-0005-0000-0000-000094210000}"/>
    <cellStyle name="Note 3 2 4 2 2" xfId="7469" xr:uid="{00000000-0005-0000-0000-000095210000}"/>
    <cellStyle name="Note 3 2 4 2 2 2" xfId="15911" xr:uid="{7A54C897-7AA1-4E33-8F44-2AEA3C6E741B}"/>
    <cellStyle name="Note 3 2 4 2 3" xfId="11693" xr:uid="{C8ADE19F-22BE-4FC9-A0D2-63C45C1E7146}"/>
    <cellStyle name="Note 3 2 4 3" xfId="5324" xr:uid="{00000000-0005-0000-0000-000096210000}"/>
    <cellStyle name="Note 3 2 4 3 2" xfId="13766" xr:uid="{6AF6E8F5-8AA8-4F4E-A6B6-0129B17A0931}"/>
    <cellStyle name="Note 3 2 4 4" xfId="9548" xr:uid="{EBA18D5C-514A-4FF6-80C5-F9224A37CAD6}"/>
    <cellStyle name="Note 3 2 5" xfId="1429" xr:uid="{00000000-0005-0000-0000-000097210000}"/>
    <cellStyle name="Note 3 2 5 2" xfId="3659" xr:uid="{00000000-0005-0000-0000-000098210000}"/>
    <cellStyle name="Note 3 2 5 2 2" xfId="7882" xr:uid="{00000000-0005-0000-0000-000099210000}"/>
    <cellStyle name="Note 3 2 5 2 2 2" xfId="16324" xr:uid="{164445E5-BDCF-4FA6-9D89-FEF6622125F5}"/>
    <cellStyle name="Note 3 2 5 2 3" xfId="12106" xr:uid="{1E256007-E152-4D82-B72E-BB84B6E0FBC9}"/>
    <cellStyle name="Note 3 2 5 3" xfId="5737" xr:uid="{00000000-0005-0000-0000-00009A210000}"/>
    <cellStyle name="Note 3 2 5 3 2" xfId="14179" xr:uid="{DD89F926-31C5-48F4-9625-BEF6E880BE43}"/>
    <cellStyle name="Note 3 2 5 4" xfId="9961" xr:uid="{95515028-02C1-4B9F-8B5D-0902A45295F7}"/>
    <cellStyle name="Note 3 2 6" xfId="1843" xr:uid="{00000000-0005-0000-0000-00009B210000}"/>
    <cellStyle name="Note 3 2 6 2" xfId="4072" xr:uid="{00000000-0005-0000-0000-00009C210000}"/>
    <cellStyle name="Note 3 2 6 2 2" xfId="8295" xr:uid="{00000000-0005-0000-0000-00009D210000}"/>
    <cellStyle name="Note 3 2 6 2 2 2" xfId="16737" xr:uid="{C67192D5-E55A-42FC-81B2-2EC31290D021}"/>
    <cellStyle name="Note 3 2 6 2 3" xfId="12519" xr:uid="{23CCA0E3-628B-4E17-A22D-C23FCFDAE173}"/>
    <cellStyle name="Note 3 2 6 3" xfId="6150" xr:uid="{00000000-0005-0000-0000-00009E210000}"/>
    <cellStyle name="Note 3 2 6 3 2" xfId="14592" xr:uid="{E7B2D382-67CE-4E2A-9F29-F6B375786DA6}"/>
    <cellStyle name="Note 3 2 6 4" xfId="10374" xr:uid="{BBE524CE-C2AB-4FA7-9B39-6CB52CE894C5}"/>
    <cellStyle name="Note 3 2 7" xfId="2256" xr:uid="{00000000-0005-0000-0000-00009F210000}"/>
    <cellStyle name="Note 3 2 7 2" xfId="4485" xr:uid="{00000000-0005-0000-0000-0000A0210000}"/>
    <cellStyle name="Note 3 2 7 2 2" xfId="8708" xr:uid="{00000000-0005-0000-0000-0000A1210000}"/>
    <cellStyle name="Note 3 2 7 2 2 2" xfId="17150" xr:uid="{70EB4C3A-174F-4707-8F99-258D1F140DBD}"/>
    <cellStyle name="Note 3 2 7 2 3" xfId="12932" xr:uid="{A156A48F-51FA-4B89-BA59-7FEB06E1184D}"/>
    <cellStyle name="Note 3 2 7 3" xfId="6563" xr:uid="{00000000-0005-0000-0000-0000A2210000}"/>
    <cellStyle name="Note 3 2 7 3 2" xfId="15005" xr:uid="{81D3AAE3-E194-421E-82E0-F8D13A29BEE4}"/>
    <cellStyle name="Note 3 2 7 4" xfId="10787" xr:uid="{9DFE12BD-77DA-4DB2-9A55-7EEEC20822C3}"/>
    <cellStyle name="Note 3 2 8" xfId="2692" xr:uid="{00000000-0005-0000-0000-0000A3210000}"/>
    <cellStyle name="Note 3 2 8 2" xfId="6976" xr:uid="{00000000-0005-0000-0000-0000A4210000}"/>
    <cellStyle name="Note 3 2 8 2 2" xfId="15418" xr:uid="{480F66CA-87C5-4616-9604-C8C4F7AAD322}"/>
    <cellStyle name="Note 3 2 8 3" xfId="11200" xr:uid="{ABAA7AE3-7B98-49CD-BBBE-8DCABC1747D7}"/>
    <cellStyle name="Note 3 2 9" xfId="2751" xr:uid="{00000000-0005-0000-0000-0000A5210000}"/>
    <cellStyle name="Note 3 3" xfId="558" xr:uid="{00000000-0005-0000-0000-0000A6210000}"/>
    <cellStyle name="Note 3 3 10" xfId="4915" xr:uid="{00000000-0005-0000-0000-0000A7210000}"/>
    <cellStyle name="Note 3 3 10 2" xfId="13357" xr:uid="{405852EF-425D-46E3-9729-C87053130897}"/>
    <cellStyle name="Note 3 3 11" xfId="9139" xr:uid="{12EEC9C7-2A08-4AC9-9410-1CA303E32EF5}"/>
    <cellStyle name="Note 3 3 2" xfId="559" xr:uid="{00000000-0005-0000-0000-0000A8210000}"/>
    <cellStyle name="Note 3 3 2 10" xfId="9140" xr:uid="{DFF38965-6A38-4C80-837D-FC267E69EC1F}"/>
    <cellStyle name="Note 3 3 2 2" xfId="1019" xr:uid="{00000000-0005-0000-0000-0000A9210000}"/>
    <cellStyle name="Note 3 3 2 2 2" xfId="3251" xr:uid="{00000000-0005-0000-0000-0000AA210000}"/>
    <cellStyle name="Note 3 3 2 2 2 2" xfId="7474" xr:uid="{00000000-0005-0000-0000-0000AB210000}"/>
    <cellStyle name="Note 3 3 2 2 2 2 2" xfId="15916" xr:uid="{974F9704-95B1-4F0A-BF72-9DF2FFC419C5}"/>
    <cellStyle name="Note 3 3 2 2 2 3" xfId="11698" xr:uid="{C9AC132D-2C7D-4025-B49F-1F5D6E48ACC7}"/>
    <cellStyle name="Note 3 3 2 2 3" xfId="5329" xr:uid="{00000000-0005-0000-0000-0000AC210000}"/>
    <cellStyle name="Note 3 3 2 2 3 2" xfId="13771" xr:uid="{9B960A45-5828-4C3B-9875-D7DCC283AE6D}"/>
    <cellStyle name="Note 3 3 2 2 4" xfId="9553" xr:uid="{ACE64916-928F-477E-BFF3-6A96344EB9EE}"/>
    <cellStyle name="Note 3 3 2 3" xfId="1434" xr:uid="{00000000-0005-0000-0000-0000AD210000}"/>
    <cellStyle name="Note 3 3 2 3 2" xfId="3664" xr:uid="{00000000-0005-0000-0000-0000AE210000}"/>
    <cellStyle name="Note 3 3 2 3 2 2" xfId="7887" xr:uid="{00000000-0005-0000-0000-0000AF210000}"/>
    <cellStyle name="Note 3 3 2 3 2 2 2" xfId="16329" xr:uid="{28EC700A-62B3-4A39-A6A6-46C8E78B2B02}"/>
    <cellStyle name="Note 3 3 2 3 2 3" xfId="12111" xr:uid="{9ADCE1C9-C050-47D2-A49A-ED05C279963E}"/>
    <cellStyle name="Note 3 3 2 3 3" xfId="5742" xr:uid="{00000000-0005-0000-0000-0000B0210000}"/>
    <cellStyle name="Note 3 3 2 3 3 2" xfId="14184" xr:uid="{D7FBBB0E-33D9-4260-83BF-1CF68B4CBF6B}"/>
    <cellStyle name="Note 3 3 2 3 4" xfId="9966" xr:uid="{36409867-7B46-416E-AFF3-E48B122DCAD1}"/>
    <cellStyle name="Note 3 3 2 4" xfId="1848" xr:uid="{00000000-0005-0000-0000-0000B1210000}"/>
    <cellStyle name="Note 3 3 2 4 2" xfId="4077" xr:uid="{00000000-0005-0000-0000-0000B2210000}"/>
    <cellStyle name="Note 3 3 2 4 2 2" xfId="8300" xr:uid="{00000000-0005-0000-0000-0000B3210000}"/>
    <cellStyle name="Note 3 3 2 4 2 2 2" xfId="16742" xr:uid="{173549A2-49FD-4EE8-9F2D-44CC5A05232E}"/>
    <cellStyle name="Note 3 3 2 4 2 3" xfId="12524" xr:uid="{0BA91664-4BA0-4C2E-8444-3A575872D2AF}"/>
    <cellStyle name="Note 3 3 2 4 3" xfId="6155" xr:uid="{00000000-0005-0000-0000-0000B4210000}"/>
    <cellStyle name="Note 3 3 2 4 3 2" xfId="14597" xr:uid="{501A1AC6-BEF4-4FD4-9BA8-CFCBBFFF72FE}"/>
    <cellStyle name="Note 3 3 2 4 4" xfId="10379" xr:uid="{50358066-7BA1-46DC-9509-5C0BD52C06A1}"/>
    <cellStyle name="Note 3 3 2 5" xfId="2261" xr:uid="{00000000-0005-0000-0000-0000B5210000}"/>
    <cellStyle name="Note 3 3 2 5 2" xfId="4490" xr:uid="{00000000-0005-0000-0000-0000B6210000}"/>
    <cellStyle name="Note 3 3 2 5 2 2" xfId="8713" xr:uid="{00000000-0005-0000-0000-0000B7210000}"/>
    <cellStyle name="Note 3 3 2 5 2 2 2" xfId="17155" xr:uid="{093299C0-9C6E-4BC8-AA69-695CB6586E03}"/>
    <cellStyle name="Note 3 3 2 5 2 3" xfId="12937" xr:uid="{9EDBDF54-3D9E-4306-95AD-C42BE9142375}"/>
    <cellStyle name="Note 3 3 2 5 3" xfId="6568" xr:uid="{00000000-0005-0000-0000-0000B8210000}"/>
    <cellStyle name="Note 3 3 2 5 3 2" xfId="15010" xr:uid="{9532177A-65A3-48CE-8B79-D433CA5B162B}"/>
    <cellStyle name="Note 3 3 2 5 4" xfId="10792" xr:uid="{3E40309A-A499-4FF8-8CC9-3CF49484FD4B}"/>
    <cellStyle name="Note 3 3 2 6" xfId="2697" xr:uid="{00000000-0005-0000-0000-0000B9210000}"/>
    <cellStyle name="Note 3 3 2 6 2" xfId="6981" xr:uid="{00000000-0005-0000-0000-0000BA210000}"/>
    <cellStyle name="Note 3 3 2 6 2 2" xfId="15423" xr:uid="{539FF386-3651-44A1-8940-31BCAFF85D98}"/>
    <cellStyle name="Note 3 3 2 6 3" xfId="11205" xr:uid="{E54693BA-046F-41D9-AB3A-89776D4E17D9}"/>
    <cellStyle name="Note 3 3 2 7" xfId="2756" xr:uid="{00000000-0005-0000-0000-0000BB210000}"/>
    <cellStyle name="Note 3 3 2 8" xfId="2837" xr:uid="{00000000-0005-0000-0000-0000BC210000}"/>
    <cellStyle name="Note 3 3 2 8 2" xfId="7061" xr:uid="{00000000-0005-0000-0000-0000BD210000}"/>
    <cellStyle name="Note 3 3 2 8 2 2" xfId="15503" xr:uid="{A7408E5D-279B-4E8D-A57A-096308CC1D3B}"/>
    <cellStyle name="Note 3 3 2 8 3" xfId="11285" xr:uid="{6B7EDAE5-ED46-4706-B9D3-1AEC754B5891}"/>
    <cellStyle name="Note 3 3 2 9" xfId="4916" xr:uid="{00000000-0005-0000-0000-0000BE210000}"/>
    <cellStyle name="Note 3 3 2 9 2" xfId="13358" xr:uid="{A36B695D-91BC-4142-8D71-CB248345D38A}"/>
    <cellStyle name="Note 3 3 3" xfId="1018" xr:uid="{00000000-0005-0000-0000-0000BF210000}"/>
    <cellStyle name="Note 3 3 3 2" xfId="3250" xr:uid="{00000000-0005-0000-0000-0000C0210000}"/>
    <cellStyle name="Note 3 3 3 2 2" xfId="7473" xr:uid="{00000000-0005-0000-0000-0000C1210000}"/>
    <cellStyle name="Note 3 3 3 2 2 2" xfId="15915" xr:uid="{80ACF0A9-FEBB-4B12-B0F9-84494FD0D1C5}"/>
    <cellStyle name="Note 3 3 3 2 3" xfId="11697" xr:uid="{D6B2D0F1-E4C1-4DBF-935D-7A2DDA4A68C5}"/>
    <cellStyle name="Note 3 3 3 3" xfId="5328" xr:uid="{00000000-0005-0000-0000-0000C2210000}"/>
    <cellStyle name="Note 3 3 3 3 2" xfId="13770" xr:uid="{E40577B5-B6E3-45C4-A30A-3875F5BD5BC7}"/>
    <cellStyle name="Note 3 3 3 4" xfId="9552" xr:uid="{3F1EF281-6197-43EF-BB18-AACF626536D3}"/>
    <cellStyle name="Note 3 3 4" xfId="1433" xr:uid="{00000000-0005-0000-0000-0000C3210000}"/>
    <cellStyle name="Note 3 3 4 2" xfId="3663" xr:uid="{00000000-0005-0000-0000-0000C4210000}"/>
    <cellStyle name="Note 3 3 4 2 2" xfId="7886" xr:uid="{00000000-0005-0000-0000-0000C5210000}"/>
    <cellStyle name="Note 3 3 4 2 2 2" xfId="16328" xr:uid="{3EDA5F25-0812-4D0B-B221-FD905497F9D2}"/>
    <cellStyle name="Note 3 3 4 2 3" xfId="12110" xr:uid="{6BBC691D-5A86-4028-8931-FAC4752FB329}"/>
    <cellStyle name="Note 3 3 4 3" xfId="5741" xr:uid="{00000000-0005-0000-0000-0000C6210000}"/>
    <cellStyle name="Note 3 3 4 3 2" xfId="14183" xr:uid="{F3B11F8B-4FA3-46DA-9B49-42F199967A70}"/>
    <cellStyle name="Note 3 3 4 4" xfId="9965" xr:uid="{29FF6EA0-14FB-48C0-A400-5FD111C3598A}"/>
    <cellStyle name="Note 3 3 5" xfId="1847" xr:uid="{00000000-0005-0000-0000-0000C7210000}"/>
    <cellStyle name="Note 3 3 5 2" xfId="4076" xr:uid="{00000000-0005-0000-0000-0000C8210000}"/>
    <cellStyle name="Note 3 3 5 2 2" xfId="8299" xr:uid="{00000000-0005-0000-0000-0000C9210000}"/>
    <cellStyle name="Note 3 3 5 2 2 2" xfId="16741" xr:uid="{5B484027-1203-4A91-9563-B638CD733F0C}"/>
    <cellStyle name="Note 3 3 5 2 3" xfId="12523" xr:uid="{32C82EEF-E245-4D34-9CDD-593088968558}"/>
    <cellStyle name="Note 3 3 5 3" xfId="6154" xr:uid="{00000000-0005-0000-0000-0000CA210000}"/>
    <cellStyle name="Note 3 3 5 3 2" xfId="14596" xr:uid="{6FE18CC3-B481-4D57-8F9D-501D42F95F76}"/>
    <cellStyle name="Note 3 3 5 4" xfId="10378" xr:uid="{D64B97D6-9BA5-4BF8-A22B-859E3E99FDAE}"/>
    <cellStyle name="Note 3 3 6" xfId="2260" xr:uid="{00000000-0005-0000-0000-0000CB210000}"/>
    <cellStyle name="Note 3 3 6 2" xfId="4489" xr:uid="{00000000-0005-0000-0000-0000CC210000}"/>
    <cellStyle name="Note 3 3 6 2 2" xfId="8712" xr:uid="{00000000-0005-0000-0000-0000CD210000}"/>
    <cellStyle name="Note 3 3 6 2 2 2" xfId="17154" xr:uid="{64C67309-5959-49E1-8C67-47F502133F83}"/>
    <cellStyle name="Note 3 3 6 2 3" xfId="12936" xr:uid="{2FE5B58A-386A-4E53-8782-B3A9E8770BD4}"/>
    <cellStyle name="Note 3 3 6 3" xfId="6567" xr:uid="{00000000-0005-0000-0000-0000CE210000}"/>
    <cellStyle name="Note 3 3 6 3 2" xfId="15009" xr:uid="{4C4B747A-F74F-44D2-BA3A-FC70043479E4}"/>
    <cellStyle name="Note 3 3 6 4" xfId="10791" xr:uid="{60D45AB2-6E44-49E5-B5E1-8B477B784677}"/>
    <cellStyle name="Note 3 3 7" xfId="2696" xr:uid="{00000000-0005-0000-0000-0000CF210000}"/>
    <cellStyle name="Note 3 3 7 2" xfId="6980" xr:uid="{00000000-0005-0000-0000-0000D0210000}"/>
    <cellStyle name="Note 3 3 7 2 2" xfId="15422" xr:uid="{7C47689B-F7EC-4515-99F2-CFE2C8F85450}"/>
    <cellStyle name="Note 3 3 7 3" xfId="11204" xr:uid="{7F39CCCE-5660-4413-9826-4B0F24EAF489}"/>
    <cellStyle name="Note 3 3 8" xfId="2755" xr:uid="{00000000-0005-0000-0000-0000D1210000}"/>
    <cellStyle name="Note 3 3 9" xfId="2836" xr:uid="{00000000-0005-0000-0000-0000D2210000}"/>
    <cellStyle name="Note 3 3 9 2" xfId="7060" xr:uid="{00000000-0005-0000-0000-0000D3210000}"/>
    <cellStyle name="Note 3 3 9 2 2" xfId="15502" xr:uid="{9650CE97-3F11-4857-A955-19D15123ED2B}"/>
    <cellStyle name="Note 3 3 9 3" xfId="11284" xr:uid="{BF1040F7-4262-4B08-B31B-E658B22FF355}"/>
    <cellStyle name="Note 3 4" xfId="560" xr:uid="{00000000-0005-0000-0000-0000D4210000}"/>
    <cellStyle name="Note 3 4 10" xfId="9141" xr:uid="{9CDA6C73-AA8D-44A1-B4F5-F64C62C75389}"/>
    <cellStyle name="Note 3 4 2" xfId="1020" xr:uid="{00000000-0005-0000-0000-0000D5210000}"/>
    <cellStyle name="Note 3 4 2 2" xfId="3252" xr:uid="{00000000-0005-0000-0000-0000D6210000}"/>
    <cellStyle name="Note 3 4 2 2 2" xfId="7475" xr:uid="{00000000-0005-0000-0000-0000D7210000}"/>
    <cellStyle name="Note 3 4 2 2 2 2" xfId="15917" xr:uid="{6CB18902-B56E-4A52-B83B-1524A2006FDF}"/>
    <cellStyle name="Note 3 4 2 2 3" xfId="11699" xr:uid="{4A9F2314-DB3B-4791-A00B-525EC47B8D42}"/>
    <cellStyle name="Note 3 4 2 3" xfId="5330" xr:uid="{00000000-0005-0000-0000-0000D8210000}"/>
    <cellStyle name="Note 3 4 2 3 2" xfId="13772" xr:uid="{B2A2B74B-792B-4EDB-9ACD-542FE64CE0E0}"/>
    <cellStyle name="Note 3 4 2 4" xfId="9554" xr:uid="{10F9F1B5-0C29-4C05-B671-CC0AA0D18BDF}"/>
    <cellStyle name="Note 3 4 3" xfId="1435" xr:uid="{00000000-0005-0000-0000-0000D9210000}"/>
    <cellStyle name="Note 3 4 3 2" xfId="3665" xr:uid="{00000000-0005-0000-0000-0000DA210000}"/>
    <cellStyle name="Note 3 4 3 2 2" xfId="7888" xr:uid="{00000000-0005-0000-0000-0000DB210000}"/>
    <cellStyle name="Note 3 4 3 2 2 2" xfId="16330" xr:uid="{C7E677E4-9861-4832-ADB7-F2ED06448E0C}"/>
    <cellStyle name="Note 3 4 3 2 3" xfId="12112" xr:uid="{9C4B70DB-38F2-40FA-81F3-624C45D6A816}"/>
    <cellStyle name="Note 3 4 3 3" xfId="5743" xr:uid="{00000000-0005-0000-0000-0000DC210000}"/>
    <cellStyle name="Note 3 4 3 3 2" xfId="14185" xr:uid="{AFF260EA-9DC4-41D2-ACBA-25F67C0F3000}"/>
    <cellStyle name="Note 3 4 3 4" xfId="9967" xr:uid="{9C4D59BA-E6FE-4580-B058-9D21B90060EA}"/>
    <cellStyle name="Note 3 4 4" xfId="1849" xr:uid="{00000000-0005-0000-0000-0000DD210000}"/>
    <cellStyle name="Note 3 4 4 2" xfId="4078" xr:uid="{00000000-0005-0000-0000-0000DE210000}"/>
    <cellStyle name="Note 3 4 4 2 2" xfId="8301" xr:uid="{00000000-0005-0000-0000-0000DF210000}"/>
    <cellStyle name="Note 3 4 4 2 2 2" xfId="16743" xr:uid="{568AC6CB-30C8-4821-92A0-D2063CCFE2B6}"/>
    <cellStyle name="Note 3 4 4 2 3" xfId="12525" xr:uid="{3BF0979E-CF07-46D9-9D64-785AEF0C20B0}"/>
    <cellStyle name="Note 3 4 4 3" xfId="6156" xr:uid="{00000000-0005-0000-0000-0000E0210000}"/>
    <cellStyle name="Note 3 4 4 3 2" xfId="14598" xr:uid="{7DD9397A-28CC-4F12-BB88-4CC339FD6765}"/>
    <cellStyle name="Note 3 4 4 4" xfId="10380" xr:uid="{DBA2656C-7013-4F68-98FA-A77714525196}"/>
    <cellStyle name="Note 3 4 5" xfId="2262" xr:uid="{00000000-0005-0000-0000-0000E1210000}"/>
    <cellStyle name="Note 3 4 5 2" xfId="4491" xr:uid="{00000000-0005-0000-0000-0000E2210000}"/>
    <cellStyle name="Note 3 4 5 2 2" xfId="8714" xr:uid="{00000000-0005-0000-0000-0000E3210000}"/>
    <cellStyle name="Note 3 4 5 2 2 2" xfId="17156" xr:uid="{061D69A1-8703-432A-974F-8EF17F21D95E}"/>
    <cellStyle name="Note 3 4 5 2 3" xfId="12938" xr:uid="{2533F678-0147-4E45-B83A-955D169198E2}"/>
    <cellStyle name="Note 3 4 5 3" xfId="6569" xr:uid="{00000000-0005-0000-0000-0000E4210000}"/>
    <cellStyle name="Note 3 4 5 3 2" xfId="15011" xr:uid="{7CE041AB-A086-4495-8FD9-CEE6BE01393C}"/>
    <cellStyle name="Note 3 4 5 4" xfId="10793" xr:uid="{3A4BEC3A-F92B-4478-9674-4C1A20CB8E2E}"/>
    <cellStyle name="Note 3 4 6" xfId="2698" xr:uid="{00000000-0005-0000-0000-0000E5210000}"/>
    <cellStyle name="Note 3 4 6 2" xfId="6982" xr:uid="{00000000-0005-0000-0000-0000E6210000}"/>
    <cellStyle name="Note 3 4 6 2 2" xfId="15424" xr:uid="{4A700D4D-7493-4764-95D9-3197A7889C78}"/>
    <cellStyle name="Note 3 4 6 3" xfId="11206" xr:uid="{337193FF-5FA0-430A-B1EE-0F260F7B0D34}"/>
    <cellStyle name="Note 3 4 7" xfId="2757" xr:uid="{00000000-0005-0000-0000-0000E7210000}"/>
    <cellStyle name="Note 3 4 8" xfId="2838" xr:uid="{00000000-0005-0000-0000-0000E8210000}"/>
    <cellStyle name="Note 3 4 8 2" xfId="7062" xr:uid="{00000000-0005-0000-0000-0000E9210000}"/>
    <cellStyle name="Note 3 4 8 2 2" xfId="15504" xr:uid="{8F977C23-B1EB-48BB-BF77-BF19A8984282}"/>
    <cellStyle name="Note 3 4 8 3" xfId="11286" xr:uid="{CAC4977C-B931-43F2-B05D-F67EF0080504}"/>
    <cellStyle name="Note 3 4 9" xfId="4917" xr:uid="{00000000-0005-0000-0000-0000EA210000}"/>
    <cellStyle name="Note 3 4 9 2" xfId="13359" xr:uid="{3CB894A0-DFB5-4ECA-A251-40F4CF33E979}"/>
    <cellStyle name="Note 3 5" xfId="561" xr:uid="{00000000-0005-0000-0000-0000EB210000}"/>
    <cellStyle name="Note 3 5 10" xfId="9142" xr:uid="{158984DD-BE72-441D-BB80-ABA898656C83}"/>
    <cellStyle name="Note 3 5 2" xfId="1021" xr:uid="{00000000-0005-0000-0000-0000EC210000}"/>
    <cellStyle name="Note 3 5 2 2" xfId="3253" xr:uid="{00000000-0005-0000-0000-0000ED210000}"/>
    <cellStyle name="Note 3 5 2 2 2" xfId="7476" xr:uid="{00000000-0005-0000-0000-0000EE210000}"/>
    <cellStyle name="Note 3 5 2 2 2 2" xfId="15918" xr:uid="{34E7DC69-1557-4AB0-B521-2DBD5189821A}"/>
    <cellStyle name="Note 3 5 2 2 3" xfId="11700" xr:uid="{C42FE9F0-42CA-4BF3-AAE5-F4733D9A5375}"/>
    <cellStyle name="Note 3 5 2 3" xfId="5331" xr:uid="{00000000-0005-0000-0000-0000EF210000}"/>
    <cellStyle name="Note 3 5 2 3 2" xfId="13773" xr:uid="{14840989-69C1-45E6-BDAF-FAD2BC22CD13}"/>
    <cellStyle name="Note 3 5 2 4" xfId="9555" xr:uid="{DDD1401B-333A-434B-B419-66B304332086}"/>
    <cellStyle name="Note 3 5 3" xfId="1436" xr:uid="{00000000-0005-0000-0000-0000F0210000}"/>
    <cellStyle name="Note 3 5 3 2" xfId="3666" xr:uid="{00000000-0005-0000-0000-0000F1210000}"/>
    <cellStyle name="Note 3 5 3 2 2" xfId="7889" xr:uid="{00000000-0005-0000-0000-0000F2210000}"/>
    <cellStyle name="Note 3 5 3 2 2 2" xfId="16331" xr:uid="{1180A662-29E4-40DD-8BB7-EEF8F52317AF}"/>
    <cellStyle name="Note 3 5 3 2 3" xfId="12113" xr:uid="{325820A4-7A41-4A09-B21B-FD4F0F8C269D}"/>
    <cellStyle name="Note 3 5 3 3" xfId="5744" xr:uid="{00000000-0005-0000-0000-0000F3210000}"/>
    <cellStyle name="Note 3 5 3 3 2" xfId="14186" xr:uid="{A2B77B94-6A32-4A5D-A9CA-417B7F3C9583}"/>
    <cellStyle name="Note 3 5 3 4" xfId="9968" xr:uid="{FFD5126B-E2C7-4117-B050-BCBA9C113805}"/>
    <cellStyle name="Note 3 5 4" xfId="1850" xr:uid="{00000000-0005-0000-0000-0000F4210000}"/>
    <cellStyle name="Note 3 5 4 2" xfId="4079" xr:uid="{00000000-0005-0000-0000-0000F5210000}"/>
    <cellStyle name="Note 3 5 4 2 2" xfId="8302" xr:uid="{00000000-0005-0000-0000-0000F6210000}"/>
    <cellStyle name="Note 3 5 4 2 2 2" xfId="16744" xr:uid="{CC8D6649-1F93-466D-88EB-DC374450D2E5}"/>
    <cellStyle name="Note 3 5 4 2 3" xfId="12526" xr:uid="{EFC1BA0F-6A78-4B51-B62F-4C312A61BB06}"/>
    <cellStyle name="Note 3 5 4 3" xfId="6157" xr:uid="{00000000-0005-0000-0000-0000F7210000}"/>
    <cellStyle name="Note 3 5 4 3 2" xfId="14599" xr:uid="{6271BBD7-8465-48A9-9113-650A9436D7FC}"/>
    <cellStyle name="Note 3 5 4 4" xfId="10381" xr:uid="{5BA48B81-4589-4FAD-A1D3-2C39879F3BD8}"/>
    <cellStyle name="Note 3 5 5" xfId="2263" xr:uid="{00000000-0005-0000-0000-0000F8210000}"/>
    <cellStyle name="Note 3 5 5 2" xfId="4492" xr:uid="{00000000-0005-0000-0000-0000F9210000}"/>
    <cellStyle name="Note 3 5 5 2 2" xfId="8715" xr:uid="{00000000-0005-0000-0000-0000FA210000}"/>
    <cellStyle name="Note 3 5 5 2 2 2" xfId="17157" xr:uid="{62FA17BF-5F1E-447C-A77A-99E2C5397101}"/>
    <cellStyle name="Note 3 5 5 2 3" xfId="12939" xr:uid="{E1EE8A44-BB35-4B8A-8116-DBF5727D6EA4}"/>
    <cellStyle name="Note 3 5 5 3" xfId="6570" xr:uid="{00000000-0005-0000-0000-0000FB210000}"/>
    <cellStyle name="Note 3 5 5 3 2" xfId="15012" xr:uid="{5650DD86-93BC-4AF4-A37F-C79DEDBC2FF9}"/>
    <cellStyle name="Note 3 5 5 4" xfId="10794" xr:uid="{F2415625-20D2-47DC-8D35-D79A4396A72A}"/>
    <cellStyle name="Note 3 5 6" xfId="2699" xr:uid="{00000000-0005-0000-0000-0000FC210000}"/>
    <cellStyle name="Note 3 5 6 2" xfId="6983" xr:uid="{00000000-0005-0000-0000-0000FD210000}"/>
    <cellStyle name="Note 3 5 6 2 2" xfId="15425" xr:uid="{A0FEE0EA-3DD6-476A-A784-BF22DDAA0532}"/>
    <cellStyle name="Note 3 5 6 3" xfId="11207" xr:uid="{DB46E19C-5927-4D1B-8CA4-DBA9B26CCF9A}"/>
    <cellStyle name="Note 3 5 7" xfId="2758" xr:uid="{00000000-0005-0000-0000-0000FE210000}"/>
    <cellStyle name="Note 3 5 8" xfId="2839" xr:uid="{00000000-0005-0000-0000-0000FF210000}"/>
    <cellStyle name="Note 3 5 8 2" xfId="7063" xr:uid="{00000000-0005-0000-0000-000000220000}"/>
    <cellStyle name="Note 3 5 8 2 2" xfId="15505" xr:uid="{66DCDECE-7934-4865-B877-19212257EBA5}"/>
    <cellStyle name="Note 3 5 8 3" xfId="11287" xr:uid="{E010A3D4-E770-47C4-A578-FEC4E2534A04}"/>
    <cellStyle name="Note 3 5 9" xfId="4918" xr:uid="{00000000-0005-0000-0000-000001220000}"/>
    <cellStyle name="Note 3 5 9 2" xfId="13360" xr:uid="{82D012E2-448E-4C7C-94E2-3B5511A7756B}"/>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3 2" xfId="12943" xr:uid="{7A113BE1-F84E-40E9-A66E-89A060CB58CD}"/>
    <cellStyle name="Percent 4" xfId="4502" xr:uid="{00000000-0005-0000-0000-000007220000}"/>
    <cellStyle name="Percent 4 2" xfId="8718" xr:uid="{00000000-0005-0000-0000-000008220000}"/>
    <cellStyle name="Percent 4 2 2" xfId="17160" xr:uid="{EDCAC527-8D3F-4FD2-A2BD-730E768D45AA}"/>
    <cellStyle name="Percent 4 3" xfId="8721" xr:uid="{D09CD3FC-D632-4B66-A68A-5CC92F993799}"/>
    <cellStyle name="Percent 4 3 2" xfId="8725" xr:uid="{D57AE941-8E59-43F0-AB73-09B3BCCFA234}"/>
    <cellStyle name="Percent 4 3 2 2" xfId="8728" xr:uid="{D24D76A7-D076-4554-9944-551B122393DE}"/>
    <cellStyle name="Percent 4 3 2 3" xfId="17166" xr:uid="{869EE9F3-E996-4A51-8C6C-5477474B2AE3}"/>
    <cellStyle name="Percent 4 3 3" xfId="17163" xr:uid="{4EF876DF-C4C1-498A-B2E8-5D85F4F0CCAD}"/>
    <cellStyle name="Percent 4 4" xfId="12946" xr:uid="{B9059E93-FFFD-4C44-9029-60A133A1FB59}"/>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topLeftCell="A240" workbookViewId="0">
      <selection activeCell="G294" sqref="G294"/>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77" t="s">
        <v>557</v>
      </c>
      <c r="B1" s="1277"/>
      <c r="C1" s="1277"/>
      <c r="D1" s="1277"/>
      <c r="E1" s="1277"/>
      <c r="F1" s="1277"/>
      <c r="G1" s="1277"/>
      <c r="H1" s="1277"/>
      <c r="I1" s="1277"/>
      <c r="J1" s="1277"/>
      <c r="K1" s="1277"/>
      <c r="L1" s="1277"/>
      <c r="M1" s="1277"/>
      <c r="N1" s="1277"/>
      <c r="O1" s="1277"/>
      <c r="P1" s="1277"/>
      <c r="Q1" s="1277"/>
      <c r="R1" s="1277"/>
      <c r="S1" s="1277"/>
      <c r="T1" s="1277"/>
      <c r="U1" s="1277"/>
      <c r="V1" s="1277"/>
      <c r="W1" s="1277"/>
      <c r="X1" s="1277"/>
      <c r="Y1" s="1277"/>
      <c r="Z1" s="1277"/>
      <c r="AA1" s="1277"/>
      <c r="AB1" s="1277"/>
      <c r="AC1" s="1277"/>
      <c r="AD1" s="1277"/>
      <c r="AE1" s="1277"/>
      <c r="AF1" s="1277"/>
      <c r="AG1" s="1277"/>
      <c r="AH1" s="1277"/>
      <c r="AI1" s="1277"/>
      <c r="AJ1" s="1277"/>
      <c r="AK1" s="1277"/>
      <c r="AL1" s="1277"/>
    </row>
    <row r="2" spans="1:38" ht="13.5" thickBot="1">
      <c r="A2" s="1278"/>
      <c r="B2" s="1278"/>
      <c r="C2" s="1278"/>
      <c r="D2" s="1278"/>
      <c r="E2" s="1278"/>
      <c r="F2" s="1278"/>
      <c r="G2" s="1278"/>
      <c r="H2" s="1278"/>
      <c r="I2" s="1278"/>
      <c r="J2" s="1278"/>
      <c r="K2" s="1278"/>
      <c r="L2" s="1278"/>
      <c r="M2" s="1278"/>
      <c r="N2" s="1278"/>
      <c r="O2" s="1278"/>
      <c r="P2" s="1278"/>
      <c r="Q2" s="1278"/>
      <c r="R2" s="1278"/>
      <c r="S2" s="1278"/>
      <c r="T2" s="1278"/>
      <c r="U2" s="1278"/>
      <c r="V2" s="1278"/>
      <c r="W2" s="1278"/>
      <c r="X2" s="1278"/>
      <c r="Y2" s="1278"/>
      <c r="Z2" s="1278"/>
      <c r="AA2" s="1278"/>
      <c r="AB2" s="1278"/>
      <c r="AC2" s="1278"/>
      <c r="AD2" s="1278"/>
      <c r="AE2" s="1278"/>
      <c r="AF2" s="1278"/>
      <c r="AG2" s="1278"/>
      <c r="AH2" s="1278"/>
      <c r="AI2" s="1278"/>
      <c r="AJ2" s="1278"/>
      <c r="AK2" s="1278"/>
      <c r="AL2" s="1278"/>
    </row>
    <row r="3" spans="1:38" ht="13.5" thickTop="1"/>
    <row r="4" spans="1:38" s="5" customFormat="1">
      <c r="B4" s="11" t="s">
        <v>563</v>
      </c>
      <c r="C4" s="11" t="s">
        <v>515</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7" t="s">
        <v>2344</v>
      </c>
      <c r="E7" s="1267"/>
      <c r="F7" s="1267"/>
      <c r="G7" s="1267"/>
      <c r="H7" s="1267"/>
      <c r="I7" s="1267"/>
      <c r="J7" s="1267"/>
      <c r="K7" s="1267"/>
      <c r="L7" s="1267"/>
      <c r="M7" s="1267"/>
      <c r="N7" s="1267"/>
      <c r="O7" s="1267"/>
      <c r="P7" s="1267"/>
      <c r="Q7" s="1267"/>
      <c r="R7" s="1267"/>
      <c r="S7" s="1267"/>
      <c r="T7" s="1267"/>
      <c r="U7" s="1267"/>
      <c r="V7" s="1267"/>
      <c r="W7" s="1267"/>
      <c r="X7" s="1267"/>
      <c r="Y7" s="1267"/>
      <c r="Z7" s="1267"/>
      <c r="AA7" s="1267"/>
      <c r="AB7" s="1267"/>
      <c r="AC7" s="1267"/>
      <c r="AD7" s="1267"/>
      <c r="AE7" s="1267"/>
      <c r="AF7" s="1267"/>
      <c r="AG7" s="1267"/>
      <c r="AH7" s="1267"/>
      <c r="AI7" s="1267"/>
      <c r="AJ7" s="1267"/>
      <c r="AK7" s="1267"/>
      <c r="AL7" s="489"/>
    </row>
    <row r="8" spans="1:38">
      <c r="A8" s="218"/>
      <c r="B8" s="218"/>
      <c r="C8" s="219"/>
      <c r="D8" s="1267"/>
      <c r="E8" s="1267"/>
      <c r="F8" s="1267"/>
      <c r="G8" s="1267"/>
      <c r="H8" s="1267"/>
      <c r="I8" s="1267"/>
      <c r="J8" s="1267"/>
      <c r="K8" s="1267"/>
      <c r="L8" s="1267"/>
      <c r="M8" s="1267"/>
      <c r="N8" s="1267"/>
      <c r="O8" s="1267"/>
      <c r="P8" s="1267"/>
      <c r="Q8" s="1267"/>
      <c r="R8" s="1267"/>
      <c r="S8" s="1267"/>
      <c r="T8" s="1267"/>
      <c r="U8" s="1267"/>
      <c r="V8" s="1267"/>
      <c r="W8" s="1267"/>
      <c r="X8" s="1267"/>
      <c r="Y8" s="1267"/>
      <c r="Z8" s="1267"/>
      <c r="AA8" s="1267"/>
      <c r="AB8" s="1267"/>
      <c r="AC8" s="1267"/>
      <c r="AD8" s="1267"/>
      <c r="AE8" s="1267"/>
      <c r="AF8" s="1267"/>
      <c r="AG8" s="1267"/>
      <c r="AH8" s="1267"/>
      <c r="AI8" s="1267"/>
      <c r="AJ8" s="1267"/>
      <c r="AK8" s="1267"/>
      <c r="AL8" s="489"/>
    </row>
    <row r="9" spans="1:38">
      <c r="A9" s="218"/>
      <c r="B9" s="218"/>
      <c r="C9" s="219"/>
      <c r="D9" s="1267"/>
      <c r="E9" s="1267"/>
      <c r="F9" s="1267"/>
      <c r="G9" s="1267"/>
      <c r="H9" s="1267"/>
      <c r="I9" s="1267"/>
      <c r="J9" s="1267"/>
      <c r="K9" s="1267"/>
      <c r="L9" s="1267"/>
      <c r="M9" s="1267"/>
      <c r="N9" s="1267"/>
      <c r="O9" s="1267"/>
      <c r="P9" s="1267"/>
      <c r="Q9" s="1267"/>
      <c r="R9" s="1267"/>
      <c r="S9" s="1267"/>
      <c r="T9" s="1267"/>
      <c r="U9" s="1267"/>
      <c r="V9" s="1267"/>
      <c r="W9" s="1267"/>
      <c r="X9" s="1267"/>
      <c r="Y9" s="1267"/>
      <c r="Z9" s="1267"/>
      <c r="AA9" s="1267"/>
      <c r="AB9" s="1267"/>
      <c r="AC9" s="1267"/>
      <c r="AD9" s="1267"/>
      <c r="AE9" s="1267"/>
      <c r="AF9" s="1267"/>
      <c r="AG9" s="1267"/>
      <c r="AH9" s="1267"/>
      <c r="AI9" s="1267"/>
      <c r="AJ9" s="1267"/>
      <c r="AK9" s="1267"/>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7" t="s">
        <v>2345</v>
      </c>
      <c r="E11" s="1267"/>
      <c r="F11" s="1267"/>
      <c r="G11" s="1267"/>
      <c r="H11" s="1267"/>
      <c r="I11" s="1267"/>
      <c r="J11" s="1267"/>
      <c r="K11" s="1267"/>
      <c r="L11" s="1267"/>
      <c r="M11" s="1267"/>
      <c r="N11" s="1267"/>
      <c r="O11" s="1267"/>
      <c r="P11" s="1267"/>
      <c r="Q11" s="1267"/>
      <c r="R11" s="1267"/>
      <c r="S11" s="1267"/>
      <c r="T11" s="1267"/>
      <c r="U11" s="1267"/>
      <c r="V11" s="1267"/>
      <c r="W11" s="1267"/>
      <c r="X11" s="1267"/>
      <c r="Y11" s="1267"/>
      <c r="Z11" s="1267"/>
      <c r="AA11" s="1267"/>
      <c r="AB11" s="1267"/>
      <c r="AC11" s="1267"/>
      <c r="AD11" s="1267"/>
      <c r="AE11" s="1267"/>
      <c r="AF11" s="1267"/>
      <c r="AG11" s="1267"/>
      <c r="AH11" s="1267"/>
      <c r="AI11" s="1267"/>
      <c r="AJ11" s="1267"/>
      <c r="AK11" s="1267"/>
      <c r="AL11" s="489"/>
    </row>
    <row r="12" spans="1:38">
      <c r="A12" s="218"/>
      <c r="B12" s="218"/>
      <c r="C12" s="219"/>
      <c r="D12" s="1267"/>
      <c r="E12" s="1267"/>
      <c r="F12" s="1267"/>
      <c r="G12" s="1267"/>
      <c r="H12" s="1267"/>
      <c r="I12" s="1267"/>
      <c r="J12" s="1267"/>
      <c r="K12" s="1267"/>
      <c r="L12" s="1267"/>
      <c r="M12" s="1267"/>
      <c r="N12" s="1267"/>
      <c r="O12" s="1267"/>
      <c r="P12" s="1267"/>
      <c r="Q12" s="1267"/>
      <c r="R12" s="1267"/>
      <c r="S12" s="1267"/>
      <c r="T12" s="1267"/>
      <c r="U12" s="1267"/>
      <c r="V12" s="1267"/>
      <c r="W12" s="1267"/>
      <c r="X12" s="1267"/>
      <c r="Y12" s="1267"/>
      <c r="Z12" s="1267"/>
      <c r="AA12" s="1267"/>
      <c r="AB12" s="1267"/>
      <c r="AC12" s="1267"/>
      <c r="AD12" s="1267"/>
      <c r="AE12" s="1267"/>
      <c r="AF12" s="1267"/>
      <c r="AG12" s="1267"/>
      <c r="AH12" s="1267"/>
      <c r="AI12" s="1267"/>
      <c r="AJ12" s="1267"/>
      <c r="AK12" s="1267"/>
      <c r="AL12" s="489"/>
    </row>
    <row r="13" spans="1:38">
      <c r="A13" s="218"/>
      <c r="B13" s="218"/>
      <c r="C13" s="219"/>
      <c r="D13" s="1267"/>
      <c r="E13" s="1267"/>
      <c r="F13" s="1267"/>
      <c r="G13" s="1267"/>
      <c r="H13" s="1267"/>
      <c r="I13" s="1267"/>
      <c r="J13" s="1267"/>
      <c r="K13" s="1267"/>
      <c r="L13" s="1267"/>
      <c r="M13" s="1267"/>
      <c r="N13" s="1267"/>
      <c r="O13" s="1267"/>
      <c r="P13" s="1267"/>
      <c r="Q13" s="1267"/>
      <c r="R13" s="1267"/>
      <c r="S13" s="1267"/>
      <c r="T13" s="1267"/>
      <c r="U13" s="1267"/>
      <c r="V13" s="1267"/>
      <c r="W13" s="1267"/>
      <c r="X13" s="1267"/>
      <c r="Y13" s="1267"/>
      <c r="Z13" s="1267"/>
      <c r="AA13" s="1267"/>
      <c r="AB13" s="1267"/>
      <c r="AC13" s="1267"/>
      <c r="AD13" s="1267"/>
      <c r="AE13" s="1267"/>
      <c r="AF13" s="1267"/>
      <c r="AG13" s="1267"/>
      <c r="AH13" s="1267"/>
      <c r="AI13" s="1267"/>
      <c r="AJ13" s="1267"/>
      <c r="AK13" s="1267"/>
      <c r="AL13" s="489"/>
    </row>
    <row r="14" spans="1:38" ht="13.15" customHeight="1">
      <c r="A14" s="218"/>
      <c r="B14" s="218"/>
      <c r="C14" s="219"/>
      <c r="E14" s="1267" t="s">
        <v>2572</v>
      </c>
      <c r="F14" s="1267"/>
      <c r="G14" s="1267"/>
      <c r="H14" s="1267"/>
      <c r="I14" s="1267"/>
      <c r="J14" s="1267"/>
      <c r="K14" s="1267"/>
      <c r="L14" s="1267"/>
      <c r="M14" s="1267"/>
      <c r="N14" s="1267"/>
      <c r="O14" s="1267"/>
      <c r="P14" s="1267"/>
      <c r="Q14" s="1267"/>
      <c r="R14" s="1267"/>
      <c r="S14" s="1267"/>
      <c r="T14" s="1267"/>
      <c r="U14" s="1267"/>
      <c r="V14" s="1267"/>
      <c r="W14" s="1267"/>
      <c r="X14" s="1267"/>
      <c r="Y14" s="1267"/>
      <c r="Z14" s="1267"/>
      <c r="AA14" s="1267"/>
      <c r="AB14" s="1267"/>
      <c r="AC14" s="1267"/>
      <c r="AD14" s="1267"/>
      <c r="AE14" s="1267"/>
      <c r="AF14" s="1267"/>
      <c r="AG14" s="1267"/>
      <c r="AH14" s="1267"/>
      <c r="AI14" s="1267"/>
      <c r="AJ14" s="1267"/>
      <c r="AK14" s="1267"/>
      <c r="AL14" s="489"/>
    </row>
    <row r="15" spans="1:38" ht="13.15" customHeight="1">
      <c r="A15" s="218"/>
      <c r="B15" s="218"/>
      <c r="C15" s="219"/>
      <c r="E15" s="1267"/>
      <c r="F15" s="1267"/>
      <c r="G15" s="1267"/>
      <c r="H15" s="1267"/>
      <c r="I15" s="1267"/>
      <c r="J15" s="1267"/>
      <c r="K15" s="1267"/>
      <c r="L15" s="1267"/>
      <c r="M15" s="1267"/>
      <c r="N15" s="1267"/>
      <c r="O15" s="1267"/>
      <c r="P15" s="1267"/>
      <c r="Q15" s="1267"/>
      <c r="R15" s="1267"/>
      <c r="S15" s="1267"/>
      <c r="T15" s="1267"/>
      <c r="U15" s="1267"/>
      <c r="V15" s="1267"/>
      <c r="W15" s="1267"/>
      <c r="X15" s="1267"/>
      <c r="Y15" s="1267"/>
      <c r="Z15" s="1267"/>
      <c r="AA15" s="1267"/>
      <c r="AB15" s="1267"/>
      <c r="AC15" s="1267"/>
      <c r="AD15" s="1267"/>
      <c r="AE15" s="1267"/>
      <c r="AF15" s="1267"/>
      <c r="AG15" s="1267"/>
      <c r="AH15" s="1267"/>
      <c r="AI15" s="1267"/>
      <c r="AJ15" s="1267"/>
      <c r="AK15" s="1267"/>
      <c r="AL15" s="489"/>
    </row>
    <row r="16" spans="1:38">
      <c r="A16" s="218"/>
      <c r="B16" s="218"/>
      <c r="C16" s="219"/>
      <c r="D16" s="489"/>
      <c r="E16" s="1267"/>
      <c r="F16" s="1267"/>
      <c r="G16" s="1267"/>
      <c r="H16" s="1267"/>
      <c r="I16" s="1267"/>
      <c r="J16" s="1267"/>
      <c r="K16" s="1267"/>
      <c r="L16" s="1267"/>
      <c r="M16" s="1267"/>
      <c r="N16" s="1267"/>
      <c r="O16" s="1267"/>
      <c r="P16" s="1267"/>
      <c r="Q16" s="1267"/>
      <c r="R16" s="1267"/>
      <c r="S16" s="1267"/>
      <c r="T16" s="1267"/>
      <c r="U16" s="1267"/>
      <c r="V16" s="1267"/>
      <c r="W16" s="1267"/>
      <c r="X16" s="1267"/>
      <c r="Y16" s="1267"/>
      <c r="Z16" s="1267"/>
      <c r="AA16" s="1267"/>
      <c r="AB16" s="1267"/>
      <c r="AC16" s="1267"/>
      <c r="AD16" s="1267"/>
      <c r="AE16" s="1267"/>
      <c r="AF16" s="1267"/>
      <c r="AG16" s="1267"/>
      <c r="AH16" s="1267"/>
      <c r="AI16" s="1267"/>
      <c r="AJ16" s="1267"/>
      <c r="AK16" s="1267"/>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7" t="s">
        <v>2346</v>
      </c>
      <c r="E18" s="1267"/>
      <c r="F18" s="1267"/>
      <c r="G18" s="1267"/>
      <c r="H18" s="1267"/>
      <c r="I18" s="1267"/>
      <c r="J18" s="1267"/>
      <c r="K18" s="1267"/>
      <c r="L18" s="1267"/>
      <c r="M18" s="1267"/>
      <c r="N18" s="1267"/>
      <c r="O18" s="1267"/>
      <c r="P18" s="1267"/>
      <c r="Q18" s="1267"/>
      <c r="R18" s="1267"/>
      <c r="S18" s="1267"/>
      <c r="T18" s="1267"/>
      <c r="U18" s="1267"/>
      <c r="V18" s="1267"/>
      <c r="W18" s="1267"/>
      <c r="X18" s="1267"/>
      <c r="Y18" s="1267"/>
      <c r="Z18" s="1267"/>
      <c r="AA18" s="1267"/>
      <c r="AB18" s="1267"/>
      <c r="AC18" s="1267"/>
      <c r="AD18" s="1267"/>
      <c r="AE18" s="1267"/>
      <c r="AF18" s="1267"/>
      <c r="AG18" s="1267"/>
      <c r="AH18" s="1267"/>
      <c r="AI18" s="1267"/>
      <c r="AJ18" s="1267"/>
      <c r="AK18" s="1267"/>
      <c r="AL18" s="218"/>
    </row>
    <row r="19" spans="1:38">
      <c r="A19" s="218"/>
      <c r="B19" s="218"/>
      <c r="C19" s="219"/>
      <c r="D19" s="1267"/>
      <c r="E19" s="1267"/>
      <c r="F19" s="1267"/>
      <c r="G19" s="1267"/>
      <c r="H19" s="1267"/>
      <c r="I19" s="1267"/>
      <c r="J19" s="1267"/>
      <c r="K19" s="1267"/>
      <c r="L19" s="1267"/>
      <c r="M19" s="1267"/>
      <c r="N19" s="1267"/>
      <c r="O19" s="1267"/>
      <c r="P19" s="1267"/>
      <c r="Q19" s="1267"/>
      <c r="R19" s="1267"/>
      <c r="S19" s="1267"/>
      <c r="T19" s="1267"/>
      <c r="U19" s="1267"/>
      <c r="V19" s="1267"/>
      <c r="W19" s="1267"/>
      <c r="X19" s="1267"/>
      <c r="Y19" s="1267"/>
      <c r="Z19" s="1267"/>
      <c r="AA19" s="1267"/>
      <c r="AB19" s="1267"/>
      <c r="AC19" s="1267"/>
      <c r="AD19" s="1267"/>
      <c r="AE19" s="1267"/>
      <c r="AF19" s="1267"/>
      <c r="AG19" s="1267"/>
      <c r="AH19" s="1267"/>
      <c r="AI19" s="1267"/>
      <c r="AJ19" s="1267"/>
      <c r="AK19" s="1267"/>
      <c r="AL19" s="218"/>
    </row>
    <row r="20" spans="1:38">
      <c r="A20" s="218"/>
      <c r="B20" s="218"/>
      <c r="C20" s="219"/>
      <c r="D20" s="1267"/>
      <c r="E20" s="1267"/>
      <c r="F20" s="1267"/>
      <c r="G20" s="1267"/>
      <c r="H20" s="1267"/>
      <c r="I20" s="1267"/>
      <c r="J20" s="1267"/>
      <c r="K20" s="1267"/>
      <c r="L20" s="1267"/>
      <c r="M20" s="1267"/>
      <c r="N20" s="1267"/>
      <c r="O20" s="1267"/>
      <c r="P20" s="1267"/>
      <c r="Q20" s="1267"/>
      <c r="R20" s="1267"/>
      <c r="S20" s="1267"/>
      <c r="T20" s="1267"/>
      <c r="U20" s="1267"/>
      <c r="V20" s="1267"/>
      <c r="W20" s="1267"/>
      <c r="X20" s="1267"/>
      <c r="Y20" s="1267"/>
      <c r="Z20" s="1267"/>
      <c r="AA20" s="1267"/>
      <c r="AB20" s="1267"/>
      <c r="AC20" s="1267"/>
      <c r="AD20" s="1267"/>
      <c r="AE20" s="1267"/>
      <c r="AF20" s="1267"/>
      <c r="AG20" s="1267"/>
      <c r="AH20" s="1267"/>
      <c r="AI20" s="1267"/>
      <c r="AJ20" s="1267"/>
      <c r="AK20" s="1267"/>
      <c r="AL20" s="218"/>
    </row>
    <row r="21" spans="1:38" ht="13.15" customHeight="1">
      <c r="A21" s="218"/>
      <c r="B21" s="218"/>
      <c r="C21" s="219"/>
      <c r="D21" s="1267"/>
      <c r="E21" s="1267"/>
      <c r="F21" s="1267"/>
      <c r="G21" s="1267"/>
      <c r="H21" s="1267"/>
      <c r="I21" s="1267"/>
      <c r="J21" s="1267"/>
      <c r="K21" s="1267"/>
      <c r="L21" s="1267"/>
      <c r="M21" s="1267"/>
      <c r="N21" s="1267"/>
      <c r="O21" s="1267"/>
      <c r="P21" s="1267"/>
      <c r="Q21" s="1267"/>
      <c r="R21" s="1267"/>
      <c r="S21" s="1267"/>
      <c r="T21" s="1267"/>
      <c r="U21" s="1267"/>
      <c r="V21" s="1267"/>
      <c r="W21" s="1267"/>
      <c r="X21" s="1267"/>
      <c r="Y21" s="1267"/>
      <c r="Z21" s="1267"/>
      <c r="AA21" s="1267"/>
      <c r="AB21" s="1267"/>
      <c r="AC21" s="1267"/>
      <c r="AD21" s="1267"/>
      <c r="AE21" s="1267"/>
      <c r="AF21" s="1267"/>
      <c r="AG21" s="1267"/>
      <c r="AH21" s="1267"/>
      <c r="AI21" s="1267"/>
      <c r="AJ21" s="1267"/>
      <c r="AK21" s="1267"/>
      <c r="AL21" s="218"/>
    </row>
    <row r="22" spans="1:38">
      <c r="A22" s="218"/>
      <c r="B22" s="218"/>
      <c r="C22" s="219"/>
      <c r="D22" s="1267"/>
      <c r="E22" s="1267"/>
      <c r="F22" s="1267"/>
      <c r="G22" s="1267"/>
      <c r="H22" s="1267"/>
      <c r="I22" s="1267"/>
      <c r="J22" s="1267"/>
      <c r="K22" s="1267"/>
      <c r="L22" s="1267"/>
      <c r="M22" s="1267"/>
      <c r="N22" s="1267"/>
      <c r="O22" s="1267"/>
      <c r="P22" s="1267"/>
      <c r="Q22" s="1267"/>
      <c r="R22" s="1267"/>
      <c r="S22" s="1267"/>
      <c r="T22" s="1267"/>
      <c r="U22" s="1267"/>
      <c r="V22" s="1267"/>
      <c r="W22" s="1267"/>
      <c r="X22" s="1267"/>
      <c r="Y22" s="1267"/>
      <c r="Z22" s="1267"/>
      <c r="AA22" s="1267"/>
      <c r="AB22" s="1267"/>
      <c r="AC22" s="1267"/>
      <c r="AD22" s="1267"/>
      <c r="AE22" s="1267"/>
      <c r="AF22" s="1267"/>
      <c r="AG22" s="1267"/>
      <c r="AH22" s="1267"/>
      <c r="AI22" s="1267"/>
      <c r="AJ22" s="1267"/>
      <c r="AK22" s="1267"/>
      <c r="AL22" s="218"/>
    </row>
    <row r="23" spans="1:38">
      <c r="A23" s="218"/>
      <c r="B23" s="218"/>
      <c r="C23" s="219"/>
      <c r="D23" s="1267"/>
      <c r="E23" s="1267"/>
      <c r="F23" s="1267"/>
      <c r="G23" s="1267"/>
      <c r="H23" s="1267"/>
      <c r="I23" s="1267"/>
      <c r="J23" s="1267"/>
      <c r="K23" s="1267"/>
      <c r="L23" s="1267"/>
      <c r="M23" s="1267"/>
      <c r="N23" s="1267"/>
      <c r="O23" s="1267"/>
      <c r="P23" s="1267"/>
      <c r="Q23" s="1267"/>
      <c r="R23" s="1267"/>
      <c r="S23" s="1267"/>
      <c r="T23" s="1267"/>
      <c r="U23" s="1267"/>
      <c r="V23" s="1267"/>
      <c r="W23" s="1267"/>
      <c r="X23" s="1267"/>
      <c r="Y23" s="1267"/>
      <c r="Z23" s="1267"/>
      <c r="AA23" s="1267"/>
      <c r="AB23" s="1267"/>
      <c r="AC23" s="1267"/>
      <c r="AD23" s="1267"/>
      <c r="AE23" s="1267"/>
      <c r="AF23" s="1267"/>
      <c r="AG23" s="1267"/>
      <c r="AH23" s="1267"/>
      <c r="AI23" s="1267"/>
      <c r="AJ23" s="1267"/>
      <c r="AK23" s="1267"/>
      <c r="AL23" s="218"/>
    </row>
    <row r="24" spans="1:38">
      <c r="A24" s="218"/>
      <c r="B24" s="218"/>
      <c r="C24" s="219"/>
      <c r="D24" s="1267"/>
      <c r="E24" s="1267"/>
      <c r="F24" s="1267"/>
      <c r="G24" s="1267"/>
      <c r="H24" s="1267"/>
      <c r="I24" s="1267"/>
      <c r="J24" s="1267"/>
      <c r="K24" s="1267"/>
      <c r="L24" s="1267"/>
      <c r="M24" s="1267"/>
      <c r="N24" s="1267"/>
      <c r="O24" s="1267"/>
      <c r="P24" s="1267"/>
      <c r="Q24" s="1267"/>
      <c r="R24" s="1267"/>
      <c r="S24" s="1267"/>
      <c r="T24" s="1267"/>
      <c r="U24" s="1267"/>
      <c r="V24" s="1267"/>
      <c r="W24" s="1267"/>
      <c r="X24" s="1267"/>
      <c r="Y24" s="1267"/>
      <c r="Z24" s="1267"/>
      <c r="AA24" s="1267"/>
      <c r="AB24" s="1267"/>
      <c r="AC24" s="1267"/>
      <c r="AD24" s="1267"/>
      <c r="AE24" s="1267"/>
      <c r="AF24" s="1267"/>
      <c r="AG24" s="1267"/>
      <c r="AH24" s="1267"/>
      <c r="AI24" s="1267"/>
      <c r="AJ24" s="1267"/>
      <c r="AK24" s="1267"/>
      <c r="AL24" s="218"/>
    </row>
    <row r="25" spans="1:38">
      <c r="A25" s="218"/>
      <c r="B25" s="218"/>
      <c r="C25" s="219"/>
      <c r="D25" s="1267"/>
      <c r="E25" s="1267"/>
      <c r="F25" s="1267"/>
      <c r="G25" s="1267"/>
      <c r="H25" s="1267"/>
      <c r="I25" s="1267"/>
      <c r="J25" s="1267"/>
      <c r="K25" s="1267"/>
      <c r="L25" s="1267"/>
      <c r="M25" s="1267"/>
      <c r="N25" s="1267"/>
      <c r="O25" s="1267"/>
      <c r="P25" s="1267"/>
      <c r="Q25" s="1267"/>
      <c r="R25" s="1267"/>
      <c r="S25" s="1267"/>
      <c r="T25" s="1267"/>
      <c r="U25" s="1267"/>
      <c r="V25" s="1267"/>
      <c r="W25" s="1267"/>
      <c r="X25" s="1267"/>
      <c r="Y25" s="1267"/>
      <c r="Z25" s="1267"/>
      <c r="AA25" s="1267"/>
      <c r="AB25" s="1267"/>
      <c r="AC25" s="1267"/>
      <c r="AD25" s="1267"/>
      <c r="AE25" s="1267"/>
      <c r="AF25" s="1267"/>
      <c r="AG25" s="1267"/>
      <c r="AH25" s="1267"/>
      <c r="AI25" s="1267"/>
      <c r="AJ25" s="1267"/>
      <c r="AK25" s="1267"/>
      <c r="AL25" s="218"/>
    </row>
    <row r="26" spans="1:38">
      <c r="A26" s="218"/>
      <c r="B26" s="218"/>
      <c r="C26" s="219"/>
      <c r="D26" s="1267"/>
      <c r="E26" s="1267"/>
      <c r="F26" s="1267"/>
      <c r="G26" s="1267"/>
      <c r="H26" s="1267"/>
      <c r="I26" s="1267"/>
      <c r="J26" s="1267"/>
      <c r="K26" s="1267"/>
      <c r="L26" s="1267"/>
      <c r="M26" s="1267"/>
      <c r="N26" s="1267"/>
      <c r="O26" s="1267"/>
      <c r="P26" s="1267"/>
      <c r="Q26" s="1267"/>
      <c r="R26" s="1267"/>
      <c r="S26" s="1267"/>
      <c r="T26" s="1267"/>
      <c r="U26" s="1267"/>
      <c r="V26" s="1267"/>
      <c r="W26" s="1267"/>
      <c r="X26" s="1267"/>
      <c r="Y26" s="1267"/>
      <c r="Z26" s="1267"/>
      <c r="AA26" s="1267"/>
      <c r="AB26" s="1267"/>
      <c r="AC26" s="1267"/>
      <c r="AD26" s="1267"/>
      <c r="AE26" s="1267"/>
      <c r="AF26" s="1267"/>
      <c r="AG26" s="1267"/>
      <c r="AH26" s="1267"/>
      <c r="AI26" s="1267"/>
      <c r="AJ26" s="1267"/>
      <c r="AK26" s="1267"/>
      <c r="AL26" s="218"/>
    </row>
    <row r="27" spans="1:38" ht="11.85" customHeight="1">
      <c r="A27" s="218"/>
      <c r="B27" s="218"/>
      <c r="C27" s="219"/>
      <c r="D27" s="1267"/>
      <c r="E27" s="1267"/>
      <c r="F27" s="1267"/>
      <c r="G27" s="1267"/>
      <c r="H27" s="1267"/>
      <c r="I27" s="1267"/>
      <c r="J27" s="1267"/>
      <c r="K27" s="1267"/>
      <c r="L27" s="1267"/>
      <c r="M27" s="1267"/>
      <c r="N27" s="1267"/>
      <c r="O27" s="1267"/>
      <c r="P27" s="1267"/>
      <c r="Q27" s="1267"/>
      <c r="R27" s="1267"/>
      <c r="S27" s="1267"/>
      <c r="T27" s="1267"/>
      <c r="U27" s="1267"/>
      <c r="V27" s="1267"/>
      <c r="W27" s="1267"/>
      <c r="X27" s="1267"/>
      <c r="Y27" s="1267"/>
      <c r="Z27" s="1267"/>
      <c r="AA27" s="1267"/>
      <c r="AB27" s="1267"/>
      <c r="AC27" s="1267"/>
      <c r="AD27" s="1267"/>
      <c r="AE27" s="1267"/>
      <c r="AF27" s="1267"/>
      <c r="AG27" s="1267"/>
      <c r="AH27" s="1267"/>
      <c r="AI27" s="1267"/>
      <c r="AJ27" s="1267"/>
      <c r="AK27" s="1267"/>
      <c r="AL27" s="218"/>
    </row>
    <row r="28" spans="1:38" ht="13.15" hidden="1" customHeight="1">
      <c r="A28" s="218"/>
      <c r="B28" s="218"/>
      <c r="C28" s="219"/>
      <c r="E28" s="1267" t="s">
        <v>2501</v>
      </c>
      <c r="F28" s="1267"/>
      <c r="G28" s="1267"/>
      <c r="H28" s="1267"/>
      <c r="I28" s="1267"/>
      <c r="J28" s="1267"/>
      <c r="K28" s="1267"/>
      <c r="L28" s="1267"/>
      <c r="M28" s="1267"/>
      <c r="N28" s="1267"/>
      <c r="O28" s="1267"/>
      <c r="P28" s="1267"/>
      <c r="Q28" s="1267"/>
      <c r="R28" s="1267"/>
      <c r="S28" s="1267"/>
      <c r="T28" s="1267"/>
      <c r="U28" s="1267"/>
      <c r="V28" s="1267"/>
      <c r="W28" s="1267"/>
      <c r="X28" s="1267"/>
      <c r="Y28" s="1267"/>
      <c r="Z28" s="1267"/>
      <c r="AA28" s="1267"/>
      <c r="AB28" s="1267"/>
      <c r="AC28" s="1267"/>
      <c r="AD28" s="1267"/>
      <c r="AE28" s="1267"/>
      <c r="AF28" s="1267"/>
      <c r="AG28" s="1267"/>
      <c r="AH28" s="1267"/>
      <c r="AI28" s="1267"/>
      <c r="AJ28" s="1267"/>
      <c r="AK28" s="1267"/>
      <c r="AL28" s="218"/>
    </row>
    <row r="29" spans="1:38" ht="13.15" hidden="1" customHeight="1">
      <c r="A29" s="218"/>
      <c r="B29" s="218"/>
      <c r="C29" s="219"/>
      <c r="E29" s="1267"/>
      <c r="F29" s="1267"/>
      <c r="G29" s="1267"/>
      <c r="H29" s="1267"/>
      <c r="I29" s="1267"/>
      <c r="J29" s="1267"/>
      <c r="K29" s="1267"/>
      <c r="L29" s="1267"/>
      <c r="M29" s="1267"/>
      <c r="N29" s="1267"/>
      <c r="O29" s="1267"/>
      <c r="P29" s="1267"/>
      <c r="Q29" s="1267"/>
      <c r="R29" s="1267"/>
      <c r="S29" s="1267"/>
      <c r="T29" s="1267"/>
      <c r="U29" s="1267"/>
      <c r="V29" s="1267"/>
      <c r="W29" s="1267"/>
      <c r="X29" s="1267"/>
      <c r="Y29" s="1267"/>
      <c r="Z29" s="1267"/>
      <c r="AA29" s="1267"/>
      <c r="AB29" s="1267"/>
      <c r="AC29" s="1267"/>
      <c r="AD29" s="1267"/>
      <c r="AE29" s="1267"/>
      <c r="AF29" s="1267"/>
      <c r="AG29" s="1267"/>
      <c r="AH29" s="1267"/>
      <c r="AI29" s="1267"/>
      <c r="AJ29" s="1267"/>
      <c r="AK29" s="1267"/>
      <c r="AL29" s="218"/>
    </row>
    <row r="30" spans="1:38" hidden="1">
      <c r="A30" s="218"/>
      <c r="B30" s="218"/>
      <c r="C30" s="219"/>
      <c r="D30" s="489"/>
      <c r="E30" s="1267"/>
      <c r="F30" s="1267"/>
      <c r="G30" s="1267"/>
      <c r="H30" s="1267"/>
      <c r="I30" s="1267"/>
      <c r="J30" s="1267"/>
      <c r="K30" s="1267"/>
      <c r="L30" s="1267"/>
      <c r="M30" s="1267"/>
      <c r="N30" s="1267"/>
      <c r="O30" s="1267"/>
      <c r="P30" s="1267"/>
      <c r="Q30" s="1267"/>
      <c r="R30" s="1267"/>
      <c r="S30" s="1267"/>
      <c r="T30" s="1267"/>
      <c r="U30" s="1267"/>
      <c r="V30" s="1267"/>
      <c r="W30" s="1267"/>
      <c r="X30" s="1267"/>
      <c r="Y30" s="1267"/>
      <c r="Z30" s="1267"/>
      <c r="AA30" s="1267"/>
      <c r="AB30" s="1267"/>
      <c r="AC30" s="1267"/>
      <c r="AD30" s="1267"/>
      <c r="AE30" s="1267"/>
      <c r="AF30" s="1267"/>
      <c r="AG30" s="1267"/>
      <c r="AH30" s="1267"/>
      <c r="AI30" s="1267"/>
      <c r="AJ30" s="1267"/>
      <c r="AK30" s="1267"/>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7" t="s">
        <v>2347</v>
      </c>
      <c r="E32" s="1267"/>
      <c r="F32" s="1267"/>
      <c r="G32" s="1267"/>
      <c r="H32" s="1267"/>
      <c r="I32" s="1267"/>
      <c r="J32" s="1267"/>
      <c r="K32" s="1267"/>
      <c r="L32" s="1267"/>
      <c r="M32" s="1267"/>
      <c r="N32" s="1267"/>
      <c r="O32" s="1267"/>
      <c r="P32" s="1267"/>
      <c r="Q32" s="1267"/>
      <c r="R32" s="1267"/>
      <c r="S32" s="1267"/>
      <c r="T32" s="1267"/>
      <c r="U32" s="1267"/>
      <c r="V32" s="1267"/>
      <c r="W32" s="1267"/>
      <c r="X32" s="1267"/>
      <c r="Y32" s="1267"/>
      <c r="Z32" s="1267"/>
      <c r="AA32" s="1267"/>
      <c r="AB32" s="1267"/>
      <c r="AC32" s="1267"/>
      <c r="AD32" s="1267"/>
      <c r="AE32" s="1267"/>
      <c r="AF32" s="1267"/>
      <c r="AG32" s="1267"/>
      <c r="AH32" s="1267"/>
      <c r="AI32" s="1267"/>
      <c r="AJ32" s="1267"/>
      <c r="AK32" s="1267"/>
      <c r="AL32" s="218"/>
    </row>
    <row r="33" spans="1:38">
      <c r="A33" s="218"/>
      <c r="B33" s="218"/>
      <c r="C33" s="219"/>
      <c r="D33" s="489"/>
      <c r="E33" s="1268" t="s">
        <v>2578</v>
      </c>
      <c r="F33" s="1269"/>
      <c r="G33" s="1269"/>
      <c r="H33" s="1269"/>
      <c r="I33" s="1269"/>
      <c r="J33" s="1269"/>
      <c r="K33" s="1269"/>
      <c r="L33" s="1269"/>
      <c r="M33" s="1269"/>
      <c r="N33" s="1269"/>
      <c r="O33" s="1269"/>
      <c r="P33" s="1269"/>
      <c r="Q33" s="1269"/>
      <c r="R33" s="1269"/>
      <c r="S33" s="1269"/>
      <c r="T33" s="1269"/>
      <c r="U33" s="1269"/>
      <c r="V33" s="1269"/>
      <c r="W33" s="1269"/>
      <c r="X33" s="1269"/>
      <c r="Y33" s="1269"/>
      <c r="Z33" s="1269"/>
      <c r="AA33" s="1269"/>
      <c r="AB33" s="1269"/>
      <c r="AC33" s="1269"/>
      <c r="AD33" s="1269"/>
      <c r="AE33" s="1269"/>
      <c r="AF33" s="1269"/>
      <c r="AG33" s="1269"/>
      <c r="AH33" s="1269"/>
      <c r="AI33" s="1269"/>
      <c r="AJ33" s="1269"/>
      <c r="AK33" s="1269"/>
      <c r="AL33" s="218"/>
    </row>
    <row r="34" spans="1:38">
      <c r="A34" s="4"/>
      <c r="C34" s="2"/>
    </row>
    <row r="35" spans="1:38">
      <c r="A35" s="4"/>
      <c r="D35" s="1279" t="s">
        <v>2496</v>
      </c>
      <c r="E35" s="1279"/>
      <c r="F35" s="1279"/>
      <c r="G35" s="1279"/>
      <c r="H35" s="1279"/>
      <c r="I35" s="1279"/>
      <c r="J35" s="1279"/>
      <c r="K35" s="1279"/>
      <c r="L35" s="1279"/>
      <c r="M35" s="1279"/>
      <c r="N35" s="1279"/>
      <c r="O35" s="1279"/>
      <c r="P35" s="1279"/>
      <c r="Q35" s="1279"/>
      <c r="R35" s="1279"/>
      <c r="S35" s="1279"/>
      <c r="T35" s="1279"/>
      <c r="U35" s="1279"/>
      <c r="V35" s="1279"/>
      <c r="W35" s="1279"/>
      <c r="X35" s="1279"/>
      <c r="Y35" s="1279"/>
      <c r="Z35" s="1279"/>
      <c r="AA35" s="1279"/>
      <c r="AB35" s="1279"/>
      <c r="AC35" s="1279"/>
      <c r="AD35" s="1279"/>
      <c r="AE35" s="1279"/>
      <c r="AF35" s="1279"/>
      <c r="AG35" s="1279"/>
      <c r="AH35" s="1279"/>
      <c r="AI35" s="1279"/>
      <c r="AJ35" s="1279"/>
      <c r="AK35" s="1279"/>
    </row>
    <row r="36" spans="1:38">
      <c r="A36" s="4"/>
      <c r="D36" s="1279"/>
      <c r="E36" s="1279"/>
      <c r="F36" s="1279"/>
      <c r="G36" s="1279"/>
      <c r="H36" s="1279"/>
      <c r="I36" s="1279"/>
      <c r="J36" s="1279"/>
      <c r="K36" s="1279"/>
      <c r="L36" s="1279"/>
      <c r="M36" s="1279"/>
      <c r="N36" s="1279"/>
      <c r="O36" s="1279"/>
      <c r="P36" s="1279"/>
      <c r="Q36" s="1279"/>
      <c r="R36" s="1279"/>
      <c r="S36" s="1279"/>
      <c r="T36" s="1279"/>
      <c r="U36" s="1279"/>
      <c r="V36" s="1279"/>
      <c r="W36" s="1279"/>
      <c r="X36" s="1279"/>
      <c r="Y36" s="1279"/>
      <c r="Z36" s="1279"/>
      <c r="AA36" s="1279"/>
      <c r="AB36" s="1279"/>
      <c r="AC36" s="1279"/>
      <c r="AD36" s="1279"/>
      <c r="AE36" s="1279"/>
      <c r="AF36" s="1279"/>
      <c r="AG36" s="1279"/>
      <c r="AH36" s="1279"/>
      <c r="AI36" s="1279"/>
      <c r="AJ36" s="1279"/>
      <c r="AK36" s="1279"/>
    </row>
    <row r="37" spans="1:38">
      <c r="A37" s="4"/>
      <c r="D37" s="120"/>
      <c r="E37" s="1274" t="s">
        <v>2354</v>
      </c>
      <c r="F37" s="1274"/>
      <c r="G37" s="1274"/>
      <c r="H37" s="1274"/>
      <c r="I37" s="1274"/>
      <c r="J37" s="1274"/>
      <c r="K37" s="1274"/>
      <c r="L37" s="1274"/>
      <c r="M37" s="1274"/>
      <c r="N37" s="1274"/>
      <c r="O37" s="1274"/>
      <c r="P37" s="1274"/>
      <c r="Q37" s="1274"/>
      <c r="R37" s="1274"/>
      <c r="S37" s="1274"/>
      <c r="T37" s="1274"/>
      <c r="U37" s="1274"/>
      <c r="V37" s="1274"/>
      <c r="W37" s="1274"/>
      <c r="X37" s="1274"/>
      <c r="Y37" s="1274"/>
      <c r="Z37" s="1274"/>
      <c r="AA37" s="1274"/>
      <c r="AB37" s="1274"/>
      <c r="AC37" s="1274"/>
      <c r="AD37" s="1274"/>
      <c r="AE37" s="1274"/>
      <c r="AF37" s="1274"/>
      <c r="AG37" s="1274"/>
      <c r="AH37" s="1274"/>
      <c r="AI37" s="1274"/>
      <c r="AJ37" s="1274"/>
      <c r="AK37" s="1274"/>
    </row>
    <row r="38" spans="1:38">
      <c r="A38" s="4"/>
      <c r="D38" s="120"/>
      <c r="E38" s="1274" t="s">
        <v>2355</v>
      </c>
      <c r="F38" s="1274"/>
      <c r="G38" s="1274"/>
      <c r="H38" s="1274"/>
      <c r="I38" s="1274"/>
      <c r="J38" s="1274"/>
      <c r="K38" s="1274"/>
      <c r="L38" s="1274"/>
      <c r="M38" s="1274"/>
      <c r="N38" s="1274"/>
      <c r="O38" s="1274"/>
      <c r="P38" s="1274"/>
      <c r="Q38" s="1274"/>
      <c r="R38" s="1274"/>
      <c r="S38" s="1274"/>
      <c r="T38" s="1274"/>
      <c r="U38" s="1274"/>
      <c r="V38" s="1274"/>
      <c r="W38" s="1274"/>
      <c r="X38" s="1274"/>
      <c r="Y38" s="1274"/>
      <c r="Z38" s="1274"/>
      <c r="AA38" s="1274"/>
      <c r="AB38" s="1274"/>
      <c r="AC38" s="1274"/>
      <c r="AD38" s="1274"/>
      <c r="AE38" s="1274"/>
      <c r="AF38" s="1274"/>
      <c r="AG38" s="1274"/>
      <c r="AH38" s="1274"/>
      <c r="AI38" s="1274"/>
      <c r="AJ38" s="1274"/>
      <c r="AK38" s="1274"/>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341</v>
      </c>
      <c r="D40" s="2" t="s">
        <v>745</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746</v>
      </c>
      <c r="F41" s="4"/>
      <c r="G41" s="4"/>
      <c r="H41" s="4"/>
      <c r="I41" s="4"/>
      <c r="J41" s="4"/>
      <c r="K41" s="4"/>
      <c r="L41" s="4"/>
      <c r="M41" s="4"/>
      <c r="N41" s="4"/>
      <c r="O41" s="4"/>
      <c r="P41" s="4"/>
      <c r="Q41" s="4"/>
      <c r="R41" s="4"/>
      <c r="S41" s="4"/>
      <c r="T41" s="4"/>
      <c r="U41" s="4"/>
      <c r="V41" s="4"/>
      <c r="W41" s="4"/>
      <c r="X41" s="4"/>
      <c r="Y41" s="4"/>
      <c r="Z41" s="4"/>
      <c r="AA41" s="4"/>
      <c r="AB41" s="4"/>
    </row>
    <row r="42" spans="1:38" s="1267" customFormat="1" ht="13.15" customHeight="1">
      <c r="A42" s="4"/>
      <c r="B42"/>
      <c r="C42" s="2"/>
      <c r="D42" s="4"/>
      <c r="E42" s="4" t="s">
        <v>660</v>
      </c>
      <c r="F42" s="1267" t="s">
        <v>1267</v>
      </c>
    </row>
    <row r="43" spans="1:38" s="1267" customFormat="1" ht="13.15" customHeight="1">
      <c r="A43" s="4"/>
      <c r="B43"/>
      <c r="C43" s="2"/>
      <c r="D43" s="4"/>
      <c r="E43" s="4"/>
    </row>
    <row r="44" spans="1:38">
      <c r="A44" s="4"/>
      <c r="C44" s="2"/>
      <c r="D44" s="4"/>
      <c r="E44" s="4"/>
      <c r="F44" s="35" t="s">
        <v>695</v>
      </c>
      <c r="G44" s="4" t="s">
        <v>175</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348</v>
      </c>
      <c r="F45" s="1273" t="s">
        <v>1351</v>
      </c>
      <c r="G45" s="1273"/>
      <c r="H45" s="1273"/>
      <c r="I45" s="1273"/>
      <c r="J45" s="1273"/>
      <c r="K45" s="1273"/>
      <c r="L45" s="1273"/>
      <c r="M45" s="1273"/>
      <c r="N45" s="1273"/>
      <c r="O45" s="1273"/>
      <c r="P45" s="1273"/>
      <c r="Q45" s="1273"/>
      <c r="R45" s="1273"/>
      <c r="S45" s="1273"/>
      <c r="T45" s="1273"/>
      <c r="U45" s="1273"/>
      <c r="V45" s="1273"/>
      <c r="W45" s="1273"/>
      <c r="X45" s="1273"/>
      <c r="Y45" s="1273"/>
      <c r="Z45" s="1273"/>
      <c r="AA45" s="1273"/>
      <c r="AB45" s="1273"/>
      <c r="AC45" s="1273"/>
      <c r="AD45" s="1273"/>
      <c r="AE45" s="1273"/>
      <c r="AF45" s="1273"/>
      <c r="AG45" s="1273"/>
      <c r="AH45" s="1273"/>
      <c r="AI45" s="1273"/>
      <c r="AJ45" s="1273"/>
      <c r="AK45" s="1273"/>
      <c r="AL45" s="1273"/>
    </row>
    <row r="46" spans="1:38" s="118" customFormat="1">
      <c r="A46" s="4"/>
      <c r="B46"/>
      <c r="C46" s="2"/>
      <c r="D46" s="4"/>
      <c r="E46" s="4"/>
      <c r="F46" s="1273"/>
      <c r="G46" s="1273"/>
      <c r="H46" s="1273"/>
      <c r="I46" s="1273"/>
      <c r="J46" s="1273"/>
      <c r="K46" s="1273"/>
      <c r="L46" s="1273"/>
      <c r="M46" s="1273"/>
      <c r="N46" s="1273"/>
      <c r="O46" s="1273"/>
      <c r="P46" s="1273"/>
      <c r="Q46" s="1273"/>
      <c r="R46" s="1273"/>
      <c r="S46" s="1273"/>
      <c r="T46" s="1273"/>
      <c r="U46" s="1273"/>
      <c r="V46" s="1273"/>
      <c r="W46" s="1273"/>
      <c r="X46" s="1273"/>
      <c r="Y46" s="1273"/>
      <c r="Z46" s="1273"/>
      <c r="AA46" s="1273"/>
      <c r="AB46" s="1273"/>
      <c r="AC46" s="1273"/>
      <c r="AD46" s="1273"/>
      <c r="AE46" s="1273"/>
      <c r="AF46" s="1273"/>
      <c r="AG46" s="1273"/>
      <c r="AH46" s="1273"/>
      <c r="AI46" s="1273"/>
      <c r="AJ46" s="1273"/>
      <c r="AK46" s="1273"/>
      <c r="AL46" s="1273"/>
    </row>
    <row r="47" spans="1:38" s="118" customFormat="1" ht="13.15" customHeight="1">
      <c r="A47" s="4"/>
      <c r="B47"/>
      <c r="C47" s="2"/>
      <c r="D47" s="4"/>
      <c r="E47" s="4"/>
      <c r="F47" s="1273"/>
      <c r="G47" s="1273"/>
      <c r="H47" s="1273"/>
      <c r="I47" s="1273"/>
      <c r="J47" s="1273"/>
      <c r="K47" s="1273"/>
      <c r="L47" s="1273"/>
      <c r="M47" s="1273"/>
      <c r="N47" s="1273"/>
      <c r="O47" s="1273"/>
      <c r="P47" s="1273"/>
      <c r="Q47" s="1273"/>
      <c r="R47" s="1273"/>
      <c r="S47" s="1273"/>
      <c r="T47" s="1273"/>
      <c r="U47" s="1273"/>
      <c r="V47" s="1273"/>
      <c r="W47" s="1273"/>
      <c r="X47" s="1273"/>
      <c r="Y47" s="1273"/>
      <c r="Z47" s="1273"/>
      <c r="AA47" s="1273"/>
      <c r="AB47" s="1273"/>
      <c r="AC47" s="1273"/>
      <c r="AD47" s="1273"/>
      <c r="AE47" s="1273"/>
      <c r="AF47" s="1273"/>
      <c r="AG47" s="1273"/>
      <c r="AH47" s="1273"/>
      <c r="AI47" s="1273"/>
      <c r="AJ47" s="1273"/>
      <c r="AK47" s="1273"/>
      <c r="AL47" s="1273"/>
    </row>
    <row r="48" spans="1:38">
      <c r="A48" s="4"/>
      <c r="C48" s="2"/>
      <c r="D48" s="4"/>
      <c r="E48" s="4"/>
      <c r="F48" s="118" t="s">
        <v>695</v>
      </c>
      <c r="G48" s="3" t="s">
        <v>2348</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516</v>
      </c>
      <c r="G49" s="4" t="s">
        <v>554</v>
      </c>
      <c r="I49" s="4"/>
      <c r="J49" s="4"/>
      <c r="K49" s="4"/>
      <c r="L49" s="4"/>
      <c r="O49" s="4"/>
      <c r="P49" s="4"/>
      <c r="Q49" s="4"/>
      <c r="R49" s="4"/>
      <c r="S49" s="4"/>
      <c r="T49" s="4"/>
      <c r="U49" s="4"/>
      <c r="V49" s="4"/>
      <c r="W49" s="4"/>
      <c r="X49" s="4"/>
      <c r="Y49" s="4"/>
      <c r="Z49" s="4"/>
      <c r="AA49" s="4"/>
      <c r="AB49" s="4"/>
    </row>
    <row r="50" spans="1:38">
      <c r="A50" s="4"/>
      <c r="C50" s="2"/>
      <c r="D50" s="4"/>
      <c r="E50" s="3" t="s">
        <v>349</v>
      </c>
      <c r="F50" s="1267" t="s">
        <v>2349</v>
      </c>
      <c r="G50" s="1267"/>
      <c r="H50" s="1267"/>
      <c r="I50" s="1267"/>
      <c r="J50" s="1267"/>
      <c r="K50" s="1267"/>
      <c r="L50" s="1267"/>
      <c r="M50" s="1267"/>
      <c r="N50" s="1267"/>
      <c r="O50" s="1267"/>
      <c r="P50" s="1267"/>
      <c r="Q50" s="1267"/>
      <c r="R50" s="1267"/>
      <c r="S50" s="1267"/>
      <c r="T50" s="1267"/>
      <c r="U50" s="1267"/>
      <c r="V50" s="1267"/>
      <c r="W50" s="1267"/>
      <c r="X50" s="1267"/>
      <c r="Y50" s="1267"/>
      <c r="Z50" s="1267"/>
      <c r="AA50" s="1267"/>
      <c r="AB50" s="1267"/>
      <c r="AC50" s="1267"/>
      <c r="AD50" s="1267"/>
      <c r="AE50" s="1267"/>
      <c r="AF50" s="1267"/>
      <c r="AG50" s="1267"/>
      <c r="AH50" s="1267"/>
      <c r="AI50" s="1267"/>
      <c r="AJ50" s="1267"/>
      <c r="AK50" s="1267"/>
    </row>
    <row r="51" spans="1:38">
      <c r="A51" s="4"/>
      <c r="C51" s="2"/>
      <c r="D51" s="4"/>
      <c r="E51" s="4"/>
      <c r="F51" s="1267"/>
      <c r="G51" s="1267"/>
      <c r="H51" s="1267"/>
      <c r="I51" s="1267"/>
      <c r="J51" s="1267"/>
      <c r="K51" s="1267"/>
      <c r="L51" s="1267"/>
      <c r="M51" s="1267"/>
      <c r="N51" s="1267"/>
      <c r="O51" s="1267"/>
      <c r="P51" s="1267"/>
      <c r="Q51" s="1267"/>
      <c r="R51" s="1267"/>
      <c r="S51" s="1267"/>
      <c r="T51" s="1267"/>
      <c r="U51" s="1267"/>
      <c r="V51" s="1267"/>
      <c r="W51" s="1267"/>
      <c r="X51" s="1267"/>
      <c r="Y51" s="1267"/>
      <c r="Z51" s="1267"/>
      <c r="AA51" s="1267"/>
      <c r="AB51" s="1267"/>
      <c r="AC51" s="1267"/>
      <c r="AD51" s="1267"/>
      <c r="AE51" s="1267"/>
      <c r="AF51" s="1267"/>
      <c r="AG51" s="1267"/>
      <c r="AH51" s="1267"/>
      <c r="AI51" s="1267"/>
      <c r="AJ51" s="1267"/>
      <c r="AK51" s="1267"/>
    </row>
    <row r="52" spans="1:38">
      <c r="A52" s="4"/>
      <c r="C52" s="2"/>
      <c r="D52" s="4"/>
      <c r="F52" s="1267"/>
      <c r="G52" s="1267"/>
      <c r="H52" s="1267"/>
      <c r="I52" s="1267"/>
      <c r="J52" s="1267"/>
      <c r="K52" s="1267"/>
      <c r="L52" s="1267"/>
      <c r="M52" s="1267"/>
      <c r="N52" s="1267"/>
      <c r="O52" s="1267"/>
      <c r="P52" s="1267"/>
      <c r="Q52" s="1267"/>
      <c r="R52" s="1267"/>
      <c r="S52" s="1267"/>
      <c r="T52" s="1267"/>
      <c r="U52" s="1267"/>
      <c r="V52" s="1267"/>
      <c r="W52" s="1267"/>
      <c r="X52" s="1267"/>
      <c r="Y52" s="1267"/>
      <c r="Z52" s="1267"/>
      <c r="AA52" s="1267"/>
      <c r="AB52" s="1267"/>
      <c r="AC52" s="1267"/>
      <c r="AD52" s="1267"/>
      <c r="AE52" s="1267"/>
      <c r="AF52" s="1267"/>
      <c r="AG52" s="1267"/>
      <c r="AH52" s="1267"/>
      <c r="AI52" s="1267"/>
      <c r="AJ52" s="1267"/>
      <c r="AK52" s="1267"/>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658</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660</v>
      </c>
      <c r="F55" s="3" t="s">
        <v>1295</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695</v>
      </c>
      <c r="G56" s="1272" t="s">
        <v>1294</v>
      </c>
      <c r="H56" s="1272"/>
      <c r="I56" s="1272"/>
      <c r="J56" s="1272"/>
      <c r="K56" s="1272"/>
      <c r="L56" s="1272"/>
      <c r="M56" s="1272"/>
      <c r="N56" s="1272"/>
      <c r="O56" s="1272"/>
      <c r="P56" s="1272"/>
      <c r="Q56" s="1272"/>
      <c r="R56" s="1272"/>
      <c r="S56" s="1272"/>
      <c r="T56" s="1272"/>
      <c r="U56" s="1272"/>
      <c r="V56" s="1272"/>
      <c r="W56" s="1272"/>
      <c r="X56" s="1272"/>
      <c r="Y56" s="1272"/>
      <c r="Z56" s="1272"/>
      <c r="AA56" s="1272"/>
      <c r="AB56" s="1272"/>
      <c r="AC56" s="1272"/>
      <c r="AD56" s="1272"/>
      <c r="AE56" s="1272"/>
      <c r="AF56" s="1272"/>
      <c r="AG56" s="1272"/>
      <c r="AH56" s="1272"/>
      <c r="AI56" s="1272"/>
      <c r="AJ56" s="1272"/>
      <c r="AK56" s="1272"/>
      <c r="AL56" s="218"/>
    </row>
    <row r="57" spans="1:38" ht="13.15" customHeight="1">
      <c r="A57" s="218"/>
      <c r="B57" s="218"/>
      <c r="C57" s="219"/>
      <c r="D57" s="219"/>
      <c r="E57" s="218"/>
      <c r="F57" s="220"/>
      <c r="G57" s="512" t="s">
        <v>1296</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72" t="s">
        <v>582</v>
      </c>
      <c r="H58" s="1272"/>
      <c r="I58" s="1272"/>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516</v>
      </c>
      <c r="G59" s="1272" t="s">
        <v>2350</v>
      </c>
      <c r="H59" s="1272"/>
      <c r="I59" s="1272"/>
      <c r="J59" s="1272"/>
      <c r="K59" s="1272"/>
      <c r="L59" s="1272"/>
      <c r="M59" s="1272"/>
      <c r="N59" s="1272"/>
      <c r="O59" s="1272"/>
      <c r="P59" s="1272"/>
      <c r="Q59" s="1272"/>
      <c r="R59" s="1272"/>
      <c r="S59" s="1272"/>
      <c r="T59" s="1272"/>
      <c r="U59" s="1272"/>
      <c r="V59" s="1272"/>
      <c r="W59" s="1272"/>
      <c r="X59" s="1272"/>
      <c r="Y59" s="1272"/>
      <c r="Z59" s="1272"/>
      <c r="AA59" s="1272"/>
      <c r="AB59" s="1272"/>
      <c r="AC59" s="1272"/>
      <c r="AD59" s="1272"/>
      <c r="AE59" s="1272"/>
      <c r="AF59" s="1272"/>
      <c r="AG59" s="1272"/>
      <c r="AH59" s="1272"/>
      <c r="AI59" s="1272"/>
      <c r="AJ59" s="1272"/>
      <c r="AK59" s="1272"/>
      <c r="AL59" s="1272"/>
    </row>
    <row r="60" spans="1:38">
      <c r="A60" s="218"/>
      <c r="B60" s="218"/>
      <c r="C60" s="219"/>
      <c r="D60" s="219"/>
      <c r="E60" s="218"/>
      <c r="F60" s="220"/>
      <c r="G60" s="1272"/>
      <c r="H60" s="1272"/>
      <c r="I60" s="1272"/>
      <c r="J60" s="1272"/>
      <c r="K60" s="1272"/>
      <c r="L60" s="1272"/>
      <c r="M60" s="1272"/>
      <c r="N60" s="1272"/>
      <c r="O60" s="1272"/>
      <c r="P60" s="1272"/>
      <c r="Q60" s="1272"/>
      <c r="R60" s="1272"/>
      <c r="S60" s="1272"/>
      <c r="T60" s="1272"/>
      <c r="U60" s="1272"/>
      <c r="V60" s="1272"/>
      <c r="W60" s="1272"/>
      <c r="X60" s="1272"/>
      <c r="Y60" s="1272"/>
      <c r="Z60" s="1272"/>
      <c r="AA60" s="1272"/>
      <c r="AB60" s="1272"/>
      <c r="AC60" s="1272"/>
      <c r="AD60" s="1272"/>
      <c r="AE60" s="1272"/>
      <c r="AF60" s="1272"/>
      <c r="AG60" s="1272"/>
      <c r="AH60" s="1272"/>
      <c r="AI60" s="1272"/>
      <c r="AJ60" s="1272"/>
      <c r="AK60" s="1272"/>
      <c r="AL60" s="1272"/>
    </row>
    <row r="61" spans="1:38">
      <c r="A61" s="218"/>
      <c r="B61" s="218"/>
      <c r="C61" s="219"/>
      <c r="D61" s="219"/>
      <c r="E61" s="218"/>
      <c r="F61" s="220"/>
      <c r="G61" s="513" t="s">
        <v>1384</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174</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1268</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660</v>
      </c>
      <c r="F65" s="4" t="s">
        <v>515</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695</v>
      </c>
      <c r="G66" s="1267" t="s">
        <v>1269</v>
      </c>
      <c r="H66" s="1267"/>
      <c r="I66" s="1267"/>
      <c r="J66" s="1267"/>
      <c r="K66" s="1267"/>
      <c r="L66" s="1267"/>
      <c r="M66" s="1267"/>
      <c r="N66" s="1267"/>
      <c r="O66" s="1267"/>
      <c r="P66" s="1267"/>
      <c r="Q66" s="1267"/>
      <c r="R66" s="1267"/>
      <c r="S66" s="1267"/>
      <c r="T66" s="1267"/>
      <c r="U66" s="1267"/>
      <c r="V66" s="1267"/>
      <c r="W66" s="1267"/>
      <c r="X66" s="1267"/>
      <c r="Y66" s="1267"/>
      <c r="Z66" s="1267"/>
      <c r="AA66" s="1267"/>
      <c r="AB66" s="1267"/>
      <c r="AC66" s="1267"/>
      <c r="AD66" s="1267"/>
      <c r="AE66" s="1267"/>
      <c r="AF66" s="1267"/>
      <c r="AG66" s="1267"/>
      <c r="AH66" s="1267"/>
      <c r="AI66" s="1267"/>
      <c r="AJ66" s="1267"/>
      <c r="AK66" s="1267"/>
    </row>
    <row r="67" spans="1:37">
      <c r="A67" s="4"/>
      <c r="C67" s="2"/>
      <c r="D67" s="4"/>
      <c r="E67" s="4"/>
      <c r="G67" s="1267"/>
      <c r="H67" s="1267"/>
      <c r="I67" s="1267"/>
      <c r="J67" s="1267"/>
      <c r="K67" s="1267"/>
      <c r="L67" s="1267"/>
      <c r="M67" s="1267"/>
      <c r="N67" s="1267"/>
      <c r="O67" s="1267"/>
      <c r="P67" s="1267"/>
      <c r="Q67" s="1267"/>
      <c r="R67" s="1267"/>
      <c r="S67" s="1267"/>
      <c r="T67" s="1267"/>
      <c r="U67" s="1267"/>
      <c r="V67" s="1267"/>
      <c r="W67" s="1267"/>
      <c r="X67" s="1267"/>
      <c r="Y67" s="1267"/>
      <c r="Z67" s="1267"/>
      <c r="AA67" s="1267"/>
      <c r="AB67" s="1267"/>
      <c r="AC67" s="1267"/>
      <c r="AD67" s="1267"/>
      <c r="AE67" s="1267"/>
      <c r="AF67" s="1267"/>
      <c r="AG67" s="1267"/>
      <c r="AH67" s="1267"/>
      <c r="AI67" s="1267"/>
      <c r="AJ67" s="1267"/>
      <c r="AK67" s="1267"/>
    </row>
    <row r="68" spans="1:37">
      <c r="A68" s="4"/>
      <c r="C68" s="2"/>
      <c r="D68" s="4"/>
      <c r="E68" s="4"/>
      <c r="G68" s="1267"/>
      <c r="H68" s="1267"/>
      <c r="I68" s="1267"/>
      <c r="J68" s="1267"/>
      <c r="K68" s="1267"/>
      <c r="L68" s="1267"/>
      <c r="M68" s="1267"/>
      <c r="N68" s="1267"/>
      <c r="O68" s="1267"/>
      <c r="P68" s="1267"/>
      <c r="Q68" s="1267"/>
      <c r="R68" s="1267"/>
      <c r="S68" s="1267"/>
      <c r="T68" s="1267"/>
      <c r="U68" s="1267"/>
      <c r="V68" s="1267"/>
      <c r="W68" s="1267"/>
      <c r="X68" s="1267"/>
      <c r="Y68" s="1267"/>
      <c r="Z68" s="1267"/>
      <c r="AA68" s="1267"/>
      <c r="AB68" s="1267"/>
      <c r="AC68" s="1267"/>
      <c r="AD68" s="1267"/>
      <c r="AE68" s="1267"/>
      <c r="AF68" s="1267"/>
      <c r="AG68" s="1267"/>
      <c r="AH68" s="1267"/>
      <c r="AI68" s="1267"/>
      <c r="AJ68" s="1267"/>
      <c r="AK68" s="1267"/>
    </row>
    <row r="69" spans="1:37" ht="13.15" customHeight="1">
      <c r="A69" s="4"/>
      <c r="C69" s="2"/>
      <c r="D69" s="4"/>
      <c r="E69" s="4"/>
      <c r="F69" t="s">
        <v>516</v>
      </c>
      <c r="G69" s="1267" t="s">
        <v>1270</v>
      </c>
      <c r="H69" s="1267"/>
      <c r="I69" s="1267"/>
      <c r="J69" s="1267"/>
      <c r="K69" s="1267"/>
      <c r="L69" s="1267"/>
      <c r="M69" s="1267"/>
      <c r="N69" s="1267"/>
      <c r="O69" s="1267"/>
      <c r="P69" s="1267"/>
      <c r="Q69" s="1267"/>
      <c r="R69" s="1267"/>
      <c r="S69" s="1267"/>
      <c r="T69" s="1267"/>
      <c r="U69" s="1267"/>
      <c r="V69" s="1267"/>
      <c r="W69" s="1267"/>
      <c r="X69" s="1267"/>
      <c r="Y69" s="1267"/>
      <c r="Z69" s="1267"/>
      <c r="AA69" s="1267"/>
      <c r="AB69" s="1267"/>
      <c r="AC69" s="1267"/>
      <c r="AD69" s="1267"/>
      <c r="AE69" s="1267"/>
      <c r="AF69" s="1267"/>
      <c r="AG69" s="1267"/>
      <c r="AH69" s="1267"/>
      <c r="AI69" s="1267"/>
      <c r="AJ69" s="1267"/>
      <c r="AK69" s="1267"/>
    </row>
    <row r="70" spans="1:37">
      <c r="A70" s="4"/>
      <c r="C70" s="2"/>
      <c r="D70" s="4"/>
      <c r="E70" s="4"/>
      <c r="F70" s="27"/>
      <c r="G70" s="1267"/>
      <c r="H70" s="1267"/>
      <c r="I70" s="1267"/>
      <c r="J70" s="1267"/>
      <c r="K70" s="1267"/>
      <c r="L70" s="1267"/>
      <c r="M70" s="1267"/>
      <c r="N70" s="1267"/>
      <c r="O70" s="1267"/>
      <c r="P70" s="1267"/>
      <c r="Q70" s="1267"/>
      <c r="R70" s="1267"/>
      <c r="S70" s="1267"/>
      <c r="T70" s="1267"/>
      <c r="U70" s="1267"/>
      <c r="V70" s="1267"/>
      <c r="W70" s="1267"/>
      <c r="X70" s="1267"/>
      <c r="Y70" s="1267"/>
      <c r="Z70" s="1267"/>
      <c r="AA70" s="1267"/>
      <c r="AB70" s="1267"/>
      <c r="AC70" s="1267"/>
      <c r="AD70" s="1267"/>
      <c r="AE70" s="1267"/>
      <c r="AF70" s="1267"/>
      <c r="AG70" s="1267"/>
      <c r="AH70" s="1267"/>
      <c r="AI70" s="1267"/>
      <c r="AJ70" s="1267"/>
      <c r="AK70" s="1267"/>
    </row>
    <row r="71" spans="1:37">
      <c r="A71" s="4"/>
      <c r="C71" s="2"/>
      <c r="D71" s="4"/>
      <c r="E71" s="4" t="s">
        <v>348</v>
      </c>
      <c r="F71" s="4" t="s">
        <v>421</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695</v>
      </c>
      <c r="G72" s="1267" t="s">
        <v>1271</v>
      </c>
      <c r="H72" s="1267"/>
      <c r="I72" s="1267"/>
      <c r="J72" s="1267"/>
      <c r="K72" s="1267"/>
      <c r="L72" s="1267"/>
      <c r="M72" s="1267"/>
      <c r="N72" s="1267"/>
      <c r="O72" s="1267"/>
      <c r="P72" s="1267"/>
      <c r="Q72" s="1267"/>
      <c r="R72" s="1267"/>
      <c r="S72" s="1267"/>
      <c r="T72" s="1267"/>
      <c r="U72" s="1267"/>
      <c r="V72" s="1267"/>
      <c r="W72" s="1267"/>
      <c r="X72" s="1267"/>
      <c r="Y72" s="1267"/>
      <c r="Z72" s="1267"/>
      <c r="AA72" s="1267"/>
      <c r="AB72" s="1267"/>
      <c r="AC72" s="1267"/>
      <c r="AD72" s="1267"/>
      <c r="AE72" s="1267"/>
      <c r="AF72" s="1267"/>
      <c r="AG72" s="1267"/>
      <c r="AH72" s="1267"/>
      <c r="AI72" s="1267"/>
      <c r="AJ72" s="1267"/>
      <c r="AK72" s="1267"/>
    </row>
    <row r="73" spans="1:37">
      <c r="A73" s="4"/>
      <c r="C73" s="2"/>
      <c r="D73" s="4"/>
      <c r="E73" s="4"/>
      <c r="F73" s="8"/>
      <c r="G73" s="1267"/>
      <c r="H73" s="1267"/>
      <c r="I73" s="1267"/>
      <c r="J73" s="1267"/>
      <c r="K73" s="1267"/>
      <c r="L73" s="1267"/>
      <c r="M73" s="1267"/>
      <c r="N73" s="1267"/>
      <c r="O73" s="1267"/>
      <c r="P73" s="1267"/>
      <c r="Q73" s="1267"/>
      <c r="R73" s="1267"/>
      <c r="S73" s="1267"/>
      <c r="T73" s="1267"/>
      <c r="U73" s="1267"/>
      <c r="V73" s="1267"/>
      <c r="W73" s="1267"/>
      <c r="X73" s="1267"/>
      <c r="Y73" s="1267"/>
      <c r="Z73" s="1267"/>
      <c r="AA73" s="1267"/>
      <c r="AB73" s="1267"/>
      <c r="AC73" s="1267"/>
      <c r="AD73" s="1267"/>
      <c r="AE73" s="1267"/>
      <c r="AF73" s="1267"/>
      <c r="AG73" s="1267"/>
      <c r="AH73" s="1267"/>
      <c r="AI73" s="1267"/>
      <c r="AJ73" s="1267"/>
      <c r="AK73" s="1267"/>
    </row>
    <row r="74" spans="1:37">
      <c r="A74" s="4"/>
      <c r="C74" s="2"/>
      <c r="D74" s="4"/>
      <c r="E74" s="4"/>
      <c r="F74" s="8" t="s">
        <v>516</v>
      </c>
      <c r="G74" s="1267" t="s">
        <v>1272</v>
      </c>
      <c r="H74" s="1267"/>
      <c r="I74" s="1267"/>
      <c r="J74" s="1267"/>
      <c r="K74" s="1267"/>
      <c r="L74" s="1267"/>
      <c r="M74" s="1267"/>
      <c r="N74" s="1267"/>
      <c r="O74" s="1267"/>
      <c r="P74" s="1267"/>
      <c r="Q74" s="1267"/>
      <c r="R74" s="1267"/>
      <c r="S74" s="1267"/>
      <c r="T74" s="1267"/>
      <c r="U74" s="1267"/>
      <c r="V74" s="1267"/>
      <c r="W74" s="1267"/>
      <c r="X74" s="1267"/>
      <c r="Y74" s="1267"/>
      <c r="Z74" s="1267"/>
      <c r="AA74" s="1267"/>
      <c r="AB74" s="1267"/>
      <c r="AC74" s="1267"/>
      <c r="AD74" s="1267"/>
      <c r="AE74" s="1267"/>
      <c r="AF74" s="1267"/>
      <c r="AG74" s="1267"/>
      <c r="AH74" s="1267"/>
      <c r="AI74" s="1267"/>
      <c r="AJ74" s="1267"/>
      <c r="AK74" s="1267"/>
    </row>
    <row r="75" spans="1:37">
      <c r="A75" s="4"/>
      <c r="C75" s="2"/>
      <c r="D75" s="4"/>
      <c r="E75" s="4"/>
      <c r="F75" s="8"/>
      <c r="G75" s="1267"/>
      <c r="H75" s="1267"/>
      <c r="I75" s="1267"/>
      <c r="J75" s="1267"/>
      <c r="K75" s="1267"/>
      <c r="L75" s="1267"/>
      <c r="M75" s="1267"/>
      <c r="N75" s="1267"/>
      <c r="O75" s="1267"/>
      <c r="P75" s="1267"/>
      <c r="Q75" s="1267"/>
      <c r="R75" s="1267"/>
      <c r="S75" s="1267"/>
      <c r="T75" s="1267"/>
      <c r="U75" s="1267"/>
      <c r="V75" s="1267"/>
      <c r="W75" s="1267"/>
      <c r="X75" s="1267"/>
      <c r="Y75" s="1267"/>
      <c r="Z75" s="1267"/>
      <c r="AA75" s="1267"/>
      <c r="AB75" s="1267"/>
      <c r="AC75" s="1267"/>
      <c r="AD75" s="1267"/>
      <c r="AE75" s="1267"/>
      <c r="AF75" s="1267"/>
      <c r="AG75" s="1267"/>
      <c r="AH75" s="1267"/>
      <c r="AI75" s="1267"/>
      <c r="AJ75" s="1267"/>
      <c r="AK75" s="1267"/>
    </row>
    <row r="76" spans="1:37">
      <c r="A76" s="4"/>
      <c r="C76" s="2"/>
      <c r="D76" s="4"/>
      <c r="E76" s="4"/>
      <c r="F76" s="8"/>
      <c r="G76" s="120" t="s">
        <v>758</v>
      </c>
      <c r="H76" s="4"/>
      <c r="J76" s="120"/>
      <c r="K76" s="120"/>
      <c r="L76" s="120"/>
      <c r="P76" s="4"/>
      <c r="Q76" s="4"/>
      <c r="R76" s="4"/>
      <c r="S76" s="4"/>
      <c r="T76" s="4"/>
      <c r="U76" s="4"/>
      <c r="V76" s="4"/>
      <c r="W76" s="4"/>
      <c r="X76" s="4"/>
      <c r="Y76" s="4"/>
      <c r="Z76" s="4"/>
      <c r="AA76" s="4"/>
      <c r="AB76" s="4"/>
    </row>
    <row r="77" spans="1:37">
      <c r="A77" s="4"/>
      <c r="C77" s="2"/>
      <c r="D77" s="4"/>
      <c r="E77" s="4"/>
      <c r="F77" s="8"/>
      <c r="G77" s="120" t="s">
        <v>874</v>
      </c>
      <c r="J77" s="120"/>
      <c r="K77" s="120"/>
      <c r="L77" s="120"/>
      <c r="P77" s="4"/>
      <c r="Q77" s="4"/>
      <c r="R77" s="4"/>
      <c r="S77" s="4"/>
      <c r="T77" s="4"/>
      <c r="U77" s="4"/>
      <c r="V77" s="4"/>
      <c r="W77" s="4"/>
      <c r="X77" s="4"/>
      <c r="Y77" s="4"/>
      <c r="Z77" s="4"/>
      <c r="AA77" s="4"/>
      <c r="AB77" s="4"/>
    </row>
    <row r="78" spans="1:37">
      <c r="A78" s="4"/>
      <c r="C78" s="2"/>
      <c r="D78" s="4"/>
      <c r="E78" s="4"/>
      <c r="F78" s="8" t="s">
        <v>278</v>
      </c>
      <c r="G78" s="4" t="s">
        <v>1035</v>
      </c>
      <c r="H78" s="4"/>
      <c r="I78" s="4"/>
      <c r="K78" s="4"/>
      <c r="L78" s="4"/>
      <c r="M78" s="4"/>
      <c r="P78" s="4"/>
      <c r="Q78" s="4"/>
      <c r="R78" s="4"/>
      <c r="S78" s="4"/>
      <c r="T78" s="4"/>
      <c r="U78" s="4"/>
      <c r="V78" s="4"/>
      <c r="W78" s="4"/>
      <c r="X78" s="4"/>
      <c r="Y78" s="4"/>
      <c r="Z78" s="4"/>
      <c r="AA78" s="4"/>
      <c r="AB78" s="4"/>
    </row>
    <row r="79" spans="1:37">
      <c r="A79" s="4"/>
      <c r="C79" s="2"/>
      <c r="D79" s="4"/>
      <c r="E79" s="4"/>
      <c r="F79" s="4"/>
      <c r="G79" s="4" t="s">
        <v>514</v>
      </c>
      <c r="H79" s="4" t="s">
        <v>875</v>
      </c>
      <c r="K79" s="4"/>
      <c r="L79" s="4"/>
      <c r="M79" s="4"/>
      <c r="P79" s="4"/>
      <c r="Q79" s="4"/>
      <c r="R79" s="4"/>
      <c r="S79" s="4"/>
      <c r="T79" s="4"/>
      <c r="U79" s="4"/>
      <c r="V79" s="4"/>
      <c r="W79" s="4"/>
      <c r="X79" s="4"/>
      <c r="Y79" s="4"/>
      <c r="Z79" s="4"/>
      <c r="AA79" s="4"/>
      <c r="AB79" s="4"/>
    </row>
    <row r="80" spans="1:37">
      <c r="A80" s="4"/>
      <c r="C80" s="2"/>
      <c r="D80" s="4"/>
      <c r="E80" s="4"/>
      <c r="F80" s="4"/>
      <c r="G80" s="4" t="s">
        <v>765</v>
      </c>
      <c r="H80" s="4" t="s">
        <v>761</v>
      </c>
      <c r="K80" s="4"/>
      <c r="L80" s="4"/>
      <c r="M80" s="4"/>
      <c r="P80" s="4"/>
      <c r="Q80" s="4"/>
      <c r="R80" s="4"/>
      <c r="S80" s="4"/>
      <c r="T80" s="4"/>
      <c r="U80" s="4"/>
      <c r="V80" s="4"/>
      <c r="W80" s="4"/>
      <c r="X80" s="4"/>
      <c r="Y80" s="4"/>
      <c r="Z80" s="4"/>
      <c r="AA80" s="4"/>
      <c r="AB80" s="4"/>
    </row>
    <row r="81" spans="1:37">
      <c r="A81" s="4"/>
      <c r="C81" s="2"/>
      <c r="D81" s="4"/>
      <c r="E81" s="4" t="s">
        <v>349</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7" t="s">
        <v>1273</v>
      </c>
      <c r="H82" s="1267"/>
      <c r="I82" s="1267"/>
      <c r="J82" s="1267"/>
      <c r="K82" s="1267"/>
      <c r="L82" s="1267"/>
      <c r="M82" s="1267"/>
      <c r="N82" s="1267"/>
      <c r="O82" s="1267"/>
      <c r="P82" s="1267"/>
      <c r="Q82" s="1267"/>
      <c r="R82" s="1267"/>
      <c r="S82" s="1267"/>
      <c r="T82" s="1267"/>
      <c r="U82" s="1267"/>
      <c r="V82" s="1267"/>
      <c r="W82" s="1267"/>
      <c r="X82" s="1267"/>
      <c r="Y82" s="1267"/>
      <c r="Z82" s="1267"/>
      <c r="AA82" s="1267"/>
      <c r="AB82" s="1267"/>
      <c r="AC82" s="1267"/>
      <c r="AD82" s="1267"/>
      <c r="AE82" s="1267"/>
      <c r="AF82" s="1267"/>
      <c r="AG82" s="1267"/>
      <c r="AH82" s="1267"/>
      <c r="AI82" s="1267"/>
      <c r="AJ82" s="1267"/>
      <c r="AK82" s="1267"/>
    </row>
    <row r="83" spans="1:37">
      <c r="A83" s="4"/>
      <c r="C83" s="2"/>
      <c r="D83" s="4"/>
      <c r="E83" s="4"/>
      <c r="F83" s="4"/>
      <c r="G83" s="1267"/>
      <c r="H83" s="1267"/>
      <c r="I83" s="1267"/>
      <c r="J83" s="1267"/>
      <c r="K83" s="1267"/>
      <c r="L83" s="1267"/>
      <c r="M83" s="1267"/>
      <c r="N83" s="1267"/>
      <c r="O83" s="1267"/>
      <c r="P83" s="1267"/>
      <c r="Q83" s="1267"/>
      <c r="R83" s="1267"/>
      <c r="S83" s="1267"/>
      <c r="T83" s="1267"/>
      <c r="U83" s="1267"/>
      <c r="V83" s="1267"/>
      <c r="W83" s="1267"/>
      <c r="X83" s="1267"/>
      <c r="Y83" s="1267"/>
      <c r="Z83" s="1267"/>
      <c r="AA83" s="1267"/>
      <c r="AB83" s="1267"/>
      <c r="AC83" s="1267"/>
      <c r="AD83" s="1267"/>
      <c r="AE83" s="1267"/>
      <c r="AF83" s="1267"/>
      <c r="AG83" s="1267"/>
      <c r="AH83" s="1267"/>
      <c r="AI83" s="1267"/>
      <c r="AJ83" s="1267"/>
      <c r="AK83" s="1267"/>
    </row>
    <row r="84" spans="1:37">
      <c r="A84" s="4"/>
      <c r="C84" s="2"/>
      <c r="D84" s="4"/>
      <c r="E84" s="4"/>
      <c r="F84" s="4"/>
      <c r="G84" s="1267"/>
      <c r="H84" s="1267"/>
      <c r="I84" s="1267"/>
      <c r="J84" s="1267"/>
      <c r="K84" s="1267"/>
      <c r="L84" s="1267"/>
      <c r="M84" s="1267"/>
      <c r="N84" s="1267"/>
      <c r="O84" s="1267"/>
      <c r="P84" s="1267"/>
      <c r="Q84" s="1267"/>
      <c r="R84" s="1267"/>
      <c r="S84" s="1267"/>
      <c r="T84" s="1267"/>
      <c r="U84" s="1267"/>
      <c r="V84" s="1267"/>
      <c r="W84" s="1267"/>
      <c r="X84" s="1267"/>
      <c r="Y84" s="1267"/>
      <c r="Z84" s="1267"/>
      <c r="AA84" s="1267"/>
      <c r="AB84" s="1267"/>
      <c r="AC84" s="1267"/>
      <c r="AD84" s="1267"/>
      <c r="AE84" s="1267"/>
      <c r="AF84" s="1267"/>
      <c r="AG84" s="1267"/>
      <c r="AH84" s="1267"/>
      <c r="AI84" s="1267"/>
      <c r="AJ84" s="1267"/>
      <c r="AK84" s="1267"/>
    </row>
    <row r="85" spans="1:37">
      <c r="A85" s="4"/>
      <c r="C85" s="2"/>
      <c r="D85" s="4"/>
      <c r="E85" s="4" t="s">
        <v>445</v>
      </c>
      <c r="F85" s="4" t="s">
        <v>623</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7" t="s">
        <v>1274</v>
      </c>
      <c r="H86" s="1267"/>
      <c r="I86" s="1267"/>
      <c r="J86" s="1267"/>
      <c r="K86" s="1267"/>
      <c r="L86" s="1267"/>
      <c r="M86" s="1267"/>
      <c r="N86" s="1267"/>
      <c r="O86" s="1267"/>
      <c r="P86" s="1267"/>
      <c r="Q86" s="1267"/>
      <c r="R86" s="1267"/>
      <c r="S86" s="1267"/>
      <c r="T86" s="1267"/>
      <c r="U86" s="1267"/>
      <c r="V86" s="1267"/>
      <c r="W86" s="1267"/>
      <c r="X86" s="1267"/>
      <c r="Y86" s="1267"/>
      <c r="Z86" s="1267"/>
      <c r="AA86" s="1267"/>
      <c r="AB86" s="1267"/>
      <c r="AC86" s="1267"/>
      <c r="AD86" s="1267"/>
      <c r="AE86" s="1267"/>
      <c r="AF86" s="1267"/>
      <c r="AG86" s="1267"/>
      <c r="AH86" s="1267"/>
      <c r="AI86" s="1267"/>
      <c r="AJ86" s="1267"/>
      <c r="AK86" s="1267"/>
    </row>
    <row r="87" spans="1:37">
      <c r="A87" s="4"/>
      <c r="C87" s="2"/>
      <c r="D87" s="4"/>
      <c r="E87" s="4"/>
      <c r="F87" s="4"/>
      <c r="G87" s="1267"/>
      <c r="H87" s="1267"/>
      <c r="I87" s="1267"/>
      <c r="J87" s="1267"/>
      <c r="K87" s="1267"/>
      <c r="L87" s="1267"/>
      <c r="M87" s="1267"/>
      <c r="N87" s="1267"/>
      <c r="O87" s="1267"/>
      <c r="P87" s="1267"/>
      <c r="Q87" s="1267"/>
      <c r="R87" s="1267"/>
      <c r="S87" s="1267"/>
      <c r="T87" s="1267"/>
      <c r="U87" s="1267"/>
      <c r="V87" s="1267"/>
      <c r="W87" s="1267"/>
      <c r="X87" s="1267"/>
      <c r="Y87" s="1267"/>
      <c r="Z87" s="1267"/>
      <c r="AA87" s="1267"/>
      <c r="AB87" s="1267"/>
      <c r="AC87" s="1267"/>
      <c r="AD87" s="1267"/>
      <c r="AE87" s="1267"/>
      <c r="AF87" s="1267"/>
      <c r="AG87" s="1267"/>
      <c r="AH87" s="1267"/>
      <c r="AI87" s="1267"/>
      <c r="AJ87" s="1267"/>
      <c r="AK87" s="1267"/>
    </row>
    <row r="88" spans="1:37">
      <c r="A88" s="4"/>
      <c r="C88" s="2"/>
      <c r="D88" s="4"/>
      <c r="E88" s="4"/>
      <c r="G88" s="1267"/>
      <c r="H88" s="1267"/>
      <c r="I88" s="1267"/>
      <c r="J88" s="1267"/>
      <c r="K88" s="1267"/>
      <c r="L88" s="1267"/>
      <c r="M88" s="1267"/>
      <c r="N88" s="1267"/>
      <c r="O88" s="1267"/>
      <c r="P88" s="1267"/>
      <c r="Q88" s="1267"/>
      <c r="R88" s="1267"/>
      <c r="S88" s="1267"/>
      <c r="T88" s="1267"/>
      <c r="U88" s="1267"/>
      <c r="V88" s="1267"/>
      <c r="W88" s="1267"/>
      <c r="X88" s="1267"/>
      <c r="Y88" s="1267"/>
      <c r="Z88" s="1267"/>
      <c r="AA88" s="1267"/>
      <c r="AB88" s="1267"/>
      <c r="AC88" s="1267"/>
      <c r="AD88" s="1267"/>
      <c r="AE88" s="1267"/>
      <c r="AF88" s="1267"/>
      <c r="AG88" s="1267"/>
      <c r="AH88" s="1267"/>
      <c r="AI88" s="1267"/>
      <c r="AJ88" s="1267"/>
      <c r="AK88" s="1267"/>
    </row>
    <row r="89" spans="1:37">
      <c r="A89" s="4"/>
      <c r="C89" s="2"/>
      <c r="D89" s="4"/>
      <c r="E89" s="4" t="s">
        <v>262</v>
      </c>
      <c r="F89" t="s">
        <v>876</v>
      </c>
      <c r="G89" s="4"/>
      <c r="L89" s="4"/>
      <c r="M89" s="4"/>
      <c r="P89" s="4"/>
      <c r="Q89" s="4"/>
      <c r="R89" s="4"/>
      <c r="S89" s="4"/>
      <c r="T89" s="4"/>
      <c r="U89" s="4"/>
      <c r="V89" s="4"/>
      <c r="W89" s="4"/>
      <c r="X89" s="4"/>
      <c r="Y89" s="4"/>
      <c r="Z89" s="4"/>
      <c r="AA89" s="4"/>
      <c r="AB89" s="4"/>
    </row>
    <row r="90" spans="1:37">
      <c r="A90" s="4"/>
      <c r="C90" s="2"/>
      <c r="D90" s="4"/>
      <c r="E90" s="4"/>
      <c r="G90" s="1270" t="s">
        <v>1275</v>
      </c>
      <c r="H90" s="1270"/>
      <c r="I90" s="1270"/>
      <c r="J90" s="1270"/>
      <c r="K90" s="1270"/>
      <c r="L90" s="1270"/>
      <c r="M90" s="1270"/>
      <c r="N90" s="1270"/>
      <c r="O90" s="1270"/>
      <c r="P90" s="1270"/>
      <c r="Q90" s="1270"/>
      <c r="R90" s="1270"/>
      <c r="S90" s="1270"/>
      <c r="T90" s="1270"/>
      <c r="U90" s="1270"/>
      <c r="V90" s="1270"/>
      <c r="W90" s="1270"/>
      <c r="X90" s="1270"/>
      <c r="Y90" s="1270"/>
      <c r="Z90" s="1270"/>
      <c r="AA90" s="1270"/>
      <c r="AB90" s="1270"/>
      <c r="AC90" s="1270"/>
      <c r="AD90" s="1270"/>
      <c r="AE90" s="1270"/>
      <c r="AF90" s="1270"/>
      <c r="AG90" s="1270"/>
      <c r="AH90" s="1270"/>
      <c r="AI90" s="1270"/>
      <c r="AJ90" s="1270"/>
      <c r="AK90" s="1270"/>
    </row>
    <row r="91" spans="1:37">
      <c r="A91" s="4"/>
      <c r="C91" s="2"/>
      <c r="D91" s="4"/>
      <c r="E91" s="4"/>
      <c r="G91" s="1270"/>
      <c r="H91" s="1270"/>
      <c r="I91" s="1270"/>
      <c r="J91" s="1270"/>
      <c r="K91" s="1270"/>
      <c r="L91" s="1270"/>
      <c r="M91" s="1270"/>
      <c r="N91" s="1270"/>
      <c r="O91" s="1270"/>
      <c r="P91" s="1270"/>
      <c r="Q91" s="1270"/>
      <c r="R91" s="1270"/>
      <c r="S91" s="1270"/>
      <c r="T91" s="1270"/>
      <c r="U91" s="1270"/>
      <c r="V91" s="1270"/>
      <c r="W91" s="1270"/>
      <c r="X91" s="1270"/>
      <c r="Y91" s="1270"/>
      <c r="Z91" s="1270"/>
      <c r="AA91" s="1270"/>
      <c r="AB91" s="1270"/>
      <c r="AC91" s="1270"/>
      <c r="AD91" s="1270"/>
      <c r="AE91" s="1270"/>
      <c r="AF91" s="1270"/>
      <c r="AG91" s="1270"/>
      <c r="AH91" s="1270"/>
      <c r="AI91" s="1270"/>
      <c r="AJ91" s="1270"/>
      <c r="AK91" s="1270"/>
    </row>
    <row r="92" spans="1:37">
      <c r="A92" s="4"/>
      <c r="C92" s="2"/>
      <c r="D92" s="4"/>
      <c r="E92" s="4"/>
      <c r="G92" s="1270"/>
      <c r="H92" s="1270"/>
      <c r="I92" s="1270"/>
      <c r="J92" s="1270"/>
      <c r="K92" s="1270"/>
      <c r="L92" s="1270"/>
      <c r="M92" s="1270"/>
      <c r="N92" s="1270"/>
      <c r="O92" s="1270"/>
      <c r="P92" s="1270"/>
      <c r="Q92" s="1270"/>
      <c r="R92" s="1270"/>
      <c r="S92" s="1270"/>
      <c r="T92" s="1270"/>
      <c r="U92" s="1270"/>
      <c r="V92" s="1270"/>
      <c r="W92" s="1270"/>
      <c r="X92" s="1270"/>
      <c r="Y92" s="1270"/>
      <c r="Z92" s="1270"/>
      <c r="AA92" s="1270"/>
      <c r="AB92" s="1270"/>
      <c r="AC92" s="1270"/>
      <c r="AD92" s="1270"/>
      <c r="AE92" s="1270"/>
      <c r="AF92" s="1270"/>
      <c r="AG92" s="1270"/>
      <c r="AH92" s="1270"/>
      <c r="AI92" s="1270"/>
      <c r="AJ92" s="1270"/>
      <c r="AK92" s="1270"/>
    </row>
    <row r="93" spans="1:37">
      <c r="A93" s="4"/>
      <c r="C93" s="2"/>
      <c r="D93" s="4"/>
      <c r="E93" s="4" t="s">
        <v>263</v>
      </c>
      <c r="F93" s="4" t="s">
        <v>523</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7" t="s">
        <v>1276</v>
      </c>
      <c r="H94" s="1267"/>
      <c r="I94" s="1267"/>
      <c r="J94" s="1267"/>
      <c r="K94" s="1267"/>
      <c r="L94" s="1267"/>
      <c r="M94" s="1267"/>
      <c r="N94" s="1267"/>
      <c r="O94" s="1267"/>
      <c r="P94" s="1267"/>
      <c r="Q94" s="1267"/>
      <c r="R94" s="1267"/>
      <c r="S94" s="1267"/>
      <c r="T94" s="1267"/>
      <c r="U94" s="1267"/>
      <c r="V94" s="1267"/>
      <c r="W94" s="1267"/>
      <c r="X94" s="1267"/>
      <c r="Y94" s="1267"/>
      <c r="Z94" s="1267"/>
      <c r="AA94" s="1267"/>
      <c r="AB94" s="1267"/>
      <c r="AC94" s="1267"/>
      <c r="AD94" s="1267"/>
      <c r="AE94" s="1267"/>
      <c r="AF94" s="1267"/>
      <c r="AG94" s="1267"/>
      <c r="AH94" s="1267"/>
      <c r="AI94" s="1267"/>
      <c r="AJ94" s="1267"/>
      <c r="AK94" s="1267"/>
    </row>
    <row r="95" spans="1:37">
      <c r="A95" s="4"/>
      <c r="C95" s="2"/>
      <c r="D95" s="4"/>
      <c r="E95" s="4"/>
      <c r="G95" s="1267"/>
      <c r="H95" s="1267"/>
      <c r="I95" s="1267"/>
      <c r="J95" s="1267"/>
      <c r="K95" s="1267"/>
      <c r="L95" s="1267"/>
      <c r="M95" s="1267"/>
      <c r="N95" s="1267"/>
      <c r="O95" s="1267"/>
      <c r="P95" s="1267"/>
      <c r="Q95" s="1267"/>
      <c r="R95" s="1267"/>
      <c r="S95" s="1267"/>
      <c r="T95" s="1267"/>
      <c r="U95" s="1267"/>
      <c r="V95" s="1267"/>
      <c r="W95" s="1267"/>
      <c r="X95" s="1267"/>
      <c r="Y95" s="1267"/>
      <c r="Z95" s="1267"/>
      <c r="AA95" s="1267"/>
      <c r="AB95" s="1267"/>
      <c r="AC95" s="1267"/>
      <c r="AD95" s="1267"/>
      <c r="AE95" s="1267"/>
      <c r="AF95" s="1267"/>
      <c r="AG95" s="1267"/>
      <c r="AH95" s="1267"/>
      <c r="AI95" s="1267"/>
      <c r="AJ95" s="1267"/>
      <c r="AK95" s="1267"/>
    </row>
    <row r="96" spans="1:37">
      <c r="A96" s="4"/>
      <c r="C96" s="2"/>
      <c r="D96" s="4"/>
      <c r="E96" s="4" t="s">
        <v>918</v>
      </c>
      <c r="F96" s="218" t="s">
        <v>919</v>
      </c>
      <c r="G96" s="218"/>
      <c r="L96" s="4"/>
      <c r="M96" s="4"/>
      <c r="P96" s="4"/>
      <c r="Q96" s="4"/>
      <c r="R96" s="4"/>
      <c r="S96" s="4"/>
      <c r="T96" s="4"/>
      <c r="U96" s="4"/>
      <c r="V96" s="4"/>
      <c r="W96" s="4"/>
      <c r="X96" s="4"/>
      <c r="Y96" s="4"/>
      <c r="Z96" s="4"/>
      <c r="AA96" s="4"/>
      <c r="AB96" s="4"/>
    </row>
    <row r="97" spans="1:38">
      <c r="A97" s="4"/>
      <c r="C97" s="2"/>
      <c r="D97" s="4"/>
      <c r="E97" s="4"/>
      <c r="G97" s="1267" t="s">
        <v>1277</v>
      </c>
      <c r="H97" s="1267"/>
      <c r="I97" s="1267"/>
      <c r="J97" s="1267"/>
      <c r="K97" s="1267"/>
      <c r="L97" s="1267"/>
      <c r="M97" s="1267"/>
      <c r="N97" s="1267"/>
      <c r="O97" s="1267"/>
      <c r="P97" s="1267"/>
      <c r="Q97" s="1267"/>
      <c r="R97" s="1267"/>
      <c r="S97" s="1267"/>
      <c r="T97" s="1267"/>
      <c r="U97" s="1267"/>
      <c r="V97" s="1267"/>
      <c r="W97" s="1267"/>
      <c r="X97" s="1267"/>
      <c r="Y97" s="1267"/>
      <c r="Z97" s="1267"/>
      <c r="AA97" s="1267"/>
      <c r="AB97" s="1267"/>
      <c r="AC97" s="1267"/>
      <c r="AD97" s="1267"/>
      <c r="AE97" s="1267"/>
      <c r="AF97" s="1267"/>
      <c r="AG97" s="1267"/>
      <c r="AH97" s="1267"/>
      <c r="AI97" s="1267"/>
      <c r="AJ97" s="1267"/>
      <c r="AK97" s="1267"/>
    </row>
    <row r="98" spans="1:38">
      <c r="A98" s="4"/>
      <c r="C98" s="2"/>
      <c r="D98" s="4"/>
      <c r="E98" s="4"/>
      <c r="G98" s="1267"/>
      <c r="H98" s="1267"/>
      <c r="I98" s="1267"/>
      <c r="J98" s="1267"/>
      <c r="K98" s="1267"/>
      <c r="L98" s="1267"/>
      <c r="M98" s="1267"/>
      <c r="N98" s="1267"/>
      <c r="O98" s="1267"/>
      <c r="P98" s="1267"/>
      <c r="Q98" s="1267"/>
      <c r="R98" s="1267"/>
      <c r="S98" s="1267"/>
      <c r="T98" s="1267"/>
      <c r="U98" s="1267"/>
      <c r="V98" s="1267"/>
      <c r="W98" s="1267"/>
      <c r="X98" s="1267"/>
      <c r="Y98" s="1267"/>
      <c r="Z98" s="1267"/>
      <c r="AA98" s="1267"/>
      <c r="AB98" s="1267"/>
      <c r="AC98" s="1267"/>
      <c r="AD98" s="1267"/>
      <c r="AE98" s="1267"/>
      <c r="AF98" s="1267"/>
      <c r="AG98" s="1267"/>
      <c r="AH98" s="1267"/>
      <c r="AI98" s="1267"/>
      <c r="AJ98" s="1267"/>
      <c r="AK98" s="1267"/>
    </row>
    <row r="99" spans="1:38">
      <c r="A99" s="4"/>
      <c r="C99" s="2"/>
      <c r="D99" s="4"/>
      <c r="E99" s="4"/>
      <c r="G99" s="1267"/>
      <c r="H99" s="1267"/>
      <c r="I99" s="1267"/>
      <c r="J99" s="1267"/>
      <c r="K99" s="1267"/>
      <c r="L99" s="1267"/>
      <c r="M99" s="1267"/>
      <c r="N99" s="1267"/>
      <c r="O99" s="1267"/>
      <c r="P99" s="1267"/>
      <c r="Q99" s="1267"/>
      <c r="R99" s="1267"/>
      <c r="S99" s="1267"/>
      <c r="T99" s="1267"/>
      <c r="U99" s="1267"/>
      <c r="V99" s="1267"/>
      <c r="W99" s="1267"/>
      <c r="X99" s="1267"/>
      <c r="Y99" s="1267"/>
      <c r="Z99" s="1267"/>
      <c r="AA99" s="1267"/>
      <c r="AB99" s="1267"/>
      <c r="AC99" s="1267"/>
      <c r="AD99" s="1267"/>
      <c r="AE99" s="1267"/>
      <c r="AF99" s="1267"/>
      <c r="AG99" s="1267"/>
      <c r="AH99" s="1267"/>
      <c r="AI99" s="1267"/>
      <c r="AJ99" s="1267"/>
      <c r="AK99" s="1267"/>
    </row>
    <row r="100" spans="1:38">
      <c r="A100" s="4"/>
      <c r="D100" s="99"/>
      <c r="E100" s="1271" t="s">
        <v>1278</v>
      </c>
      <c r="F100" s="1271"/>
      <c r="G100" s="1271"/>
      <c r="H100" s="1271"/>
      <c r="I100" s="1271"/>
      <c r="J100" s="1271"/>
      <c r="K100" s="1271"/>
      <c r="L100" s="1271"/>
      <c r="M100" s="1271"/>
      <c r="N100" s="1271"/>
      <c r="O100" s="1271"/>
      <c r="P100" s="1271"/>
      <c r="Q100" s="1271"/>
      <c r="R100" s="1271"/>
      <c r="S100" s="1271"/>
      <c r="T100" s="1271"/>
      <c r="U100" s="1271"/>
      <c r="V100" s="1271"/>
      <c r="W100" s="1271"/>
      <c r="X100" s="1271"/>
      <c r="Y100" s="1271"/>
      <c r="Z100" s="1271"/>
      <c r="AA100" s="1271"/>
      <c r="AB100" s="1271"/>
      <c r="AC100" s="1271"/>
      <c r="AD100" s="1271"/>
      <c r="AE100" s="1271"/>
      <c r="AF100" s="1271"/>
      <c r="AG100" s="1271"/>
      <c r="AH100" s="1271"/>
      <c r="AI100" s="1271"/>
      <c r="AJ100" s="1271"/>
      <c r="AK100" s="1271"/>
    </row>
    <row r="101" spans="1:38">
      <c r="A101" s="4"/>
      <c r="D101" s="99"/>
      <c r="E101" s="1271"/>
      <c r="F101" s="1271"/>
      <c r="G101" s="1271"/>
      <c r="H101" s="1271"/>
      <c r="I101" s="1271"/>
      <c r="J101" s="1271"/>
      <c r="K101" s="1271"/>
      <c r="L101" s="1271"/>
      <c r="M101" s="1271"/>
      <c r="N101" s="1271"/>
      <c r="O101" s="1271"/>
      <c r="P101" s="1271"/>
      <c r="Q101" s="1271"/>
      <c r="R101" s="1271"/>
      <c r="S101" s="1271"/>
      <c r="T101" s="1271"/>
      <c r="U101" s="1271"/>
      <c r="V101" s="1271"/>
      <c r="W101" s="1271"/>
      <c r="X101" s="1271"/>
      <c r="Y101" s="1271"/>
      <c r="Z101" s="1271"/>
      <c r="AA101" s="1271"/>
      <c r="AB101" s="1271"/>
      <c r="AC101" s="1271"/>
      <c r="AD101" s="1271"/>
      <c r="AE101" s="1271"/>
      <c r="AF101" s="1271"/>
      <c r="AG101" s="1271"/>
      <c r="AH101" s="1271"/>
      <c r="AI101" s="1271"/>
      <c r="AJ101" s="1271"/>
      <c r="AK101" s="1271"/>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340</v>
      </c>
      <c r="C103" s="11" t="s">
        <v>421</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430</v>
      </c>
      <c r="E105" s="2"/>
      <c r="F105" s="2"/>
      <c r="G105" s="2" t="s">
        <v>1289</v>
      </c>
      <c r="H105" s="2"/>
      <c r="I105" s="2"/>
      <c r="K105" s="2"/>
    </row>
    <row r="106" spans="1:38">
      <c r="B106" s="2"/>
      <c r="C106" s="2"/>
      <c r="D106" s="2" t="s">
        <v>207</v>
      </c>
      <c r="E106" s="2" t="s">
        <v>1291</v>
      </c>
      <c r="F106" s="2"/>
      <c r="G106" s="2"/>
      <c r="H106" s="2"/>
      <c r="I106" s="2"/>
      <c r="J106" s="2"/>
      <c r="K106" s="2"/>
      <c r="L106" s="2"/>
      <c r="M106" s="2"/>
    </row>
    <row r="107" spans="1:38">
      <c r="B107" s="2"/>
      <c r="C107" s="2"/>
      <c r="E107" s="4" t="s">
        <v>112</v>
      </c>
      <c r="F107" s="98" t="s">
        <v>659</v>
      </c>
      <c r="G107" s="2"/>
      <c r="H107" s="2"/>
      <c r="I107" s="2"/>
      <c r="J107" s="2"/>
      <c r="K107" s="2"/>
    </row>
    <row r="108" spans="1:38">
      <c r="E108" s="4"/>
      <c r="F108" t="s">
        <v>661</v>
      </c>
    </row>
    <row r="109" spans="1:38">
      <c r="E109" s="4"/>
      <c r="F109" t="s">
        <v>662</v>
      </c>
    </row>
    <row r="110" spans="1:38">
      <c r="E110" s="4"/>
    </row>
    <row r="111" spans="1:38">
      <c r="E111" s="4" t="s">
        <v>113</v>
      </c>
      <c r="F111" s="98" t="s">
        <v>663</v>
      </c>
      <c r="G111" s="2"/>
      <c r="H111" s="2"/>
      <c r="I111" s="2"/>
      <c r="J111" s="2"/>
    </row>
    <row r="112" spans="1:38">
      <c r="E112" s="4"/>
      <c r="F112" t="s">
        <v>664</v>
      </c>
    </row>
    <row r="113" spans="2:16">
      <c r="E113" s="4"/>
    </row>
    <row r="114" spans="2:16">
      <c r="E114" s="4" t="s">
        <v>119</v>
      </c>
      <c r="F114" s="98" t="s">
        <v>665</v>
      </c>
      <c r="G114" s="2"/>
      <c r="H114" s="2"/>
      <c r="I114" s="2"/>
      <c r="J114" s="2"/>
      <c r="K114" s="2"/>
      <c r="L114" s="2"/>
      <c r="M114" s="2"/>
      <c r="N114" s="2"/>
      <c r="O114" s="2"/>
      <c r="P114" s="2"/>
    </row>
    <row r="115" spans="2:16">
      <c r="E115" s="4"/>
      <c r="F115" s="4" t="s">
        <v>937</v>
      </c>
    </row>
    <row r="116" spans="2:16" ht="12.75" customHeight="1">
      <c r="F116" s="4" t="s">
        <v>967</v>
      </c>
    </row>
    <row r="117" spans="2:16"/>
    <row r="118" spans="2:16">
      <c r="E118" t="s">
        <v>588</v>
      </c>
      <c r="F118" s="98" t="s">
        <v>938</v>
      </c>
    </row>
    <row r="119" spans="2:16">
      <c r="F119" s="4" t="s">
        <v>1036</v>
      </c>
      <c r="G119" s="4"/>
    </row>
    <row r="120" spans="2:16">
      <c r="F120" s="99" t="s">
        <v>1290</v>
      </c>
      <c r="G120" s="99"/>
    </row>
    <row r="121" spans="2:16">
      <c r="G121" s="99"/>
    </row>
    <row r="122" spans="2:16">
      <c r="E122" s="4" t="s">
        <v>771</v>
      </c>
      <c r="F122" s="98" t="s">
        <v>378</v>
      </c>
    </row>
    <row r="123" spans="2:16">
      <c r="E123" s="4"/>
      <c r="F123" s="4" t="s">
        <v>1028</v>
      </c>
    </row>
    <row r="124" spans="2:16">
      <c r="B124" s="2"/>
      <c r="C124" s="2"/>
      <c r="F124" s="2"/>
    </row>
    <row r="125" spans="2:16">
      <c r="B125" s="2"/>
      <c r="C125" s="2" t="s">
        <v>431</v>
      </c>
      <c r="G125" s="2" t="s">
        <v>379</v>
      </c>
    </row>
    <row r="126" spans="2:16">
      <c r="B126" s="2"/>
      <c r="C126" s="2"/>
      <c r="D126" s="2" t="s">
        <v>207</v>
      </c>
      <c r="E126" s="2" t="s">
        <v>320</v>
      </c>
      <c r="F126" s="2"/>
      <c r="G126" s="2"/>
      <c r="H126" s="2"/>
      <c r="I126" s="2"/>
      <c r="J126" s="2"/>
    </row>
    <row r="127" spans="2:16">
      <c r="B127" s="2"/>
      <c r="C127" s="2"/>
      <c r="E127" s="4" t="s">
        <v>939</v>
      </c>
      <c r="F127" s="4"/>
    </row>
    <row r="128" spans="2:16"/>
    <row r="129" spans="4:37">
      <c r="D129" s="2" t="s">
        <v>341</v>
      </c>
      <c r="E129" s="2" t="s">
        <v>584</v>
      </c>
    </row>
    <row r="130" spans="4:37">
      <c r="E130" s="4" t="s">
        <v>939</v>
      </c>
      <c r="F130" s="4"/>
    </row>
    <row r="131" spans="4:37"/>
    <row r="132" spans="4:37">
      <c r="D132" s="2" t="s">
        <v>581</v>
      </c>
      <c r="E132" s="2" t="s">
        <v>732</v>
      </c>
      <c r="G132" s="2"/>
      <c r="H132" s="2"/>
      <c r="I132" s="2"/>
      <c r="J132" s="2"/>
      <c r="K132" s="2"/>
      <c r="L132" s="2"/>
      <c r="M132" s="2"/>
      <c r="N132" s="2"/>
    </row>
    <row r="133" spans="4:37">
      <c r="D133" s="2"/>
      <c r="E133" s="119" t="s">
        <v>1362</v>
      </c>
      <c r="G133" s="2"/>
      <c r="H133" s="2"/>
      <c r="I133" s="2"/>
      <c r="J133" s="2"/>
      <c r="K133" s="2"/>
      <c r="L133" s="2"/>
      <c r="M133" s="2"/>
      <c r="N133" s="2"/>
    </row>
    <row r="134" spans="4:37" ht="12.75" customHeight="1">
      <c r="E134" s="119" t="s">
        <v>1360</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1361</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521</v>
      </c>
      <c r="E137" s="2" t="s">
        <v>524</v>
      </c>
      <c r="F137" s="2"/>
    </row>
    <row r="138" spans="4:37">
      <c r="E138" s="3" t="s">
        <v>1316</v>
      </c>
      <c r="F138" s="4"/>
    </row>
    <row r="139" spans="4:37">
      <c r="F139" s="4"/>
    </row>
    <row r="140" spans="4:37">
      <c r="D140" s="2" t="s">
        <v>303</v>
      </c>
      <c r="E140" s="2" t="s">
        <v>2351</v>
      </c>
      <c r="F140" s="2"/>
      <c r="G140" s="2"/>
      <c r="H140" s="2"/>
    </row>
    <row r="141" spans="4:37">
      <c r="E141" t="s">
        <v>112</v>
      </c>
      <c r="F141" t="s">
        <v>52</v>
      </c>
    </row>
    <row r="142" spans="4:37">
      <c r="E142" t="s">
        <v>113</v>
      </c>
      <c r="F142" t="s">
        <v>473</v>
      </c>
    </row>
    <row r="143" spans="4:37"/>
    <row r="144" spans="4:37">
      <c r="D144" s="2" t="s">
        <v>429</v>
      </c>
      <c r="E144" s="2" t="s">
        <v>2352</v>
      </c>
    </row>
    <row r="145" spans="3:7">
      <c r="E145" s="218" t="s">
        <v>2353</v>
      </c>
      <c r="F145" s="218"/>
    </row>
    <row r="146" spans="3:7"/>
    <row r="147" spans="3:7">
      <c r="C147" s="2" t="s">
        <v>6</v>
      </c>
      <c r="G147" s="2" t="s">
        <v>380</v>
      </c>
    </row>
    <row r="148" spans="3:7">
      <c r="D148" s="2" t="s">
        <v>207</v>
      </c>
      <c r="E148" s="2" t="s">
        <v>135</v>
      </c>
    </row>
    <row r="149" spans="3:7">
      <c r="E149" t="s">
        <v>805</v>
      </c>
    </row>
    <row r="150" spans="3:7"/>
    <row r="151" spans="3:7">
      <c r="D151" s="2" t="s">
        <v>341</v>
      </c>
      <c r="E151" s="2" t="s">
        <v>531</v>
      </c>
      <c r="F151" s="2"/>
    </row>
    <row r="152" spans="3:7">
      <c r="E152" s="4" t="s">
        <v>941</v>
      </c>
      <c r="F152" s="4"/>
    </row>
    <row r="153" spans="3:7"/>
    <row r="154" spans="3:7">
      <c r="D154" s="2" t="s">
        <v>581</v>
      </c>
      <c r="E154" s="2" t="s">
        <v>560</v>
      </c>
    </row>
    <row r="155" spans="3:7">
      <c r="E155" s="4" t="s">
        <v>942</v>
      </c>
    </row>
    <row r="156" spans="3:7">
      <c r="E156" s="4" t="s">
        <v>940</v>
      </c>
      <c r="G156" s="4"/>
    </row>
    <row r="157" spans="3:7"/>
    <row r="158" spans="3:7">
      <c r="D158" s="2" t="s">
        <v>521</v>
      </c>
      <c r="E158" s="2" t="s">
        <v>540</v>
      </c>
    </row>
    <row r="159" spans="3:7">
      <c r="E159" t="s">
        <v>112</v>
      </c>
      <c r="F159" s="4" t="s">
        <v>943</v>
      </c>
    </row>
    <row r="160" spans="3:7">
      <c r="E160" s="4" t="s">
        <v>113</v>
      </c>
      <c r="F160" s="4" t="s">
        <v>944</v>
      </c>
    </row>
    <row r="161" spans="3:20">
      <c r="E161" s="4" t="s">
        <v>119</v>
      </c>
      <c r="F161" t="s">
        <v>733</v>
      </c>
    </row>
    <row r="162" spans="3:20"/>
    <row r="163" spans="3:20">
      <c r="D163" s="2" t="s">
        <v>303</v>
      </c>
      <c r="E163" s="2" t="s">
        <v>381</v>
      </c>
    </row>
    <row r="164" spans="3:20">
      <c r="E164" s="4" t="s">
        <v>945</v>
      </c>
      <c r="F164" s="4"/>
    </row>
    <row r="165" spans="3:20"/>
    <row r="166" spans="3:20">
      <c r="D166" s="2" t="s">
        <v>429</v>
      </c>
      <c r="E166" s="2" t="s">
        <v>171</v>
      </c>
    </row>
    <row r="167" spans="3:20">
      <c r="E167" s="4" t="s">
        <v>947</v>
      </c>
    </row>
    <row r="168" spans="3:20">
      <c r="E168" s="4" t="s">
        <v>946</v>
      </c>
    </row>
    <row r="169" spans="3:20"/>
    <row r="170" spans="3:20">
      <c r="D170" s="2" t="s">
        <v>564</v>
      </c>
      <c r="E170" s="2" t="s">
        <v>629</v>
      </c>
    </row>
    <row r="171" spans="3:20">
      <c r="E171" t="s">
        <v>112</v>
      </c>
      <c r="F171" t="s">
        <v>734</v>
      </c>
    </row>
    <row r="172" spans="3:20">
      <c r="E172" t="s">
        <v>113</v>
      </c>
      <c r="F172" t="s">
        <v>297</v>
      </c>
    </row>
    <row r="173" spans="3:20">
      <c r="F173" s="4"/>
    </row>
    <row r="174" spans="3:20">
      <c r="C174" s="2" t="s">
        <v>7</v>
      </c>
      <c r="E174" s="4"/>
      <c r="G174" s="2" t="s">
        <v>382</v>
      </c>
    </row>
    <row r="175" spans="3:20">
      <c r="E175" s="4" t="s">
        <v>877</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584</v>
      </c>
    </row>
    <row r="178" spans="2:19">
      <c r="D178" s="2" t="s">
        <v>207</v>
      </c>
      <c r="E178" s="2" t="s">
        <v>298</v>
      </c>
      <c r="G178" s="4"/>
      <c r="H178" s="4"/>
      <c r="I178" s="4"/>
      <c r="J178" s="4"/>
      <c r="K178" s="4"/>
      <c r="L178" s="4"/>
      <c r="M178" s="4"/>
      <c r="N178" s="4"/>
    </row>
    <row r="179" spans="2:19">
      <c r="E179" t="s">
        <v>112</v>
      </c>
      <c r="F179" s="4" t="s">
        <v>948</v>
      </c>
    </row>
    <row r="180" spans="2:19">
      <c r="F180" s="120" t="s">
        <v>1247</v>
      </c>
      <c r="I180" s="120"/>
    </row>
    <row r="181" spans="2:19">
      <c r="I181" s="120"/>
    </row>
    <row r="182" spans="2:19">
      <c r="B182" s="4"/>
      <c r="C182" s="4"/>
      <c r="E182" t="s">
        <v>113</v>
      </c>
      <c r="F182" s="3" t="s">
        <v>878</v>
      </c>
      <c r="H182" s="4"/>
    </row>
    <row r="183" spans="2:19">
      <c r="B183" s="4"/>
      <c r="C183" s="4"/>
      <c r="F183" t="s">
        <v>660</v>
      </c>
      <c r="G183" t="s">
        <v>716</v>
      </c>
      <c r="H183" s="4"/>
      <c r="O183" s="4"/>
      <c r="P183" s="4"/>
      <c r="Q183" s="4"/>
      <c r="R183" s="4"/>
      <c r="S183" s="4"/>
    </row>
    <row r="184" spans="2:19">
      <c r="B184" s="4"/>
      <c r="C184" s="4"/>
      <c r="H184" s="4"/>
      <c r="O184" s="4"/>
      <c r="P184" s="4"/>
      <c r="Q184" s="4"/>
      <c r="R184" s="4"/>
      <c r="S184" s="4"/>
    </row>
    <row r="185" spans="2:19">
      <c r="D185" s="2" t="s">
        <v>341</v>
      </c>
      <c r="E185" s="2" t="s">
        <v>1029</v>
      </c>
    </row>
    <row r="186" spans="2:19">
      <c r="B186" s="4"/>
      <c r="C186" s="4"/>
      <c r="E186" s="4" t="s">
        <v>717</v>
      </c>
      <c r="F186" s="4"/>
      <c r="I186" s="4"/>
    </row>
    <row r="187" spans="2:19">
      <c r="B187" s="4"/>
      <c r="C187" s="4"/>
      <c r="E187" s="4" t="s">
        <v>1027</v>
      </c>
      <c r="F187" s="120"/>
      <c r="G187" s="4"/>
      <c r="I187" s="120"/>
    </row>
    <row r="188" spans="2:19">
      <c r="B188" s="4"/>
      <c r="C188" s="4"/>
      <c r="F188" s="120"/>
      <c r="G188" s="4"/>
      <c r="I188" s="120"/>
    </row>
    <row r="189" spans="2:19">
      <c r="B189" s="4"/>
      <c r="C189" s="4"/>
      <c r="D189" s="2" t="s">
        <v>581</v>
      </c>
      <c r="E189" s="2" t="s">
        <v>3</v>
      </c>
      <c r="F189" s="120"/>
      <c r="G189" s="4"/>
      <c r="I189" s="120"/>
    </row>
    <row r="190" spans="2:19">
      <c r="B190" s="4"/>
      <c r="C190" s="4"/>
      <c r="D190" s="2"/>
      <c r="E190" s="4" t="s">
        <v>299</v>
      </c>
      <c r="F190" s="4"/>
      <c r="G190" s="4"/>
      <c r="I190" s="120"/>
    </row>
    <row r="191" spans="2:19">
      <c r="B191" s="4"/>
      <c r="C191" s="4"/>
      <c r="F191" s="120"/>
      <c r="G191" s="4"/>
      <c r="I191" s="120"/>
    </row>
    <row r="192" spans="2:19">
      <c r="D192" s="2" t="s">
        <v>521</v>
      </c>
      <c r="E192" s="2" t="s">
        <v>111</v>
      </c>
    </row>
    <row r="193" spans="2:37">
      <c r="B193" s="4"/>
      <c r="C193" s="2"/>
      <c r="E193" t="s">
        <v>112</v>
      </c>
      <c r="F193" s="4" t="s">
        <v>1037</v>
      </c>
      <c r="G193" s="4"/>
      <c r="H193" s="4"/>
      <c r="I193" s="4"/>
    </row>
    <row r="194" spans="2:37">
      <c r="B194" s="4"/>
      <c r="C194" s="2"/>
      <c r="F194" s="4" t="s">
        <v>660</v>
      </c>
      <c r="G194" s="3" t="s">
        <v>1310</v>
      </c>
    </row>
    <row r="195" spans="2:37">
      <c r="B195" s="4"/>
      <c r="C195" s="4"/>
      <c r="F195" s="4" t="s">
        <v>348</v>
      </c>
      <c r="G195" s="3" t="s">
        <v>1311</v>
      </c>
      <c r="I195" s="4"/>
      <c r="J195" s="4"/>
      <c r="M195" s="4"/>
      <c r="N195" s="4"/>
      <c r="O195" s="4"/>
      <c r="P195" s="4"/>
      <c r="Q195" s="4"/>
      <c r="R195" s="4"/>
      <c r="S195" s="4"/>
    </row>
    <row r="196" spans="2:37">
      <c r="B196" s="4"/>
      <c r="C196" s="4"/>
      <c r="F196" s="4" t="s">
        <v>349</v>
      </c>
      <c r="G196" s="4" t="s">
        <v>949</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303</v>
      </c>
      <c r="E198" s="2" t="s">
        <v>114</v>
      </c>
      <c r="G198" s="4"/>
      <c r="H198" s="4"/>
      <c r="I198" s="4"/>
      <c r="J198" s="4"/>
      <c r="M198" s="4"/>
      <c r="N198" s="4"/>
      <c r="O198" s="4"/>
      <c r="P198" s="4"/>
      <c r="Q198" s="4"/>
      <c r="R198" s="4"/>
      <c r="S198" s="4"/>
    </row>
    <row r="199" spans="2:37">
      <c r="B199" s="4"/>
      <c r="C199" s="4"/>
      <c r="D199" s="4"/>
      <c r="E199" s="4" t="s">
        <v>950</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429</v>
      </c>
      <c r="E201" s="2" t="s">
        <v>120</v>
      </c>
      <c r="G201" s="4"/>
      <c r="H201" s="4"/>
      <c r="I201" s="4"/>
      <c r="J201" s="4"/>
      <c r="M201" s="4"/>
      <c r="N201" s="4"/>
      <c r="O201" s="4"/>
      <c r="P201" s="4"/>
      <c r="Q201" s="4"/>
      <c r="R201" s="4"/>
      <c r="S201" s="4"/>
    </row>
    <row r="202" spans="2:37">
      <c r="B202" s="4"/>
      <c r="C202" s="4"/>
      <c r="D202" s="2"/>
      <c r="E202" s="4" t="s">
        <v>112</v>
      </c>
      <c r="F202" s="4" t="s">
        <v>951</v>
      </c>
      <c r="M202" s="4"/>
      <c r="N202" s="4"/>
      <c r="O202" s="4"/>
      <c r="P202" s="4"/>
      <c r="Q202" s="4"/>
      <c r="R202" s="4"/>
      <c r="S202" s="4"/>
    </row>
    <row r="203" spans="2:37">
      <c r="B203" s="4"/>
      <c r="C203" s="4"/>
      <c r="D203" s="2"/>
      <c r="E203" s="4" t="s">
        <v>113</v>
      </c>
      <c r="F203" s="4" t="s">
        <v>1038</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718</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660</v>
      </c>
      <c r="G205" s="4" t="s">
        <v>952</v>
      </c>
      <c r="I205" s="4"/>
      <c r="J205" s="4"/>
      <c r="M205" s="4"/>
      <c r="N205" s="4"/>
      <c r="O205" s="4"/>
      <c r="P205" s="4"/>
      <c r="Q205" s="4"/>
      <c r="R205" s="4"/>
      <c r="S205" s="4"/>
      <c r="T205" s="4"/>
      <c r="U205" s="4"/>
      <c r="V205" s="4"/>
      <c r="W205" s="4"/>
      <c r="X205" s="4"/>
      <c r="Y205" s="4"/>
    </row>
    <row r="206" spans="2:37">
      <c r="B206" s="4"/>
      <c r="C206" s="4"/>
      <c r="D206" s="2"/>
      <c r="E206" s="4" t="s">
        <v>588</v>
      </c>
      <c r="F206" s="4" t="s">
        <v>953</v>
      </c>
      <c r="M206" s="4"/>
      <c r="N206" s="4"/>
      <c r="O206" s="4"/>
      <c r="P206" s="4"/>
      <c r="Q206" s="4"/>
      <c r="R206" s="4"/>
      <c r="S206" s="4"/>
    </row>
    <row r="207" spans="2:37">
      <c r="B207" s="4"/>
      <c r="C207" s="4"/>
      <c r="D207" s="2"/>
      <c r="F207" t="s">
        <v>660</v>
      </c>
      <c r="G207" s="1267" t="s">
        <v>1279</v>
      </c>
      <c r="H207" s="1267"/>
      <c r="I207" s="1267"/>
      <c r="J207" s="1267"/>
      <c r="K207" s="1267"/>
      <c r="L207" s="1267"/>
      <c r="M207" s="1267"/>
      <c r="N207" s="1267"/>
      <c r="O207" s="1267"/>
      <c r="P207" s="1267"/>
      <c r="Q207" s="1267"/>
      <c r="R207" s="1267"/>
      <c r="S207" s="1267"/>
      <c r="T207" s="1267"/>
      <c r="U207" s="1267"/>
      <c r="V207" s="1267"/>
      <c r="W207" s="1267"/>
      <c r="X207" s="1267"/>
      <c r="Y207" s="1267"/>
      <c r="Z207" s="1267"/>
      <c r="AA207" s="1267"/>
      <c r="AB207" s="1267"/>
      <c r="AC207" s="1267"/>
      <c r="AD207" s="1267"/>
      <c r="AE207" s="1267"/>
      <c r="AF207" s="1267"/>
      <c r="AG207" s="1267"/>
      <c r="AH207" s="1267"/>
      <c r="AI207" s="1267"/>
      <c r="AJ207" s="1267"/>
      <c r="AK207" s="1267"/>
    </row>
    <row r="208" spans="2:37">
      <c r="B208" s="4"/>
      <c r="C208" s="4"/>
      <c r="D208" s="2"/>
      <c r="G208" s="1267"/>
      <c r="H208" s="1267"/>
      <c r="I208" s="1267"/>
      <c r="J208" s="1267"/>
      <c r="K208" s="1267"/>
      <c r="L208" s="1267"/>
      <c r="M208" s="1267"/>
      <c r="N208" s="1267"/>
      <c r="O208" s="1267"/>
      <c r="P208" s="1267"/>
      <c r="Q208" s="1267"/>
      <c r="R208" s="1267"/>
      <c r="S208" s="1267"/>
      <c r="T208" s="1267"/>
      <c r="U208" s="1267"/>
      <c r="V208" s="1267"/>
      <c r="W208" s="1267"/>
      <c r="X208" s="1267"/>
      <c r="Y208" s="1267"/>
      <c r="Z208" s="1267"/>
      <c r="AA208" s="1267"/>
      <c r="AB208" s="1267"/>
      <c r="AC208" s="1267"/>
      <c r="AD208" s="1267"/>
      <c r="AE208" s="1267"/>
      <c r="AF208" s="1267"/>
      <c r="AG208" s="1267"/>
      <c r="AH208" s="1267"/>
      <c r="AI208" s="1267"/>
      <c r="AJ208" s="1267"/>
      <c r="AK208" s="1267"/>
    </row>
    <row r="209" spans="1:38">
      <c r="B209" s="4"/>
      <c r="C209" s="4"/>
      <c r="D209" s="2"/>
      <c r="M209" s="4"/>
      <c r="N209" s="4"/>
      <c r="O209" s="4"/>
      <c r="P209" s="4"/>
      <c r="Q209" s="4"/>
      <c r="R209" s="4"/>
      <c r="S209" s="4"/>
    </row>
    <row r="210" spans="1:38">
      <c r="B210" s="4"/>
      <c r="C210" s="4"/>
      <c r="D210" s="2" t="s">
        <v>564</v>
      </c>
      <c r="E210" s="2" t="s">
        <v>772</v>
      </c>
      <c r="G210" s="4"/>
      <c r="H210" s="4"/>
      <c r="I210" s="4"/>
      <c r="J210" s="4"/>
      <c r="M210" s="4"/>
      <c r="N210" s="4"/>
      <c r="O210" s="4"/>
      <c r="P210" s="4"/>
      <c r="Q210" s="4"/>
      <c r="R210" s="4"/>
      <c r="S210" s="4"/>
      <c r="T210" s="4"/>
      <c r="U210" s="4"/>
      <c r="V210" s="4"/>
      <c r="W210" s="4"/>
    </row>
    <row r="211" spans="1:38">
      <c r="B211" s="4"/>
      <c r="C211" s="4"/>
      <c r="E211" s="4" t="s">
        <v>719</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562</v>
      </c>
      <c r="E213" s="2" t="s">
        <v>248</v>
      </c>
      <c r="F213" s="4"/>
      <c r="G213" s="4"/>
      <c r="I213" s="4"/>
      <c r="J213" s="4"/>
      <c r="M213" s="4"/>
      <c r="N213" s="4"/>
      <c r="O213" s="4"/>
      <c r="P213" s="4"/>
      <c r="Q213" s="4"/>
      <c r="R213" s="4"/>
      <c r="S213" s="4"/>
      <c r="T213" s="4"/>
      <c r="U213" s="4"/>
      <c r="V213" s="4"/>
      <c r="W213" s="4"/>
    </row>
    <row r="214" spans="1:38">
      <c r="B214" s="4"/>
      <c r="C214" s="4"/>
      <c r="D214" s="2"/>
      <c r="E214" s="4" t="s">
        <v>299</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720</v>
      </c>
      <c r="D216" s="2"/>
      <c r="G216" s="2" t="s">
        <v>817</v>
      </c>
      <c r="M216" s="4"/>
      <c r="N216" s="4"/>
      <c r="O216" s="4"/>
      <c r="P216" s="4"/>
      <c r="Q216" s="4"/>
      <c r="R216" s="4"/>
      <c r="S216" s="4"/>
    </row>
    <row r="217" spans="1:38">
      <c r="B217" s="4"/>
      <c r="C217" s="4"/>
      <c r="E217" t="s">
        <v>112</v>
      </c>
      <c r="F217" s="4" t="s">
        <v>816</v>
      </c>
      <c r="G217" s="4"/>
      <c r="H217" s="4"/>
      <c r="I217" s="4"/>
      <c r="L217" s="4"/>
      <c r="N217" s="4"/>
      <c r="O217" s="4"/>
      <c r="P217" s="4"/>
      <c r="Q217" s="4"/>
      <c r="R217" s="4"/>
      <c r="S217" s="4"/>
    </row>
    <row r="218" spans="1:38">
      <c r="B218" s="4"/>
      <c r="C218" s="4"/>
      <c r="F218" s="4" t="s">
        <v>660</v>
      </c>
      <c r="G218" s="4" t="s">
        <v>723</v>
      </c>
      <c r="I218" s="4"/>
      <c r="M218" s="4"/>
      <c r="N218" s="4"/>
      <c r="O218" s="4"/>
      <c r="P218" s="4"/>
      <c r="Q218" s="4"/>
      <c r="R218" s="4"/>
      <c r="S218" s="4"/>
    </row>
    <row r="219" spans="1:38">
      <c r="B219" s="4"/>
      <c r="C219" s="4"/>
      <c r="E219" t="s">
        <v>113</v>
      </c>
      <c r="F219" s="4" t="s">
        <v>400</v>
      </c>
      <c r="G219" s="4"/>
      <c r="H219" s="4"/>
      <c r="I219" s="4"/>
      <c r="M219" s="4"/>
      <c r="N219" s="4"/>
      <c r="O219" s="4"/>
      <c r="P219" s="4"/>
      <c r="Q219" s="4"/>
      <c r="R219" s="4"/>
      <c r="S219" s="4"/>
    </row>
    <row r="220" spans="1:38">
      <c r="B220" s="4"/>
      <c r="C220" s="4"/>
      <c r="F220" s="4" t="s">
        <v>660</v>
      </c>
      <c r="G220" s="4" t="s">
        <v>721</v>
      </c>
      <c r="I220" s="4"/>
      <c r="M220" s="4"/>
      <c r="N220" s="4"/>
      <c r="O220" s="4"/>
      <c r="P220" s="4"/>
      <c r="Q220" s="4"/>
      <c r="R220" s="4"/>
      <c r="S220" s="4"/>
    </row>
    <row r="221" spans="1:38">
      <c r="B221" s="4"/>
      <c r="C221" s="4"/>
      <c r="F221" s="4"/>
      <c r="G221" s="4" t="s">
        <v>722</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178</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430</v>
      </c>
      <c r="D225" s="4"/>
      <c r="E225" s="4"/>
      <c r="F225" s="4"/>
      <c r="G225" s="2" t="s">
        <v>459</v>
      </c>
      <c r="I225" s="4"/>
      <c r="J225" s="4"/>
      <c r="K225" s="4"/>
      <c r="M225" s="4"/>
      <c r="N225" s="4"/>
      <c r="O225" s="4"/>
      <c r="P225" s="4"/>
      <c r="Q225" s="4"/>
      <c r="R225" s="4"/>
      <c r="S225" s="4"/>
    </row>
    <row r="226" spans="2:19">
      <c r="B226" s="2"/>
      <c r="E226" s="4" t="s">
        <v>112</v>
      </c>
      <c r="F226" s="4" t="s">
        <v>724</v>
      </c>
      <c r="G226" s="4"/>
      <c r="I226" s="4"/>
      <c r="J226" s="4"/>
      <c r="K226" s="4"/>
      <c r="L226" s="4"/>
      <c r="M226" s="4"/>
      <c r="N226" s="4"/>
      <c r="O226" s="4"/>
      <c r="P226" s="4"/>
      <c r="Q226" s="4"/>
      <c r="R226" s="4"/>
      <c r="S226" s="4"/>
    </row>
    <row r="227" spans="2:19">
      <c r="B227" s="2"/>
      <c r="E227" s="4" t="s">
        <v>113</v>
      </c>
      <c r="F227" s="4" t="s">
        <v>687</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431</v>
      </c>
      <c r="D229" s="4"/>
      <c r="E229" s="4"/>
      <c r="F229" s="4"/>
      <c r="G229" s="2" t="s">
        <v>21</v>
      </c>
      <c r="I229" s="4"/>
      <c r="J229" s="4"/>
      <c r="K229" s="4"/>
      <c r="L229" s="4"/>
      <c r="M229" s="4"/>
      <c r="N229" s="4"/>
      <c r="O229" s="4"/>
      <c r="P229" s="4"/>
      <c r="Q229" s="4"/>
      <c r="R229" s="4"/>
      <c r="S229" s="4"/>
    </row>
    <row r="230" spans="2:19">
      <c r="B230" s="2"/>
      <c r="E230" s="4" t="s">
        <v>112</v>
      </c>
      <c r="F230" s="4" t="s">
        <v>725</v>
      </c>
      <c r="G230" s="4"/>
      <c r="I230" s="4"/>
      <c r="J230" s="4"/>
      <c r="K230" s="4"/>
      <c r="L230" s="4"/>
      <c r="M230" s="4"/>
      <c r="N230" s="4"/>
      <c r="O230" s="4"/>
      <c r="P230" s="4"/>
      <c r="Q230" s="4"/>
      <c r="R230" s="4"/>
      <c r="S230" s="4"/>
    </row>
    <row r="231" spans="2:19">
      <c r="B231" s="2"/>
      <c r="E231" s="4"/>
      <c r="F231" s="4" t="s">
        <v>726</v>
      </c>
      <c r="G231" s="4"/>
      <c r="H231" s="4"/>
      <c r="I231" s="4"/>
      <c r="J231" s="4"/>
      <c r="K231" s="4"/>
      <c r="L231" s="4"/>
      <c r="M231" s="4"/>
      <c r="N231" s="4"/>
      <c r="O231" s="4"/>
      <c r="P231" s="4"/>
      <c r="Q231" s="4"/>
      <c r="R231" s="4"/>
      <c r="S231" s="4"/>
    </row>
    <row r="232" spans="2:19">
      <c r="B232" s="2"/>
      <c r="D232" s="4"/>
      <c r="E232" s="4" t="s">
        <v>113</v>
      </c>
      <c r="F232" s="4" t="s">
        <v>687</v>
      </c>
      <c r="G232" s="4"/>
      <c r="I232" s="4"/>
      <c r="J232" s="4"/>
      <c r="K232" s="4"/>
      <c r="L232" s="4"/>
      <c r="M232" s="4"/>
      <c r="N232" s="4"/>
      <c r="O232" s="4"/>
      <c r="P232" s="4"/>
      <c r="Q232" s="4"/>
      <c r="R232" s="4"/>
      <c r="S232" s="4"/>
    </row>
    <row r="233" spans="2:19">
      <c r="B233" s="2"/>
      <c r="E233" s="4" t="s">
        <v>119</v>
      </c>
      <c r="F233" s="98" t="s">
        <v>968</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327</v>
      </c>
      <c r="F235" s="4"/>
      <c r="J235" s="4"/>
      <c r="K235" s="4"/>
      <c r="M235" s="4"/>
      <c r="N235" s="4"/>
      <c r="O235" s="4"/>
      <c r="P235" s="4"/>
      <c r="Q235" s="4"/>
      <c r="R235" s="4"/>
      <c r="S235" s="4"/>
    </row>
    <row r="236" spans="2:19">
      <c r="B236" s="4"/>
      <c r="C236" s="4"/>
      <c r="E236" t="s">
        <v>112</v>
      </c>
      <c r="F236" s="4" t="s">
        <v>327</v>
      </c>
      <c r="G236" s="2"/>
      <c r="H236" s="2"/>
      <c r="I236" s="2"/>
      <c r="L236" s="2"/>
      <c r="M236" s="2"/>
      <c r="N236" s="2"/>
      <c r="O236" s="2"/>
      <c r="P236" s="2"/>
      <c r="Q236" s="2"/>
      <c r="R236" s="4"/>
      <c r="S236" s="4"/>
    </row>
    <row r="237" spans="2:19">
      <c r="B237" s="4"/>
      <c r="C237" s="4"/>
      <c r="F237" s="4" t="s">
        <v>660</v>
      </c>
      <c r="G237" s="4" t="s">
        <v>727</v>
      </c>
      <c r="I237" s="4"/>
      <c r="M237" s="4"/>
      <c r="N237" s="4"/>
      <c r="O237" s="4"/>
      <c r="P237" s="4"/>
      <c r="Q237" s="4"/>
      <c r="R237" s="4"/>
      <c r="S237" s="4"/>
    </row>
    <row r="238" spans="2:19">
      <c r="B238" s="4"/>
      <c r="C238" s="4"/>
      <c r="F238" s="4"/>
      <c r="G238" s="4" t="s">
        <v>806</v>
      </c>
      <c r="I238" s="4"/>
      <c r="M238" s="4"/>
      <c r="N238" s="4"/>
      <c r="O238" s="4"/>
      <c r="P238" s="4"/>
      <c r="Q238" s="4"/>
      <c r="R238" s="4"/>
      <c r="S238" s="4"/>
    </row>
    <row r="239" spans="2:19">
      <c r="B239" s="4"/>
      <c r="C239" s="4"/>
      <c r="E239" t="s">
        <v>113</v>
      </c>
      <c r="F239" s="136" t="s">
        <v>446</v>
      </c>
      <c r="G239" s="2"/>
      <c r="H239" s="2"/>
      <c r="I239" s="2"/>
      <c r="L239" s="2"/>
      <c r="M239" s="2"/>
      <c r="N239" s="2"/>
      <c r="O239" s="2"/>
      <c r="P239" s="2"/>
      <c r="Q239" s="2"/>
      <c r="R239" s="2"/>
      <c r="S239" s="2"/>
    </row>
    <row r="240" spans="2:19">
      <c r="B240" s="4"/>
      <c r="C240" s="4"/>
      <c r="F240" s="4" t="s">
        <v>660</v>
      </c>
      <c r="G240" s="4" t="s">
        <v>730</v>
      </c>
      <c r="I240" s="4"/>
      <c r="M240" s="4"/>
      <c r="N240" s="4"/>
      <c r="O240" s="4"/>
      <c r="P240" s="4"/>
      <c r="Q240" s="4"/>
      <c r="R240" s="4"/>
      <c r="S240" s="4"/>
    </row>
    <row r="241" spans="2:21">
      <c r="B241" s="4"/>
      <c r="C241" s="4"/>
      <c r="F241" s="4"/>
      <c r="G241" s="4" t="s">
        <v>695</v>
      </c>
      <c r="H241" s="4" t="s">
        <v>957</v>
      </c>
      <c r="I241" s="4"/>
      <c r="M241" s="4"/>
      <c r="N241" s="4"/>
      <c r="O241" s="4"/>
      <c r="P241" s="4"/>
      <c r="Q241" s="4"/>
      <c r="R241" s="4"/>
      <c r="S241" s="4"/>
    </row>
    <row r="242" spans="2:21">
      <c r="B242" s="4"/>
      <c r="C242" s="4"/>
      <c r="F242" s="4" t="s">
        <v>348</v>
      </c>
      <c r="G242" s="136" t="s">
        <v>731</v>
      </c>
      <c r="I242" s="4"/>
      <c r="M242" s="4"/>
      <c r="N242" s="4"/>
      <c r="O242" s="4"/>
      <c r="P242" s="4"/>
      <c r="Q242" s="4"/>
      <c r="R242" s="4"/>
      <c r="S242" s="4"/>
    </row>
    <row r="243" spans="2:21">
      <c r="B243" s="4"/>
      <c r="C243" s="4"/>
      <c r="E243" t="s">
        <v>119</v>
      </c>
      <c r="F243" s="4" t="s">
        <v>660</v>
      </c>
      <c r="G243" s="136" t="s">
        <v>958</v>
      </c>
      <c r="I243" s="4"/>
      <c r="M243" s="4"/>
      <c r="N243" s="4"/>
      <c r="O243" s="4"/>
      <c r="P243" s="4"/>
      <c r="Q243" s="4"/>
      <c r="R243" s="4"/>
      <c r="S243" s="4"/>
    </row>
    <row r="244" spans="2:21">
      <c r="B244" s="4"/>
      <c r="C244" s="4"/>
      <c r="F244" s="4" t="s">
        <v>348</v>
      </c>
      <c r="G244" s="136" t="s">
        <v>959</v>
      </c>
      <c r="I244" s="4"/>
      <c r="M244" s="4"/>
      <c r="N244" s="4"/>
      <c r="O244" s="4"/>
      <c r="P244" s="4"/>
      <c r="Q244" s="4"/>
      <c r="R244" s="4"/>
      <c r="S244" s="4"/>
    </row>
    <row r="245" spans="2:21">
      <c r="B245" s="4"/>
      <c r="C245" s="4"/>
      <c r="F245" s="4" t="s">
        <v>349</v>
      </c>
      <c r="G245" s="136" t="s">
        <v>728</v>
      </c>
      <c r="I245" s="4"/>
      <c r="M245" s="4"/>
      <c r="N245" s="4"/>
      <c r="O245" s="4"/>
      <c r="P245" s="4"/>
      <c r="Q245" s="4"/>
      <c r="R245" s="4"/>
      <c r="S245" s="4"/>
    </row>
    <row r="246" spans="2:21">
      <c r="B246" s="4"/>
      <c r="C246" s="4"/>
      <c r="F246" s="4"/>
      <c r="G246" s="136" t="s">
        <v>729</v>
      </c>
      <c r="I246" s="4"/>
      <c r="M246" s="4"/>
      <c r="N246" s="4"/>
      <c r="O246" s="4"/>
      <c r="P246" s="4"/>
      <c r="Q246" s="4"/>
      <c r="R246" s="4"/>
      <c r="S246" s="4"/>
    </row>
    <row r="247" spans="2:21">
      <c r="B247" s="4"/>
      <c r="C247" s="4"/>
      <c r="D247" s="2"/>
      <c r="E247" s="4" t="s">
        <v>119</v>
      </c>
      <c r="F247" s="4" t="s">
        <v>328</v>
      </c>
      <c r="H247" s="4"/>
      <c r="I247" s="4"/>
      <c r="M247" s="4"/>
      <c r="N247" s="4"/>
      <c r="O247" s="4"/>
      <c r="P247" s="4"/>
      <c r="Q247" s="4"/>
      <c r="R247" s="4"/>
      <c r="S247" s="4"/>
    </row>
    <row r="248" spans="2:21">
      <c r="B248" s="4"/>
      <c r="C248" s="4"/>
      <c r="D248" s="2"/>
      <c r="E248" s="2"/>
      <c r="F248" t="s">
        <v>660</v>
      </c>
      <c r="G248" s="4" t="s">
        <v>433</v>
      </c>
      <c r="I248" s="4"/>
      <c r="M248" s="4"/>
      <c r="N248" s="4"/>
      <c r="O248" s="4"/>
      <c r="P248" s="4"/>
      <c r="Q248" s="4"/>
      <c r="R248" s="4"/>
      <c r="S248" s="4"/>
    </row>
    <row r="249" spans="2:21">
      <c r="B249" s="4"/>
      <c r="C249" s="4"/>
      <c r="D249" s="2"/>
      <c r="E249" s="2"/>
      <c r="F249" s="4"/>
      <c r="G249" s="4" t="s">
        <v>434</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383</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1248</v>
      </c>
      <c r="G253" s="4"/>
      <c r="I253" s="120"/>
      <c r="J253" s="4"/>
      <c r="K253" s="4"/>
      <c r="L253" s="4"/>
      <c r="M253" s="4"/>
      <c r="N253" s="4"/>
      <c r="O253" s="4"/>
      <c r="P253" s="4"/>
      <c r="Q253" s="4"/>
      <c r="R253" s="4"/>
      <c r="S253" s="4"/>
      <c r="T253" s="4"/>
      <c r="U253" s="4"/>
    </row>
    <row r="254" spans="2:21">
      <c r="B254" s="2"/>
      <c r="C254" s="2"/>
      <c r="E254" s="4" t="s">
        <v>113</v>
      </c>
      <c r="F254" s="4" t="s">
        <v>954</v>
      </c>
      <c r="I254" s="4"/>
      <c r="J254" s="4"/>
      <c r="K254" s="4"/>
      <c r="L254" s="4"/>
      <c r="M254" s="4"/>
      <c r="N254" s="4"/>
      <c r="O254" s="4"/>
      <c r="P254" s="4"/>
      <c r="Q254" s="4"/>
      <c r="R254" s="4"/>
      <c r="S254" s="4"/>
      <c r="T254" s="4"/>
      <c r="U254" s="4"/>
    </row>
    <row r="255" spans="2:21">
      <c r="B255" s="2"/>
      <c r="C255" s="2"/>
      <c r="E255" s="4"/>
      <c r="F255" s="218" t="s">
        <v>660</v>
      </c>
      <c r="G255" s="218" t="s">
        <v>819</v>
      </c>
      <c r="I255" s="3"/>
      <c r="K255" s="3"/>
      <c r="L255" s="3"/>
      <c r="M255" s="3"/>
      <c r="N255" s="3"/>
      <c r="O255" s="3"/>
      <c r="Q255" s="4"/>
      <c r="R255" s="4"/>
      <c r="S255" s="4"/>
      <c r="T255" s="4"/>
      <c r="U255" s="4"/>
    </row>
    <row r="256" spans="2:21">
      <c r="B256" s="2"/>
      <c r="C256" s="2"/>
      <c r="E256" s="4"/>
      <c r="F256" s="218"/>
      <c r="G256" s="218" t="s">
        <v>820</v>
      </c>
      <c r="I256" s="3"/>
      <c r="K256" s="3"/>
      <c r="L256" s="3"/>
      <c r="M256" s="3"/>
      <c r="N256" s="3"/>
      <c r="O256" s="3"/>
      <c r="P256" s="3"/>
    </row>
    <row r="257" spans="2:21">
      <c r="B257" s="2"/>
      <c r="C257" s="2"/>
      <c r="E257" s="4"/>
      <c r="F257" s="218" t="s">
        <v>348</v>
      </c>
      <c r="G257" s="218" t="s">
        <v>960</v>
      </c>
      <c r="I257" s="4"/>
      <c r="K257" s="4"/>
      <c r="L257" s="4"/>
      <c r="M257" s="4"/>
      <c r="N257" s="4"/>
      <c r="O257" s="4"/>
      <c r="P257" s="3"/>
    </row>
    <row r="258" spans="2:21">
      <c r="B258" s="2"/>
      <c r="C258" s="2"/>
      <c r="E258" s="4"/>
      <c r="F258" s="218"/>
      <c r="G258" s="218" t="s">
        <v>880</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207</v>
      </c>
      <c r="E260" s="2" t="s">
        <v>384</v>
      </c>
      <c r="G260" s="4"/>
      <c r="H260" s="4"/>
      <c r="I260" s="4"/>
      <c r="J260" s="4"/>
      <c r="K260" s="4"/>
      <c r="L260" s="4"/>
      <c r="M260" s="4"/>
      <c r="N260" s="4"/>
      <c r="O260" s="4"/>
      <c r="P260" s="4"/>
      <c r="Q260" s="4"/>
      <c r="R260" s="4"/>
      <c r="S260" s="4"/>
    </row>
    <row r="261" spans="2:21">
      <c r="B261" s="2"/>
      <c r="C261" s="2"/>
      <c r="E261" s="4" t="s">
        <v>112</v>
      </c>
      <c r="F261" s="4" t="s">
        <v>253</v>
      </c>
      <c r="G261" s="4"/>
      <c r="I261" s="4"/>
      <c r="J261" s="4"/>
      <c r="K261" s="4"/>
      <c r="L261" s="4"/>
      <c r="M261" s="4"/>
      <c r="N261" s="4"/>
      <c r="O261" s="4"/>
      <c r="P261" s="4"/>
      <c r="Q261" s="4"/>
      <c r="R261" s="4"/>
      <c r="S261" s="4"/>
    </row>
    <row r="262" spans="2:21">
      <c r="B262" s="2"/>
      <c r="C262" s="2"/>
      <c r="E262" s="4" t="s">
        <v>113</v>
      </c>
      <c r="F262" s="4" t="s">
        <v>811</v>
      </c>
      <c r="G262" s="4"/>
      <c r="I262" s="4"/>
      <c r="J262" s="4"/>
      <c r="K262" s="4"/>
      <c r="L262" s="4"/>
      <c r="M262" s="4"/>
      <c r="N262" s="4"/>
      <c r="O262" s="4"/>
      <c r="P262" s="4"/>
      <c r="Q262" s="4"/>
      <c r="R262" s="4"/>
      <c r="S262" s="4"/>
    </row>
    <row r="263" spans="2:21">
      <c r="B263" s="2"/>
      <c r="C263" s="2"/>
      <c r="E263" s="4" t="s">
        <v>119</v>
      </c>
      <c r="F263" s="4" t="s">
        <v>254</v>
      </c>
      <c r="I263" s="4"/>
      <c r="J263" s="4"/>
      <c r="K263" s="4"/>
      <c r="L263" s="4"/>
      <c r="M263" s="4"/>
      <c r="N263" s="4"/>
      <c r="O263" s="4"/>
      <c r="P263" s="4"/>
      <c r="Q263" s="4"/>
      <c r="R263" s="4"/>
      <c r="S263" s="4"/>
    </row>
    <row r="264" spans="2:21">
      <c r="B264" s="2"/>
      <c r="C264" s="2"/>
      <c r="E264" s="2"/>
      <c r="F264" s="4" t="s">
        <v>812</v>
      </c>
      <c r="I264" s="4"/>
      <c r="J264" s="4"/>
      <c r="K264" s="4"/>
      <c r="L264" s="4"/>
      <c r="M264" s="4"/>
      <c r="N264" s="4"/>
      <c r="O264" s="4"/>
      <c r="P264" s="4"/>
      <c r="Q264" s="4"/>
      <c r="R264" s="4"/>
      <c r="S264" s="4"/>
    </row>
    <row r="265" spans="2:21">
      <c r="B265" s="2"/>
      <c r="C265" s="2"/>
      <c r="E265" s="4" t="s">
        <v>588</v>
      </c>
      <c r="F265" s="218" t="s">
        <v>821</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341</v>
      </c>
      <c r="E267" s="2" t="s">
        <v>72</v>
      </c>
      <c r="G267" s="4"/>
      <c r="H267" s="4"/>
      <c r="I267" s="4"/>
      <c r="J267" s="4"/>
      <c r="K267" s="4"/>
      <c r="L267" s="4"/>
      <c r="M267" s="4"/>
      <c r="N267" s="4"/>
      <c r="O267" s="4"/>
      <c r="P267" s="4"/>
      <c r="Q267" s="4"/>
      <c r="R267" s="4"/>
      <c r="S267" s="4"/>
    </row>
    <row r="268" spans="2:21">
      <c r="B268" s="2"/>
      <c r="C268" s="2"/>
      <c r="E268" s="4" t="s">
        <v>1039</v>
      </c>
      <c r="F268" s="4"/>
      <c r="G268" s="4"/>
      <c r="O268" s="4"/>
      <c r="P268" s="4"/>
      <c r="Q268" s="4"/>
      <c r="R268" s="4"/>
      <c r="S268" s="4"/>
    </row>
    <row r="269" spans="2:21">
      <c r="B269" s="2"/>
      <c r="C269" s="2"/>
      <c r="E269" s="2"/>
      <c r="G269" s="4"/>
      <c r="H269" s="4"/>
      <c r="O269" s="4"/>
      <c r="P269" s="4"/>
      <c r="Q269" s="4"/>
      <c r="R269" s="4"/>
      <c r="S269" s="4"/>
    </row>
    <row r="270" spans="2:21">
      <c r="B270" s="2"/>
      <c r="C270" s="2"/>
      <c r="D270" s="2" t="s">
        <v>581</v>
      </c>
      <c r="E270" s="2" t="s">
        <v>287</v>
      </c>
      <c r="G270" s="4"/>
    </row>
    <row r="271" spans="2:21">
      <c r="B271" s="2"/>
      <c r="C271" s="2"/>
      <c r="E271" s="4" t="s">
        <v>255</v>
      </c>
      <c r="F271" s="4"/>
      <c r="G271" s="4"/>
      <c r="J271" s="4"/>
      <c r="K271" s="4"/>
      <c r="L271" s="4"/>
      <c r="M271" s="4"/>
      <c r="N271" s="4"/>
    </row>
    <row r="272" spans="2:21">
      <c r="B272" s="2"/>
      <c r="C272" s="2"/>
      <c r="E272" s="4" t="s">
        <v>961</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521</v>
      </c>
      <c r="E274" s="2" t="s">
        <v>619</v>
      </c>
      <c r="G274" s="4"/>
      <c r="H274" s="4"/>
      <c r="J274" s="4"/>
      <c r="K274" s="4"/>
      <c r="L274" s="4"/>
      <c r="M274" s="4"/>
      <c r="N274" s="4"/>
      <c r="O274" s="4"/>
      <c r="P274" s="4"/>
      <c r="Q274" s="4"/>
      <c r="R274" s="4"/>
      <c r="S274" s="4"/>
      <c r="T274" s="4"/>
      <c r="U274" s="4"/>
    </row>
    <row r="275" spans="2:21">
      <c r="B275" s="2"/>
      <c r="D275" s="4"/>
      <c r="E275" s="4" t="s">
        <v>1032</v>
      </c>
      <c r="J275" s="4"/>
      <c r="K275" s="4"/>
      <c r="L275" s="4"/>
      <c r="M275" s="4"/>
      <c r="N275" s="4"/>
      <c r="O275" s="4"/>
      <c r="P275" s="4"/>
      <c r="Q275" s="4"/>
      <c r="R275" s="4"/>
      <c r="S275" s="4"/>
      <c r="T275" s="4"/>
      <c r="U275" s="4"/>
    </row>
    <row r="276" spans="2:21">
      <c r="B276" s="2"/>
      <c r="D276" s="4"/>
      <c r="E276" s="4" t="s">
        <v>955</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303</v>
      </c>
      <c r="E278" s="2" t="s">
        <v>288</v>
      </c>
      <c r="K278" s="4"/>
      <c r="L278" s="4"/>
      <c r="M278" s="4"/>
      <c r="N278" s="4"/>
      <c r="O278" s="4"/>
      <c r="P278" s="4"/>
      <c r="Q278" s="4"/>
      <c r="R278" s="4"/>
      <c r="S278" s="4"/>
      <c r="T278" s="4"/>
      <c r="U278" s="4"/>
    </row>
    <row r="279" spans="2:21">
      <c r="B279" s="2"/>
      <c r="D279" s="2"/>
      <c r="E279" t="s">
        <v>256</v>
      </c>
      <c r="K279" s="4"/>
      <c r="L279" s="4"/>
      <c r="M279" s="4"/>
      <c r="N279" s="4"/>
      <c r="O279" s="4"/>
      <c r="P279" s="4"/>
      <c r="Q279" s="4"/>
      <c r="R279" s="4"/>
      <c r="S279" s="4"/>
    </row>
    <row r="280" spans="2:21">
      <c r="B280" s="2"/>
      <c r="D280" s="4"/>
      <c r="E280" s="4" t="s">
        <v>962</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429</v>
      </c>
      <c r="E282" s="2" t="s">
        <v>425</v>
      </c>
      <c r="G282" s="4"/>
      <c r="H282" s="4"/>
      <c r="I282" s="4"/>
      <c r="J282" s="4"/>
      <c r="K282" s="4"/>
      <c r="L282" s="4"/>
      <c r="M282" s="4"/>
      <c r="O282" s="4"/>
      <c r="P282" s="4"/>
      <c r="Q282" s="4"/>
      <c r="R282" s="4"/>
      <c r="S282" s="4"/>
    </row>
    <row r="283" spans="2:21">
      <c r="B283" s="2"/>
      <c r="D283" s="2"/>
      <c r="E283" t="s">
        <v>257</v>
      </c>
      <c r="G283" s="4"/>
      <c r="H283" s="4"/>
      <c r="I283" s="4"/>
      <c r="J283" s="4"/>
      <c r="K283" s="4"/>
      <c r="L283" s="4"/>
      <c r="M283" s="4"/>
      <c r="P283" s="4"/>
      <c r="Q283" s="4"/>
      <c r="R283" s="4"/>
      <c r="S283" s="4"/>
    </row>
    <row r="284" spans="2:21">
      <c r="B284" s="2"/>
      <c r="D284" s="2"/>
      <c r="E284" t="s">
        <v>258</v>
      </c>
      <c r="G284" s="4"/>
      <c r="H284" s="4"/>
      <c r="I284" s="4"/>
      <c r="J284" s="4"/>
      <c r="K284" s="4"/>
      <c r="L284" s="4"/>
      <c r="M284" s="4"/>
      <c r="P284" s="4"/>
      <c r="Q284" s="4"/>
      <c r="R284" s="4"/>
      <c r="S284" s="4"/>
    </row>
    <row r="285" spans="2:21">
      <c r="B285" s="2"/>
      <c r="D285" s="2"/>
      <c r="E285" s="120" t="s">
        <v>963</v>
      </c>
      <c r="F285" s="120"/>
      <c r="G285" s="4"/>
      <c r="H285" s="120"/>
      <c r="I285" s="120"/>
      <c r="J285" s="4"/>
      <c r="K285" s="4"/>
      <c r="L285" s="4"/>
      <c r="M285" s="4"/>
      <c r="P285" s="4"/>
      <c r="Q285" s="4"/>
      <c r="R285" s="4"/>
      <c r="S285" s="4"/>
    </row>
    <row r="286" spans="2:21">
      <c r="B286" s="2"/>
      <c r="D286" s="2"/>
      <c r="E286" s="483" t="s">
        <v>879</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564</v>
      </c>
      <c r="E288" s="2" t="s">
        <v>565</v>
      </c>
      <c r="K288" s="4"/>
      <c r="L288" s="4"/>
      <c r="M288" s="4"/>
      <c r="N288" s="4"/>
    </row>
    <row r="289" spans="2:23">
      <c r="B289" s="2"/>
      <c r="D289" s="4"/>
      <c r="E289" s="4" t="s">
        <v>112</v>
      </c>
      <c r="F289" s="4" t="s">
        <v>566</v>
      </c>
      <c r="G289" s="4"/>
      <c r="O289" s="4"/>
      <c r="P289" s="4"/>
      <c r="Q289" s="4"/>
      <c r="R289" s="4"/>
      <c r="S289" s="4"/>
      <c r="T289" s="4"/>
      <c r="U289" s="4"/>
      <c r="V289" s="4"/>
      <c r="W289" s="4"/>
    </row>
    <row r="290" spans="2:23">
      <c r="B290" s="2"/>
      <c r="D290" s="4"/>
      <c r="E290" s="4"/>
      <c r="F290" s="120" t="s">
        <v>1249</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567</v>
      </c>
      <c r="G291" s="4"/>
      <c r="L291" s="4"/>
      <c r="M291" s="4"/>
      <c r="N291" s="4"/>
      <c r="O291" s="4"/>
      <c r="P291" s="4"/>
      <c r="Q291" s="4"/>
      <c r="R291" s="4"/>
      <c r="S291" s="4"/>
      <c r="T291" s="4"/>
      <c r="U291" s="4"/>
      <c r="V291" s="4"/>
      <c r="W291" s="4"/>
    </row>
    <row r="292" spans="2:23">
      <c r="B292" s="2"/>
      <c r="D292" s="4"/>
      <c r="E292" s="4" t="s">
        <v>119</v>
      </c>
      <c r="F292" s="4" t="s">
        <v>259</v>
      </c>
      <c r="G292" s="4"/>
      <c r="H292" s="4"/>
      <c r="K292" s="4"/>
      <c r="L292" s="4"/>
      <c r="M292" s="4"/>
      <c r="N292" s="4"/>
      <c r="O292" s="4"/>
      <c r="P292" s="4"/>
      <c r="Q292" s="4"/>
      <c r="R292" s="4"/>
      <c r="S292" s="4"/>
      <c r="T292" s="4"/>
      <c r="U292" s="4"/>
      <c r="V292" s="4"/>
      <c r="W292" s="4"/>
    </row>
    <row r="293" spans="2:23">
      <c r="B293" s="2"/>
      <c r="D293" s="4"/>
      <c r="E293" s="4"/>
      <c r="F293" s="4" t="s">
        <v>660</v>
      </c>
      <c r="G293" s="4" t="s">
        <v>260</v>
      </c>
      <c r="K293" s="4"/>
      <c r="L293" s="4"/>
      <c r="M293" s="4"/>
      <c r="N293" s="4"/>
      <c r="O293" s="4"/>
      <c r="P293" s="4"/>
      <c r="Q293" s="4"/>
      <c r="R293" s="4"/>
      <c r="S293" s="4"/>
      <c r="T293" s="4"/>
      <c r="U293" s="4"/>
      <c r="V293" s="4"/>
      <c r="W293" s="4"/>
    </row>
    <row r="294" spans="2:23">
      <c r="B294" s="2"/>
      <c r="D294" s="4"/>
      <c r="E294" s="4"/>
      <c r="F294" s="4" t="s">
        <v>348</v>
      </c>
      <c r="G294" s="4" t="s">
        <v>956</v>
      </c>
      <c r="H294" s="4"/>
      <c r="K294" s="4"/>
      <c r="L294" s="4"/>
      <c r="M294" s="4"/>
      <c r="N294" s="4"/>
      <c r="O294" s="4"/>
      <c r="P294" s="4"/>
      <c r="Q294" s="4"/>
      <c r="R294" s="4"/>
      <c r="S294" s="4"/>
      <c r="T294" s="4"/>
      <c r="U294" s="4"/>
      <c r="V294" s="4"/>
      <c r="W294" s="4"/>
    </row>
    <row r="295" spans="2:23">
      <c r="B295" s="2"/>
      <c r="D295" s="4"/>
      <c r="E295" s="4"/>
      <c r="F295" s="4" t="s">
        <v>349</v>
      </c>
      <c r="G295" s="4" t="s">
        <v>568</v>
      </c>
      <c r="K295" s="4"/>
      <c r="L295" s="4"/>
      <c r="M295" s="4"/>
      <c r="N295" s="4"/>
      <c r="O295" s="4"/>
      <c r="P295" s="4"/>
      <c r="Q295" s="4"/>
      <c r="R295" s="4"/>
      <c r="S295" s="4"/>
      <c r="T295" s="4"/>
      <c r="U295" s="4"/>
      <c r="V295" s="4"/>
      <c r="W295" s="4"/>
    </row>
    <row r="296" spans="2:23">
      <c r="B296" s="2"/>
      <c r="D296" s="4"/>
      <c r="E296" s="4"/>
      <c r="F296" s="4" t="s">
        <v>445</v>
      </c>
      <c r="G296" s="4" t="s">
        <v>261</v>
      </c>
      <c r="H296" s="4"/>
      <c r="K296" s="4"/>
      <c r="L296" s="4"/>
      <c r="M296" s="4"/>
      <c r="N296" s="4"/>
      <c r="O296" s="4"/>
      <c r="P296" s="4"/>
      <c r="Q296" s="4"/>
      <c r="R296" s="4"/>
      <c r="S296" s="4"/>
      <c r="T296" s="4"/>
      <c r="U296" s="4"/>
      <c r="V296" s="4"/>
      <c r="W296" s="4"/>
    </row>
    <row r="297" spans="2:23">
      <c r="B297" s="2"/>
      <c r="D297" s="4"/>
      <c r="E297" s="4"/>
      <c r="F297" s="4" t="s">
        <v>262</v>
      </c>
      <c r="G297" s="4" t="s">
        <v>390</v>
      </c>
      <c r="K297" s="4"/>
      <c r="L297" s="4"/>
      <c r="M297" s="4"/>
      <c r="N297" s="4"/>
      <c r="O297" s="4"/>
      <c r="P297" s="4"/>
      <c r="Q297" s="4"/>
      <c r="R297" s="4"/>
      <c r="S297" s="4"/>
      <c r="T297" s="4"/>
      <c r="U297" s="4"/>
      <c r="V297" s="4"/>
      <c r="W297" s="4"/>
    </row>
    <row r="298" spans="2:23">
      <c r="B298" s="2"/>
      <c r="D298" s="4"/>
      <c r="E298" s="4"/>
      <c r="F298" s="4" t="s">
        <v>263</v>
      </c>
      <c r="G298" s="4" t="s">
        <v>169</v>
      </c>
      <c r="H298" s="4"/>
      <c r="K298" s="4"/>
      <c r="L298" s="4"/>
      <c r="M298" s="4"/>
      <c r="N298" s="4"/>
      <c r="O298" s="4"/>
      <c r="P298" s="4"/>
      <c r="Q298" s="4"/>
      <c r="R298" s="4"/>
      <c r="S298" s="4"/>
      <c r="T298" s="4"/>
      <c r="U298" s="4"/>
      <c r="V298" s="4"/>
      <c r="W298" s="4"/>
    </row>
    <row r="299" spans="2:23">
      <c r="B299" s="2"/>
      <c r="D299" s="4"/>
      <c r="E299" s="4" t="s">
        <v>588</v>
      </c>
      <c r="F299" s="4" t="s">
        <v>750</v>
      </c>
      <c r="G299" s="4"/>
      <c r="K299" s="4"/>
      <c r="L299" s="4"/>
      <c r="M299" s="4"/>
      <c r="N299" s="4"/>
      <c r="O299" s="4"/>
      <c r="P299" s="4"/>
      <c r="Q299" s="4"/>
      <c r="R299" s="4"/>
      <c r="S299" s="4"/>
      <c r="T299" s="4"/>
      <c r="U299" s="4"/>
      <c r="V299" s="4"/>
      <c r="W299" s="4"/>
    </row>
    <row r="300" spans="2:23">
      <c r="B300" s="2"/>
      <c r="D300" s="4"/>
      <c r="E300" s="4" t="s">
        <v>771</v>
      </c>
      <c r="F300" s="4" t="s">
        <v>757</v>
      </c>
      <c r="G300" s="4"/>
      <c r="K300" s="4"/>
      <c r="L300" s="4"/>
      <c r="M300" s="4"/>
      <c r="N300" s="4"/>
      <c r="O300" s="4"/>
      <c r="P300" s="4"/>
      <c r="Q300" s="4"/>
      <c r="R300" s="4"/>
      <c r="S300" s="4"/>
      <c r="T300" s="4"/>
      <c r="U300" s="4"/>
      <c r="V300" s="4"/>
      <c r="W300" s="4"/>
    </row>
    <row r="301" spans="2:23">
      <c r="B301" s="2"/>
      <c r="D301" s="4"/>
      <c r="E301" s="4"/>
      <c r="F301" s="120" t="s">
        <v>979</v>
      </c>
      <c r="G301" s="120"/>
      <c r="H301" s="120"/>
      <c r="I301" s="120"/>
      <c r="J301" s="120"/>
      <c r="K301" s="120"/>
      <c r="L301" s="120"/>
      <c r="M301" s="4"/>
      <c r="N301" s="4"/>
      <c r="O301" s="4"/>
      <c r="P301" s="4"/>
      <c r="Q301" s="4"/>
      <c r="R301" s="4"/>
      <c r="S301" s="4"/>
      <c r="T301" s="4"/>
      <c r="U301" s="4"/>
      <c r="V301" s="4"/>
      <c r="W301" s="4"/>
    </row>
    <row r="302" spans="2:23">
      <c r="B302" s="2"/>
      <c r="D302" s="4"/>
      <c r="E302" s="4"/>
      <c r="F302" s="120" t="s">
        <v>980</v>
      </c>
      <c r="G302" s="120"/>
      <c r="H302" s="120"/>
      <c r="I302" s="120"/>
      <c r="J302" s="120"/>
      <c r="K302" s="120"/>
      <c r="L302" s="120"/>
      <c r="M302" s="4"/>
      <c r="N302" s="4"/>
      <c r="O302" s="4"/>
      <c r="P302" s="4"/>
      <c r="Q302" s="4"/>
      <c r="R302" s="4"/>
      <c r="S302" s="4"/>
      <c r="T302" s="4"/>
      <c r="U302" s="4"/>
      <c r="V302" s="4"/>
      <c r="W302" s="4"/>
    </row>
    <row r="303" spans="2:23">
      <c r="B303" s="2"/>
      <c r="D303" s="4"/>
      <c r="E303" s="4"/>
      <c r="F303" s="120" t="s">
        <v>981</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562</v>
      </c>
      <c r="E305" s="2" t="s">
        <v>289</v>
      </c>
      <c r="G305" s="4"/>
      <c r="H305" s="4"/>
      <c r="I305" s="4"/>
      <c r="J305" s="4"/>
      <c r="K305" s="4"/>
      <c r="L305" s="4"/>
      <c r="M305" s="4"/>
      <c r="N305" s="4"/>
      <c r="O305" s="4"/>
      <c r="P305" s="4"/>
      <c r="Q305" s="4"/>
      <c r="R305" s="4"/>
      <c r="S305" s="4"/>
      <c r="T305" s="4"/>
      <c r="U305" s="4"/>
      <c r="V305" s="4"/>
      <c r="W305" s="4"/>
    </row>
    <row r="306" spans="2:23">
      <c r="B306" s="2"/>
      <c r="D306" s="2"/>
      <c r="E306" s="4" t="s">
        <v>964</v>
      </c>
      <c r="F306" s="4"/>
      <c r="K306" s="4"/>
      <c r="L306" s="4"/>
      <c r="M306" s="4"/>
      <c r="N306" s="4"/>
      <c r="O306" s="4"/>
      <c r="P306" s="4"/>
      <c r="Q306" s="4"/>
      <c r="R306" s="4"/>
      <c r="S306" s="4"/>
      <c r="T306" s="4"/>
      <c r="U306" s="4"/>
      <c r="V306" s="4"/>
      <c r="W306" s="4"/>
    </row>
    <row r="307" spans="2:23">
      <c r="B307" s="2"/>
      <c r="D307" s="2"/>
      <c r="E307" s="4" t="s">
        <v>962</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621</v>
      </c>
      <c r="I309" s="4"/>
      <c r="J309" s="4"/>
      <c r="K309" s="4"/>
      <c r="L309" s="4"/>
      <c r="M309" s="4"/>
      <c r="N309" s="4"/>
      <c r="O309" s="4"/>
      <c r="P309" s="4"/>
    </row>
    <row r="310" spans="2:23">
      <c r="B310" s="2"/>
      <c r="D310" s="2" t="s">
        <v>207</v>
      </c>
      <c r="E310" s="2" t="s">
        <v>264</v>
      </c>
      <c r="G310" s="2"/>
      <c r="H310" s="2"/>
      <c r="I310" s="2"/>
      <c r="J310" s="2"/>
      <c r="K310" s="2"/>
      <c r="L310" s="2"/>
      <c r="M310" s="2"/>
      <c r="N310" s="2"/>
      <c r="O310" s="2"/>
      <c r="P310" s="2"/>
      <c r="Q310" s="2"/>
      <c r="R310" s="2"/>
    </row>
    <row r="311" spans="2:23">
      <c r="B311" s="2"/>
      <c r="D311" s="2"/>
      <c r="E311" t="s">
        <v>265</v>
      </c>
      <c r="G311" s="4"/>
      <c r="I311" s="4"/>
      <c r="K311" s="4"/>
    </row>
    <row r="312" spans="2:23">
      <c r="B312" s="2"/>
      <c r="D312" s="2"/>
      <c r="E312" s="4" t="s">
        <v>807</v>
      </c>
      <c r="F312" s="4"/>
      <c r="G312" s="4"/>
      <c r="I312" s="4"/>
      <c r="K312" s="4"/>
    </row>
    <row r="313" spans="2:23">
      <c r="B313" s="2"/>
      <c r="D313" s="2"/>
      <c r="E313" s="4" t="s">
        <v>965</v>
      </c>
      <c r="F313" s="4"/>
      <c r="G313" s="4"/>
      <c r="I313" s="4"/>
      <c r="K313" s="4"/>
    </row>
    <row r="314" spans="2:23">
      <c r="B314" s="2"/>
      <c r="D314" s="2"/>
      <c r="E314" s="4" t="s">
        <v>808</v>
      </c>
      <c r="F314" s="4"/>
      <c r="G314" s="4"/>
      <c r="I314" s="4"/>
      <c r="K314" s="4"/>
    </row>
    <row r="315" spans="2:23">
      <c r="B315" s="2"/>
      <c r="D315" s="2"/>
      <c r="G315" s="4"/>
      <c r="I315" s="4"/>
      <c r="K315" s="4"/>
    </row>
    <row r="316" spans="2:23">
      <c r="B316" s="2"/>
      <c r="D316" s="2" t="s">
        <v>341</v>
      </c>
      <c r="E316" s="2" t="s">
        <v>759</v>
      </c>
      <c r="G316" s="4"/>
      <c r="H316" s="4"/>
      <c r="I316" s="4"/>
      <c r="J316" s="4"/>
      <c r="K316" s="4"/>
      <c r="P316" s="4"/>
      <c r="Q316" s="4"/>
      <c r="R316" s="4"/>
      <c r="S316" s="4"/>
    </row>
    <row r="317" spans="2:23">
      <c r="B317" s="2"/>
      <c r="D317" s="2"/>
      <c r="E317" t="s">
        <v>266</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581</v>
      </c>
      <c r="E319" s="170" t="s">
        <v>743</v>
      </c>
      <c r="F319" s="3"/>
      <c r="G319" s="4"/>
      <c r="H319" s="4"/>
      <c r="I319" s="4"/>
      <c r="J319" s="4"/>
      <c r="K319" s="4"/>
      <c r="L319" s="4"/>
      <c r="M319" s="4"/>
      <c r="N319" s="4"/>
      <c r="O319" s="4"/>
      <c r="P319" s="4"/>
      <c r="Q319" s="4"/>
      <c r="R319" s="4"/>
      <c r="S319" s="4"/>
    </row>
    <row r="320" spans="2:23">
      <c r="B320" s="2"/>
      <c r="E320" t="s">
        <v>740</v>
      </c>
      <c r="I320" s="4"/>
      <c r="J320" s="4"/>
      <c r="K320" s="4"/>
      <c r="L320" s="4"/>
      <c r="M320" s="4"/>
      <c r="N320" s="4"/>
      <c r="O320" s="4"/>
      <c r="P320" s="4"/>
      <c r="Q320" s="4"/>
      <c r="R320" s="4"/>
      <c r="S320" s="4"/>
    </row>
    <row r="321" spans="1:38">
      <c r="B321" s="2"/>
      <c r="E321" t="s">
        <v>741</v>
      </c>
      <c r="I321" s="4"/>
      <c r="J321" s="4"/>
      <c r="K321" s="4"/>
      <c r="L321" s="4"/>
      <c r="M321" s="4"/>
      <c r="N321" s="4"/>
      <c r="O321" s="4"/>
      <c r="P321" s="4"/>
      <c r="Q321" s="4"/>
      <c r="R321" s="4"/>
      <c r="S321" s="4"/>
    </row>
    <row r="322" spans="1:38">
      <c r="B322" s="2"/>
      <c r="E322" t="s">
        <v>742</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622</v>
      </c>
      <c r="I324" s="4"/>
      <c r="J324" s="4"/>
      <c r="K324" s="4"/>
      <c r="L324" s="4"/>
      <c r="M324" s="4"/>
      <c r="N324" s="4"/>
      <c r="O324" s="4"/>
      <c r="P324" s="4"/>
      <c r="Q324" s="4"/>
      <c r="R324" s="4"/>
      <c r="S324" s="4"/>
    </row>
    <row r="325" spans="1:38">
      <c r="A325" t="s">
        <v>250</v>
      </c>
      <c r="D325" s="2" t="s">
        <v>207</v>
      </c>
      <c r="E325" s="2" t="s">
        <v>622</v>
      </c>
      <c r="J325" s="2"/>
      <c r="K325" s="2"/>
      <c r="L325" s="2"/>
      <c r="M325" s="4"/>
      <c r="N325" s="4"/>
      <c r="O325" s="4"/>
      <c r="P325" s="4"/>
      <c r="Q325" s="4"/>
      <c r="R325" s="4"/>
      <c r="S325" s="4"/>
    </row>
    <row r="326" spans="1:38">
      <c r="E326" t="s">
        <v>112</v>
      </c>
      <c r="F326" s="4" t="s">
        <v>966</v>
      </c>
      <c r="J326" s="4"/>
      <c r="K326" s="4"/>
      <c r="L326" s="4"/>
      <c r="M326" s="4"/>
      <c r="N326" s="4"/>
      <c r="O326" s="4"/>
      <c r="P326" s="4"/>
      <c r="Q326" s="4"/>
      <c r="R326" s="4"/>
      <c r="S326" s="4"/>
    </row>
    <row r="327" spans="1:38">
      <c r="E327" s="4" t="s">
        <v>113</v>
      </c>
      <c r="F327" t="s">
        <v>744</v>
      </c>
      <c r="J327" s="4"/>
      <c r="K327" s="4"/>
      <c r="L327" s="4"/>
      <c r="M327" s="4"/>
      <c r="N327" s="4"/>
      <c r="O327" s="4"/>
      <c r="P327" s="4"/>
      <c r="Q327" s="4"/>
      <c r="R327" s="4"/>
      <c r="S327" s="4"/>
    </row>
    <row r="328" spans="1:38">
      <c r="F328" s="120" t="s">
        <v>1250</v>
      </c>
      <c r="I328" s="120"/>
      <c r="J328" s="4"/>
      <c r="K328" s="4"/>
      <c r="L328" s="4"/>
      <c r="M328" s="4"/>
      <c r="N328" s="4"/>
      <c r="O328" s="4"/>
      <c r="P328" s="4"/>
      <c r="Q328" s="4"/>
      <c r="R328" s="4"/>
      <c r="S328" s="4"/>
    </row>
    <row r="329" spans="1:38">
      <c r="F329" s="120" t="s">
        <v>1251</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522</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430</v>
      </c>
      <c r="G333" s="2" t="s">
        <v>22</v>
      </c>
      <c r="I333" s="2"/>
      <c r="J333" s="4"/>
      <c r="K333" s="4"/>
      <c r="L333" s="4"/>
      <c r="M333" s="4"/>
      <c r="N333" s="4"/>
      <c r="O333" s="4"/>
      <c r="P333" s="4"/>
      <c r="Q333" s="4"/>
      <c r="R333" s="4"/>
      <c r="S333" s="4"/>
    </row>
    <row r="334" spans="1:38">
      <c r="B334" s="2"/>
      <c r="C334" s="2"/>
      <c r="D334" s="2" t="s">
        <v>207</v>
      </c>
      <c r="E334" s="2" t="s">
        <v>22</v>
      </c>
      <c r="G334" s="2"/>
      <c r="I334" s="2"/>
      <c r="J334" s="4"/>
      <c r="K334" s="4"/>
      <c r="L334" s="4"/>
      <c r="M334" s="4"/>
      <c r="N334" s="4"/>
      <c r="O334" s="4"/>
      <c r="P334" s="4"/>
      <c r="Q334" s="4"/>
      <c r="R334" s="4"/>
      <c r="S334" s="4"/>
    </row>
    <row r="335" spans="1:38">
      <c r="B335" s="2"/>
      <c r="E335" t="s">
        <v>112</v>
      </c>
      <c r="F335" t="s">
        <v>747</v>
      </c>
      <c r="J335" s="4"/>
      <c r="K335" s="4"/>
      <c r="L335" s="4"/>
      <c r="M335" s="4"/>
      <c r="N335" s="4"/>
      <c r="O335" s="4"/>
      <c r="P335" s="4"/>
      <c r="Q335" s="4"/>
      <c r="R335" s="4"/>
      <c r="S335" s="4"/>
    </row>
    <row r="336" spans="1:38">
      <c r="B336" s="2"/>
      <c r="E336" s="4"/>
      <c r="F336" s="4" t="s">
        <v>748</v>
      </c>
      <c r="J336" s="4"/>
      <c r="K336" s="4"/>
      <c r="L336" s="4"/>
      <c r="M336" s="4"/>
      <c r="N336" s="4"/>
      <c r="O336" s="4"/>
      <c r="P336" s="4"/>
      <c r="Q336" s="4"/>
      <c r="R336" s="4"/>
      <c r="S336" s="4"/>
    </row>
    <row r="337" spans="2:37">
      <c r="B337" s="2"/>
      <c r="E337" s="4"/>
      <c r="F337" s="4" t="s">
        <v>749</v>
      </c>
      <c r="I337" s="4"/>
      <c r="J337" s="4"/>
      <c r="K337" s="4"/>
      <c r="L337" s="4"/>
      <c r="M337" s="4"/>
      <c r="N337" s="4"/>
      <c r="O337" s="4"/>
      <c r="P337" s="4"/>
      <c r="Q337" s="4"/>
      <c r="R337" s="4"/>
      <c r="S337" s="4"/>
    </row>
    <row r="338" spans="2:37">
      <c r="B338" s="2"/>
      <c r="E338" s="4" t="s">
        <v>113</v>
      </c>
      <c r="F338" s="1267" t="s">
        <v>1254</v>
      </c>
      <c r="G338" s="1267"/>
      <c r="H338" s="1267"/>
      <c r="I338" s="1267"/>
      <c r="J338" s="1267"/>
      <c r="K338" s="1267"/>
      <c r="L338" s="1267"/>
      <c r="M338" s="1267"/>
      <c r="N338" s="1267"/>
      <c r="O338" s="1267"/>
      <c r="P338" s="1267"/>
      <c r="Q338" s="1267"/>
      <c r="R338" s="1267"/>
      <c r="S338" s="1267"/>
      <c r="T338" s="1267"/>
      <c r="U338" s="1267"/>
      <c r="V338" s="1267"/>
      <c r="W338" s="1267"/>
      <c r="X338" s="1267"/>
      <c r="Y338" s="1267"/>
      <c r="Z338" s="1267"/>
      <c r="AA338" s="1267"/>
      <c r="AB338" s="1267"/>
      <c r="AC338" s="1267"/>
      <c r="AD338" s="1267"/>
      <c r="AE338" s="1267"/>
      <c r="AF338" s="1267"/>
      <c r="AG338" s="1267"/>
      <c r="AH338" s="1267"/>
      <c r="AI338" s="1267"/>
      <c r="AJ338" s="1267"/>
      <c r="AK338" s="1267"/>
    </row>
    <row r="339" spans="2:37">
      <c r="B339" s="2"/>
      <c r="E339" s="4"/>
      <c r="F339" s="1267"/>
      <c r="G339" s="1267"/>
      <c r="H339" s="1267"/>
      <c r="I339" s="1267"/>
      <c r="J339" s="1267"/>
      <c r="K339" s="1267"/>
      <c r="L339" s="1267"/>
      <c r="M339" s="1267"/>
      <c r="N339" s="1267"/>
      <c r="O339" s="1267"/>
      <c r="P339" s="1267"/>
      <c r="Q339" s="1267"/>
      <c r="R339" s="1267"/>
      <c r="S339" s="1267"/>
      <c r="T339" s="1267"/>
      <c r="U339" s="1267"/>
      <c r="V339" s="1267"/>
      <c r="W339" s="1267"/>
      <c r="X339" s="1267"/>
      <c r="Y339" s="1267"/>
      <c r="Z339" s="1267"/>
      <c r="AA339" s="1267"/>
      <c r="AB339" s="1267"/>
      <c r="AC339" s="1267"/>
      <c r="AD339" s="1267"/>
      <c r="AE339" s="1267"/>
      <c r="AF339" s="1267"/>
      <c r="AG339" s="1267"/>
      <c r="AH339" s="1267"/>
      <c r="AI339" s="1267"/>
      <c r="AJ339" s="1267"/>
      <c r="AK339" s="1267"/>
    </row>
    <row r="340" spans="2:37">
      <c r="B340" s="2"/>
      <c r="E340" s="4"/>
      <c r="F340" s="1267"/>
      <c r="G340" s="1267"/>
      <c r="H340" s="1267"/>
      <c r="I340" s="1267"/>
      <c r="J340" s="1267"/>
      <c r="K340" s="1267"/>
      <c r="L340" s="1267"/>
      <c r="M340" s="1267"/>
      <c r="N340" s="1267"/>
      <c r="O340" s="1267"/>
      <c r="P340" s="1267"/>
      <c r="Q340" s="1267"/>
      <c r="R340" s="1267"/>
      <c r="S340" s="1267"/>
      <c r="T340" s="1267"/>
      <c r="U340" s="1267"/>
      <c r="V340" s="1267"/>
      <c r="W340" s="1267"/>
      <c r="X340" s="1267"/>
      <c r="Y340" s="1267"/>
      <c r="Z340" s="1267"/>
      <c r="AA340" s="1267"/>
      <c r="AB340" s="1267"/>
      <c r="AC340" s="1267"/>
      <c r="AD340" s="1267"/>
      <c r="AE340" s="1267"/>
      <c r="AF340" s="1267"/>
      <c r="AG340" s="1267"/>
      <c r="AH340" s="1267"/>
      <c r="AI340" s="1267"/>
      <c r="AJ340" s="1267"/>
      <c r="AK340" s="1267"/>
    </row>
    <row r="341" spans="2:37">
      <c r="B341" s="2"/>
      <c r="F341" s="4"/>
      <c r="H341" s="4"/>
      <c r="I341" s="4"/>
      <c r="J341" s="4"/>
      <c r="K341" s="4"/>
      <c r="L341" s="4"/>
      <c r="M341" s="4"/>
      <c r="N341" s="4"/>
      <c r="O341" s="4"/>
      <c r="P341" s="4"/>
      <c r="Q341" s="4"/>
      <c r="R341" s="4"/>
      <c r="S341" s="4"/>
    </row>
    <row r="342" spans="2:37">
      <c r="B342" s="2"/>
      <c r="C342" s="2" t="s">
        <v>431</v>
      </c>
      <c r="G342" s="2" t="s">
        <v>1332</v>
      </c>
      <c r="I342" s="2"/>
      <c r="J342" s="4"/>
      <c r="K342" s="4"/>
      <c r="L342" s="4"/>
      <c r="M342" s="4"/>
      <c r="N342" s="4"/>
      <c r="O342" s="4"/>
      <c r="P342" s="4"/>
      <c r="Q342" s="4"/>
      <c r="R342" s="4"/>
      <c r="S342" s="4"/>
    </row>
    <row r="343" spans="2:37" ht="13.15" customHeight="1">
      <c r="B343" s="2"/>
      <c r="E343" s="1272" t="s">
        <v>1339</v>
      </c>
      <c r="F343" s="1272"/>
      <c r="G343" s="1272"/>
      <c r="H343" s="1272"/>
      <c r="I343" s="1272"/>
      <c r="J343" s="1272"/>
      <c r="K343" s="1272"/>
      <c r="L343" s="1272"/>
      <c r="M343" s="1272"/>
      <c r="N343" s="1272"/>
      <c r="O343" s="1272"/>
      <c r="P343" s="1272"/>
      <c r="Q343" s="1272"/>
      <c r="R343" s="1272"/>
      <c r="S343" s="1272"/>
      <c r="T343" s="1272"/>
      <c r="U343" s="1272"/>
      <c r="V343" s="1272"/>
      <c r="W343" s="1272"/>
      <c r="X343" s="1272"/>
      <c r="Y343" s="1272"/>
      <c r="Z343" s="1272"/>
      <c r="AA343" s="1272"/>
      <c r="AB343" s="1272"/>
      <c r="AC343" s="1272"/>
      <c r="AD343" s="1272"/>
      <c r="AE343" s="1272"/>
      <c r="AF343" s="1272"/>
      <c r="AG343" s="1272"/>
      <c r="AH343" s="1272"/>
      <c r="AI343" s="1272"/>
      <c r="AJ343" s="1272"/>
      <c r="AK343" s="1272"/>
    </row>
    <row r="344" spans="2:37">
      <c r="B344" s="2"/>
      <c r="E344" s="1272"/>
      <c r="F344" s="1272"/>
      <c r="G344" s="1272"/>
      <c r="H344" s="1272"/>
      <c r="I344" s="1272"/>
      <c r="J344" s="1272"/>
      <c r="K344" s="1272"/>
      <c r="L344" s="1272"/>
      <c r="M344" s="1272"/>
      <c r="N344" s="1272"/>
      <c r="O344" s="1272"/>
      <c r="P344" s="1272"/>
      <c r="Q344" s="1272"/>
      <c r="R344" s="1272"/>
      <c r="S344" s="1272"/>
      <c r="T344" s="1272"/>
      <c r="U344" s="1272"/>
      <c r="V344" s="1272"/>
      <c r="W344" s="1272"/>
      <c r="X344" s="1272"/>
      <c r="Y344" s="1272"/>
      <c r="Z344" s="1272"/>
      <c r="AA344" s="1272"/>
      <c r="AB344" s="1272"/>
      <c r="AC344" s="1272"/>
      <c r="AD344" s="1272"/>
      <c r="AE344" s="1272"/>
      <c r="AF344" s="1272"/>
      <c r="AG344" s="1272"/>
      <c r="AH344" s="1272"/>
      <c r="AI344" s="1272"/>
      <c r="AJ344" s="1272"/>
      <c r="AK344" s="1272"/>
    </row>
    <row r="345" spans="2:37">
      <c r="B345" s="2"/>
      <c r="E345" s="1272"/>
      <c r="F345" s="1272"/>
      <c r="G345" s="1272"/>
      <c r="H345" s="1272"/>
      <c r="I345" s="1272"/>
      <c r="J345" s="1272"/>
      <c r="K345" s="1272"/>
      <c r="L345" s="1272"/>
      <c r="M345" s="1272"/>
      <c r="N345" s="1272"/>
      <c r="O345" s="1272"/>
      <c r="P345" s="1272"/>
      <c r="Q345" s="1272"/>
      <c r="R345" s="1272"/>
      <c r="S345" s="1272"/>
      <c r="T345" s="1272"/>
      <c r="U345" s="1272"/>
      <c r="V345" s="1272"/>
      <c r="W345" s="1272"/>
      <c r="X345" s="1272"/>
      <c r="Y345" s="1272"/>
      <c r="Z345" s="1272"/>
      <c r="AA345" s="1272"/>
      <c r="AB345" s="1272"/>
      <c r="AC345" s="1272"/>
      <c r="AD345" s="1272"/>
      <c r="AE345" s="1272"/>
      <c r="AF345" s="1272"/>
      <c r="AG345" s="1272"/>
      <c r="AH345" s="1272"/>
      <c r="AI345" s="1272"/>
      <c r="AJ345" s="1272"/>
      <c r="AK345" s="1272"/>
    </row>
    <row r="346" spans="2:37">
      <c r="B346" s="2"/>
      <c r="E346" s="1272"/>
      <c r="F346" s="1272"/>
      <c r="G346" s="1272"/>
      <c r="H346" s="1272"/>
      <c r="I346" s="1272"/>
      <c r="J346" s="1272"/>
      <c r="K346" s="1272"/>
      <c r="L346" s="1272"/>
      <c r="M346" s="1272"/>
      <c r="N346" s="1272"/>
      <c r="O346" s="1272"/>
      <c r="P346" s="1272"/>
      <c r="Q346" s="1272"/>
      <c r="R346" s="1272"/>
      <c r="S346" s="1272"/>
      <c r="T346" s="1272"/>
      <c r="U346" s="1272"/>
      <c r="V346" s="1272"/>
      <c r="W346" s="1272"/>
      <c r="X346" s="1272"/>
      <c r="Y346" s="1272"/>
      <c r="Z346" s="1272"/>
      <c r="AA346" s="1272"/>
      <c r="AB346" s="1272"/>
      <c r="AC346" s="1272"/>
      <c r="AD346" s="1272"/>
      <c r="AE346" s="1272"/>
      <c r="AF346" s="1272"/>
      <c r="AG346" s="1272"/>
      <c r="AH346" s="1272"/>
      <c r="AI346" s="1272"/>
      <c r="AJ346" s="1272"/>
      <c r="AK346" s="1272"/>
    </row>
    <row r="347" spans="2:37">
      <c r="B347" s="2"/>
      <c r="E347" s="1272"/>
      <c r="F347" s="1272"/>
      <c r="G347" s="1272"/>
      <c r="H347" s="1272"/>
      <c r="I347" s="1272"/>
      <c r="J347" s="1272"/>
      <c r="K347" s="1272"/>
      <c r="L347" s="1272"/>
      <c r="M347" s="1272"/>
      <c r="N347" s="1272"/>
      <c r="O347" s="1272"/>
      <c r="P347" s="1272"/>
      <c r="Q347" s="1272"/>
      <c r="R347" s="1272"/>
      <c r="S347" s="1272"/>
      <c r="T347" s="1272"/>
      <c r="U347" s="1272"/>
      <c r="V347" s="1272"/>
      <c r="W347" s="1272"/>
      <c r="X347" s="1272"/>
      <c r="Y347" s="1272"/>
      <c r="Z347" s="1272"/>
      <c r="AA347" s="1272"/>
      <c r="AB347" s="1272"/>
      <c r="AC347" s="1272"/>
      <c r="AD347" s="1272"/>
      <c r="AE347" s="1272"/>
      <c r="AF347" s="1272"/>
      <c r="AG347" s="1272"/>
      <c r="AH347" s="1272"/>
      <c r="AI347" s="1272"/>
      <c r="AJ347" s="1272"/>
      <c r="AK347" s="1272"/>
    </row>
    <row r="348" spans="2:37">
      <c r="B348" s="2"/>
      <c r="E348" s="3" t="s">
        <v>112</v>
      </c>
      <c r="F348" s="1267" t="s">
        <v>1341</v>
      </c>
      <c r="G348" s="1267"/>
      <c r="H348" s="1267"/>
      <c r="I348" s="1267"/>
      <c r="J348" s="1267"/>
      <c r="K348" s="1267"/>
      <c r="L348" s="1267"/>
      <c r="M348" s="1267"/>
      <c r="N348" s="1267"/>
      <c r="O348" s="1267"/>
      <c r="P348" s="1267"/>
      <c r="Q348" s="1267"/>
      <c r="R348" s="1267"/>
      <c r="S348" s="1267"/>
      <c r="T348" s="1267"/>
      <c r="U348" s="1267"/>
      <c r="V348" s="1267"/>
      <c r="W348" s="1267"/>
      <c r="X348" s="1267"/>
      <c r="Y348" s="1267"/>
      <c r="Z348" s="1267"/>
      <c r="AA348" s="1267"/>
      <c r="AB348" s="1267"/>
      <c r="AC348" s="1267"/>
      <c r="AD348" s="1267"/>
      <c r="AE348" s="1267"/>
      <c r="AF348" s="1267"/>
      <c r="AG348" s="1267"/>
      <c r="AH348" s="1267"/>
      <c r="AI348" s="1267"/>
      <c r="AJ348" s="1267"/>
      <c r="AK348" s="1267"/>
    </row>
    <row r="349" spans="2:37">
      <c r="B349" s="2"/>
      <c r="E349" s="3"/>
      <c r="F349" s="1267"/>
      <c r="G349" s="1267"/>
      <c r="H349" s="1267"/>
      <c r="I349" s="1267"/>
      <c r="J349" s="1267"/>
      <c r="K349" s="1267"/>
      <c r="L349" s="1267"/>
      <c r="M349" s="1267"/>
      <c r="N349" s="1267"/>
      <c r="O349" s="1267"/>
      <c r="P349" s="1267"/>
      <c r="Q349" s="1267"/>
      <c r="R349" s="1267"/>
      <c r="S349" s="1267"/>
      <c r="T349" s="1267"/>
      <c r="U349" s="1267"/>
      <c r="V349" s="1267"/>
      <c r="W349" s="1267"/>
      <c r="X349" s="1267"/>
      <c r="Y349" s="1267"/>
      <c r="Z349" s="1267"/>
      <c r="AA349" s="1267"/>
      <c r="AB349" s="1267"/>
      <c r="AC349" s="1267"/>
      <c r="AD349" s="1267"/>
      <c r="AE349" s="1267"/>
      <c r="AF349" s="1267"/>
      <c r="AG349" s="1267"/>
      <c r="AH349" s="1267"/>
      <c r="AI349" s="1267"/>
      <c r="AJ349" s="1267"/>
      <c r="AK349" s="1267"/>
    </row>
    <row r="350" spans="2:37">
      <c r="B350" s="2"/>
      <c r="E350" s="3"/>
      <c r="F350" s="1267"/>
      <c r="G350" s="1267"/>
      <c r="H350" s="1267"/>
      <c r="I350" s="1267"/>
      <c r="J350" s="1267"/>
      <c r="K350" s="1267"/>
      <c r="L350" s="1267"/>
      <c r="M350" s="1267"/>
      <c r="N350" s="1267"/>
      <c r="O350" s="1267"/>
      <c r="P350" s="1267"/>
      <c r="Q350" s="1267"/>
      <c r="R350" s="1267"/>
      <c r="S350" s="1267"/>
      <c r="T350" s="1267"/>
      <c r="U350" s="1267"/>
      <c r="V350" s="1267"/>
      <c r="W350" s="1267"/>
      <c r="X350" s="1267"/>
      <c r="Y350" s="1267"/>
      <c r="Z350" s="1267"/>
      <c r="AA350" s="1267"/>
      <c r="AB350" s="1267"/>
      <c r="AC350" s="1267"/>
      <c r="AD350" s="1267"/>
      <c r="AE350" s="1267"/>
      <c r="AF350" s="1267"/>
      <c r="AG350" s="1267"/>
      <c r="AH350" s="1267"/>
      <c r="AI350" s="1267"/>
      <c r="AJ350" s="1267"/>
      <c r="AK350" s="1267"/>
    </row>
    <row r="351" spans="2:37">
      <c r="B351" s="2"/>
      <c r="E351" s="3"/>
      <c r="F351" s="1267"/>
      <c r="G351" s="1267"/>
      <c r="H351" s="1267"/>
      <c r="I351" s="1267"/>
      <c r="J351" s="1267"/>
      <c r="K351" s="1267"/>
      <c r="L351" s="1267"/>
      <c r="M351" s="1267"/>
      <c r="N351" s="1267"/>
      <c r="O351" s="1267"/>
      <c r="P351" s="1267"/>
      <c r="Q351" s="1267"/>
      <c r="R351" s="1267"/>
      <c r="S351" s="1267"/>
      <c r="T351" s="1267"/>
      <c r="U351" s="1267"/>
      <c r="V351" s="1267"/>
      <c r="W351" s="1267"/>
      <c r="X351" s="1267"/>
      <c r="Y351" s="1267"/>
      <c r="Z351" s="1267"/>
      <c r="AA351" s="1267"/>
      <c r="AB351" s="1267"/>
      <c r="AC351" s="1267"/>
      <c r="AD351" s="1267"/>
      <c r="AE351" s="1267"/>
      <c r="AF351" s="1267"/>
      <c r="AG351" s="1267"/>
      <c r="AH351" s="1267"/>
      <c r="AI351" s="1267"/>
      <c r="AJ351" s="1267"/>
      <c r="AK351" s="1267"/>
    </row>
    <row r="352" spans="2:37">
      <c r="B352" s="2"/>
      <c r="E352" s="3" t="s">
        <v>113</v>
      </c>
      <c r="F352" s="1267" t="s">
        <v>1340</v>
      </c>
      <c r="G352" s="1267"/>
      <c r="H352" s="1267"/>
      <c r="I352" s="1267"/>
      <c r="J352" s="1267"/>
      <c r="K352" s="1267"/>
      <c r="L352" s="1267"/>
      <c r="M352" s="1267"/>
      <c r="N352" s="1267"/>
      <c r="O352" s="1267"/>
      <c r="P352" s="1267"/>
      <c r="Q352" s="1267"/>
      <c r="R352" s="1267"/>
      <c r="S352" s="1267"/>
      <c r="T352" s="1267"/>
      <c r="U352" s="1267"/>
      <c r="V352" s="1267"/>
      <c r="W352" s="1267"/>
      <c r="X352" s="1267"/>
      <c r="Y352" s="1267"/>
      <c r="Z352" s="1267"/>
      <c r="AA352" s="1267"/>
      <c r="AB352" s="1267"/>
      <c r="AC352" s="1267"/>
      <c r="AD352" s="1267"/>
      <c r="AE352" s="1267"/>
      <c r="AF352" s="1267"/>
      <c r="AG352" s="1267"/>
      <c r="AH352" s="1267"/>
      <c r="AI352" s="1267"/>
      <c r="AJ352" s="1267"/>
      <c r="AK352" s="1267"/>
    </row>
    <row r="353" spans="1:38">
      <c r="B353" s="2"/>
      <c r="F353" s="1267"/>
      <c r="G353" s="1267"/>
      <c r="H353" s="1267"/>
      <c r="I353" s="1267"/>
      <c r="J353" s="1267"/>
      <c r="K353" s="1267"/>
      <c r="L353" s="1267"/>
      <c r="M353" s="1267"/>
      <c r="N353" s="1267"/>
      <c r="O353" s="1267"/>
      <c r="P353" s="1267"/>
      <c r="Q353" s="1267"/>
      <c r="R353" s="1267"/>
      <c r="S353" s="1267"/>
      <c r="T353" s="1267"/>
      <c r="U353" s="1267"/>
      <c r="V353" s="1267"/>
      <c r="W353" s="1267"/>
      <c r="X353" s="1267"/>
      <c r="Y353" s="1267"/>
      <c r="Z353" s="1267"/>
      <c r="AA353" s="1267"/>
      <c r="AB353" s="1267"/>
      <c r="AC353" s="1267"/>
      <c r="AD353" s="1267"/>
      <c r="AE353" s="1267"/>
      <c r="AF353" s="1267"/>
      <c r="AG353" s="1267"/>
      <c r="AH353" s="1267"/>
      <c r="AI353" s="1267"/>
      <c r="AJ353" s="1267"/>
      <c r="AK353" s="1267"/>
    </row>
    <row r="354" spans="1:38">
      <c r="B354" s="2"/>
      <c r="F354" s="1267"/>
      <c r="G354" s="1267"/>
      <c r="H354" s="1267"/>
      <c r="I354" s="1267"/>
      <c r="J354" s="1267"/>
      <c r="K354" s="1267"/>
      <c r="L354" s="1267"/>
      <c r="M354" s="1267"/>
      <c r="N354" s="1267"/>
      <c r="O354" s="1267"/>
      <c r="P354" s="1267"/>
      <c r="Q354" s="1267"/>
      <c r="R354" s="1267"/>
      <c r="S354" s="1267"/>
      <c r="T354" s="1267"/>
      <c r="U354" s="1267"/>
      <c r="V354" s="1267"/>
      <c r="W354" s="1267"/>
      <c r="X354" s="1267"/>
      <c r="Y354" s="1267"/>
      <c r="Z354" s="1267"/>
      <c r="AA354" s="1267"/>
      <c r="AB354" s="1267"/>
      <c r="AC354" s="1267"/>
      <c r="AD354" s="1267"/>
      <c r="AE354" s="1267"/>
      <c r="AF354" s="1267"/>
      <c r="AG354" s="1267"/>
      <c r="AH354" s="1267"/>
      <c r="AI354" s="1267"/>
      <c r="AJ354" s="1267"/>
      <c r="AK354" s="1267"/>
    </row>
    <row r="355" spans="1:38">
      <c r="B355" s="2"/>
      <c r="F355" s="4"/>
      <c r="H355" s="4"/>
      <c r="I355" s="4"/>
      <c r="J355" s="4"/>
      <c r="K355" s="4"/>
      <c r="L355" s="4"/>
      <c r="M355" s="4"/>
      <c r="N355" s="4"/>
      <c r="O355" s="4"/>
      <c r="P355" s="4"/>
      <c r="Q355" s="4"/>
      <c r="R355" s="4"/>
      <c r="S355" s="4"/>
    </row>
    <row r="356" spans="1:38">
      <c r="A356" s="5"/>
      <c r="B356" s="11" t="s">
        <v>760</v>
      </c>
      <c r="C356" s="11" t="s">
        <v>623</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1321</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207</v>
      </c>
      <c r="E360" s="2" t="s">
        <v>122</v>
      </c>
      <c r="I360" s="4"/>
      <c r="J360" s="4"/>
      <c r="K360" s="4"/>
      <c r="L360" s="4"/>
      <c r="M360" s="4"/>
      <c r="N360" s="4"/>
      <c r="O360" s="4"/>
      <c r="P360" s="4"/>
      <c r="Q360" s="4"/>
      <c r="R360" s="4"/>
      <c r="S360" s="4"/>
    </row>
    <row r="361" spans="1:38">
      <c r="B361" s="2"/>
      <c r="E361" t="s">
        <v>112</v>
      </c>
      <c r="F361" s="4" t="s">
        <v>751</v>
      </c>
      <c r="I361" s="4"/>
      <c r="J361" s="4"/>
      <c r="K361" s="4"/>
      <c r="L361" s="4"/>
      <c r="M361" s="4"/>
      <c r="N361" s="4"/>
      <c r="O361" s="4"/>
      <c r="P361" s="4"/>
      <c r="Q361" s="4"/>
      <c r="R361" s="4"/>
      <c r="S361" s="4"/>
    </row>
    <row r="362" spans="1:38">
      <c r="B362" s="2"/>
      <c r="F362" s="4" t="s">
        <v>752</v>
      </c>
      <c r="I362" s="4"/>
      <c r="J362" s="4"/>
      <c r="K362" s="4"/>
      <c r="L362" s="4"/>
      <c r="M362" s="4"/>
      <c r="N362" s="4"/>
      <c r="O362" s="4"/>
      <c r="P362" s="4"/>
      <c r="Q362" s="4"/>
      <c r="R362" s="4"/>
      <c r="S362" s="4"/>
    </row>
    <row r="363" spans="1:38">
      <c r="B363" s="2"/>
      <c r="F363" s="4" t="s">
        <v>882</v>
      </c>
      <c r="G363" s="4"/>
      <c r="K363" s="4"/>
      <c r="L363" s="4"/>
      <c r="M363" s="4"/>
      <c r="N363" s="4"/>
      <c r="O363" s="4"/>
      <c r="P363" s="4"/>
      <c r="Q363" s="4"/>
      <c r="R363" s="4"/>
      <c r="S363" s="4"/>
    </row>
    <row r="364" spans="1:38">
      <c r="B364" s="2"/>
      <c r="E364" t="s">
        <v>113</v>
      </c>
      <c r="F364" s="4" t="s">
        <v>881</v>
      </c>
      <c r="I364" s="4"/>
      <c r="J364" s="4"/>
      <c r="K364" s="4"/>
      <c r="L364" s="4"/>
      <c r="M364" s="4"/>
      <c r="N364" s="4"/>
      <c r="O364" s="4"/>
      <c r="P364" s="4"/>
      <c r="Q364" s="4"/>
      <c r="R364" s="4"/>
      <c r="S364" s="4"/>
    </row>
    <row r="365" spans="1:38">
      <c r="B365" s="2"/>
      <c r="E365" t="s">
        <v>119</v>
      </c>
      <c r="F365" s="4" t="s">
        <v>753</v>
      </c>
      <c r="I365" s="4"/>
      <c r="J365" s="4"/>
      <c r="K365" s="4"/>
      <c r="L365" s="4"/>
      <c r="M365" s="4"/>
      <c r="N365" s="4"/>
      <c r="O365" s="4"/>
      <c r="P365" s="4"/>
      <c r="Q365" s="4"/>
      <c r="R365" s="4"/>
      <c r="S365" s="4"/>
    </row>
    <row r="366" spans="1:38">
      <c r="B366" s="2"/>
      <c r="F366" s="4" t="s">
        <v>754</v>
      </c>
      <c r="J366" s="4"/>
      <c r="K366" s="4"/>
      <c r="L366" s="4"/>
      <c r="M366" s="4"/>
      <c r="N366" s="4"/>
      <c r="O366" s="4"/>
      <c r="P366" s="4"/>
      <c r="Q366" s="4"/>
      <c r="R366" s="4"/>
      <c r="S366" s="4"/>
    </row>
    <row r="367" spans="1:38">
      <c r="B367" s="2"/>
      <c r="E367" s="1275" t="s">
        <v>1330</v>
      </c>
      <c r="F367" s="1275"/>
      <c r="G367" s="1275"/>
      <c r="H367" s="1275"/>
      <c r="I367" s="1275"/>
      <c r="J367" s="1275"/>
      <c r="K367" s="1275"/>
      <c r="L367" s="1275"/>
      <c r="M367" s="1275"/>
      <c r="N367" s="1275"/>
      <c r="O367" s="1275"/>
      <c r="P367" s="1275"/>
      <c r="Q367" s="1275"/>
      <c r="R367" s="1275"/>
      <c r="S367" s="1275"/>
      <c r="T367" s="1275"/>
      <c r="U367" s="1275"/>
      <c r="V367" s="1275"/>
      <c r="W367" s="1275"/>
      <c r="X367" s="1275"/>
      <c r="Y367" s="1275"/>
      <c r="Z367" s="1275"/>
      <c r="AA367" s="1275"/>
      <c r="AB367" s="1275"/>
      <c r="AC367" s="1275"/>
      <c r="AD367" s="1275"/>
      <c r="AE367" s="1275"/>
      <c r="AF367" s="1275"/>
      <c r="AG367" s="1275"/>
      <c r="AH367" s="1275"/>
      <c r="AI367" s="1275"/>
      <c r="AJ367" s="1275"/>
      <c r="AK367" s="1275"/>
      <c r="AL367" s="1275"/>
    </row>
    <row r="368" spans="1:38">
      <c r="B368" s="2"/>
      <c r="E368" s="1275"/>
      <c r="F368" s="1275"/>
      <c r="G368" s="1275"/>
      <c r="H368" s="1275"/>
      <c r="I368" s="1275"/>
      <c r="J368" s="1275"/>
      <c r="K368" s="1275"/>
      <c r="L368" s="1275"/>
      <c r="M368" s="1275"/>
      <c r="N368" s="1275"/>
      <c r="O368" s="1275"/>
      <c r="P368" s="1275"/>
      <c r="Q368" s="1275"/>
      <c r="R368" s="1275"/>
      <c r="S368" s="1275"/>
      <c r="T368" s="1275"/>
      <c r="U368" s="1275"/>
      <c r="V368" s="1275"/>
      <c r="W368" s="1275"/>
      <c r="X368" s="1275"/>
      <c r="Y368" s="1275"/>
      <c r="Z368" s="1275"/>
      <c r="AA368" s="1275"/>
      <c r="AB368" s="1275"/>
      <c r="AC368" s="1275"/>
      <c r="AD368" s="1275"/>
      <c r="AE368" s="1275"/>
      <c r="AF368" s="1275"/>
      <c r="AG368" s="1275"/>
      <c r="AH368" s="1275"/>
      <c r="AI368" s="1275"/>
      <c r="AJ368" s="1275"/>
      <c r="AK368" s="1275"/>
      <c r="AL368" s="1275"/>
    </row>
    <row r="369" spans="1:37" s="1276" customFormat="1">
      <c r="A369"/>
      <c r="B369" s="2"/>
      <c r="C369"/>
      <c r="D369"/>
      <c r="E369" s="1273" t="s">
        <v>1363</v>
      </c>
    </row>
    <row r="370" spans="1:37" s="1276"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341</v>
      </c>
      <c r="E372" s="2" t="s">
        <v>575</v>
      </c>
      <c r="J372" s="4"/>
      <c r="K372" s="4"/>
      <c r="L372" s="4"/>
      <c r="M372" s="4"/>
      <c r="N372" s="4"/>
      <c r="O372" s="4"/>
      <c r="P372" s="4"/>
      <c r="Q372" s="4"/>
      <c r="R372" s="4"/>
      <c r="S372" s="4"/>
    </row>
    <row r="373" spans="1:37">
      <c r="B373" s="2"/>
      <c r="E373" s="4" t="s">
        <v>755</v>
      </c>
      <c r="F373" s="4"/>
      <c r="G373" s="4"/>
      <c r="H373" s="4"/>
      <c r="I373" s="4"/>
      <c r="J373" s="4"/>
      <c r="K373" s="4"/>
      <c r="L373" s="4"/>
      <c r="M373" s="4"/>
      <c r="N373" s="4"/>
      <c r="O373" s="4"/>
      <c r="P373" s="4"/>
      <c r="Q373" s="4"/>
      <c r="R373" s="4"/>
      <c r="S373" s="4"/>
    </row>
    <row r="374" spans="1:37">
      <c r="B374" s="2"/>
      <c r="E374" s="4" t="s">
        <v>756</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581</v>
      </c>
      <c r="E376" s="2" t="s">
        <v>282</v>
      </c>
      <c r="J376" s="4"/>
      <c r="K376" s="4"/>
      <c r="L376" s="4"/>
      <c r="M376" s="4"/>
      <c r="N376" s="4"/>
      <c r="O376" s="4"/>
      <c r="P376" s="4"/>
      <c r="Q376" s="4"/>
      <c r="R376" s="4"/>
      <c r="S376" s="4"/>
    </row>
    <row r="377" spans="1:37">
      <c r="B377" s="2"/>
      <c r="E377" s="4" t="s">
        <v>112</v>
      </c>
      <c r="F377" s="4" t="s">
        <v>251</v>
      </c>
      <c r="G377" s="4"/>
      <c r="I377" s="4"/>
      <c r="J377" s="4"/>
      <c r="K377" s="4"/>
      <c r="L377" s="4"/>
      <c r="M377" s="4"/>
      <c r="N377" s="4"/>
      <c r="O377" s="4"/>
      <c r="P377" s="4"/>
      <c r="Q377" s="4"/>
      <c r="R377" s="4"/>
      <c r="S377" s="4"/>
    </row>
    <row r="378" spans="1:37">
      <c r="B378" s="2"/>
      <c r="E378" s="4"/>
      <c r="F378" s="120" t="s">
        <v>1252</v>
      </c>
      <c r="G378" s="4"/>
      <c r="I378" s="120"/>
      <c r="J378" s="4"/>
      <c r="K378" s="4"/>
      <c r="L378" s="4"/>
      <c r="M378" s="4"/>
      <c r="N378" s="4"/>
      <c r="O378" s="4"/>
      <c r="P378" s="4"/>
      <c r="Q378" s="4"/>
      <c r="R378" s="4"/>
      <c r="S378" s="4"/>
    </row>
    <row r="379" spans="1:37">
      <c r="B379" s="2"/>
      <c r="E379" s="4" t="s">
        <v>113</v>
      </c>
      <c r="F379" s="4" t="s">
        <v>252</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521</v>
      </c>
      <c r="E381" s="2" t="s">
        <v>1364</v>
      </c>
      <c r="J381" s="3"/>
      <c r="K381" s="3"/>
      <c r="L381" s="3"/>
      <c r="M381" s="3"/>
      <c r="N381" s="3"/>
      <c r="O381" s="3"/>
      <c r="P381" s="3"/>
      <c r="Q381" s="3"/>
      <c r="R381" s="3"/>
      <c r="S381" s="3"/>
    </row>
    <row r="382" spans="1:37">
      <c r="B382" s="2"/>
      <c r="D382" s="2"/>
      <c r="E382" s="3" t="s">
        <v>755</v>
      </c>
      <c r="F382" s="3"/>
      <c r="G382" s="3"/>
      <c r="J382" s="3"/>
      <c r="K382" s="3"/>
      <c r="L382" s="3"/>
      <c r="M382" s="3"/>
      <c r="N382" s="3"/>
      <c r="O382" s="3"/>
      <c r="P382" s="3"/>
      <c r="Q382" s="3"/>
      <c r="R382" s="3"/>
      <c r="S382" s="3"/>
    </row>
    <row r="383" spans="1:37">
      <c r="B383" s="2"/>
      <c r="D383" s="2"/>
      <c r="E383" s="3" t="s">
        <v>1255</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303</v>
      </c>
      <c r="E385" s="2" t="s">
        <v>284</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1365</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1252</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7" t="s">
        <v>1374</v>
      </c>
      <c r="G388" s="1267"/>
      <c r="H388" s="1267"/>
      <c r="I388" s="1267"/>
      <c r="J388" s="1267"/>
      <c r="K388" s="1267"/>
      <c r="L388" s="1267"/>
      <c r="M388" s="1267"/>
      <c r="N388" s="1267"/>
      <c r="O388" s="1267"/>
      <c r="P388" s="1267"/>
      <c r="Q388" s="1267"/>
      <c r="R388" s="1267"/>
      <c r="S388" s="1267"/>
      <c r="T388" s="1267"/>
      <c r="U388" s="1267"/>
      <c r="V388" s="1267"/>
      <c r="W388" s="1267"/>
      <c r="X388" s="1267"/>
      <c r="Y388" s="1267"/>
      <c r="Z388" s="1267"/>
      <c r="AA388" s="1267"/>
      <c r="AB388" s="1267"/>
      <c r="AC388" s="1267"/>
      <c r="AD388" s="1267"/>
      <c r="AE388" s="1267"/>
      <c r="AF388" s="1267"/>
      <c r="AG388" s="1267"/>
      <c r="AH388" s="1267"/>
      <c r="AI388" s="1267"/>
      <c r="AJ388" s="1267"/>
      <c r="AK388" s="1267"/>
    </row>
    <row r="389" spans="1:38">
      <c r="B389" s="2"/>
      <c r="E389" s="3"/>
      <c r="F389" s="1267"/>
      <c r="G389" s="1267"/>
      <c r="H389" s="1267"/>
      <c r="I389" s="1267"/>
      <c r="J389" s="1267"/>
      <c r="K389" s="1267"/>
      <c r="L389" s="1267"/>
      <c r="M389" s="1267"/>
      <c r="N389" s="1267"/>
      <c r="O389" s="1267"/>
      <c r="P389" s="1267"/>
      <c r="Q389" s="1267"/>
      <c r="R389" s="1267"/>
      <c r="S389" s="1267"/>
      <c r="T389" s="1267"/>
      <c r="U389" s="1267"/>
      <c r="V389" s="1267"/>
      <c r="W389" s="1267"/>
      <c r="X389" s="1267"/>
      <c r="Y389" s="1267"/>
      <c r="Z389" s="1267"/>
      <c r="AA389" s="1267"/>
      <c r="AB389" s="1267"/>
      <c r="AC389" s="1267"/>
      <c r="AD389" s="1267"/>
      <c r="AE389" s="1267"/>
      <c r="AF389" s="1267"/>
      <c r="AG389" s="1267"/>
      <c r="AH389" s="1267"/>
      <c r="AI389" s="1267"/>
      <c r="AJ389" s="1267"/>
      <c r="AK389" s="1267"/>
    </row>
    <row r="390" spans="1:38">
      <c r="B390" s="2"/>
      <c r="E390" s="3"/>
      <c r="F390" s="1267"/>
      <c r="G390" s="1267"/>
      <c r="H390" s="1267"/>
      <c r="I390" s="1267"/>
      <c r="J390" s="1267"/>
      <c r="K390" s="1267"/>
      <c r="L390" s="1267"/>
      <c r="M390" s="1267"/>
      <c r="N390" s="1267"/>
      <c r="O390" s="1267"/>
      <c r="P390" s="1267"/>
      <c r="Q390" s="1267"/>
      <c r="R390" s="1267"/>
      <c r="S390" s="1267"/>
      <c r="T390" s="1267"/>
      <c r="U390" s="1267"/>
      <c r="V390" s="1267"/>
      <c r="W390" s="1267"/>
      <c r="X390" s="1267"/>
      <c r="Y390" s="1267"/>
      <c r="Z390" s="1267"/>
      <c r="AA390" s="1267"/>
      <c r="AB390" s="1267"/>
      <c r="AC390" s="1267"/>
      <c r="AD390" s="1267"/>
      <c r="AE390" s="1267"/>
      <c r="AF390" s="1267"/>
      <c r="AG390" s="1267"/>
      <c r="AH390" s="1267"/>
      <c r="AI390" s="1267"/>
      <c r="AJ390" s="1267"/>
      <c r="AK390" s="1267"/>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429</v>
      </c>
      <c r="E392" s="2" t="s">
        <v>1380</v>
      </c>
      <c r="F392" s="3"/>
      <c r="G392" s="2"/>
      <c r="I392" s="120"/>
      <c r="J392" s="3"/>
      <c r="K392" s="3"/>
      <c r="L392" s="3"/>
      <c r="M392" s="3"/>
      <c r="N392" s="3"/>
      <c r="O392" s="3"/>
      <c r="P392" s="3"/>
      <c r="Q392" s="3"/>
      <c r="R392" s="3"/>
      <c r="S392" s="3"/>
    </row>
    <row r="393" spans="1:38" ht="13.15" customHeight="1">
      <c r="B393" s="2"/>
      <c r="D393" s="2"/>
      <c r="E393" s="3" t="s">
        <v>1379</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1255</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A168" zoomScaleNormal="100" workbookViewId="0">
      <selection activeCell="C200" sqref="C200:N200"/>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140625" style="1197" bestFit="1" customWidth="1"/>
    <col min="72" max="76" width="5.5703125" style="1197" bestFit="1" customWidth="1"/>
    <col min="77" max="77" width="6.140625" style="1197" bestFit="1" customWidth="1"/>
    <col min="78" max="78" width="5.5703125" style="1197" bestFit="1" customWidth="1"/>
    <col min="79" max="16384" width="2.7109375" style="1197"/>
  </cols>
  <sheetData>
    <row r="1" spans="1:65" ht="15.75" customHeight="1">
      <c r="A1" s="2583" t="s">
        <v>2408</v>
      </c>
      <c r="B1" s="2584"/>
      <c r="C1" s="2584"/>
      <c r="D1" s="2584"/>
      <c r="E1" s="2584"/>
      <c r="F1" s="2584"/>
      <c r="G1" s="2584"/>
      <c r="H1" s="2584"/>
      <c r="I1" s="2584"/>
      <c r="J1" s="2584"/>
      <c r="K1" s="2584"/>
      <c r="L1" s="2584"/>
      <c r="M1" s="2584"/>
      <c r="N1" s="2584"/>
      <c r="O1" s="2584"/>
      <c r="P1" s="2584"/>
      <c r="Q1" s="2584"/>
      <c r="R1" s="2584"/>
      <c r="S1" s="2584"/>
      <c r="T1" s="2584"/>
      <c r="U1" s="2584"/>
      <c r="V1" s="2584"/>
      <c r="W1" s="2584"/>
      <c r="X1" s="2584"/>
      <c r="Y1" s="2584"/>
      <c r="Z1" s="2584"/>
      <c r="AA1" s="2584"/>
      <c r="AB1" s="2584"/>
      <c r="AC1" s="2584"/>
      <c r="AD1" s="2584"/>
      <c r="AE1" s="2584"/>
      <c r="AF1" s="2584"/>
      <c r="AG1" s="2584"/>
      <c r="AH1" s="2584"/>
      <c r="AI1" s="2584"/>
      <c r="AJ1" s="2584"/>
      <c r="AK1" s="2584"/>
      <c r="AL1" s="2584"/>
      <c r="AM1" s="2584"/>
      <c r="AN1" s="2584"/>
      <c r="AO1" s="2584"/>
      <c r="AP1" s="2584"/>
      <c r="AQ1" s="2584"/>
      <c r="AR1" s="2584"/>
      <c r="AS1" s="2584"/>
      <c r="AT1" s="2584"/>
      <c r="AU1" s="2584"/>
      <c r="AV1" s="2584"/>
      <c r="AW1" s="2584"/>
      <c r="AX1" s="2584"/>
      <c r="AY1" s="2584"/>
      <c r="AZ1" s="2584"/>
      <c r="BA1" s="2584"/>
      <c r="BB1" s="2584"/>
      <c r="BC1" s="2584"/>
      <c r="BD1" s="2584"/>
      <c r="BE1" s="2585"/>
    </row>
    <row r="2" spans="1:65" ht="15.75" customHeight="1">
      <c r="A2" s="2586" t="s">
        <v>2455</v>
      </c>
      <c r="B2" s="2587"/>
      <c r="C2" s="2587"/>
      <c r="D2" s="2587"/>
      <c r="E2" s="2587"/>
      <c r="F2" s="2587"/>
      <c r="G2" s="2587"/>
      <c r="H2" s="2587"/>
      <c r="I2" s="2587"/>
      <c r="J2" s="2587"/>
      <c r="K2" s="2587"/>
      <c r="L2" s="2587"/>
      <c r="M2" s="2587"/>
      <c r="N2" s="2587"/>
      <c r="O2" s="2587"/>
      <c r="P2" s="2587"/>
      <c r="Q2" s="2587"/>
      <c r="R2" s="2587"/>
      <c r="S2" s="2587"/>
      <c r="T2" s="2587"/>
      <c r="U2" s="2587"/>
      <c r="V2" s="2587"/>
      <c r="W2" s="2587"/>
      <c r="X2" s="2587"/>
      <c r="Y2" s="2587"/>
      <c r="Z2" s="2587"/>
      <c r="AA2" s="2587"/>
      <c r="AB2" s="2587"/>
      <c r="AC2" s="2587"/>
      <c r="AD2" s="2587"/>
      <c r="AE2" s="2587"/>
      <c r="AF2" s="2587"/>
      <c r="AG2" s="2587"/>
      <c r="AH2" s="2587"/>
      <c r="AI2" s="2587"/>
      <c r="AJ2" s="2587"/>
      <c r="AK2" s="2587"/>
      <c r="AL2" s="2587"/>
      <c r="AM2" s="2587"/>
      <c r="AN2" s="2587"/>
      <c r="AO2" s="2587"/>
      <c r="AP2" s="2587"/>
      <c r="AQ2" s="2587"/>
      <c r="AR2" s="2587"/>
      <c r="AS2" s="2587"/>
      <c r="AT2" s="2587"/>
      <c r="AU2" s="2587"/>
      <c r="AV2" s="2587"/>
      <c r="AW2" s="2587"/>
      <c r="AX2" s="2587"/>
      <c r="AY2" s="2587"/>
      <c r="AZ2" s="2587"/>
      <c r="BA2" s="2587"/>
      <c r="BB2" s="2587"/>
      <c r="BC2" s="2587"/>
      <c r="BD2" s="2587"/>
      <c r="BE2" s="2588"/>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663</v>
      </c>
      <c r="C4" s="1214"/>
      <c r="D4" s="1214"/>
      <c r="E4" s="1214"/>
      <c r="F4" s="1214"/>
      <c r="G4" s="1206"/>
      <c r="H4" s="1206"/>
      <c r="I4" s="1206"/>
      <c r="J4" s="1206"/>
      <c r="K4" s="1206"/>
      <c r="L4" s="2589" t="str">
        <f>IF(Application!H18="","",Application!H18)</f>
        <v>North Fair Oaks Apartments</v>
      </c>
      <c r="M4" s="2590"/>
      <c r="N4" s="2590"/>
      <c r="O4" s="2590"/>
      <c r="P4" s="2590"/>
      <c r="Q4" s="2590"/>
      <c r="R4" s="2590"/>
      <c r="S4" s="2590"/>
      <c r="T4" s="2590"/>
      <c r="U4" s="2590"/>
      <c r="V4" s="2590"/>
      <c r="W4" s="2590"/>
      <c r="X4" s="2590"/>
      <c r="Y4" s="2590"/>
      <c r="Z4" s="2590"/>
      <c r="AA4" s="2590"/>
      <c r="AB4" s="2590"/>
      <c r="AC4" s="2591"/>
      <c r="AD4" s="1206"/>
      <c r="AE4" s="1206"/>
      <c r="AF4" s="2236" t="s">
        <v>2456</v>
      </c>
      <c r="AG4" s="2236"/>
      <c r="AH4" s="2236"/>
      <c r="AI4" s="2236"/>
      <c r="AJ4" s="2236"/>
      <c r="AK4" s="2236"/>
      <c r="AL4" s="2236"/>
      <c r="AM4" s="2236"/>
      <c r="AN4" s="2236"/>
      <c r="AO4" s="2236"/>
      <c r="AP4" s="2237"/>
      <c r="AQ4" s="2238"/>
      <c r="AR4" s="2238"/>
      <c r="AS4" s="2238"/>
      <c r="AT4" s="2238"/>
      <c r="AU4" s="2238"/>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36" t="s">
        <v>2457</v>
      </c>
      <c r="AG5" s="2236"/>
      <c r="AH5" s="2236"/>
      <c r="AI5" s="2236"/>
      <c r="AJ5" s="2236"/>
      <c r="AK5" s="2236"/>
      <c r="AL5" s="2236"/>
      <c r="AM5" s="2236"/>
      <c r="AN5" s="2236"/>
      <c r="AO5" s="2236"/>
      <c r="AP5" s="2237"/>
      <c r="AQ5" s="2238"/>
      <c r="AR5" s="2238"/>
      <c r="AS5" s="2238"/>
      <c r="AT5" s="2238"/>
      <c r="AU5" s="2238"/>
      <c r="AV5" s="1206"/>
      <c r="AW5" s="1206"/>
      <c r="AX5" s="1206"/>
      <c r="AY5" s="1206"/>
      <c r="AZ5" s="1206"/>
      <c r="BA5" s="1206"/>
      <c r="BB5" s="1206"/>
      <c r="BC5" s="1206"/>
      <c r="BD5" s="1206"/>
      <c r="BE5" s="1216"/>
    </row>
    <row r="6" spans="1:65" ht="15.75" customHeight="1" thickBot="1">
      <c r="A6" s="1212"/>
      <c r="B6" s="1214" t="s">
        <v>1785</v>
      </c>
      <c r="C6" s="1206"/>
      <c r="D6" s="1206"/>
      <c r="E6" s="1206"/>
      <c r="F6" s="1206"/>
      <c r="G6" s="1206"/>
      <c r="H6" s="1206"/>
      <c r="I6" s="1206"/>
      <c r="J6" s="1206"/>
      <c r="K6" s="1206"/>
      <c r="L6" s="2589" t="str">
        <f>IF(Application!H16="","",Application!H16)</f>
        <v>Compass for Affordable Housing</v>
      </c>
      <c r="M6" s="2590"/>
      <c r="N6" s="2590"/>
      <c r="O6" s="2590"/>
      <c r="P6" s="2590"/>
      <c r="Q6" s="2590"/>
      <c r="R6" s="2590"/>
      <c r="S6" s="2590"/>
      <c r="T6" s="2590"/>
      <c r="U6" s="2590"/>
      <c r="V6" s="2590"/>
      <c r="W6" s="2590"/>
      <c r="X6" s="2590"/>
      <c r="Y6" s="2590"/>
      <c r="Z6" s="2590"/>
      <c r="AA6" s="2590"/>
      <c r="AB6" s="2590"/>
      <c r="AC6" s="2591"/>
      <c r="AD6" s="1206"/>
      <c r="AE6" s="1206"/>
      <c r="AF6" s="2592" t="s">
        <v>2458</v>
      </c>
      <c r="AG6" s="2592"/>
      <c r="AH6" s="2592"/>
      <c r="AI6" s="2592"/>
      <c r="AJ6" s="2592"/>
      <c r="AK6" s="2592"/>
      <c r="AL6" s="2592"/>
      <c r="AM6" s="2592"/>
      <c r="AN6" s="2592"/>
      <c r="AO6" s="2592"/>
      <c r="AP6" s="2582">
        <v>0</v>
      </c>
      <c r="AQ6" s="2582"/>
      <c r="AR6" s="2582"/>
      <c r="AS6" s="2582"/>
      <c r="AT6" s="2582"/>
      <c r="AU6" s="2582"/>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92" t="s">
        <v>2459</v>
      </c>
      <c r="AG7" s="2592"/>
      <c r="AH7" s="2592"/>
      <c r="AI7" s="2592"/>
      <c r="AJ7" s="2592"/>
      <c r="AK7" s="2592"/>
      <c r="AL7" s="2592"/>
      <c r="AM7" s="2592"/>
      <c r="AN7" s="2592"/>
      <c r="AO7" s="2592"/>
      <c r="AP7" s="2582">
        <v>0</v>
      </c>
      <c r="AQ7" s="2582"/>
      <c r="AR7" s="2582"/>
      <c r="AS7" s="2582"/>
      <c r="AT7" s="2582"/>
      <c r="AU7" s="2582"/>
      <c r="AV7" s="1206"/>
      <c r="AW7" s="1206"/>
      <c r="AX7" s="1206"/>
      <c r="AY7" s="1206"/>
      <c r="AZ7" s="1206"/>
      <c r="BA7" s="1206"/>
      <c r="BB7" s="1206"/>
      <c r="BC7" s="1206"/>
      <c r="BD7" s="1206"/>
      <c r="BE7" s="1216"/>
    </row>
    <row r="8" spans="1:65" thickBot="1">
      <c r="A8" s="1212"/>
      <c r="B8" s="1214" t="s">
        <v>1786</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93" t="str">
        <f>Application!T197</f>
        <v>No</v>
      </c>
      <c r="AC8" s="2594"/>
      <c r="AD8" s="2595"/>
      <c r="AE8" s="1206"/>
      <c r="AF8" s="2592" t="s">
        <v>2460</v>
      </c>
      <c r="AG8" s="2592"/>
      <c r="AH8" s="2592"/>
      <c r="AI8" s="2592"/>
      <c r="AJ8" s="2592"/>
      <c r="AK8" s="2592"/>
      <c r="AL8" s="2592"/>
      <c r="AM8" s="2592"/>
      <c r="AN8" s="2592"/>
      <c r="AO8" s="2592"/>
      <c r="AP8" s="2582" t="s">
        <v>2412</v>
      </c>
      <c r="AQ8" s="2582"/>
      <c r="AR8" s="2582"/>
      <c r="AS8" s="2582"/>
      <c r="AT8" s="2582"/>
      <c r="AU8" s="2582"/>
      <c r="AV8" s="1206"/>
      <c r="AW8" s="1206"/>
      <c r="AX8" s="1206"/>
      <c r="AY8" s="1206"/>
      <c r="AZ8" s="1206"/>
      <c r="BA8" s="1206"/>
      <c r="BB8" s="1206"/>
      <c r="BC8" s="1206"/>
      <c r="BD8" s="1206"/>
      <c r="BE8" s="1216"/>
      <c r="BM8" s="1197" t="s">
        <v>2288</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36" t="s">
        <v>2618</v>
      </c>
      <c r="AG9" s="2236"/>
      <c r="AH9" s="2236"/>
      <c r="AI9" s="2236"/>
      <c r="AJ9" s="2236"/>
      <c r="AK9" s="2236"/>
      <c r="AL9" s="2236"/>
      <c r="AM9" s="2236"/>
      <c r="AN9" s="2236"/>
      <c r="AO9" s="2236"/>
      <c r="AP9" s="2237"/>
      <c r="AQ9" s="2238"/>
      <c r="AR9" s="2238"/>
      <c r="AS9" s="2238"/>
      <c r="AT9" s="2238"/>
      <c r="AU9" s="2238"/>
      <c r="AV9" s="1206"/>
      <c r="AW9" s="1206"/>
      <c r="AX9" s="1206"/>
      <c r="AY9" s="1206"/>
      <c r="AZ9" s="1206"/>
      <c r="BA9" s="1206"/>
      <c r="BB9" s="1206"/>
      <c r="BC9" s="1206"/>
      <c r="BD9" s="1206"/>
      <c r="BE9" s="1216"/>
      <c r="BM9" s="1197" t="s">
        <v>2461</v>
      </c>
    </row>
    <row r="10" spans="1:65" ht="15">
      <c r="A10" s="1212"/>
      <c r="B10" s="1214" t="s">
        <v>1787</v>
      </c>
      <c r="C10" s="1214"/>
      <c r="D10" s="1214"/>
      <c r="E10" s="1214"/>
      <c r="F10" s="1214"/>
      <c r="G10" s="1214"/>
      <c r="H10" s="1214"/>
      <c r="I10" s="1214"/>
      <c r="J10" s="1214"/>
      <c r="K10" s="1214"/>
      <c r="L10" s="1214"/>
      <c r="M10" s="1206"/>
      <c r="N10" s="2564">
        <f>Application!AO627</f>
        <v>14715713</v>
      </c>
      <c r="O10" s="2564"/>
      <c r="P10" s="2564"/>
      <c r="Q10" s="2564"/>
      <c r="R10" s="2564"/>
      <c r="S10" s="2564"/>
      <c r="T10" s="2564"/>
      <c r="U10" s="1206"/>
      <c r="V10" s="1206"/>
      <c r="W10" s="1206"/>
      <c r="X10" s="1255"/>
      <c r="Y10" s="1255"/>
      <c r="Z10" s="1255"/>
      <c r="AA10" s="1255"/>
      <c r="AB10" s="1255"/>
      <c r="AC10" s="1255"/>
      <c r="AD10" s="1255"/>
      <c r="AE10" s="1255"/>
      <c r="AF10" s="2236" t="s">
        <v>2617</v>
      </c>
      <c r="AG10" s="2236"/>
      <c r="AH10" s="2236"/>
      <c r="AI10" s="2236"/>
      <c r="AJ10" s="2236"/>
      <c r="AK10" s="2236"/>
      <c r="AL10" s="2236"/>
      <c r="AM10" s="2236"/>
      <c r="AN10" s="2236"/>
      <c r="AO10" s="2236"/>
      <c r="AP10" s="2237"/>
      <c r="AQ10" s="2238"/>
      <c r="AR10" s="2238"/>
      <c r="AS10" s="2238"/>
      <c r="AT10" s="2238"/>
      <c r="AU10" s="2238"/>
      <c r="AV10" s="1255"/>
      <c r="AW10" s="1255"/>
      <c r="AX10" s="1206"/>
      <c r="AY10" s="1206"/>
      <c r="AZ10" s="1206"/>
      <c r="BA10" s="1206"/>
      <c r="BB10" s="1206"/>
      <c r="BC10" s="1206"/>
      <c r="BD10" s="1206"/>
      <c r="BE10" s="1216"/>
      <c r="BM10" s="1197" t="s">
        <v>2463</v>
      </c>
    </row>
    <row r="11" spans="1:65" ht="15">
      <c r="A11" s="1212"/>
      <c r="B11" s="1214" t="s">
        <v>1788</v>
      </c>
      <c r="C11" s="1214"/>
      <c r="D11" s="1214"/>
      <c r="E11" s="1214"/>
      <c r="F11" s="1214"/>
      <c r="G11" s="1214"/>
      <c r="H11" s="1214"/>
      <c r="I11" s="1214"/>
      <c r="J11" s="1214"/>
      <c r="K11" s="1214"/>
      <c r="L11" s="1214"/>
      <c r="M11" s="1206"/>
      <c r="N11" s="2564">
        <f>Application!AA933</f>
        <v>0</v>
      </c>
      <c r="O11" s="2564"/>
      <c r="P11" s="2564"/>
      <c r="Q11" s="2564"/>
      <c r="R11" s="2564"/>
      <c r="S11" s="2564"/>
      <c r="T11" s="2564"/>
      <c r="U11" s="1206"/>
      <c r="V11" s="1206"/>
      <c r="W11" s="1206"/>
      <c r="X11" s="1255"/>
      <c r="Y11" s="1255"/>
      <c r="Z11" s="1255"/>
      <c r="AA11" s="1255"/>
      <c r="AB11" s="1255"/>
      <c r="AC11" s="1255"/>
      <c r="AD11" s="1255"/>
      <c r="AE11" s="1255"/>
      <c r="AF11" s="2236" t="s">
        <v>2616</v>
      </c>
      <c r="AG11" s="2236"/>
      <c r="AH11" s="2236"/>
      <c r="AI11" s="2236"/>
      <c r="AJ11" s="2236"/>
      <c r="AK11" s="2236"/>
      <c r="AL11" s="2236"/>
      <c r="AM11" s="2236"/>
      <c r="AN11" s="2236"/>
      <c r="AO11" s="2236"/>
      <c r="AP11" s="2237"/>
      <c r="AQ11" s="2238"/>
      <c r="AR11" s="2238"/>
      <c r="AS11" s="2238"/>
      <c r="AT11" s="2238"/>
      <c r="AU11" s="2238"/>
      <c r="AV11" s="1255"/>
      <c r="AW11" s="1255"/>
      <c r="AX11" s="1206"/>
      <c r="AY11" s="1206"/>
      <c r="AZ11" s="1206"/>
      <c r="BA11" s="1206"/>
      <c r="BB11" s="1206"/>
      <c r="BC11" s="1206"/>
      <c r="BD11" s="1206"/>
      <c r="BE11" s="1216"/>
      <c r="BM11" s="1197" t="s">
        <v>2412</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2466</v>
      </c>
    </row>
    <row r="13" spans="1:65" thickBot="1">
      <c r="A13" s="1206"/>
      <c r="B13" s="2571" t="s">
        <v>1789</v>
      </c>
      <c r="C13" s="2572"/>
      <c r="D13" s="2572"/>
      <c r="E13" s="2572"/>
      <c r="F13" s="2572"/>
      <c r="G13" s="2572"/>
      <c r="H13" s="2572"/>
      <c r="I13" s="2572"/>
      <c r="J13" s="2572"/>
      <c r="K13" s="2572"/>
      <c r="L13" s="2572"/>
      <c r="M13" s="2572"/>
      <c r="N13" s="2572"/>
      <c r="O13" s="2572"/>
      <c r="P13" s="2573"/>
      <c r="Q13" s="2574" t="s">
        <v>676</v>
      </c>
      <c r="R13" s="2575"/>
      <c r="S13" s="2575"/>
      <c r="T13" s="2576"/>
      <c r="U13" s="1255"/>
      <c r="V13" s="1206"/>
      <c r="W13" s="1206"/>
      <c r="X13" s="1206"/>
      <c r="Y13" s="1206"/>
      <c r="Z13" s="1206"/>
      <c r="AA13" s="2565" t="s">
        <v>2462</v>
      </c>
      <c r="AB13" s="2565"/>
      <c r="AC13" s="2565"/>
      <c r="AD13" s="2565"/>
      <c r="AE13" s="2565"/>
      <c r="AF13" s="2565"/>
      <c r="AG13" s="2565"/>
      <c r="AH13" s="2565"/>
      <c r="AI13" s="2565"/>
      <c r="AJ13" s="2565"/>
      <c r="AK13" s="2565"/>
      <c r="AL13" s="2565"/>
      <c r="AM13" s="2565"/>
      <c r="AN13" s="2565"/>
      <c r="AO13" s="2566">
        <f>Application!W473</f>
        <v>13</v>
      </c>
      <c r="AP13" s="2567"/>
      <c r="AQ13" s="2567"/>
      <c r="AR13" s="2567"/>
      <c r="AS13" s="2567"/>
      <c r="AT13" s="1255"/>
      <c r="AU13" s="1255"/>
      <c r="AV13" s="1255"/>
      <c r="AW13" s="1255"/>
      <c r="AX13" s="1255"/>
      <c r="AY13" s="1255"/>
      <c r="AZ13" s="1255"/>
      <c r="BA13" s="1255"/>
      <c r="BB13" s="1255"/>
      <c r="BC13" s="1255"/>
      <c r="BD13" s="1255"/>
      <c r="BE13" s="1202"/>
      <c r="BM13" s="1197" t="s">
        <v>2467</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68" t="s">
        <v>2464</v>
      </c>
      <c r="AB14" s="2568"/>
      <c r="AC14" s="2568"/>
      <c r="AD14" s="2568"/>
      <c r="AE14" s="2568"/>
      <c r="AF14" s="2568"/>
      <c r="AG14" s="2568"/>
      <c r="AH14" s="2568"/>
      <c r="AI14" s="2568"/>
      <c r="AJ14" s="2568"/>
      <c r="AK14" s="2568"/>
      <c r="AL14" s="2568"/>
      <c r="AM14" s="2568"/>
      <c r="AN14" s="2568"/>
      <c r="AO14" s="2569"/>
      <c r="AP14" s="2570"/>
      <c r="AQ14" s="2570"/>
      <c r="AR14" s="2570"/>
      <c r="AS14" s="2570"/>
      <c r="AT14" s="1255"/>
      <c r="AU14" s="1255"/>
      <c r="AV14" s="1255"/>
      <c r="AW14" s="1255"/>
      <c r="AX14" s="1255"/>
      <c r="AY14" s="1255"/>
      <c r="AZ14" s="1255"/>
      <c r="BA14" s="1255"/>
      <c r="BB14" s="1255"/>
      <c r="BC14" s="1255"/>
      <c r="BD14" s="1255"/>
      <c r="BE14" s="1202"/>
    </row>
    <row r="15" spans="1:65" thickBot="1">
      <c r="A15" s="1206"/>
      <c r="B15" s="2577" t="s">
        <v>1790</v>
      </c>
      <c r="C15" s="2578"/>
      <c r="D15" s="2578"/>
      <c r="E15" s="2578"/>
      <c r="F15" s="2578"/>
      <c r="G15" s="2578"/>
      <c r="H15" s="2578"/>
      <c r="I15" s="2578"/>
      <c r="J15" s="2578"/>
      <c r="K15" s="2578"/>
      <c r="L15" s="2578"/>
      <c r="M15" s="2578"/>
      <c r="N15" s="2578"/>
      <c r="O15" s="2578"/>
      <c r="P15" s="2578"/>
      <c r="Q15" s="2578"/>
      <c r="R15" s="2579"/>
      <c r="S15" s="2580" t="str">
        <f>IF(Application!AB214="","",Application!AB214)</f>
        <v/>
      </c>
      <c r="T15" s="2580"/>
      <c r="U15" s="2580"/>
      <c r="V15" s="2580"/>
      <c r="W15" s="2581"/>
      <c r="X15" s="1255"/>
      <c r="Y15" s="1206"/>
      <c r="Z15" s="1206"/>
      <c r="AA15" s="2565" t="s">
        <v>2465</v>
      </c>
      <c r="AB15" s="2565"/>
      <c r="AC15" s="2565"/>
      <c r="AD15" s="2565"/>
      <c r="AE15" s="2565"/>
      <c r="AF15" s="2565"/>
      <c r="AG15" s="2565"/>
      <c r="AH15" s="2565"/>
      <c r="AI15" s="2565"/>
      <c r="AJ15" s="2565"/>
      <c r="AK15" s="2565"/>
      <c r="AL15" s="2565"/>
      <c r="AM15" s="2565"/>
      <c r="AN15" s="2565"/>
      <c r="AO15" s="2569"/>
      <c r="AP15" s="2570"/>
      <c r="AQ15" s="2570"/>
      <c r="AR15" s="2570"/>
      <c r="AS15" s="2570"/>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445" t="s">
        <v>1791</v>
      </c>
      <c r="C17" s="2446"/>
      <c r="D17" s="2446"/>
      <c r="E17" s="2446"/>
      <c r="F17" s="2446"/>
      <c r="G17" s="2446"/>
      <c r="H17" s="2446"/>
      <c r="I17" s="2446"/>
      <c r="J17" s="2446"/>
      <c r="K17" s="2446"/>
      <c r="L17" s="2446"/>
      <c r="M17" s="2446"/>
      <c r="N17" s="2446"/>
      <c r="O17" s="2446"/>
      <c r="P17" s="2446"/>
      <c r="Q17" s="2446"/>
      <c r="R17" s="2446"/>
      <c r="S17" s="2446"/>
      <c r="T17" s="2446"/>
      <c r="U17" s="2446"/>
      <c r="V17" s="2446"/>
      <c r="W17" s="2446"/>
      <c r="X17" s="2446"/>
      <c r="Y17" s="2446"/>
      <c r="Z17" s="2446"/>
      <c r="AA17" s="2446"/>
      <c r="AB17" s="2446"/>
      <c r="AC17" s="2446"/>
      <c r="AD17" s="2446"/>
      <c r="AE17" s="2446"/>
      <c r="AF17" s="2446"/>
      <c r="AG17" s="2446"/>
      <c r="AH17" s="2446"/>
      <c r="AI17" s="2446"/>
      <c r="AJ17" s="2446"/>
      <c r="AK17" s="2446"/>
      <c r="AL17" s="2446"/>
      <c r="AM17" s="2446"/>
      <c r="AN17" s="2446"/>
      <c r="AO17" s="2446"/>
      <c r="AP17" s="2446"/>
      <c r="AQ17" s="2446"/>
      <c r="AR17" s="2446"/>
      <c r="AS17" s="2446"/>
      <c r="AT17" s="2446"/>
      <c r="AU17" s="2446"/>
      <c r="AV17" s="2446"/>
      <c r="AW17" s="2446"/>
      <c r="AX17" s="2446"/>
      <c r="AY17" s="2447"/>
      <c r="AZ17" s="1206"/>
      <c r="BA17" s="1206"/>
      <c r="BB17" s="1206"/>
      <c r="BC17" s="1206"/>
      <c r="BD17" s="1206"/>
      <c r="BE17" s="1202"/>
      <c r="BF17" s="1198"/>
    </row>
    <row r="18" spans="1:58" ht="15.75" customHeight="1">
      <c r="A18" s="1206"/>
      <c r="B18" s="2557" t="s">
        <v>1792</v>
      </c>
      <c r="C18" s="2558"/>
      <c r="D18" s="2558"/>
      <c r="E18" s="2558"/>
      <c r="F18" s="2558"/>
      <c r="G18" s="2558"/>
      <c r="H18" s="2558"/>
      <c r="I18" s="2559"/>
      <c r="J18" s="2560" t="s">
        <v>1693</v>
      </c>
      <c r="K18" s="2561"/>
      <c r="L18" s="2561"/>
      <c r="M18" s="2561"/>
      <c r="N18" s="2561"/>
      <c r="O18" s="2562"/>
      <c r="P18" s="2560" t="s">
        <v>324</v>
      </c>
      <c r="Q18" s="2561"/>
      <c r="R18" s="2561"/>
      <c r="S18" s="2561"/>
      <c r="T18" s="2561"/>
      <c r="U18" s="2562"/>
      <c r="V18" s="2560" t="s">
        <v>325</v>
      </c>
      <c r="W18" s="2561"/>
      <c r="X18" s="2561"/>
      <c r="Y18" s="2561"/>
      <c r="Z18" s="2561"/>
      <c r="AA18" s="2562"/>
      <c r="AB18" s="2560" t="s">
        <v>163</v>
      </c>
      <c r="AC18" s="2561"/>
      <c r="AD18" s="2561"/>
      <c r="AE18" s="2561"/>
      <c r="AF18" s="2561"/>
      <c r="AG18" s="2562"/>
      <c r="AH18" s="2560" t="s">
        <v>164</v>
      </c>
      <c r="AI18" s="2561"/>
      <c r="AJ18" s="2561"/>
      <c r="AK18" s="2561"/>
      <c r="AL18" s="2561"/>
      <c r="AM18" s="2562"/>
      <c r="AN18" s="2560" t="s">
        <v>165</v>
      </c>
      <c r="AO18" s="2561"/>
      <c r="AP18" s="2561"/>
      <c r="AQ18" s="2561"/>
      <c r="AR18" s="2561"/>
      <c r="AS18" s="2562"/>
      <c r="AT18" s="2560" t="s">
        <v>1793</v>
      </c>
      <c r="AU18" s="2561"/>
      <c r="AV18" s="2561"/>
      <c r="AW18" s="2561"/>
      <c r="AX18" s="2561"/>
      <c r="AY18" s="2563"/>
      <c r="AZ18" s="1206"/>
      <c r="BA18" s="1206"/>
      <c r="BB18" s="1206"/>
      <c r="BC18" s="1206"/>
      <c r="BD18" s="1206"/>
      <c r="BE18" s="1202"/>
    </row>
    <row r="19" spans="1:58" ht="15">
      <c r="A19" s="1206"/>
      <c r="B19" s="2534">
        <v>0.3</v>
      </c>
      <c r="C19" s="2535"/>
      <c r="D19" s="2535"/>
      <c r="E19" s="2535"/>
      <c r="F19" s="2535"/>
      <c r="G19" s="2535"/>
      <c r="H19" s="2535"/>
      <c r="I19" s="2536"/>
      <c r="J19" s="2537">
        <f t="shared" ref="J19:J28" si="0">SUM(P19:AS19)</f>
        <v>15</v>
      </c>
      <c r="K19" s="2538"/>
      <c r="L19" s="2538"/>
      <c r="M19" s="2538"/>
      <c r="N19" s="2538"/>
      <c r="O19" s="2539"/>
      <c r="P19" s="2537" cm="1">
        <f t="array" ref="P19">SUMPRODUCT((Application!$B$718:$B$752 = 'CalHFA Addendum'!P$18)*(Application!$AC$718:$AC$752 = 'CalHFA Addendum'!$B19),Application!$G$718:$G$752)</f>
        <v>8</v>
      </c>
      <c r="Q19" s="2538"/>
      <c r="R19" s="2538"/>
      <c r="S19" s="2538"/>
      <c r="T19" s="2538"/>
      <c r="U19" s="2539"/>
      <c r="V19" s="2537" cm="1">
        <f t="array" ref="V19">SUMPRODUCT((Application!$B$714:$B$738 = 'CalHFA Addendum'!V$18)*(Application!$AC$714:$AC$738 = 'CalHFA Addendum'!$B19),Application!$G$714:$G$738)</f>
        <v>7</v>
      </c>
      <c r="W19" s="2538"/>
      <c r="X19" s="2538"/>
      <c r="Y19" s="2538"/>
      <c r="Z19" s="2538"/>
      <c r="AA19" s="2539"/>
      <c r="AB19" s="2537" cm="1">
        <f t="array" ref="AB19">SUMPRODUCT((Application!$B$714:$B$738 = 'CalHFA Addendum'!AB$18)*(Application!$AC$714:$AC$738 = 'CalHFA Addendum'!$B19),Application!$G$714:$G$738)</f>
        <v>0</v>
      </c>
      <c r="AC19" s="2538"/>
      <c r="AD19" s="2538"/>
      <c r="AE19" s="2538"/>
      <c r="AF19" s="2538"/>
      <c r="AG19" s="2539"/>
      <c r="AH19" s="2537" cm="1">
        <f t="array" ref="AH19">SUMPRODUCT((Application!$B$714:$B$738 = 'CalHFA Addendum'!AH$18)*(Application!$AC$714:$AC$738 = 'CalHFA Addendum'!$B19),Application!$G$714:$G$738)</f>
        <v>0</v>
      </c>
      <c r="AI19" s="2538"/>
      <c r="AJ19" s="2538"/>
      <c r="AK19" s="2538"/>
      <c r="AL19" s="2538"/>
      <c r="AM19" s="2539"/>
      <c r="AN19" s="2537" cm="1">
        <f t="array" ref="AN19">SUMPRODUCT((Application!$B$714:$B$738 = 'CalHFA Addendum'!AN$18)*(Application!$AC$714:$AC$738 = 'CalHFA Addendum'!$B19),Application!$G$714:$G$738)</f>
        <v>0</v>
      </c>
      <c r="AO19" s="2538"/>
      <c r="AP19" s="2538"/>
      <c r="AQ19" s="2538"/>
      <c r="AR19" s="2538"/>
      <c r="AS19" s="2539"/>
      <c r="AT19" s="2540">
        <f t="shared" ref="AT19:AT29" si="1">J19/$J$29</f>
        <v>0.24590163934426229</v>
      </c>
      <c r="AU19" s="2541"/>
      <c r="AV19" s="2541"/>
      <c r="AW19" s="2541"/>
      <c r="AX19" s="2541"/>
      <c r="AY19" s="2542"/>
      <c r="AZ19" s="1217"/>
      <c r="BA19" s="1206"/>
      <c r="BB19" s="1206"/>
      <c r="BC19" s="1206"/>
      <c r="BD19" s="1206"/>
      <c r="BE19" s="1202"/>
    </row>
    <row r="20" spans="1:58" ht="15" customHeight="1">
      <c r="A20" s="1206"/>
      <c r="B20" s="2534">
        <v>0.4</v>
      </c>
      <c r="C20" s="2535"/>
      <c r="D20" s="2535"/>
      <c r="E20" s="2535"/>
      <c r="F20" s="2535"/>
      <c r="G20" s="2535"/>
      <c r="H20" s="2535"/>
      <c r="I20" s="2536"/>
      <c r="J20" s="2537">
        <f t="shared" si="0"/>
        <v>0</v>
      </c>
      <c r="K20" s="2538"/>
      <c r="L20" s="2538"/>
      <c r="M20" s="2538"/>
      <c r="N20" s="2538"/>
      <c r="O20" s="2539"/>
      <c r="P20" s="2537" cm="1">
        <f t="array" ref="P20">SUMPRODUCT((Application!$B$718:$B$752 = 'CalHFA Addendum'!P$18)*(Application!$AC$718:$AC$752 = 'CalHFA Addendum'!$B20),Application!$G$718:$G$752)</f>
        <v>0</v>
      </c>
      <c r="Q20" s="2538"/>
      <c r="R20" s="2538"/>
      <c r="S20" s="2538"/>
      <c r="T20" s="2538"/>
      <c r="U20" s="2539"/>
      <c r="V20" s="2537" cm="1">
        <f t="array" ref="V20">SUMPRODUCT((Application!$B$714:$B$738 = 'CalHFA Addendum'!V$18)*(Application!$AC$714:$AC$738 = 'CalHFA Addendum'!$B20),Application!$G$714:$G$738)</f>
        <v>0</v>
      </c>
      <c r="W20" s="2538"/>
      <c r="X20" s="2538"/>
      <c r="Y20" s="2538"/>
      <c r="Z20" s="2538"/>
      <c r="AA20" s="2539"/>
      <c r="AB20" s="2537" cm="1">
        <f t="array" ref="AB20">SUMPRODUCT((Application!$B$714:$B$738 = 'CalHFA Addendum'!AB$18)*(Application!$AC$714:$AC$738 = 'CalHFA Addendum'!$B20),Application!$G$714:$G$738)</f>
        <v>0</v>
      </c>
      <c r="AC20" s="2538"/>
      <c r="AD20" s="2538"/>
      <c r="AE20" s="2538"/>
      <c r="AF20" s="2538"/>
      <c r="AG20" s="2539"/>
      <c r="AH20" s="2537" cm="1">
        <f t="array" ref="AH20">SUMPRODUCT((Application!$B$714:$B$738 = 'CalHFA Addendum'!AH$18)*(Application!$AC$714:$AC$738 = 'CalHFA Addendum'!$B20),Application!$G$714:$G$738)</f>
        <v>0</v>
      </c>
      <c r="AI20" s="2538"/>
      <c r="AJ20" s="2538"/>
      <c r="AK20" s="2538"/>
      <c r="AL20" s="2538"/>
      <c r="AM20" s="2539"/>
      <c r="AN20" s="2537" cm="1">
        <f t="array" ref="AN20">SUMPRODUCT((Application!$B$714:$B$738 = 'CalHFA Addendum'!AN$18)*(Application!$AC$714:$AC$738 = 'CalHFA Addendum'!$B20),Application!$G$714:$G$738)</f>
        <v>0</v>
      </c>
      <c r="AO20" s="2538"/>
      <c r="AP20" s="2538"/>
      <c r="AQ20" s="2538"/>
      <c r="AR20" s="2538"/>
      <c r="AS20" s="2539"/>
      <c r="AT20" s="2540">
        <f t="shared" si="1"/>
        <v>0</v>
      </c>
      <c r="AU20" s="2541"/>
      <c r="AV20" s="2541"/>
      <c r="AW20" s="2541"/>
      <c r="AX20" s="2541"/>
      <c r="AY20" s="2542"/>
      <c r="AZ20" s="1206"/>
      <c r="BA20" s="1206"/>
      <c r="BB20" s="1206"/>
      <c r="BC20" s="1206"/>
      <c r="BD20" s="1206"/>
      <c r="BE20" s="1202"/>
    </row>
    <row r="21" spans="1:58" ht="15">
      <c r="A21" s="1206"/>
      <c r="B21" s="2534">
        <v>0.5</v>
      </c>
      <c r="C21" s="2535"/>
      <c r="D21" s="2535"/>
      <c r="E21" s="2535"/>
      <c r="F21" s="2535"/>
      <c r="G21" s="2535"/>
      <c r="H21" s="2535"/>
      <c r="I21" s="2536"/>
      <c r="J21" s="2537">
        <f t="shared" si="0"/>
        <v>0</v>
      </c>
      <c r="K21" s="2538"/>
      <c r="L21" s="2538"/>
      <c r="M21" s="2538"/>
      <c r="N21" s="2538"/>
      <c r="O21" s="2539"/>
      <c r="P21" s="2537" cm="1">
        <f t="array" ref="P21">SUMPRODUCT((Application!$B$714:$B$738 = 'CalHFA Addendum'!P$18)*(Application!$AC$714:$AC$738 = 'CalHFA Addendum'!$B21),Application!$G$714:$G$738)</f>
        <v>0</v>
      </c>
      <c r="Q21" s="2538"/>
      <c r="R21" s="2538"/>
      <c r="S21" s="2538"/>
      <c r="T21" s="2538"/>
      <c r="U21" s="2539"/>
      <c r="V21" s="2537" cm="1">
        <f t="array" ref="V21">SUMPRODUCT((Application!$B$714:$B$738 = 'CalHFA Addendum'!V$18)*(Application!$AC$714:$AC$738 = 'CalHFA Addendum'!$B21),Application!$G$714:$G$738)</f>
        <v>0</v>
      </c>
      <c r="W21" s="2538"/>
      <c r="X21" s="2538"/>
      <c r="Y21" s="2538"/>
      <c r="Z21" s="2538"/>
      <c r="AA21" s="2539"/>
      <c r="AB21" s="2537" cm="1">
        <f t="array" ref="AB21">SUMPRODUCT((Application!$B$714:$B$738 = 'CalHFA Addendum'!AB$18)*(Application!$AC$714:$AC$738 = 'CalHFA Addendum'!$B21),Application!$G$714:$G$738)</f>
        <v>0</v>
      </c>
      <c r="AC21" s="2538"/>
      <c r="AD21" s="2538"/>
      <c r="AE21" s="2538"/>
      <c r="AF21" s="2538"/>
      <c r="AG21" s="2539"/>
      <c r="AH21" s="2537" cm="1">
        <f t="array" ref="AH21">SUMPRODUCT((Application!$B$714:$B$738 = 'CalHFA Addendum'!AH$18)*(Application!$AC$714:$AC$738 = 'CalHFA Addendum'!$B21),Application!$G$714:$G$738)</f>
        <v>0</v>
      </c>
      <c r="AI21" s="2538"/>
      <c r="AJ21" s="2538"/>
      <c r="AK21" s="2538"/>
      <c r="AL21" s="2538"/>
      <c r="AM21" s="2539"/>
      <c r="AN21" s="2537" cm="1">
        <f t="array" ref="AN21">SUMPRODUCT((Application!$B$714:$B$738 = 'CalHFA Addendum'!AN$18)*(Application!$AC$714:$AC$738 = 'CalHFA Addendum'!$B21),Application!$G$714:$G$738)</f>
        <v>0</v>
      </c>
      <c r="AO21" s="2538"/>
      <c r="AP21" s="2538"/>
      <c r="AQ21" s="2538"/>
      <c r="AR21" s="2538"/>
      <c r="AS21" s="2539"/>
      <c r="AT21" s="2540">
        <f t="shared" si="1"/>
        <v>0</v>
      </c>
      <c r="AU21" s="2541"/>
      <c r="AV21" s="2541"/>
      <c r="AW21" s="2541"/>
      <c r="AX21" s="2541"/>
      <c r="AY21" s="2542"/>
      <c r="AZ21" s="1206"/>
      <c r="BA21" s="1206"/>
      <c r="BB21" s="1206"/>
      <c r="BC21" s="1206"/>
      <c r="BD21" s="1206"/>
      <c r="BE21" s="1202"/>
    </row>
    <row r="22" spans="1:58" ht="15">
      <c r="A22" s="1206"/>
      <c r="B22" s="2534">
        <v>0.6</v>
      </c>
      <c r="C22" s="2535"/>
      <c r="D22" s="2535"/>
      <c r="E22" s="2535"/>
      <c r="F22" s="2535"/>
      <c r="G22" s="2535"/>
      <c r="H22" s="2535"/>
      <c r="I22" s="2536"/>
      <c r="J22" s="2537">
        <f t="shared" si="0"/>
        <v>46</v>
      </c>
      <c r="K22" s="2538"/>
      <c r="L22" s="2538"/>
      <c r="M22" s="2538"/>
      <c r="N22" s="2538"/>
      <c r="O22" s="2539"/>
      <c r="P22" s="2537" cm="1">
        <f t="array" ref="P22">SUMPRODUCT((Application!$B$714:$B$738 = 'CalHFA Addendum'!P$18)*(Application!$AC$714:$AC$738 = 'CalHFA Addendum'!$B22),Application!$G$714:$G$738)</f>
        <v>25</v>
      </c>
      <c r="Q22" s="2538"/>
      <c r="R22" s="2538"/>
      <c r="S22" s="2538"/>
      <c r="T22" s="2538"/>
      <c r="U22" s="2539"/>
      <c r="V22" s="2537" cm="1">
        <f t="array" ref="V22">SUMPRODUCT((Application!$B$714:$B$738 = 'CalHFA Addendum'!V$18)*(Application!$AC$714:$AC$738 = 'CalHFA Addendum'!$B22),Application!$G$714:$G$738)</f>
        <v>12</v>
      </c>
      <c r="W22" s="2538"/>
      <c r="X22" s="2538"/>
      <c r="Y22" s="2538"/>
      <c r="Z22" s="2538"/>
      <c r="AA22" s="2539"/>
      <c r="AB22" s="2537" cm="1">
        <f t="array" ref="AB22">SUMPRODUCT((Application!$B$714:$B$738 = 'CalHFA Addendum'!AB$18)*(Application!$AC$714:$AC$738 = 'CalHFA Addendum'!$B22),Application!$G$714:$G$738)</f>
        <v>4</v>
      </c>
      <c r="AC22" s="2538"/>
      <c r="AD22" s="2538"/>
      <c r="AE22" s="2538"/>
      <c r="AF22" s="2538"/>
      <c r="AG22" s="2539"/>
      <c r="AH22" s="2537" cm="1">
        <f t="array" ref="AH22">SUMPRODUCT((Application!$B$714:$B$738 = 'CalHFA Addendum'!AH$18)*(Application!$AC$714:$AC$738 = 'CalHFA Addendum'!$B22),Application!$G$714:$G$738)</f>
        <v>5</v>
      </c>
      <c r="AI22" s="2538"/>
      <c r="AJ22" s="2538"/>
      <c r="AK22" s="2538"/>
      <c r="AL22" s="2538"/>
      <c r="AM22" s="2539"/>
      <c r="AN22" s="2537" cm="1">
        <f t="array" ref="AN22">SUMPRODUCT((Application!$B$714:$B$738 = 'CalHFA Addendum'!AN$18)*(Application!$AC$714:$AC$738 = 'CalHFA Addendum'!$B22),Application!$G$714:$G$738)</f>
        <v>0</v>
      </c>
      <c r="AO22" s="2538"/>
      <c r="AP22" s="2538"/>
      <c r="AQ22" s="2538"/>
      <c r="AR22" s="2538"/>
      <c r="AS22" s="2539"/>
      <c r="AT22" s="2540">
        <f t="shared" si="1"/>
        <v>0.75409836065573765</v>
      </c>
      <c r="AU22" s="2541"/>
      <c r="AV22" s="2541"/>
      <c r="AW22" s="2541"/>
      <c r="AX22" s="2541"/>
      <c r="AY22" s="2542"/>
      <c r="AZ22" s="1206"/>
      <c r="BA22" s="1206"/>
      <c r="BB22" s="1206"/>
      <c r="BC22" s="1206"/>
      <c r="BD22" s="1206"/>
      <c r="BE22" s="1202"/>
    </row>
    <row r="23" spans="1:58" ht="15">
      <c r="A23" s="1206"/>
      <c r="B23" s="2534">
        <v>0.7</v>
      </c>
      <c r="C23" s="2535"/>
      <c r="D23" s="2535"/>
      <c r="E23" s="2535"/>
      <c r="F23" s="2535"/>
      <c r="G23" s="2535"/>
      <c r="H23" s="2535"/>
      <c r="I23" s="2536"/>
      <c r="J23" s="2537">
        <f t="shared" si="0"/>
        <v>0</v>
      </c>
      <c r="K23" s="2538"/>
      <c r="L23" s="2538"/>
      <c r="M23" s="2538"/>
      <c r="N23" s="2538"/>
      <c r="O23" s="2539"/>
      <c r="P23" s="2537" cm="1">
        <f t="array" ref="P23">SUMPRODUCT((Application!$B$714:$B$738 = 'CalHFA Addendum'!P$18)*(Application!$AC$714:$AC$738 = 'CalHFA Addendum'!$B23),Application!$G$714:$G$738)</f>
        <v>0</v>
      </c>
      <c r="Q23" s="2538"/>
      <c r="R23" s="2538"/>
      <c r="S23" s="2538"/>
      <c r="T23" s="2538"/>
      <c r="U23" s="2539"/>
      <c r="V23" s="2537" cm="1">
        <f t="array" ref="V23">SUMPRODUCT((Application!$B$714:$B$738 = 'CalHFA Addendum'!V$18)*(Application!$AC$714:$AC$738 = 'CalHFA Addendum'!$B23),Application!$G$714:$G$738)</f>
        <v>0</v>
      </c>
      <c r="W23" s="2538"/>
      <c r="X23" s="2538"/>
      <c r="Y23" s="2538"/>
      <c r="Z23" s="2538"/>
      <c r="AA23" s="2539"/>
      <c r="AB23" s="2537" cm="1">
        <f t="array" ref="AB23">SUMPRODUCT((Application!$B$714:$B$738 = 'CalHFA Addendum'!AB$18)*(Application!$AC$714:$AC$738 = 'CalHFA Addendum'!$B23),Application!$G$714:$G$738)</f>
        <v>0</v>
      </c>
      <c r="AC23" s="2538"/>
      <c r="AD23" s="2538"/>
      <c r="AE23" s="2538"/>
      <c r="AF23" s="2538"/>
      <c r="AG23" s="2539"/>
      <c r="AH23" s="2537" cm="1">
        <f t="array" ref="AH23">SUMPRODUCT((Application!$B$714:$B$738 = 'CalHFA Addendum'!AH$18)*(Application!$AC$714:$AC$738 = 'CalHFA Addendum'!$B23),Application!$G$714:$G$738)</f>
        <v>0</v>
      </c>
      <c r="AI23" s="2538"/>
      <c r="AJ23" s="2538"/>
      <c r="AK23" s="2538"/>
      <c r="AL23" s="2538"/>
      <c r="AM23" s="2539"/>
      <c r="AN23" s="2537" cm="1">
        <f t="array" ref="AN23">SUMPRODUCT((Application!$B$714:$B$738 = 'CalHFA Addendum'!AN$18)*(Application!$AC$714:$AC$738 = 'CalHFA Addendum'!$B23),Application!$G$714:$G$738)</f>
        <v>0</v>
      </c>
      <c r="AO23" s="2538"/>
      <c r="AP23" s="2538"/>
      <c r="AQ23" s="2538"/>
      <c r="AR23" s="2538"/>
      <c r="AS23" s="2539"/>
      <c r="AT23" s="2540">
        <f t="shared" si="1"/>
        <v>0</v>
      </c>
      <c r="AU23" s="2541"/>
      <c r="AV23" s="2541"/>
      <c r="AW23" s="2541"/>
      <c r="AX23" s="2541"/>
      <c r="AY23" s="2542"/>
      <c r="AZ23" s="1206"/>
      <c r="BA23" s="1206"/>
      <c r="BB23" s="1206"/>
      <c r="BC23" s="1206"/>
      <c r="BD23" s="1206"/>
      <c r="BE23" s="1202"/>
    </row>
    <row r="24" spans="1:58" ht="15">
      <c r="A24" s="1206"/>
      <c r="B24" s="2534">
        <v>0.8</v>
      </c>
      <c r="C24" s="2535"/>
      <c r="D24" s="2535"/>
      <c r="E24" s="2535"/>
      <c r="F24" s="2535"/>
      <c r="G24" s="2535"/>
      <c r="H24" s="2535"/>
      <c r="I24" s="2536"/>
      <c r="J24" s="2537">
        <f t="shared" si="0"/>
        <v>0</v>
      </c>
      <c r="K24" s="2538"/>
      <c r="L24" s="2538"/>
      <c r="M24" s="2538"/>
      <c r="N24" s="2538"/>
      <c r="O24" s="2539"/>
      <c r="P24" s="2537" cm="1">
        <f t="array" ref="P24">SUMPRODUCT((Application!$B$714:$B$738 = 'CalHFA Addendum'!P$18)*(Application!$AC$714:$AC$738 = 'CalHFA Addendum'!$B24),Application!$G$714:$G$738)</f>
        <v>0</v>
      </c>
      <c r="Q24" s="2538"/>
      <c r="R24" s="2538"/>
      <c r="S24" s="2538"/>
      <c r="T24" s="2538"/>
      <c r="U24" s="2539"/>
      <c r="V24" s="2537" cm="1">
        <f t="array" ref="V24">SUMPRODUCT((Application!$B$714:$B$738 = 'CalHFA Addendum'!V$18)*(Application!$AC$714:$AC$738 = 'CalHFA Addendum'!$B24),Application!$G$714:$G$738)</f>
        <v>0</v>
      </c>
      <c r="W24" s="2538"/>
      <c r="X24" s="2538"/>
      <c r="Y24" s="2538"/>
      <c r="Z24" s="2538"/>
      <c r="AA24" s="2539"/>
      <c r="AB24" s="2537" cm="1">
        <f t="array" ref="AB24">SUMPRODUCT((Application!$B$714:$B$738 = 'CalHFA Addendum'!AB$18)*(Application!$AC$714:$AC$738 = 'CalHFA Addendum'!$B24),Application!$G$714:$G$738)</f>
        <v>0</v>
      </c>
      <c r="AC24" s="2538"/>
      <c r="AD24" s="2538"/>
      <c r="AE24" s="2538"/>
      <c r="AF24" s="2538"/>
      <c r="AG24" s="2539"/>
      <c r="AH24" s="2537" cm="1">
        <f t="array" ref="AH24">SUMPRODUCT((Application!$B$714:$B$738 = 'CalHFA Addendum'!AH$18)*(Application!$AC$714:$AC$738 = 'CalHFA Addendum'!$B24),Application!$G$714:$G$738)</f>
        <v>0</v>
      </c>
      <c r="AI24" s="2538"/>
      <c r="AJ24" s="2538"/>
      <c r="AK24" s="2538"/>
      <c r="AL24" s="2538"/>
      <c r="AM24" s="2539"/>
      <c r="AN24" s="2537" cm="1">
        <f t="array" ref="AN24">SUMPRODUCT((Application!$B$714:$B$738 = 'CalHFA Addendum'!AN$18)*(Application!$AC$714:$AC$738 = 'CalHFA Addendum'!$B24),Application!$G$714:$G$738)</f>
        <v>0</v>
      </c>
      <c r="AO24" s="2538"/>
      <c r="AP24" s="2538"/>
      <c r="AQ24" s="2538"/>
      <c r="AR24" s="2538"/>
      <c r="AS24" s="2539"/>
      <c r="AT24" s="2540">
        <f t="shared" si="1"/>
        <v>0</v>
      </c>
      <c r="AU24" s="2541"/>
      <c r="AV24" s="2541"/>
      <c r="AW24" s="2541"/>
      <c r="AX24" s="2541"/>
      <c r="AY24" s="2542"/>
      <c r="AZ24" s="1206"/>
      <c r="BA24" s="1206"/>
      <c r="BB24" s="1206"/>
      <c r="BC24" s="1206"/>
      <c r="BD24" s="1206"/>
      <c r="BE24" s="1202"/>
    </row>
    <row r="25" spans="1:58" ht="15">
      <c r="A25" s="1206"/>
      <c r="B25" s="2534">
        <v>0.9</v>
      </c>
      <c r="C25" s="2535"/>
      <c r="D25" s="2535"/>
      <c r="E25" s="2535"/>
      <c r="F25" s="2535"/>
      <c r="G25" s="2535"/>
      <c r="H25" s="2535"/>
      <c r="I25" s="2536"/>
      <c r="J25" s="2537">
        <f t="shared" si="0"/>
        <v>0</v>
      </c>
      <c r="K25" s="2538"/>
      <c r="L25" s="2538"/>
      <c r="M25" s="2538"/>
      <c r="N25" s="2538"/>
      <c r="O25" s="2539"/>
      <c r="P25" s="2537" cm="1">
        <f t="array" ref="P25">SUMPRODUCT((Application!$B$714:$B$738 = 'CalHFA Addendum'!P$18)*(Application!$AC$714:$AC$738 = 'CalHFA Addendum'!$B25),Application!$G$714:$G$738)</f>
        <v>0</v>
      </c>
      <c r="Q25" s="2538"/>
      <c r="R25" s="2538"/>
      <c r="S25" s="2538"/>
      <c r="T25" s="2538"/>
      <c r="U25" s="2539"/>
      <c r="V25" s="2537" cm="1">
        <f t="array" ref="V25">SUMPRODUCT((Application!$B$714:$B$738 = 'CalHFA Addendum'!V$18)*(Application!$AC$714:$AC$738 = 'CalHFA Addendum'!$B25),Application!$G$714:$G$738)</f>
        <v>0</v>
      </c>
      <c r="W25" s="2538"/>
      <c r="X25" s="2538"/>
      <c r="Y25" s="2538"/>
      <c r="Z25" s="2538"/>
      <c r="AA25" s="2539"/>
      <c r="AB25" s="2537" cm="1">
        <f t="array" ref="AB25">SUMPRODUCT((Application!$B$714:$B$738 = 'CalHFA Addendum'!AB$18)*(Application!$AC$714:$AC$738 = 'CalHFA Addendum'!$B25),Application!$G$714:$G$738)</f>
        <v>0</v>
      </c>
      <c r="AC25" s="2538"/>
      <c r="AD25" s="2538"/>
      <c r="AE25" s="2538"/>
      <c r="AF25" s="2538"/>
      <c r="AG25" s="2539"/>
      <c r="AH25" s="2537" cm="1">
        <f t="array" ref="AH25">SUMPRODUCT((Application!$B$714:$B$738 = 'CalHFA Addendum'!AH$18)*(Application!$AC$714:$AC$738 = 'CalHFA Addendum'!$B25),Application!$G$714:$G$738)</f>
        <v>0</v>
      </c>
      <c r="AI25" s="2538"/>
      <c r="AJ25" s="2538"/>
      <c r="AK25" s="2538"/>
      <c r="AL25" s="2538"/>
      <c r="AM25" s="2539"/>
      <c r="AN25" s="2537" cm="1">
        <f t="array" ref="AN25">SUMPRODUCT((Application!$B$714:$B$738 = 'CalHFA Addendum'!AN$18)*(Application!$AC$714:$AC$738 = 'CalHFA Addendum'!$B25),Application!$G$714:$G$738)</f>
        <v>0</v>
      </c>
      <c r="AO25" s="2538"/>
      <c r="AP25" s="2538"/>
      <c r="AQ25" s="2538"/>
      <c r="AR25" s="2538"/>
      <c r="AS25" s="2539"/>
      <c r="AT25" s="2540">
        <f t="shared" si="1"/>
        <v>0</v>
      </c>
      <c r="AU25" s="2541"/>
      <c r="AV25" s="2541"/>
      <c r="AW25" s="2541"/>
      <c r="AX25" s="2541"/>
      <c r="AY25" s="2542"/>
      <c r="AZ25" s="1206"/>
      <c r="BA25" s="1206"/>
      <c r="BB25" s="1206"/>
      <c r="BC25" s="1206"/>
      <c r="BD25" s="1206"/>
      <c r="BE25" s="1202"/>
    </row>
    <row r="26" spans="1:58" ht="15">
      <c r="A26" s="1206"/>
      <c r="B26" s="2534">
        <v>1</v>
      </c>
      <c r="C26" s="2535"/>
      <c r="D26" s="2535"/>
      <c r="E26" s="2535"/>
      <c r="F26" s="2535"/>
      <c r="G26" s="2535"/>
      <c r="H26" s="2535"/>
      <c r="I26" s="2536"/>
      <c r="J26" s="2537">
        <f t="shared" si="0"/>
        <v>0</v>
      </c>
      <c r="K26" s="2538"/>
      <c r="L26" s="2538"/>
      <c r="M26" s="2538"/>
      <c r="N26" s="2538"/>
      <c r="O26" s="2539"/>
      <c r="P26" s="2537" cm="1">
        <f t="array" ref="P26">SUMPRODUCT((Application!$B$714:$B$738 = 'CalHFA Addendum'!P$18)*(Application!$AC$714:$AC$738 = 'CalHFA Addendum'!$B26),Application!$G$714:$G$738)</f>
        <v>0</v>
      </c>
      <c r="Q26" s="2538"/>
      <c r="R26" s="2538"/>
      <c r="S26" s="2538"/>
      <c r="T26" s="2538"/>
      <c r="U26" s="2539"/>
      <c r="V26" s="2537" cm="1">
        <f t="array" ref="V26">SUMPRODUCT((Application!$B$714:$B$738 = 'CalHFA Addendum'!V$18)*(Application!$AC$714:$AC$738 = 'CalHFA Addendum'!$B26),Application!$G$714:$G$738)</f>
        <v>0</v>
      </c>
      <c r="W26" s="2538"/>
      <c r="X26" s="2538"/>
      <c r="Y26" s="2538"/>
      <c r="Z26" s="2538"/>
      <c r="AA26" s="2539"/>
      <c r="AB26" s="2537" cm="1">
        <f t="array" ref="AB26">SUMPRODUCT((Application!$B$714:$B$738 = 'CalHFA Addendum'!AB$18)*(Application!$AC$714:$AC$738 = 'CalHFA Addendum'!$B26),Application!$G$714:$G$738)</f>
        <v>0</v>
      </c>
      <c r="AC26" s="2538"/>
      <c r="AD26" s="2538"/>
      <c r="AE26" s="2538"/>
      <c r="AF26" s="2538"/>
      <c r="AG26" s="2539"/>
      <c r="AH26" s="2537" cm="1">
        <f t="array" ref="AH26">SUMPRODUCT((Application!$B$714:$B$738 = 'CalHFA Addendum'!AH$18)*(Application!$AC$714:$AC$738 = 'CalHFA Addendum'!$B26),Application!$G$714:$G$738)</f>
        <v>0</v>
      </c>
      <c r="AI26" s="2538"/>
      <c r="AJ26" s="2538"/>
      <c r="AK26" s="2538"/>
      <c r="AL26" s="2538"/>
      <c r="AM26" s="2539"/>
      <c r="AN26" s="2537" cm="1">
        <f t="array" ref="AN26">SUMPRODUCT((Application!$B$714:$B$738 = 'CalHFA Addendum'!AN$18)*(Application!$AC$714:$AC$738 = 'CalHFA Addendum'!$B26),Application!$G$714:$G$738)</f>
        <v>0</v>
      </c>
      <c r="AO26" s="2538"/>
      <c r="AP26" s="2538"/>
      <c r="AQ26" s="2538"/>
      <c r="AR26" s="2538"/>
      <c r="AS26" s="2539"/>
      <c r="AT26" s="2540">
        <f t="shared" si="1"/>
        <v>0</v>
      </c>
      <c r="AU26" s="2541"/>
      <c r="AV26" s="2541"/>
      <c r="AW26" s="2541"/>
      <c r="AX26" s="2541"/>
      <c r="AY26" s="2542"/>
      <c r="AZ26" s="1206"/>
      <c r="BA26" s="1206"/>
      <c r="BB26" s="1206"/>
      <c r="BC26" s="1206"/>
      <c r="BD26" s="1206"/>
      <c r="BE26" s="1202"/>
    </row>
    <row r="27" spans="1:58" ht="15">
      <c r="A27" s="1206"/>
      <c r="B27" s="2534">
        <v>1.1000000000000001</v>
      </c>
      <c r="C27" s="2535"/>
      <c r="D27" s="2535"/>
      <c r="E27" s="2535"/>
      <c r="F27" s="2535"/>
      <c r="G27" s="2535"/>
      <c r="H27" s="2535"/>
      <c r="I27" s="2536"/>
      <c r="J27" s="2537">
        <f t="shared" si="0"/>
        <v>0</v>
      </c>
      <c r="K27" s="2538"/>
      <c r="L27" s="2538"/>
      <c r="M27" s="2538"/>
      <c r="N27" s="2538"/>
      <c r="O27" s="2539"/>
      <c r="P27" s="2537" cm="1">
        <f t="array" ref="P27">SUMPRODUCT((Application!$B$714:$B$738 = 'CalHFA Addendum'!P$18)*(Application!$AC$714:$AC$738 = 'CalHFA Addendum'!$B27),Application!$G$714:$G$738)</f>
        <v>0</v>
      </c>
      <c r="Q27" s="2538"/>
      <c r="R27" s="2538"/>
      <c r="S27" s="2538"/>
      <c r="T27" s="2538"/>
      <c r="U27" s="2539"/>
      <c r="V27" s="2537" cm="1">
        <f t="array" ref="V27">SUMPRODUCT((Application!$B$714:$B$738 = 'CalHFA Addendum'!V$18)*(Application!$AC$714:$AC$738 = 'CalHFA Addendum'!$B27),Application!$G$714:$G$738)</f>
        <v>0</v>
      </c>
      <c r="W27" s="2538"/>
      <c r="X27" s="2538"/>
      <c r="Y27" s="2538"/>
      <c r="Z27" s="2538"/>
      <c r="AA27" s="2539"/>
      <c r="AB27" s="2537" cm="1">
        <f t="array" ref="AB27">SUMPRODUCT((Application!$B$714:$B$738 = 'CalHFA Addendum'!AB$18)*(Application!$AC$714:$AC$738 = 'CalHFA Addendum'!$B27),Application!$G$714:$G$738)</f>
        <v>0</v>
      </c>
      <c r="AC27" s="2538"/>
      <c r="AD27" s="2538"/>
      <c r="AE27" s="2538"/>
      <c r="AF27" s="2538"/>
      <c r="AG27" s="2539"/>
      <c r="AH27" s="2537" cm="1">
        <f t="array" ref="AH27">SUMPRODUCT((Application!$B$714:$B$738 = 'CalHFA Addendum'!AH$18)*(Application!$AC$714:$AC$738 = 'CalHFA Addendum'!$B27),Application!$G$714:$G$738)</f>
        <v>0</v>
      </c>
      <c r="AI27" s="2538"/>
      <c r="AJ27" s="2538"/>
      <c r="AK27" s="2538"/>
      <c r="AL27" s="2538"/>
      <c r="AM27" s="2539"/>
      <c r="AN27" s="2537" cm="1">
        <f t="array" ref="AN27">SUMPRODUCT((Application!$B$714:$B$738 = 'CalHFA Addendum'!AN$18)*(Application!$AC$714:$AC$738 = 'CalHFA Addendum'!$B27),Application!$G$714:$G$738)</f>
        <v>0</v>
      </c>
      <c r="AO27" s="2538"/>
      <c r="AP27" s="2538"/>
      <c r="AQ27" s="2538"/>
      <c r="AR27" s="2538"/>
      <c r="AS27" s="2539"/>
      <c r="AT27" s="2540">
        <f t="shared" si="1"/>
        <v>0</v>
      </c>
      <c r="AU27" s="2541"/>
      <c r="AV27" s="2541"/>
      <c r="AW27" s="2541"/>
      <c r="AX27" s="2541"/>
      <c r="AY27" s="2542"/>
      <c r="AZ27" s="1206"/>
      <c r="BA27" s="1206"/>
      <c r="BB27" s="1206"/>
      <c r="BC27" s="1206"/>
      <c r="BD27" s="1206"/>
      <c r="BE27" s="1202"/>
    </row>
    <row r="28" spans="1:58" thickBot="1">
      <c r="A28" s="1206"/>
      <c r="B28" s="2543" t="s">
        <v>1794</v>
      </c>
      <c r="C28" s="2544"/>
      <c r="D28" s="2544"/>
      <c r="E28" s="2544"/>
      <c r="F28" s="2544"/>
      <c r="G28" s="2544"/>
      <c r="H28" s="2544"/>
      <c r="I28" s="2545"/>
      <c r="J28" s="2546">
        <f t="shared" si="0"/>
        <v>0</v>
      </c>
      <c r="K28" s="2547"/>
      <c r="L28" s="2547"/>
      <c r="M28" s="2547"/>
      <c r="N28" s="2547"/>
      <c r="O28" s="2548"/>
      <c r="P28" s="2546">
        <f>_xlfn.IFNA(VLOOKUP(P$18,Application!$J$758:$S$761,6,FALSE), 0)</f>
        <v>0</v>
      </c>
      <c r="Q28" s="2547"/>
      <c r="R28" s="2547"/>
      <c r="S28" s="2547"/>
      <c r="T28" s="2547"/>
      <c r="U28" s="2548"/>
      <c r="V28" s="2546">
        <f>_xlfn.IFNA(VLOOKUP(V$18,Application!$J$758:$S$761,6,FALSE), 0)</f>
        <v>0</v>
      </c>
      <c r="W28" s="2547"/>
      <c r="X28" s="2547"/>
      <c r="Y28" s="2547"/>
      <c r="Z28" s="2547"/>
      <c r="AA28" s="2548"/>
      <c r="AB28" s="2546">
        <f>_xlfn.IFNA(VLOOKUP(AB$18,Application!$J$758:$S$761,6,FALSE), 0)</f>
        <v>0</v>
      </c>
      <c r="AC28" s="2547"/>
      <c r="AD28" s="2547"/>
      <c r="AE28" s="2547"/>
      <c r="AF28" s="2547"/>
      <c r="AG28" s="2548"/>
      <c r="AH28" s="2546">
        <f>_xlfn.IFNA(VLOOKUP(AH$18,Application!$J$758:$S$761,6,FALSE), 0)</f>
        <v>0</v>
      </c>
      <c r="AI28" s="2547"/>
      <c r="AJ28" s="2547"/>
      <c r="AK28" s="2547"/>
      <c r="AL28" s="2547"/>
      <c r="AM28" s="2548"/>
      <c r="AN28" s="2546">
        <f>_xlfn.IFNA(VLOOKUP(AN$18,Application!$J$758:$S$761,6,FALSE), 0)</f>
        <v>0</v>
      </c>
      <c r="AO28" s="2547"/>
      <c r="AP28" s="2547"/>
      <c r="AQ28" s="2547"/>
      <c r="AR28" s="2547"/>
      <c r="AS28" s="2548"/>
      <c r="AT28" s="2549">
        <f t="shared" si="1"/>
        <v>0</v>
      </c>
      <c r="AU28" s="2550"/>
      <c r="AV28" s="2550"/>
      <c r="AW28" s="2550"/>
      <c r="AX28" s="2550"/>
      <c r="AY28" s="2551"/>
      <c r="AZ28" s="1206"/>
      <c r="BA28" s="1206"/>
      <c r="BB28" s="1206"/>
      <c r="BC28" s="1206"/>
      <c r="BD28" s="1206"/>
      <c r="BE28" s="1202"/>
    </row>
    <row r="29" spans="1:58" thickBot="1">
      <c r="A29" s="1206"/>
      <c r="B29" s="2523" t="s">
        <v>1693</v>
      </c>
      <c r="C29" s="2501"/>
      <c r="D29" s="2501"/>
      <c r="E29" s="2501"/>
      <c r="F29" s="2501"/>
      <c r="G29" s="2501"/>
      <c r="H29" s="2501"/>
      <c r="I29" s="2502"/>
      <c r="J29" s="2500">
        <f>SUM(J19:O28)</f>
        <v>61</v>
      </c>
      <c r="K29" s="2501"/>
      <c r="L29" s="2501"/>
      <c r="M29" s="2501"/>
      <c r="N29" s="2501"/>
      <c r="O29" s="2502"/>
      <c r="P29" s="2500">
        <f>SUM(P19:U28)</f>
        <v>33</v>
      </c>
      <c r="Q29" s="2501"/>
      <c r="R29" s="2501"/>
      <c r="S29" s="2501"/>
      <c r="T29" s="2501"/>
      <c r="U29" s="2502"/>
      <c r="V29" s="2500">
        <f>SUM(V19:AA28)</f>
        <v>19</v>
      </c>
      <c r="W29" s="2501"/>
      <c r="X29" s="2501"/>
      <c r="Y29" s="2501"/>
      <c r="Z29" s="2501"/>
      <c r="AA29" s="2502"/>
      <c r="AB29" s="2500">
        <f>SUM(AB19:AG28)</f>
        <v>4</v>
      </c>
      <c r="AC29" s="2501"/>
      <c r="AD29" s="2501"/>
      <c r="AE29" s="2501"/>
      <c r="AF29" s="2501"/>
      <c r="AG29" s="2502"/>
      <c r="AH29" s="2500">
        <f>SUM(AH19:AM28)</f>
        <v>5</v>
      </c>
      <c r="AI29" s="2501"/>
      <c r="AJ29" s="2501"/>
      <c r="AK29" s="2501"/>
      <c r="AL29" s="2501"/>
      <c r="AM29" s="2502"/>
      <c r="AN29" s="2500">
        <f>SUM(AN19:AS28)</f>
        <v>0</v>
      </c>
      <c r="AO29" s="2501"/>
      <c r="AP29" s="2501"/>
      <c r="AQ29" s="2501"/>
      <c r="AR29" s="2501"/>
      <c r="AS29" s="2502"/>
      <c r="AT29" s="2516">
        <f t="shared" si="1"/>
        <v>1</v>
      </c>
      <c r="AU29" s="2517"/>
      <c r="AV29" s="2517"/>
      <c r="AW29" s="2517"/>
      <c r="AX29" s="2517"/>
      <c r="AY29" s="2518"/>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504" t="s">
        <v>1795</v>
      </c>
      <c r="C31" s="2505"/>
      <c r="D31" s="2505"/>
      <c r="E31" s="2505"/>
      <c r="F31" s="2505"/>
      <c r="G31" s="2505"/>
      <c r="H31" s="2505"/>
      <c r="I31" s="2505"/>
      <c r="J31" s="2505"/>
      <c r="K31" s="2505"/>
      <c r="L31" s="2505"/>
      <c r="M31" s="2505"/>
      <c r="N31" s="2505"/>
      <c r="O31" s="2505"/>
      <c r="P31" s="2505"/>
      <c r="Q31" s="2505"/>
      <c r="R31" s="2505"/>
      <c r="S31" s="2505"/>
      <c r="T31" s="2505"/>
      <c r="U31" s="2505"/>
      <c r="V31" s="2505"/>
      <c r="W31" s="2505"/>
      <c r="X31" s="2505"/>
      <c r="Y31" s="2505"/>
      <c r="Z31" s="2505"/>
      <c r="AA31" s="2505"/>
      <c r="AB31" s="2505"/>
      <c r="AC31" s="2505"/>
      <c r="AD31" s="2505"/>
      <c r="AE31" s="2505"/>
      <c r="AF31" s="2505"/>
      <c r="AG31" s="2505"/>
      <c r="AH31" s="2505"/>
      <c r="AI31" s="2505"/>
      <c r="AJ31" s="2505"/>
      <c r="AK31" s="2505"/>
      <c r="AL31" s="2505"/>
      <c r="AM31" s="2505"/>
      <c r="AN31" s="2505"/>
      <c r="AO31" s="2505"/>
      <c r="AP31" s="2505"/>
      <c r="AQ31" s="2505"/>
      <c r="AR31" s="2505"/>
      <c r="AS31" s="2505"/>
      <c r="AT31" s="2505"/>
      <c r="AU31" s="2505"/>
      <c r="AV31" s="2505"/>
      <c r="AW31" s="2505"/>
      <c r="AX31" s="2505"/>
      <c r="AY31" s="2505"/>
      <c r="AZ31" s="2505"/>
      <c r="BA31" s="2505"/>
      <c r="BB31" s="2505"/>
      <c r="BC31" s="2505"/>
      <c r="BD31" s="2506"/>
      <c r="BE31" s="1202"/>
    </row>
    <row r="32" spans="1:58" thickBot="1">
      <c r="A32" s="1206"/>
      <c r="B32" s="2519" t="s">
        <v>2468</v>
      </c>
      <c r="C32" s="2520"/>
      <c r="D32" s="2520"/>
      <c r="E32" s="2520"/>
      <c r="F32" s="2520"/>
      <c r="G32" s="2520"/>
      <c r="H32" s="2520"/>
      <c r="I32" s="2520"/>
      <c r="J32" s="2552" t="s">
        <v>2469</v>
      </c>
      <c r="K32" s="2553"/>
      <c r="L32" s="2553"/>
      <c r="M32" s="2553"/>
      <c r="N32" s="2552" t="s">
        <v>1796</v>
      </c>
      <c r="O32" s="2553"/>
      <c r="P32" s="2553"/>
      <c r="Q32" s="2555"/>
      <c r="R32" s="2513" t="s">
        <v>1797</v>
      </c>
      <c r="S32" s="2514"/>
      <c r="T32" s="2514"/>
      <c r="U32" s="2514"/>
      <c r="V32" s="2514"/>
      <c r="W32" s="2514"/>
      <c r="X32" s="2514"/>
      <c r="Y32" s="2514"/>
      <c r="Z32" s="2514"/>
      <c r="AA32" s="2514"/>
      <c r="AB32" s="2514"/>
      <c r="AC32" s="2514"/>
      <c r="AD32" s="2514"/>
      <c r="AE32" s="2514"/>
      <c r="AF32" s="2514"/>
      <c r="AG32" s="2514"/>
      <c r="AH32" s="2514"/>
      <c r="AI32" s="2514"/>
      <c r="AJ32" s="2514"/>
      <c r="AK32" s="2514"/>
      <c r="AL32" s="2514"/>
      <c r="AM32" s="2514"/>
      <c r="AN32" s="2514"/>
      <c r="AO32" s="2514"/>
      <c r="AP32" s="2514"/>
      <c r="AQ32" s="2514"/>
      <c r="AR32" s="2514"/>
      <c r="AS32" s="2514"/>
      <c r="AT32" s="2514"/>
      <c r="AU32" s="2514"/>
      <c r="AV32" s="2514"/>
      <c r="AW32" s="2514"/>
      <c r="AX32" s="2514"/>
      <c r="AY32" s="2514"/>
      <c r="AZ32" s="2514"/>
      <c r="BA32" s="2514"/>
      <c r="BB32" s="2514"/>
      <c r="BC32" s="2514"/>
      <c r="BD32" s="2515"/>
      <c r="BE32" s="1202"/>
    </row>
    <row r="33" spans="1:58" ht="15" customHeight="1">
      <c r="A33" s="1206"/>
      <c r="B33" s="2521"/>
      <c r="C33" s="2522"/>
      <c r="D33" s="2522"/>
      <c r="E33" s="2522"/>
      <c r="F33" s="2522"/>
      <c r="G33" s="2522"/>
      <c r="H33" s="2522"/>
      <c r="I33" s="2522"/>
      <c r="J33" s="2554"/>
      <c r="K33" s="2554"/>
      <c r="L33" s="2554"/>
      <c r="M33" s="2554"/>
      <c r="N33" s="2554"/>
      <c r="O33" s="2554"/>
      <c r="P33" s="2554"/>
      <c r="Q33" s="2556"/>
      <c r="R33" s="2507" t="s">
        <v>1798</v>
      </c>
      <c r="S33" s="2508"/>
      <c r="T33" s="2508"/>
      <c r="U33" s="2508"/>
      <c r="V33" s="2508"/>
      <c r="W33" s="2508"/>
      <c r="X33" s="2508"/>
      <c r="Y33" s="2508"/>
      <c r="Z33" s="2508"/>
      <c r="AA33" s="2508"/>
      <c r="AB33" s="2508"/>
      <c r="AC33" s="2508"/>
      <c r="AD33" s="2508"/>
      <c r="AE33" s="2508"/>
      <c r="AF33" s="2508"/>
      <c r="AG33" s="2508"/>
      <c r="AH33" s="2508"/>
      <c r="AI33" s="2508"/>
      <c r="AJ33" s="2508"/>
      <c r="AK33" s="2508"/>
      <c r="AL33" s="2508"/>
      <c r="AM33" s="2508"/>
      <c r="AN33" s="2508"/>
      <c r="AO33" s="2508"/>
      <c r="AP33" s="2508"/>
      <c r="AQ33" s="2508"/>
      <c r="AR33" s="2508"/>
      <c r="AS33" s="2508"/>
      <c r="AT33" s="2508"/>
      <c r="AU33" s="2508"/>
      <c r="AV33" s="2508"/>
      <c r="AW33" s="2508"/>
      <c r="AX33" s="2508"/>
      <c r="AY33" s="2508"/>
      <c r="AZ33" s="2508"/>
      <c r="BA33" s="2508"/>
      <c r="BB33" s="2508"/>
      <c r="BC33" s="2508"/>
      <c r="BD33" s="2509"/>
      <c r="BE33" s="1202"/>
    </row>
    <row r="34" spans="1:58" ht="15.75" customHeight="1" thickBot="1">
      <c r="A34" s="1206"/>
      <c r="B34" s="2521"/>
      <c r="C34" s="2522"/>
      <c r="D34" s="2522"/>
      <c r="E34" s="2522"/>
      <c r="F34" s="2522"/>
      <c r="G34" s="2522"/>
      <c r="H34" s="2522"/>
      <c r="I34" s="2522"/>
      <c r="J34" s="2554"/>
      <c r="K34" s="2554"/>
      <c r="L34" s="2554"/>
      <c r="M34" s="2554"/>
      <c r="N34" s="2554"/>
      <c r="O34" s="2554"/>
      <c r="P34" s="2554"/>
      <c r="Q34" s="2556"/>
      <c r="R34" s="2510"/>
      <c r="S34" s="2511"/>
      <c r="T34" s="2511"/>
      <c r="U34" s="2511"/>
      <c r="V34" s="2511"/>
      <c r="W34" s="2511"/>
      <c r="X34" s="2511"/>
      <c r="Y34" s="2511"/>
      <c r="Z34" s="2511"/>
      <c r="AA34" s="2511"/>
      <c r="AB34" s="2511"/>
      <c r="AC34" s="2511"/>
      <c r="AD34" s="2511"/>
      <c r="AE34" s="2511"/>
      <c r="AF34" s="2511"/>
      <c r="AG34" s="2511"/>
      <c r="AH34" s="2511"/>
      <c r="AI34" s="2511"/>
      <c r="AJ34" s="2511"/>
      <c r="AK34" s="2511"/>
      <c r="AL34" s="2511"/>
      <c r="AM34" s="2511"/>
      <c r="AN34" s="2511"/>
      <c r="AO34" s="2511"/>
      <c r="AP34" s="2511"/>
      <c r="AQ34" s="2511"/>
      <c r="AR34" s="2511"/>
      <c r="AS34" s="2511"/>
      <c r="AT34" s="2511"/>
      <c r="AU34" s="2511"/>
      <c r="AV34" s="2511"/>
      <c r="AW34" s="2511"/>
      <c r="AX34" s="2511"/>
      <c r="AY34" s="2511"/>
      <c r="AZ34" s="2511"/>
      <c r="BA34" s="2511"/>
      <c r="BB34" s="2511"/>
      <c r="BC34" s="2511"/>
      <c r="BD34" s="2512"/>
      <c r="BE34" s="1202"/>
    </row>
    <row r="35" spans="1:58" ht="15.75" customHeight="1">
      <c r="A35" s="1206"/>
      <c r="B35" s="2521"/>
      <c r="C35" s="2522"/>
      <c r="D35" s="2522"/>
      <c r="E35" s="2522"/>
      <c r="F35" s="2522"/>
      <c r="G35" s="2522"/>
      <c r="H35" s="2522"/>
      <c r="I35" s="2522"/>
      <c r="J35" s="2554"/>
      <c r="K35" s="2554"/>
      <c r="L35" s="2554"/>
      <c r="M35" s="2554"/>
      <c r="N35" s="2554"/>
      <c r="O35" s="2554"/>
      <c r="P35" s="2554"/>
      <c r="Q35" s="2554"/>
      <c r="R35" s="2503">
        <v>0.3</v>
      </c>
      <c r="S35" s="2503"/>
      <c r="T35" s="2503"/>
      <c r="U35" s="2503"/>
      <c r="V35" s="2503">
        <v>0.4</v>
      </c>
      <c r="W35" s="2503"/>
      <c r="X35" s="2503"/>
      <c r="Y35" s="2503"/>
      <c r="Z35" s="2503">
        <v>0.5</v>
      </c>
      <c r="AA35" s="2503"/>
      <c r="AB35" s="2503"/>
      <c r="AC35" s="2503"/>
      <c r="AD35" s="2503">
        <v>0.6</v>
      </c>
      <c r="AE35" s="2503"/>
      <c r="AF35" s="2503"/>
      <c r="AG35" s="2503"/>
      <c r="AH35" s="2503">
        <v>0.7</v>
      </c>
      <c r="AI35" s="2503"/>
      <c r="AJ35" s="2503"/>
      <c r="AK35" s="2503"/>
      <c r="AL35" s="2524">
        <v>0.8</v>
      </c>
      <c r="AM35" s="2525"/>
      <c r="AN35" s="2525"/>
      <c r="AO35" s="2526"/>
      <c r="AP35" s="2527">
        <v>1.2</v>
      </c>
      <c r="AQ35" s="2528"/>
      <c r="AR35" s="2529"/>
      <c r="AS35" s="2530" t="s">
        <v>1799</v>
      </c>
      <c r="AT35" s="2531"/>
      <c r="AU35" s="2531"/>
      <c r="AV35" s="2531"/>
      <c r="AW35" s="2531"/>
      <c r="AX35" s="2532"/>
      <c r="AY35" s="2530" t="s">
        <v>1800</v>
      </c>
      <c r="AZ35" s="2531"/>
      <c r="BA35" s="2531"/>
      <c r="BB35" s="2531"/>
      <c r="BC35" s="2531"/>
      <c r="BD35" s="2533"/>
      <c r="BE35" s="1202"/>
    </row>
    <row r="36" spans="1:58" ht="15.75" customHeight="1">
      <c r="A36" s="1206"/>
      <c r="B36" s="2261" t="s">
        <v>1801</v>
      </c>
      <c r="C36" s="2262"/>
      <c r="D36" s="2262"/>
      <c r="E36" s="2262"/>
      <c r="F36" s="2262"/>
      <c r="G36" s="2262"/>
      <c r="H36" s="2262"/>
      <c r="I36" s="2262"/>
      <c r="J36" s="2493" t="s">
        <v>1802</v>
      </c>
      <c r="K36" s="2493"/>
      <c r="L36" s="2493"/>
      <c r="M36" s="2493"/>
      <c r="N36" s="2493">
        <v>55</v>
      </c>
      <c r="O36" s="2493"/>
      <c r="P36" s="2493"/>
      <c r="Q36" s="2493"/>
      <c r="R36" s="2239">
        <v>0</v>
      </c>
      <c r="S36" s="2239"/>
      <c r="T36" s="2239"/>
      <c r="U36" s="2239"/>
      <c r="V36" s="2239">
        <v>0</v>
      </c>
      <c r="W36" s="2239"/>
      <c r="X36" s="2239"/>
      <c r="Y36" s="2239"/>
      <c r="Z36" s="2239">
        <v>10</v>
      </c>
      <c r="AA36" s="2239"/>
      <c r="AB36" s="2239"/>
      <c r="AC36" s="2239"/>
      <c r="AD36" s="2239">
        <v>10</v>
      </c>
      <c r="AE36" s="2239"/>
      <c r="AF36" s="2239"/>
      <c r="AG36" s="2239"/>
      <c r="AH36" s="2239">
        <v>30</v>
      </c>
      <c r="AI36" s="2239"/>
      <c r="AJ36" s="2239"/>
      <c r="AK36" s="2239"/>
      <c r="AL36" s="2240">
        <v>0</v>
      </c>
      <c r="AM36" s="2241"/>
      <c r="AN36" s="2241"/>
      <c r="AO36" s="2242"/>
      <c r="AP36" s="2240">
        <v>0</v>
      </c>
      <c r="AQ36" s="2241"/>
      <c r="AR36" s="2242"/>
      <c r="AS36" s="2243">
        <f t="shared" ref="AS36:AS47" si="2">SUM(R36:AR36)</f>
        <v>50</v>
      </c>
      <c r="AT36" s="2244"/>
      <c r="AU36" s="2244"/>
      <c r="AV36" s="2244"/>
      <c r="AW36" s="2244"/>
      <c r="AX36" s="2245"/>
      <c r="AY36" s="2497">
        <f t="shared" ref="AY36:AY47" si="3">AS36/$J$29</f>
        <v>0.81967213114754101</v>
      </c>
      <c r="AZ36" s="2498"/>
      <c r="BA36" s="2498"/>
      <c r="BB36" s="2498"/>
      <c r="BC36" s="2498"/>
      <c r="BD36" s="2499"/>
      <c r="BE36" s="1202"/>
    </row>
    <row r="37" spans="1:58" ht="15.75" customHeight="1">
      <c r="A37" s="1206"/>
      <c r="B37" s="2261" t="s">
        <v>2470</v>
      </c>
      <c r="C37" s="2262"/>
      <c r="D37" s="2262"/>
      <c r="E37" s="2262"/>
      <c r="F37" s="2262"/>
      <c r="G37" s="2262"/>
      <c r="H37" s="2262"/>
      <c r="I37" s="2262"/>
      <c r="J37" s="2493" t="s">
        <v>1803</v>
      </c>
      <c r="K37" s="2493"/>
      <c r="L37" s="2493"/>
      <c r="M37" s="2493"/>
      <c r="N37" s="2493">
        <v>55</v>
      </c>
      <c r="O37" s="2493"/>
      <c r="P37" s="2493"/>
      <c r="Q37" s="2493"/>
      <c r="R37" s="2239">
        <v>10</v>
      </c>
      <c r="S37" s="2239"/>
      <c r="T37" s="2239"/>
      <c r="U37" s="2239"/>
      <c r="V37" s="2239"/>
      <c r="W37" s="2239"/>
      <c r="X37" s="2239"/>
      <c r="Y37" s="2239"/>
      <c r="Z37" s="2239"/>
      <c r="AA37" s="2239"/>
      <c r="AB37" s="2239"/>
      <c r="AC37" s="2239"/>
      <c r="AD37" s="2239"/>
      <c r="AE37" s="2239"/>
      <c r="AF37" s="2239"/>
      <c r="AG37" s="2239"/>
      <c r="AH37" s="2239"/>
      <c r="AI37" s="2239"/>
      <c r="AJ37" s="2239"/>
      <c r="AK37" s="2239"/>
      <c r="AL37" s="2240"/>
      <c r="AM37" s="2241"/>
      <c r="AN37" s="2241"/>
      <c r="AO37" s="2242"/>
      <c r="AP37" s="2240"/>
      <c r="AQ37" s="2241"/>
      <c r="AR37" s="2242"/>
      <c r="AS37" s="2243">
        <f t="shared" si="2"/>
        <v>10</v>
      </c>
      <c r="AT37" s="2244"/>
      <c r="AU37" s="2244"/>
      <c r="AV37" s="2244"/>
      <c r="AW37" s="2244"/>
      <c r="AX37" s="2245"/>
      <c r="AY37" s="2497">
        <f t="shared" si="3"/>
        <v>0.16393442622950818</v>
      </c>
      <c r="AZ37" s="2498"/>
      <c r="BA37" s="2498"/>
      <c r="BB37" s="2498"/>
      <c r="BC37" s="2498"/>
      <c r="BD37" s="2499"/>
      <c r="BE37" s="1202"/>
    </row>
    <row r="38" spans="1:58" ht="15.75" customHeight="1">
      <c r="A38" s="1206"/>
      <c r="B38" s="2261" t="s">
        <v>2409</v>
      </c>
      <c r="C38" s="2262"/>
      <c r="D38" s="2262"/>
      <c r="E38" s="2262"/>
      <c r="F38" s="2262"/>
      <c r="G38" s="2262"/>
      <c r="H38" s="2262"/>
      <c r="I38" s="2262"/>
      <c r="J38" s="2493" t="s">
        <v>1804</v>
      </c>
      <c r="K38" s="2493"/>
      <c r="L38" s="2493"/>
      <c r="M38" s="2493"/>
      <c r="N38" s="2493">
        <v>55</v>
      </c>
      <c r="O38" s="2493"/>
      <c r="P38" s="2493"/>
      <c r="Q38" s="2493"/>
      <c r="R38" s="2239"/>
      <c r="S38" s="2239"/>
      <c r="T38" s="2239"/>
      <c r="U38" s="2239"/>
      <c r="V38" s="2239"/>
      <c r="W38" s="2239"/>
      <c r="X38" s="2239"/>
      <c r="Y38" s="2239"/>
      <c r="Z38" s="2239"/>
      <c r="AA38" s="2239"/>
      <c r="AB38" s="2239"/>
      <c r="AC38" s="2239"/>
      <c r="AD38" s="2239"/>
      <c r="AE38" s="2239"/>
      <c r="AF38" s="2239"/>
      <c r="AG38" s="2239"/>
      <c r="AH38" s="2239"/>
      <c r="AI38" s="2239"/>
      <c r="AJ38" s="2239"/>
      <c r="AK38" s="2239"/>
      <c r="AL38" s="2240"/>
      <c r="AM38" s="2241"/>
      <c r="AN38" s="2241"/>
      <c r="AO38" s="2242"/>
      <c r="AP38" s="2240"/>
      <c r="AQ38" s="2241"/>
      <c r="AR38" s="2242"/>
      <c r="AS38" s="2243">
        <f t="shared" si="2"/>
        <v>0</v>
      </c>
      <c r="AT38" s="2244"/>
      <c r="AU38" s="2244"/>
      <c r="AV38" s="2244"/>
      <c r="AW38" s="2244"/>
      <c r="AX38" s="2245"/>
      <c r="AY38" s="2497">
        <f t="shared" si="3"/>
        <v>0</v>
      </c>
      <c r="AZ38" s="2498"/>
      <c r="BA38" s="2498"/>
      <c r="BB38" s="2498"/>
      <c r="BC38" s="2498"/>
      <c r="BD38" s="2499"/>
      <c r="BE38" s="1202"/>
    </row>
    <row r="39" spans="1:58" ht="15.75" customHeight="1">
      <c r="A39" s="1206"/>
      <c r="B39" s="2261" t="s">
        <v>1805</v>
      </c>
      <c r="C39" s="2262"/>
      <c r="D39" s="2262"/>
      <c r="E39" s="2262"/>
      <c r="F39" s="2262"/>
      <c r="G39" s="2262"/>
      <c r="H39" s="2262"/>
      <c r="I39" s="2262"/>
      <c r="J39" s="2493"/>
      <c r="K39" s="2493"/>
      <c r="L39" s="2493"/>
      <c r="M39" s="2493"/>
      <c r="N39" s="2493"/>
      <c r="O39" s="2493"/>
      <c r="P39" s="2493"/>
      <c r="Q39" s="2493"/>
      <c r="R39" s="2239"/>
      <c r="S39" s="2239"/>
      <c r="T39" s="2239"/>
      <c r="U39" s="2239"/>
      <c r="V39" s="2239"/>
      <c r="W39" s="2239"/>
      <c r="X39" s="2239"/>
      <c r="Y39" s="2239"/>
      <c r="Z39" s="2239"/>
      <c r="AA39" s="2239"/>
      <c r="AB39" s="2239"/>
      <c r="AC39" s="2239"/>
      <c r="AD39" s="2239"/>
      <c r="AE39" s="2239"/>
      <c r="AF39" s="2239"/>
      <c r="AG39" s="2239"/>
      <c r="AH39" s="2239"/>
      <c r="AI39" s="2239"/>
      <c r="AJ39" s="2239"/>
      <c r="AK39" s="2239"/>
      <c r="AL39" s="2240"/>
      <c r="AM39" s="2241"/>
      <c r="AN39" s="2241"/>
      <c r="AO39" s="2242"/>
      <c r="AP39" s="2240"/>
      <c r="AQ39" s="2241"/>
      <c r="AR39" s="2242"/>
      <c r="AS39" s="2243">
        <f t="shared" si="2"/>
        <v>0</v>
      </c>
      <c r="AT39" s="2244"/>
      <c r="AU39" s="2244"/>
      <c r="AV39" s="2244"/>
      <c r="AW39" s="2244"/>
      <c r="AX39" s="2245"/>
      <c r="AY39" s="2497">
        <f t="shared" si="3"/>
        <v>0</v>
      </c>
      <c r="AZ39" s="2498"/>
      <c r="BA39" s="2498"/>
      <c r="BB39" s="2498"/>
      <c r="BC39" s="2498"/>
      <c r="BD39" s="2499"/>
      <c r="BE39" s="1202"/>
    </row>
    <row r="40" spans="1:58" ht="15.75" customHeight="1">
      <c r="A40" s="1206"/>
      <c r="B40" s="2261" t="s">
        <v>1805</v>
      </c>
      <c r="C40" s="2262"/>
      <c r="D40" s="2262"/>
      <c r="E40" s="2262"/>
      <c r="F40" s="2262"/>
      <c r="G40" s="2262"/>
      <c r="H40" s="2262"/>
      <c r="I40" s="2262"/>
      <c r="J40" s="2493"/>
      <c r="K40" s="2493"/>
      <c r="L40" s="2493"/>
      <c r="M40" s="2493"/>
      <c r="N40" s="2493"/>
      <c r="O40" s="2493"/>
      <c r="P40" s="2493"/>
      <c r="Q40" s="2493"/>
      <c r="R40" s="2239"/>
      <c r="S40" s="2239"/>
      <c r="T40" s="2239"/>
      <c r="U40" s="2239"/>
      <c r="V40" s="2239"/>
      <c r="W40" s="2239"/>
      <c r="X40" s="2239"/>
      <c r="Y40" s="2239"/>
      <c r="Z40" s="2239"/>
      <c r="AA40" s="2239"/>
      <c r="AB40" s="2239"/>
      <c r="AC40" s="2239"/>
      <c r="AD40" s="2239"/>
      <c r="AE40" s="2239"/>
      <c r="AF40" s="2239"/>
      <c r="AG40" s="2239"/>
      <c r="AH40" s="2239"/>
      <c r="AI40" s="2239"/>
      <c r="AJ40" s="2239"/>
      <c r="AK40" s="2239"/>
      <c r="AL40" s="2240"/>
      <c r="AM40" s="2241"/>
      <c r="AN40" s="2241"/>
      <c r="AO40" s="2242"/>
      <c r="AP40" s="2240"/>
      <c r="AQ40" s="2241"/>
      <c r="AR40" s="2242"/>
      <c r="AS40" s="2243">
        <f t="shared" si="2"/>
        <v>0</v>
      </c>
      <c r="AT40" s="2244"/>
      <c r="AU40" s="2244"/>
      <c r="AV40" s="2244"/>
      <c r="AW40" s="2244"/>
      <c r="AX40" s="2245"/>
      <c r="AY40" s="2497">
        <f t="shared" si="3"/>
        <v>0</v>
      </c>
      <c r="AZ40" s="2498"/>
      <c r="BA40" s="2498"/>
      <c r="BB40" s="2498"/>
      <c r="BC40" s="2498"/>
      <c r="BD40" s="2499"/>
      <c r="BE40" s="1202"/>
    </row>
    <row r="41" spans="1:58" ht="15.75" customHeight="1">
      <c r="A41" s="1206"/>
      <c r="B41" s="2261" t="s">
        <v>1806</v>
      </c>
      <c r="C41" s="2262"/>
      <c r="D41" s="2262"/>
      <c r="E41" s="2262"/>
      <c r="F41" s="2262"/>
      <c r="G41" s="2262"/>
      <c r="H41" s="2262"/>
      <c r="I41" s="2262"/>
      <c r="J41" s="2493"/>
      <c r="K41" s="2493"/>
      <c r="L41" s="2493"/>
      <c r="M41" s="2493"/>
      <c r="N41" s="2493"/>
      <c r="O41" s="2493"/>
      <c r="P41" s="2493"/>
      <c r="Q41" s="2493"/>
      <c r="R41" s="2239"/>
      <c r="S41" s="2239"/>
      <c r="T41" s="2239"/>
      <c r="U41" s="2239"/>
      <c r="V41" s="2239"/>
      <c r="W41" s="2239"/>
      <c r="X41" s="2239"/>
      <c r="Y41" s="2239"/>
      <c r="Z41" s="2239"/>
      <c r="AA41" s="2239"/>
      <c r="AB41" s="2239"/>
      <c r="AC41" s="2239"/>
      <c r="AD41" s="2239"/>
      <c r="AE41" s="2239"/>
      <c r="AF41" s="2239"/>
      <c r="AG41" s="2239"/>
      <c r="AH41" s="2239"/>
      <c r="AI41" s="2239"/>
      <c r="AJ41" s="2239"/>
      <c r="AK41" s="2239"/>
      <c r="AL41" s="2240"/>
      <c r="AM41" s="2241"/>
      <c r="AN41" s="2241"/>
      <c r="AO41" s="2242"/>
      <c r="AP41" s="2240"/>
      <c r="AQ41" s="2241"/>
      <c r="AR41" s="2242"/>
      <c r="AS41" s="2243">
        <f t="shared" si="2"/>
        <v>0</v>
      </c>
      <c r="AT41" s="2244"/>
      <c r="AU41" s="2244"/>
      <c r="AV41" s="2244"/>
      <c r="AW41" s="2244"/>
      <c r="AX41" s="2245"/>
      <c r="AY41" s="2497">
        <f t="shared" si="3"/>
        <v>0</v>
      </c>
      <c r="AZ41" s="2498"/>
      <c r="BA41" s="2498"/>
      <c r="BB41" s="2498"/>
      <c r="BC41" s="2498"/>
      <c r="BD41" s="2499"/>
      <c r="BE41" s="1202"/>
    </row>
    <row r="42" spans="1:58" ht="15.75" customHeight="1">
      <c r="A42" s="1206"/>
      <c r="B42" s="2261" t="s">
        <v>1806</v>
      </c>
      <c r="C42" s="2262"/>
      <c r="D42" s="2262"/>
      <c r="E42" s="2262"/>
      <c r="F42" s="2262"/>
      <c r="G42" s="2262"/>
      <c r="H42" s="2262"/>
      <c r="I42" s="2262"/>
      <c r="J42" s="2493"/>
      <c r="K42" s="2493"/>
      <c r="L42" s="2493"/>
      <c r="M42" s="2493"/>
      <c r="N42" s="2493"/>
      <c r="O42" s="2493"/>
      <c r="P42" s="2493"/>
      <c r="Q42" s="2493"/>
      <c r="R42" s="2239"/>
      <c r="S42" s="2239"/>
      <c r="T42" s="2239"/>
      <c r="U42" s="2239"/>
      <c r="V42" s="2239"/>
      <c r="W42" s="2239"/>
      <c r="X42" s="2239"/>
      <c r="Y42" s="2239"/>
      <c r="Z42" s="2239"/>
      <c r="AA42" s="2239"/>
      <c r="AB42" s="2239"/>
      <c r="AC42" s="2239"/>
      <c r="AD42" s="2239"/>
      <c r="AE42" s="2239"/>
      <c r="AF42" s="2239"/>
      <c r="AG42" s="2239"/>
      <c r="AH42" s="2239"/>
      <c r="AI42" s="2239"/>
      <c r="AJ42" s="2239"/>
      <c r="AK42" s="2239"/>
      <c r="AL42" s="2240"/>
      <c r="AM42" s="2241"/>
      <c r="AN42" s="2241"/>
      <c r="AO42" s="2242"/>
      <c r="AP42" s="2240"/>
      <c r="AQ42" s="2241"/>
      <c r="AR42" s="2242"/>
      <c r="AS42" s="2243">
        <f t="shared" si="2"/>
        <v>0</v>
      </c>
      <c r="AT42" s="2244"/>
      <c r="AU42" s="2244"/>
      <c r="AV42" s="2244"/>
      <c r="AW42" s="2244"/>
      <c r="AX42" s="2245"/>
      <c r="AY42" s="2497">
        <f t="shared" si="3"/>
        <v>0</v>
      </c>
      <c r="AZ42" s="2498"/>
      <c r="BA42" s="2498"/>
      <c r="BB42" s="2498"/>
      <c r="BC42" s="2498"/>
      <c r="BD42" s="2499"/>
      <c r="BE42" s="1202"/>
    </row>
    <row r="43" spans="1:58" ht="15.75" customHeight="1">
      <c r="A43" s="1206"/>
      <c r="B43" s="2232" t="s">
        <v>1807</v>
      </c>
      <c r="C43" s="2233"/>
      <c r="D43" s="2233"/>
      <c r="E43" s="2233"/>
      <c r="F43" s="2233"/>
      <c r="G43" s="2233"/>
      <c r="H43" s="2233"/>
      <c r="I43" s="2233"/>
      <c r="J43" s="2493"/>
      <c r="K43" s="2493"/>
      <c r="L43" s="2493"/>
      <c r="M43" s="2493"/>
      <c r="N43" s="2493"/>
      <c r="O43" s="2493"/>
      <c r="P43" s="2493"/>
      <c r="Q43" s="2493"/>
      <c r="R43" s="2239"/>
      <c r="S43" s="2239"/>
      <c r="T43" s="2239"/>
      <c r="U43" s="2239"/>
      <c r="V43" s="2239"/>
      <c r="W43" s="2239"/>
      <c r="X43" s="2239"/>
      <c r="Y43" s="2239"/>
      <c r="Z43" s="2239"/>
      <c r="AA43" s="2239"/>
      <c r="AB43" s="2239"/>
      <c r="AC43" s="2239"/>
      <c r="AD43" s="2239"/>
      <c r="AE43" s="2239"/>
      <c r="AF43" s="2239"/>
      <c r="AG43" s="2239"/>
      <c r="AH43" s="2239"/>
      <c r="AI43" s="2239"/>
      <c r="AJ43" s="2239"/>
      <c r="AK43" s="2239"/>
      <c r="AL43" s="2240"/>
      <c r="AM43" s="2241"/>
      <c r="AN43" s="2241"/>
      <c r="AO43" s="2242"/>
      <c r="AP43" s="2240"/>
      <c r="AQ43" s="2241"/>
      <c r="AR43" s="2242"/>
      <c r="AS43" s="2243">
        <f t="shared" si="2"/>
        <v>0</v>
      </c>
      <c r="AT43" s="2244"/>
      <c r="AU43" s="2244"/>
      <c r="AV43" s="2244"/>
      <c r="AW43" s="2244"/>
      <c r="AX43" s="2245"/>
      <c r="AY43" s="2497">
        <f t="shared" si="3"/>
        <v>0</v>
      </c>
      <c r="AZ43" s="2498"/>
      <c r="BA43" s="2498"/>
      <c r="BB43" s="2498"/>
      <c r="BC43" s="2498"/>
      <c r="BD43" s="2499"/>
      <c r="BE43" s="1202"/>
    </row>
    <row r="44" spans="1:58" ht="15.75" customHeight="1">
      <c r="A44" s="1206"/>
      <c r="B44" s="2232" t="s">
        <v>1808</v>
      </c>
      <c r="C44" s="2233"/>
      <c r="D44" s="2233"/>
      <c r="E44" s="2233"/>
      <c r="F44" s="2233"/>
      <c r="G44" s="2233"/>
      <c r="H44" s="2233"/>
      <c r="I44" s="2233"/>
      <c r="J44" s="2493"/>
      <c r="K44" s="2493"/>
      <c r="L44" s="2493"/>
      <c r="M44" s="2493"/>
      <c r="N44" s="2493"/>
      <c r="O44" s="2493"/>
      <c r="P44" s="2493"/>
      <c r="Q44" s="2493"/>
      <c r="R44" s="2239"/>
      <c r="S44" s="2239"/>
      <c r="T44" s="2239"/>
      <c r="U44" s="2239"/>
      <c r="V44" s="2239"/>
      <c r="W44" s="2239"/>
      <c r="X44" s="2239"/>
      <c r="Y44" s="2239"/>
      <c r="Z44" s="2239"/>
      <c r="AA44" s="2239"/>
      <c r="AB44" s="2239"/>
      <c r="AC44" s="2239"/>
      <c r="AD44" s="2239"/>
      <c r="AE44" s="2239"/>
      <c r="AF44" s="2239"/>
      <c r="AG44" s="2239"/>
      <c r="AH44" s="2239"/>
      <c r="AI44" s="2239"/>
      <c r="AJ44" s="2239"/>
      <c r="AK44" s="2239"/>
      <c r="AL44" s="2240"/>
      <c r="AM44" s="2241"/>
      <c r="AN44" s="2241"/>
      <c r="AO44" s="2242"/>
      <c r="AP44" s="2240"/>
      <c r="AQ44" s="2241"/>
      <c r="AR44" s="2242"/>
      <c r="AS44" s="2243">
        <f t="shared" si="2"/>
        <v>0</v>
      </c>
      <c r="AT44" s="2244"/>
      <c r="AU44" s="2244"/>
      <c r="AV44" s="2244"/>
      <c r="AW44" s="2244"/>
      <c r="AX44" s="2245"/>
      <c r="AY44" s="2497">
        <f t="shared" si="3"/>
        <v>0</v>
      </c>
      <c r="AZ44" s="2498"/>
      <c r="BA44" s="2498"/>
      <c r="BB44" s="2498"/>
      <c r="BC44" s="2498"/>
      <c r="BD44" s="2499"/>
      <c r="BE44" s="1202"/>
    </row>
    <row r="45" spans="1:58" ht="15.75" customHeight="1">
      <c r="A45" s="1206"/>
      <c r="B45" s="2232" t="s">
        <v>1809</v>
      </c>
      <c r="C45" s="2233"/>
      <c r="D45" s="2233"/>
      <c r="E45" s="2233"/>
      <c r="F45" s="2233"/>
      <c r="G45" s="2233"/>
      <c r="H45" s="2233"/>
      <c r="I45" s="2233"/>
      <c r="J45" s="2493"/>
      <c r="K45" s="2493"/>
      <c r="L45" s="2493"/>
      <c r="M45" s="2493"/>
      <c r="N45" s="2493"/>
      <c r="O45" s="2493"/>
      <c r="P45" s="2493"/>
      <c r="Q45" s="2493"/>
      <c r="R45" s="2239"/>
      <c r="S45" s="2239"/>
      <c r="T45" s="2239"/>
      <c r="U45" s="2239"/>
      <c r="V45" s="2239"/>
      <c r="W45" s="2239"/>
      <c r="X45" s="2239"/>
      <c r="Y45" s="2239"/>
      <c r="Z45" s="2239"/>
      <c r="AA45" s="2239"/>
      <c r="AB45" s="2239"/>
      <c r="AC45" s="2239"/>
      <c r="AD45" s="2239"/>
      <c r="AE45" s="2239"/>
      <c r="AF45" s="2239"/>
      <c r="AG45" s="2239"/>
      <c r="AH45" s="2239"/>
      <c r="AI45" s="2239"/>
      <c r="AJ45" s="2239"/>
      <c r="AK45" s="2239"/>
      <c r="AL45" s="2240"/>
      <c r="AM45" s="2241"/>
      <c r="AN45" s="2241"/>
      <c r="AO45" s="2242"/>
      <c r="AP45" s="2240"/>
      <c r="AQ45" s="2241"/>
      <c r="AR45" s="2242"/>
      <c r="AS45" s="2243">
        <f t="shared" si="2"/>
        <v>0</v>
      </c>
      <c r="AT45" s="2244"/>
      <c r="AU45" s="2244"/>
      <c r="AV45" s="2244"/>
      <c r="AW45" s="2244"/>
      <c r="AX45" s="2245"/>
      <c r="AY45" s="2497">
        <f t="shared" si="3"/>
        <v>0</v>
      </c>
      <c r="AZ45" s="2498"/>
      <c r="BA45" s="2498"/>
      <c r="BB45" s="2498"/>
      <c r="BC45" s="2498"/>
      <c r="BD45" s="2499"/>
      <c r="BE45" s="1202"/>
    </row>
    <row r="46" spans="1:58" ht="15.75" customHeight="1">
      <c r="A46" s="1206"/>
      <c r="B46" s="2232" t="s">
        <v>1810</v>
      </c>
      <c r="C46" s="2233"/>
      <c r="D46" s="2233"/>
      <c r="E46" s="2233"/>
      <c r="F46" s="2233"/>
      <c r="G46" s="2233"/>
      <c r="H46" s="2233"/>
      <c r="I46" s="2233"/>
      <c r="J46" s="2493"/>
      <c r="K46" s="2493"/>
      <c r="L46" s="2493"/>
      <c r="M46" s="2493"/>
      <c r="N46" s="2493">
        <v>99</v>
      </c>
      <c r="O46" s="2493"/>
      <c r="P46" s="2493"/>
      <c r="Q46" s="2493"/>
      <c r="R46" s="2239"/>
      <c r="S46" s="2239"/>
      <c r="T46" s="2239"/>
      <c r="U46" s="2239"/>
      <c r="V46" s="2239"/>
      <c r="W46" s="2239"/>
      <c r="X46" s="2239"/>
      <c r="Y46" s="2239"/>
      <c r="Z46" s="2239"/>
      <c r="AA46" s="2239"/>
      <c r="AB46" s="2239"/>
      <c r="AC46" s="2239"/>
      <c r="AD46" s="2239"/>
      <c r="AE46" s="2239"/>
      <c r="AF46" s="2239"/>
      <c r="AG46" s="2239"/>
      <c r="AH46" s="2239"/>
      <c r="AI46" s="2239"/>
      <c r="AJ46" s="2239"/>
      <c r="AK46" s="2239"/>
      <c r="AL46" s="2240"/>
      <c r="AM46" s="2241"/>
      <c r="AN46" s="2241"/>
      <c r="AO46" s="2242"/>
      <c r="AP46" s="2240"/>
      <c r="AQ46" s="2241"/>
      <c r="AR46" s="2242"/>
      <c r="AS46" s="2243">
        <f t="shared" si="2"/>
        <v>0</v>
      </c>
      <c r="AT46" s="2244"/>
      <c r="AU46" s="2244"/>
      <c r="AV46" s="2244"/>
      <c r="AW46" s="2244"/>
      <c r="AX46" s="2245"/>
      <c r="AY46" s="2497">
        <f t="shared" si="3"/>
        <v>0</v>
      </c>
      <c r="AZ46" s="2498"/>
      <c r="BA46" s="2498"/>
      <c r="BB46" s="2498"/>
      <c r="BC46" s="2498"/>
      <c r="BD46" s="2499"/>
      <c r="BE46" s="1202"/>
    </row>
    <row r="47" spans="1:58" ht="15.75" customHeight="1" thickBot="1">
      <c r="A47" s="1206"/>
      <c r="B47" s="2490" t="s">
        <v>300</v>
      </c>
      <c r="C47" s="2491"/>
      <c r="D47" s="2491"/>
      <c r="E47" s="2491"/>
      <c r="F47" s="2491"/>
      <c r="G47" s="2491"/>
      <c r="H47" s="2491"/>
      <c r="I47" s="2491"/>
      <c r="J47" s="2492"/>
      <c r="K47" s="2492"/>
      <c r="L47" s="2492"/>
      <c r="M47" s="2492"/>
      <c r="N47" s="2492"/>
      <c r="O47" s="2492"/>
      <c r="P47" s="2492"/>
      <c r="Q47" s="2492"/>
      <c r="R47" s="2486"/>
      <c r="S47" s="2486"/>
      <c r="T47" s="2486"/>
      <c r="U47" s="2486"/>
      <c r="V47" s="2486"/>
      <c r="W47" s="2486"/>
      <c r="X47" s="2486"/>
      <c r="Y47" s="2486"/>
      <c r="Z47" s="2486"/>
      <c r="AA47" s="2486"/>
      <c r="AB47" s="2486"/>
      <c r="AC47" s="2486"/>
      <c r="AD47" s="2486"/>
      <c r="AE47" s="2486"/>
      <c r="AF47" s="2486"/>
      <c r="AG47" s="2486"/>
      <c r="AH47" s="2486"/>
      <c r="AI47" s="2486"/>
      <c r="AJ47" s="2486"/>
      <c r="AK47" s="2486"/>
      <c r="AL47" s="2487"/>
      <c r="AM47" s="2488"/>
      <c r="AN47" s="2488"/>
      <c r="AO47" s="2489"/>
      <c r="AP47" s="2487"/>
      <c r="AQ47" s="2488"/>
      <c r="AR47" s="2489"/>
      <c r="AS47" s="2243">
        <f t="shared" si="2"/>
        <v>0</v>
      </c>
      <c r="AT47" s="2244"/>
      <c r="AU47" s="2244"/>
      <c r="AV47" s="2244"/>
      <c r="AW47" s="2244"/>
      <c r="AX47" s="2245"/>
      <c r="AY47" s="2494">
        <f t="shared" si="3"/>
        <v>0</v>
      </c>
      <c r="AZ47" s="2495"/>
      <c r="BA47" s="2495"/>
      <c r="BB47" s="2495"/>
      <c r="BC47" s="2495"/>
      <c r="BD47" s="2496"/>
      <c r="BE47" s="1202"/>
    </row>
    <row r="48" spans="1:58" ht="15.75" customHeight="1">
      <c r="A48" s="1206"/>
      <c r="B48" s="1254" t="s">
        <v>2471</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2179</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34" t="s">
        <v>1811</v>
      </c>
      <c r="C50" s="2230"/>
      <c r="D50" s="2230"/>
      <c r="E50" s="2230"/>
      <c r="F50" s="2230"/>
      <c r="G50" s="2230"/>
      <c r="H50" s="2230"/>
      <c r="I50" s="2230"/>
      <c r="J50" s="2230"/>
      <c r="K50" s="2230"/>
      <c r="L50" s="2230"/>
      <c r="M50" s="2230"/>
      <c r="N50" s="2230"/>
      <c r="O50" s="2230"/>
      <c r="P50" s="2230"/>
      <c r="Q50" s="2230"/>
      <c r="R50" s="2230"/>
      <c r="S50" s="2230"/>
      <c r="T50" s="2230"/>
      <c r="U50" s="2230"/>
      <c r="V50" s="2230"/>
      <c r="W50" s="2230"/>
      <c r="X50" s="2230"/>
      <c r="Y50" s="2230"/>
      <c r="Z50" s="2230"/>
      <c r="AA50" s="2230"/>
      <c r="AB50" s="2230"/>
      <c r="AC50" s="2230"/>
      <c r="AD50" s="2230"/>
      <c r="AE50" s="2230"/>
      <c r="AF50" s="2230"/>
      <c r="AG50" s="2230"/>
      <c r="AH50" s="2230"/>
      <c r="AI50" s="2230"/>
      <c r="AJ50" s="2230"/>
      <c r="AK50" s="2230"/>
      <c r="AL50" s="2230"/>
      <c r="AM50" s="2230"/>
      <c r="AN50" s="2230"/>
      <c r="AO50" s="2231"/>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92" t="s">
        <v>1812</v>
      </c>
      <c r="C51" s="2193"/>
      <c r="D51" s="2193"/>
      <c r="E51" s="2193"/>
      <c r="F51" s="2193"/>
      <c r="G51" s="2193"/>
      <c r="H51" s="2193"/>
      <c r="I51" s="2193"/>
      <c r="J51" s="2193" t="s">
        <v>2472</v>
      </c>
      <c r="K51" s="2193"/>
      <c r="L51" s="2193"/>
      <c r="M51" s="2193"/>
      <c r="N51" s="2193"/>
      <c r="O51" s="2193"/>
      <c r="P51" s="2193"/>
      <c r="Q51" s="2193"/>
      <c r="R51" s="2484" t="s">
        <v>2473</v>
      </c>
      <c r="S51" s="2484"/>
      <c r="T51" s="2484"/>
      <c r="U51" s="2484"/>
      <c r="V51" s="2484"/>
      <c r="W51" s="2484"/>
      <c r="X51" s="2484"/>
      <c r="Y51" s="2484"/>
      <c r="Z51" s="2484" t="s">
        <v>1813</v>
      </c>
      <c r="AA51" s="2484"/>
      <c r="AB51" s="2484"/>
      <c r="AC51" s="2484"/>
      <c r="AD51" s="2484"/>
      <c r="AE51" s="2484"/>
      <c r="AF51" s="2484"/>
      <c r="AG51" s="2484"/>
      <c r="AH51" s="2484" t="s">
        <v>1814</v>
      </c>
      <c r="AI51" s="2484"/>
      <c r="AJ51" s="2484"/>
      <c r="AK51" s="2484"/>
      <c r="AL51" s="2484"/>
      <c r="AM51" s="2484"/>
      <c r="AN51" s="2484"/>
      <c r="AO51" s="2485"/>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32" t="s">
        <v>2180</v>
      </c>
      <c r="C52" s="2233"/>
      <c r="D52" s="2233"/>
      <c r="E52" s="2233"/>
      <c r="F52" s="2233"/>
      <c r="G52" s="2233"/>
      <c r="H52" s="2233"/>
      <c r="I52" s="2233"/>
      <c r="J52" s="2366">
        <v>0</v>
      </c>
      <c r="K52" s="2366"/>
      <c r="L52" s="2366"/>
      <c r="M52" s="2366"/>
      <c r="N52" s="2366"/>
      <c r="O52" s="2366"/>
      <c r="P52" s="2366"/>
      <c r="Q52" s="2366"/>
      <c r="R52" s="2472">
        <v>0</v>
      </c>
      <c r="S52" s="2472"/>
      <c r="T52" s="2472"/>
      <c r="U52" s="2472"/>
      <c r="V52" s="2472"/>
      <c r="W52" s="2472"/>
      <c r="X52" s="2472"/>
      <c r="Y52" s="2472"/>
      <c r="Z52" s="2473">
        <v>0</v>
      </c>
      <c r="AA52" s="2473"/>
      <c r="AB52" s="2473"/>
      <c r="AC52" s="2473"/>
      <c r="AD52" s="2473"/>
      <c r="AE52" s="2473"/>
      <c r="AF52" s="2473"/>
      <c r="AG52" s="2473"/>
      <c r="AH52" s="2474"/>
      <c r="AI52" s="2474"/>
      <c r="AJ52" s="2474"/>
      <c r="AK52" s="2474"/>
      <c r="AL52" s="2474"/>
      <c r="AM52" s="2474"/>
      <c r="AN52" s="2474"/>
      <c r="AO52" s="2475"/>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32" t="s">
        <v>2181</v>
      </c>
      <c r="C53" s="2233"/>
      <c r="D53" s="2233"/>
      <c r="E53" s="2233"/>
      <c r="F53" s="2233"/>
      <c r="G53" s="2233"/>
      <c r="H53" s="2233"/>
      <c r="I53" s="2233"/>
      <c r="J53" s="2366">
        <v>0</v>
      </c>
      <c r="K53" s="2366"/>
      <c r="L53" s="2366"/>
      <c r="M53" s="2366"/>
      <c r="N53" s="2366"/>
      <c r="O53" s="2366"/>
      <c r="P53" s="2366"/>
      <c r="Q53" s="2366"/>
      <c r="R53" s="2472">
        <v>0</v>
      </c>
      <c r="S53" s="2472"/>
      <c r="T53" s="2472"/>
      <c r="U53" s="2472"/>
      <c r="V53" s="2472"/>
      <c r="W53" s="2472"/>
      <c r="X53" s="2472"/>
      <c r="Y53" s="2472"/>
      <c r="Z53" s="2473">
        <v>0</v>
      </c>
      <c r="AA53" s="2473"/>
      <c r="AB53" s="2473"/>
      <c r="AC53" s="2473"/>
      <c r="AD53" s="2473"/>
      <c r="AE53" s="2473"/>
      <c r="AF53" s="2473"/>
      <c r="AG53" s="2473"/>
      <c r="AH53" s="2474"/>
      <c r="AI53" s="2474"/>
      <c r="AJ53" s="2474"/>
      <c r="AK53" s="2474"/>
      <c r="AL53" s="2474"/>
      <c r="AM53" s="2474"/>
      <c r="AN53" s="2474"/>
      <c r="AO53" s="2475"/>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32"/>
      <c r="C54" s="2233"/>
      <c r="D54" s="2233"/>
      <c r="E54" s="2233"/>
      <c r="F54" s="2233"/>
      <c r="G54" s="2233"/>
      <c r="H54" s="2233"/>
      <c r="I54" s="2233"/>
      <c r="J54" s="2366"/>
      <c r="K54" s="2366"/>
      <c r="L54" s="2366"/>
      <c r="M54" s="2366"/>
      <c r="N54" s="2366"/>
      <c r="O54" s="2366"/>
      <c r="P54" s="2366"/>
      <c r="Q54" s="2366"/>
      <c r="R54" s="2472"/>
      <c r="S54" s="2472"/>
      <c r="T54" s="2472"/>
      <c r="U54" s="2472"/>
      <c r="V54" s="2472"/>
      <c r="W54" s="2472"/>
      <c r="X54" s="2472"/>
      <c r="Y54" s="2472"/>
      <c r="Z54" s="2473"/>
      <c r="AA54" s="2473"/>
      <c r="AB54" s="2473"/>
      <c r="AC54" s="2473"/>
      <c r="AD54" s="2473"/>
      <c r="AE54" s="2473"/>
      <c r="AF54" s="2473"/>
      <c r="AG54" s="2473"/>
      <c r="AH54" s="2474"/>
      <c r="AI54" s="2474"/>
      <c r="AJ54" s="2474"/>
      <c r="AK54" s="2474"/>
      <c r="AL54" s="2474"/>
      <c r="AM54" s="2474"/>
      <c r="AN54" s="2474"/>
      <c r="AO54" s="2475"/>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32"/>
      <c r="C55" s="2233"/>
      <c r="D55" s="2233"/>
      <c r="E55" s="2233"/>
      <c r="F55" s="2233"/>
      <c r="G55" s="2233"/>
      <c r="H55" s="2233"/>
      <c r="I55" s="2233"/>
      <c r="J55" s="2366"/>
      <c r="K55" s="2366"/>
      <c r="L55" s="2366"/>
      <c r="M55" s="2366"/>
      <c r="N55" s="2366"/>
      <c r="O55" s="2366"/>
      <c r="P55" s="2366"/>
      <c r="Q55" s="2366"/>
      <c r="R55" s="2472"/>
      <c r="S55" s="2472"/>
      <c r="T55" s="2472"/>
      <c r="U55" s="2472"/>
      <c r="V55" s="2472"/>
      <c r="W55" s="2472"/>
      <c r="X55" s="2472"/>
      <c r="Y55" s="2472"/>
      <c r="Z55" s="2473"/>
      <c r="AA55" s="2473"/>
      <c r="AB55" s="2473"/>
      <c r="AC55" s="2473"/>
      <c r="AD55" s="2473"/>
      <c r="AE55" s="2473"/>
      <c r="AF55" s="2473"/>
      <c r="AG55" s="2473"/>
      <c r="AH55" s="2474"/>
      <c r="AI55" s="2474"/>
      <c r="AJ55" s="2474"/>
      <c r="AK55" s="2474"/>
      <c r="AL55" s="2474"/>
      <c r="AM55" s="2474"/>
      <c r="AN55" s="2474"/>
      <c r="AO55" s="2475"/>
      <c r="AP55" s="1214"/>
      <c r="AQ55" s="1214"/>
      <c r="AR55" s="1214"/>
      <c r="AS55" s="1214"/>
      <c r="AT55" s="1214" t="s">
        <v>250</v>
      </c>
      <c r="AU55" s="1214"/>
      <c r="AV55" s="1214"/>
      <c r="AW55" s="1214"/>
      <c r="AX55" s="1206"/>
      <c r="AY55" s="1206"/>
      <c r="AZ55" s="1206"/>
      <c r="BA55" s="1206"/>
      <c r="BB55" s="1206"/>
      <c r="BC55" s="1206"/>
      <c r="BD55" s="1206"/>
      <c r="BE55" s="1202"/>
    </row>
    <row r="56" spans="1:58" ht="15.75" customHeight="1">
      <c r="A56" s="1206"/>
      <c r="B56" s="2232"/>
      <c r="C56" s="2233"/>
      <c r="D56" s="2233"/>
      <c r="E56" s="2233"/>
      <c r="F56" s="2233"/>
      <c r="G56" s="2233"/>
      <c r="H56" s="2233"/>
      <c r="I56" s="2233"/>
      <c r="J56" s="2366"/>
      <c r="K56" s="2366"/>
      <c r="L56" s="2366"/>
      <c r="M56" s="2366"/>
      <c r="N56" s="2366"/>
      <c r="O56" s="2366"/>
      <c r="P56" s="2366"/>
      <c r="Q56" s="2366"/>
      <c r="R56" s="2472"/>
      <c r="S56" s="2472"/>
      <c r="T56" s="2472"/>
      <c r="U56" s="2472"/>
      <c r="V56" s="2472"/>
      <c r="W56" s="2472"/>
      <c r="X56" s="2472"/>
      <c r="Y56" s="2472"/>
      <c r="Z56" s="2473"/>
      <c r="AA56" s="2473"/>
      <c r="AB56" s="2473"/>
      <c r="AC56" s="2473"/>
      <c r="AD56" s="2473"/>
      <c r="AE56" s="2473"/>
      <c r="AF56" s="2473"/>
      <c r="AG56" s="2473"/>
      <c r="AH56" s="2474"/>
      <c r="AI56" s="2474"/>
      <c r="AJ56" s="2474"/>
      <c r="AK56" s="2474"/>
      <c r="AL56" s="2474"/>
      <c r="AM56" s="2474"/>
      <c r="AN56" s="2474"/>
      <c r="AO56" s="2475"/>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186" t="s">
        <v>1693</v>
      </c>
      <c r="C57" s="2187"/>
      <c r="D57" s="2187"/>
      <c r="E57" s="2187"/>
      <c r="F57" s="2187"/>
      <c r="G57" s="2187"/>
      <c r="H57" s="2187"/>
      <c r="I57" s="2187"/>
      <c r="J57" s="2187"/>
      <c r="K57" s="2187"/>
      <c r="L57" s="2187"/>
      <c r="M57" s="2187"/>
      <c r="N57" s="2187"/>
      <c r="O57" s="2187"/>
      <c r="P57" s="2187"/>
      <c r="Q57" s="2187"/>
      <c r="R57" s="2476">
        <f>SUM(R52:Y56)</f>
        <v>0</v>
      </c>
      <c r="S57" s="2476"/>
      <c r="T57" s="2476"/>
      <c r="U57" s="2476"/>
      <c r="V57" s="2476"/>
      <c r="W57" s="2476"/>
      <c r="X57" s="2476"/>
      <c r="Y57" s="2476"/>
      <c r="Z57" s="2477">
        <f>SUM(Z52:AG56)</f>
        <v>0</v>
      </c>
      <c r="AA57" s="2477"/>
      <c r="AB57" s="2477"/>
      <c r="AC57" s="2477"/>
      <c r="AD57" s="2477"/>
      <c r="AE57" s="2477"/>
      <c r="AF57" s="2477"/>
      <c r="AG57" s="2477"/>
      <c r="AH57" s="2478"/>
      <c r="AI57" s="2478"/>
      <c r="AJ57" s="2478"/>
      <c r="AK57" s="2478"/>
      <c r="AL57" s="2478"/>
      <c r="AM57" s="2478"/>
      <c r="AN57" s="2478"/>
      <c r="AO57" s="2479"/>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480" t="s">
        <v>1812</v>
      </c>
      <c r="C59" s="2481"/>
      <c r="D59" s="2481"/>
      <c r="E59" s="2481"/>
      <c r="F59" s="2481"/>
      <c r="G59" s="2481"/>
      <c r="H59" s="2481"/>
      <c r="I59" s="2482"/>
      <c r="J59" s="2446" t="s">
        <v>2474</v>
      </c>
      <c r="K59" s="2446"/>
      <c r="L59" s="2446"/>
      <c r="M59" s="2446"/>
      <c r="N59" s="2446"/>
      <c r="O59" s="2446"/>
      <c r="P59" s="2446"/>
      <c r="Q59" s="2446"/>
      <c r="R59" s="2446"/>
      <c r="S59" s="2446"/>
      <c r="T59" s="2446"/>
      <c r="U59" s="2446"/>
      <c r="V59" s="2446"/>
      <c r="W59" s="2446"/>
      <c r="X59" s="2446"/>
      <c r="Y59" s="2446"/>
      <c r="Z59" s="2446"/>
      <c r="AA59" s="2446"/>
      <c r="AB59" s="2446"/>
      <c r="AC59" s="2446"/>
      <c r="AD59" s="2446"/>
      <c r="AE59" s="2446"/>
      <c r="AF59" s="2446"/>
      <c r="AG59" s="2446"/>
      <c r="AH59" s="2446"/>
      <c r="AI59" s="2446"/>
      <c r="AJ59" s="2446"/>
      <c r="AK59" s="2446"/>
      <c r="AL59" s="2446"/>
      <c r="AM59" s="2446"/>
      <c r="AN59" s="2446"/>
      <c r="AO59" s="2446"/>
      <c r="AP59" s="2446"/>
      <c r="AQ59" s="2446"/>
      <c r="AR59" s="2446"/>
      <c r="AS59" s="2446"/>
      <c r="AT59" s="2446"/>
      <c r="AU59" s="2446"/>
      <c r="AV59" s="2446"/>
      <c r="AW59" s="2447"/>
      <c r="AX59" s="1206"/>
      <c r="AY59" s="1206"/>
      <c r="AZ59" s="1206"/>
      <c r="BA59" s="1206"/>
      <c r="BB59" s="1206"/>
      <c r="BC59" s="1206"/>
      <c r="BD59" s="1206"/>
      <c r="BE59" s="1202"/>
    </row>
    <row r="60" spans="1:58" ht="15.75" customHeight="1">
      <c r="A60" s="1206"/>
      <c r="B60" s="2465" t="str">
        <f>IF(B52="", "", B52)</f>
        <v>Services Company 1</v>
      </c>
      <c r="C60" s="2466"/>
      <c r="D60" s="2466"/>
      <c r="E60" s="2466"/>
      <c r="F60" s="2466"/>
      <c r="G60" s="2466"/>
      <c r="H60" s="2466"/>
      <c r="I60" s="2467"/>
      <c r="J60" s="2468"/>
      <c r="K60" s="2369"/>
      <c r="L60" s="2369"/>
      <c r="M60" s="2369"/>
      <c r="N60" s="2369"/>
      <c r="O60" s="2369"/>
      <c r="P60" s="2369"/>
      <c r="Q60" s="2369"/>
      <c r="R60" s="2369"/>
      <c r="S60" s="2369"/>
      <c r="T60" s="2369"/>
      <c r="U60" s="2369"/>
      <c r="V60" s="2369"/>
      <c r="W60" s="2369"/>
      <c r="X60" s="2369"/>
      <c r="Y60" s="2369"/>
      <c r="Z60" s="2369"/>
      <c r="AA60" s="2369"/>
      <c r="AB60" s="2369"/>
      <c r="AC60" s="2369"/>
      <c r="AD60" s="2369"/>
      <c r="AE60" s="2369"/>
      <c r="AF60" s="2369"/>
      <c r="AG60" s="2369"/>
      <c r="AH60" s="2369"/>
      <c r="AI60" s="2369"/>
      <c r="AJ60" s="2369"/>
      <c r="AK60" s="2369"/>
      <c r="AL60" s="2369"/>
      <c r="AM60" s="2369"/>
      <c r="AN60" s="2369"/>
      <c r="AO60" s="2369"/>
      <c r="AP60" s="2369"/>
      <c r="AQ60" s="2369"/>
      <c r="AR60" s="2369"/>
      <c r="AS60" s="2369"/>
      <c r="AT60" s="2369"/>
      <c r="AU60" s="2369"/>
      <c r="AV60" s="2369"/>
      <c r="AW60" s="2370"/>
      <c r="AX60" s="1206"/>
      <c r="AY60" s="1206"/>
      <c r="AZ60" s="1206"/>
      <c r="BA60" s="1206"/>
      <c r="BB60" s="1206"/>
      <c r="BC60" s="1206"/>
      <c r="BD60" s="1206"/>
      <c r="BE60" s="1202"/>
    </row>
    <row r="61" spans="1:58" ht="15.75" customHeight="1">
      <c r="A61" s="1206"/>
      <c r="B61" s="2465" t="str">
        <f>IF(B53="", "", B53)</f>
        <v>Services Company 2</v>
      </c>
      <c r="C61" s="2466"/>
      <c r="D61" s="2466"/>
      <c r="E61" s="2466"/>
      <c r="F61" s="2466"/>
      <c r="G61" s="2466"/>
      <c r="H61" s="2466"/>
      <c r="I61" s="2467"/>
      <c r="J61" s="2468"/>
      <c r="K61" s="2369"/>
      <c r="L61" s="2369"/>
      <c r="M61" s="2369"/>
      <c r="N61" s="2369"/>
      <c r="O61" s="2369"/>
      <c r="P61" s="2369"/>
      <c r="Q61" s="2369"/>
      <c r="R61" s="2369"/>
      <c r="S61" s="2369"/>
      <c r="T61" s="2369"/>
      <c r="U61" s="2369"/>
      <c r="V61" s="2369"/>
      <c r="W61" s="2369"/>
      <c r="X61" s="2369"/>
      <c r="Y61" s="2369"/>
      <c r="Z61" s="2369"/>
      <c r="AA61" s="2369"/>
      <c r="AB61" s="2369"/>
      <c r="AC61" s="2369"/>
      <c r="AD61" s="2369"/>
      <c r="AE61" s="2369"/>
      <c r="AF61" s="2369"/>
      <c r="AG61" s="2369"/>
      <c r="AH61" s="2369"/>
      <c r="AI61" s="2369"/>
      <c r="AJ61" s="2369"/>
      <c r="AK61" s="2369"/>
      <c r="AL61" s="2369"/>
      <c r="AM61" s="2369"/>
      <c r="AN61" s="2369"/>
      <c r="AO61" s="2369"/>
      <c r="AP61" s="2369"/>
      <c r="AQ61" s="2369"/>
      <c r="AR61" s="2369"/>
      <c r="AS61" s="2369"/>
      <c r="AT61" s="2369"/>
      <c r="AU61" s="2369"/>
      <c r="AV61" s="2369"/>
      <c r="AW61" s="2370"/>
      <c r="AX61" s="1206"/>
      <c r="AY61" s="1206"/>
      <c r="AZ61" s="1206"/>
      <c r="BA61" s="1206"/>
      <c r="BB61" s="1206"/>
      <c r="BC61" s="1206"/>
      <c r="BD61" s="1206"/>
      <c r="BE61" s="1202"/>
    </row>
    <row r="62" spans="1:58" ht="15.75" customHeight="1">
      <c r="A62" s="1206"/>
      <c r="B62" s="2465" t="str">
        <f>IF(B54="", "", B54)</f>
        <v/>
      </c>
      <c r="C62" s="2466"/>
      <c r="D62" s="2466"/>
      <c r="E62" s="2466"/>
      <c r="F62" s="2466"/>
      <c r="G62" s="2466"/>
      <c r="H62" s="2466"/>
      <c r="I62" s="2467"/>
      <c r="J62" s="2468"/>
      <c r="K62" s="2369"/>
      <c r="L62" s="2369"/>
      <c r="M62" s="2369"/>
      <c r="N62" s="2369"/>
      <c r="O62" s="2369"/>
      <c r="P62" s="2369"/>
      <c r="Q62" s="2369"/>
      <c r="R62" s="2369"/>
      <c r="S62" s="2369"/>
      <c r="T62" s="2369"/>
      <c r="U62" s="2369"/>
      <c r="V62" s="2369"/>
      <c r="W62" s="2369"/>
      <c r="X62" s="2369"/>
      <c r="Y62" s="2369"/>
      <c r="Z62" s="2369"/>
      <c r="AA62" s="2369"/>
      <c r="AB62" s="2369"/>
      <c r="AC62" s="2369"/>
      <c r="AD62" s="2369"/>
      <c r="AE62" s="2369"/>
      <c r="AF62" s="2369"/>
      <c r="AG62" s="2369"/>
      <c r="AH62" s="2369"/>
      <c r="AI62" s="2369"/>
      <c r="AJ62" s="2369"/>
      <c r="AK62" s="2369"/>
      <c r="AL62" s="2369"/>
      <c r="AM62" s="2369"/>
      <c r="AN62" s="2369"/>
      <c r="AO62" s="2369"/>
      <c r="AP62" s="2369"/>
      <c r="AQ62" s="2369"/>
      <c r="AR62" s="2369"/>
      <c r="AS62" s="2369"/>
      <c r="AT62" s="2369"/>
      <c r="AU62" s="2369"/>
      <c r="AV62" s="2369"/>
      <c r="AW62" s="2370"/>
      <c r="AX62" s="1206"/>
      <c r="AY62" s="1206"/>
      <c r="AZ62" s="1206"/>
      <c r="BA62" s="1206"/>
      <c r="BB62" s="1206"/>
      <c r="BC62" s="1206"/>
      <c r="BD62" s="1206"/>
      <c r="BE62" s="1202"/>
    </row>
    <row r="63" spans="1:58" ht="15.75" customHeight="1">
      <c r="A63" s="1206"/>
      <c r="B63" s="2465" t="str">
        <f>IF(B55="", "", B55)</f>
        <v/>
      </c>
      <c r="C63" s="2466"/>
      <c r="D63" s="2466"/>
      <c r="E63" s="2466"/>
      <c r="F63" s="2466"/>
      <c r="G63" s="2466"/>
      <c r="H63" s="2466"/>
      <c r="I63" s="2467"/>
      <c r="J63" s="2468"/>
      <c r="K63" s="2369"/>
      <c r="L63" s="2369"/>
      <c r="M63" s="2369"/>
      <c r="N63" s="2369"/>
      <c r="O63" s="2369"/>
      <c r="P63" s="2369"/>
      <c r="Q63" s="2369"/>
      <c r="R63" s="2369"/>
      <c r="S63" s="2369"/>
      <c r="T63" s="2369"/>
      <c r="U63" s="2369"/>
      <c r="V63" s="2369"/>
      <c r="W63" s="2369"/>
      <c r="X63" s="2369"/>
      <c r="Y63" s="2369"/>
      <c r="Z63" s="2369"/>
      <c r="AA63" s="2369"/>
      <c r="AB63" s="2369"/>
      <c r="AC63" s="2369"/>
      <c r="AD63" s="2369"/>
      <c r="AE63" s="2369"/>
      <c r="AF63" s="2369"/>
      <c r="AG63" s="2369"/>
      <c r="AH63" s="2369"/>
      <c r="AI63" s="2369"/>
      <c r="AJ63" s="2369"/>
      <c r="AK63" s="2369"/>
      <c r="AL63" s="2369"/>
      <c r="AM63" s="2369"/>
      <c r="AN63" s="2369"/>
      <c r="AO63" s="2369"/>
      <c r="AP63" s="2369"/>
      <c r="AQ63" s="2369"/>
      <c r="AR63" s="2369"/>
      <c r="AS63" s="2369"/>
      <c r="AT63" s="2369"/>
      <c r="AU63" s="2369"/>
      <c r="AV63" s="2369"/>
      <c r="AW63" s="2370"/>
      <c r="AX63" s="1206"/>
      <c r="AY63" s="1206"/>
      <c r="AZ63" s="1206"/>
      <c r="BA63" s="1206"/>
      <c r="BB63" s="1206"/>
      <c r="BC63" s="1206"/>
      <c r="BD63" s="1206"/>
      <c r="BE63" s="1202"/>
    </row>
    <row r="64" spans="1:58" ht="15.75" customHeight="1" thickBot="1">
      <c r="A64" s="1206"/>
      <c r="B64" s="2469" t="str">
        <f>IF(B56="", "", B56)</f>
        <v/>
      </c>
      <c r="C64" s="2470"/>
      <c r="D64" s="2470"/>
      <c r="E64" s="2470"/>
      <c r="F64" s="2470"/>
      <c r="G64" s="2470"/>
      <c r="H64" s="2470"/>
      <c r="I64" s="2471"/>
      <c r="J64" s="2483"/>
      <c r="K64" s="2463"/>
      <c r="L64" s="2463"/>
      <c r="M64" s="2463"/>
      <c r="N64" s="2463"/>
      <c r="O64" s="2463"/>
      <c r="P64" s="2463"/>
      <c r="Q64" s="2463"/>
      <c r="R64" s="2463"/>
      <c r="S64" s="2463"/>
      <c r="T64" s="2463"/>
      <c r="U64" s="2463"/>
      <c r="V64" s="2463"/>
      <c r="W64" s="2463"/>
      <c r="X64" s="2463"/>
      <c r="Y64" s="2463"/>
      <c r="Z64" s="2463"/>
      <c r="AA64" s="2463"/>
      <c r="AB64" s="2463"/>
      <c r="AC64" s="2463"/>
      <c r="AD64" s="2463"/>
      <c r="AE64" s="2463"/>
      <c r="AF64" s="2463"/>
      <c r="AG64" s="2463"/>
      <c r="AH64" s="2463"/>
      <c r="AI64" s="2463"/>
      <c r="AJ64" s="2463"/>
      <c r="AK64" s="2463"/>
      <c r="AL64" s="2463"/>
      <c r="AM64" s="2463"/>
      <c r="AN64" s="2463"/>
      <c r="AO64" s="2463"/>
      <c r="AP64" s="2463"/>
      <c r="AQ64" s="2463"/>
      <c r="AR64" s="2463"/>
      <c r="AS64" s="2463"/>
      <c r="AT64" s="2463"/>
      <c r="AU64" s="2463"/>
      <c r="AV64" s="2463"/>
      <c r="AW64" s="2464"/>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1815</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45" t="s">
        <v>1816</v>
      </c>
      <c r="C68" s="2446"/>
      <c r="D68" s="2446"/>
      <c r="E68" s="2446"/>
      <c r="F68" s="2446"/>
      <c r="G68" s="2446"/>
      <c r="H68" s="2446"/>
      <c r="I68" s="2446"/>
      <c r="J68" s="2446"/>
      <c r="K68" s="2446"/>
      <c r="L68" s="2446"/>
      <c r="M68" s="2446"/>
      <c r="N68" s="2446"/>
      <c r="O68" s="2446"/>
      <c r="P68" s="2446"/>
      <c r="Q68" s="2446"/>
      <c r="R68" s="2446"/>
      <c r="S68" s="2446"/>
      <c r="T68" s="2446"/>
      <c r="U68" s="2446"/>
      <c r="V68" s="2446"/>
      <c r="W68" s="2446"/>
      <c r="X68" s="2446"/>
      <c r="Y68" s="2446"/>
      <c r="Z68" s="2446"/>
      <c r="AA68" s="2447"/>
      <c r="AB68" s="1206"/>
      <c r="AC68" s="2197" t="s">
        <v>1817</v>
      </c>
      <c r="AD68" s="2198"/>
      <c r="AE68" s="2198"/>
      <c r="AF68" s="2198"/>
      <c r="AG68" s="2198"/>
      <c r="AH68" s="2198"/>
      <c r="AI68" s="2198"/>
      <c r="AJ68" s="2198"/>
      <c r="AK68" s="2198"/>
      <c r="AL68" s="2198"/>
      <c r="AM68" s="2198"/>
      <c r="AN68" s="2198"/>
      <c r="AO68" s="2198"/>
      <c r="AP68" s="2198"/>
      <c r="AQ68" s="2198"/>
      <c r="AR68" s="2198"/>
      <c r="AS68" s="2198"/>
      <c r="AT68" s="2198"/>
      <c r="AU68" s="2198"/>
      <c r="AV68" s="2248" t="s">
        <v>676</v>
      </c>
      <c r="AW68" s="2249"/>
      <c r="AX68" s="2249"/>
      <c r="AY68" s="2249"/>
      <c r="AZ68" s="2249"/>
      <c r="BA68" s="2249"/>
      <c r="BB68" s="2249"/>
      <c r="BC68" s="2250"/>
      <c r="BD68" s="1206"/>
      <c r="BE68" s="1202"/>
      <c r="BM68" s="1251" t="s">
        <v>2475</v>
      </c>
    </row>
    <row r="69" spans="1:65" ht="15.75" customHeight="1" thickTop="1" thickBot="1">
      <c r="A69" s="1206"/>
      <c r="B69" s="2251" t="s">
        <v>1818</v>
      </c>
      <c r="C69" s="2252"/>
      <c r="D69" s="2252"/>
      <c r="E69" s="2252"/>
      <c r="F69" s="2252"/>
      <c r="G69" s="2252"/>
      <c r="H69" s="2252"/>
      <c r="I69" s="2252"/>
      <c r="J69" s="2252"/>
      <c r="K69" s="2252"/>
      <c r="L69" s="2252"/>
      <c r="M69" s="2252"/>
      <c r="N69" s="2252"/>
      <c r="O69" s="2253" t="s">
        <v>1819</v>
      </c>
      <c r="P69" s="2254"/>
      <c r="Q69" s="2254"/>
      <c r="R69" s="2254"/>
      <c r="S69" s="2254"/>
      <c r="T69" s="2254"/>
      <c r="U69" s="2254"/>
      <c r="V69" s="2254"/>
      <c r="W69" s="2254"/>
      <c r="X69" s="2254"/>
      <c r="Y69" s="2254"/>
      <c r="Z69" s="2254"/>
      <c r="AA69" s="2255"/>
      <c r="AB69" s="1206"/>
      <c r="AC69" s="2256" t="s">
        <v>1820</v>
      </c>
      <c r="AD69" s="2257"/>
      <c r="AE69" s="2257"/>
      <c r="AF69" s="2257"/>
      <c r="AG69" s="2257"/>
      <c r="AH69" s="2257"/>
      <c r="AI69" s="2257"/>
      <c r="AJ69" s="2257"/>
      <c r="AK69" s="2257"/>
      <c r="AL69" s="2257"/>
      <c r="AM69" s="2257"/>
      <c r="AN69" s="2257"/>
      <c r="AO69" s="2257"/>
      <c r="AP69" s="2257"/>
      <c r="AQ69" s="2257"/>
      <c r="AR69" s="2257"/>
      <c r="AS69" s="2257"/>
      <c r="AT69" s="2257"/>
      <c r="AU69" s="2257"/>
      <c r="AV69" s="2258"/>
      <c r="AW69" s="2259"/>
      <c r="AX69" s="2259"/>
      <c r="AY69" s="2259"/>
      <c r="AZ69" s="2259"/>
      <c r="BA69" s="2259"/>
      <c r="BB69" s="2259"/>
      <c r="BC69" s="2260"/>
      <c r="BD69" s="1206"/>
      <c r="BE69" s="1202"/>
      <c r="BM69" s="1250" t="s">
        <v>552</v>
      </c>
    </row>
    <row r="70" spans="1:65" ht="15.75" customHeight="1">
      <c r="A70" s="1206"/>
      <c r="B70" s="2261" t="s">
        <v>2476</v>
      </c>
      <c r="C70" s="2262"/>
      <c r="D70" s="2262"/>
      <c r="E70" s="2262"/>
      <c r="F70" s="2262"/>
      <c r="G70" s="2262"/>
      <c r="H70" s="2262"/>
      <c r="I70" s="2262"/>
      <c r="J70" s="2262"/>
      <c r="K70" s="2262"/>
      <c r="L70" s="2262"/>
      <c r="M70" s="2262"/>
      <c r="N70" s="2262"/>
      <c r="O70" s="2226">
        <v>0</v>
      </c>
      <c r="P70" s="2226"/>
      <c r="Q70" s="2226"/>
      <c r="R70" s="2226"/>
      <c r="S70" s="2226"/>
      <c r="T70" s="2226"/>
      <c r="U70" s="2226"/>
      <c r="V70" s="2226"/>
      <c r="W70" s="2226"/>
      <c r="X70" s="2226"/>
      <c r="Y70" s="2226"/>
      <c r="Z70" s="2226"/>
      <c r="AA70" s="2227"/>
      <c r="AB70" s="1206"/>
      <c r="AC70" s="2434" t="s">
        <v>1821</v>
      </c>
      <c r="AD70" s="2230"/>
      <c r="AE70" s="2230"/>
      <c r="AF70" s="2459"/>
      <c r="AG70" s="2459"/>
      <c r="AH70" s="2459"/>
      <c r="AI70" s="2459"/>
      <c r="AJ70" s="2459"/>
      <c r="AK70" s="2459"/>
      <c r="AL70" s="2459"/>
      <c r="AM70" s="2459"/>
      <c r="AN70" s="2459"/>
      <c r="AO70" s="2459"/>
      <c r="AP70" s="2459"/>
      <c r="AQ70" s="2459"/>
      <c r="AR70" s="2459"/>
      <c r="AS70" s="2459"/>
      <c r="AT70" s="2459"/>
      <c r="AU70" s="2460"/>
      <c r="AV70" s="1206"/>
      <c r="AW70" s="1206"/>
      <c r="AX70" s="1206"/>
      <c r="AY70" s="1206"/>
      <c r="AZ70" s="1206"/>
      <c r="BA70" s="1206"/>
      <c r="BB70" s="1206"/>
      <c r="BC70" s="1206"/>
      <c r="BD70" s="1206"/>
      <c r="BE70" s="1202"/>
      <c r="BM70" s="1249" t="s">
        <v>676</v>
      </c>
    </row>
    <row r="71" spans="1:65" ht="15.75" customHeight="1" thickBot="1">
      <c r="A71" s="1206"/>
      <c r="B71" s="2261" t="s">
        <v>2477</v>
      </c>
      <c r="C71" s="2262"/>
      <c r="D71" s="2262"/>
      <c r="E71" s="2262"/>
      <c r="F71" s="2262"/>
      <c r="G71" s="2262"/>
      <c r="H71" s="2262"/>
      <c r="I71" s="2262"/>
      <c r="J71" s="2262"/>
      <c r="K71" s="2262"/>
      <c r="L71" s="2262"/>
      <c r="M71" s="2262"/>
      <c r="N71" s="2262"/>
      <c r="O71" s="2226">
        <v>0</v>
      </c>
      <c r="P71" s="2226"/>
      <c r="Q71" s="2226"/>
      <c r="R71" s="2226"/>
      <c r="S71" s="2226"/>
      <c r="T71" s="2226"/>
      <c r="U71" s="2226"/>
      <c r="V71" s="2226"/>
      <c r="W71" s="2226"/>
      <c r="X71" s="2226"/>
      <c r="Y71" s="2226"/>
      <c r="Z71" s="2226"/>
      <c r="AA71" s="2227"/>
      <c r="AB71" s="1206"/>
      <c r="AC71" s="2461" t="s">
        <v>1822</v>
      </c>
      <c r="AD71" s="2462"/>
      <c r="AE71" s="2462"/>
      <c r="AF71" s="2463"/>
      <c r="AG71" s="2463"/>
      <c r="AH71" s="2463"/>
      <c r="AI71" s="2463"/>
      <c r="AJ71" s="2463"/>
      <c r="AK71" s="2463"/>
      <c r="AL71" s="2463"/>
      <c r="AM71" s="2463"/>
      <c r="AN71" s="2463"/>
      <c r="AO71" s="2463"/>
      <c r="AP71" s="2463"/>
      <c r="AQ71" s="2463"/>
      <c r="AR71" s="2463"/>
      <c r="AS71" s="2463"/>
      <c r="AT71" s="2463"/>
      <c r="AU71" s="2464"/>
      <c r="AV71" s="1206"/>
      <c r="AW71" s="1206"/>
      <c r="AX71" s="1206"/>
      <c r="AY71" s="1206"/>
      <c r="AZ71" s="1206"/>
      <c r="BA71" s="1206"/>
      <c r="BB71" s="1206"/>
      <c r="BC71" s="1206"/>
      <c r="BD71" s="1206"/>
      <c r="BE71" s="1202"/>
      <c r="BM71" s="1197" t="s">
        <v>2478</v>
      </c>
    </row>
    <row r="72" spans="1:65" ht="15.75" customHeight="1">
      <c r="A72" s="1206"/>
      <c r="B72" s="2261" t="s">
        <v>2479</v>
      </c>
      <c r="C72" s="2262"/>
      <c r="D72" s="2262"/>
      <c r="E72" s="2262"/>
      <c r="F72" s="2262"/>
      <c r="G72" s="2262"/>
      <c r="H72" s="2262"/>
      <c r="I72" s="2262"/>
      <c r="J72" s="2262"/>
      <c r="K72" s="2262"/>
      <c r="L72" s="2262"/>
      <c r="M72" s="2262"/>
      <c r="N72" s="2262"/>
      <c r="O72" s="2226">
        <v>0</v>
      </c>
      <c r="P72" s="2226"/>
      <c r="Q72" s="2226"/>
      <c r="R72" s="2226"/>
      <c r="S72" s="2226"/>
      <c r="T72" s="2226"/>
      <c r="U72" s="2226"/>
      <c r="V72" s="2226"/>
      <c r="W72" s="2226"/>
      <c r="X72" s="2226"/>
      <c r="Y72" s="2226"/>
      <c r="Z72" s="2226"/>
      <c r="AA72" s="2227"/>
      <c r="AB72" s="1206"/>
      <c r="AC72" s="2228" t="s">
        <v>2480</v>
      </c>
      <c r="AD72" s="2229"/>
      <c r="AE72" s="2229"/>
      <c r="AF72" s="2229"/>
      <c r="AG72" s="2229"/>
      <c r="AH72" s="2229"/>
      <c r="AI72" s="2229"/>
      <c r="AJ72" s="2229"/>
      <c r="AK72" s="2229"/>
      <c r="AL72" s="2229"/>
      <c r="AM72" s="2229"/>
      <c r="AN72" s="2229"/>
      <c r="AO72" s="2229"/>
      <c r="AP72" s="2229"/>
      <c r="AQ72" s="2229"/>
      <c r="AR72" s="2229"/>
      <c r="AS72" s="2229"/>
      <c r="AT72" s="2229"/>
      <c r="AU72" s="2229"/>
      <c r="AV72" s="2230"/>
      <c r="AW72" s="2230"/>
      <c r="AX72" s="2230"/>
      <c r="AY72" s="2230"/>
      <c r="AZ72" s="2230"/>
      <c r="BA72" s="2230"/>
      <c r="BB72" s="2230"/>
      <c r="BC72" s="2231"/>
      <c r="BD72" s="1206"/>
      <c r="BE72" s="1202"/>
    </row>
    <row r="73" spans="1:65" ht="15.75" customHeight="1">
      <c r="A73" s="1206"/>
      <c r="B73" s="2232" t="s">
        <v>2481</v>
      </c>
      <c r="C73" s="2233"/>
      <c r="D73" s="2233"/>
      <c r="E73" s="2233"/>
      <c r="F73" s="2233"/>
      <c r="G73" s="2233"/>
      <c r="H73" s="2233"/>
      <c r="I73" s="2233"/>
      <c r="J73" s="2233"/>
      <c r="K73" s="2233"/>
      <c r="L73" s="2233"/>
      <c r="M73" s="2233"/>
      <c r="N73" s="2233"/>
      <c r="O73" s="2226">
        <v>0</v>
      </c>
      <c r="P73" s="2226"/>
      <c r="Q73" s="2226"/>
      <c r="R73" s="2226"/>
      <c r="S73" s="2226"/>
      <c r="T73" s="2226"/>
      <c r="U73" s="2226"/>
      <c r="V73" s="2226"/>
      <c r="W73" s="2226"/>
      <c r="X73" s="2226"/>
      <c r="Y73" s="2226"/>
      <c r="Z73" s="2226"/>
      <c r="AA73" s="2227"/>
      <c r="AB73" s="1206"/>
      <c r="AC73" s="2416" t="s">
        <v>2182</v>
      </c>
      <c r="AD73" s="2417"/>
      <c r="AE73" s="2417"/>
      <c r="AF73" s="2417"/>
      <c r="AG73" s="2417"/>
      <c r="AH73" s="2417"/>
      <c r="AI73" s="2417"/>
      <c r="AJ73" s="2417"/>
      <c r="AK73" s="2417"/>
      <c r="AL73" s="2417"/>
      <c r="AM73" s="2417"/>
      <c r="AN73" s="2417"/>
      <c r="AO73" s="2417"/>
      <c r="AP73" s="2417"/>
      <c r="AQ73" s="2417"/>
      <c r="AR73" s="2417"/>
      <c r="AS73" s="2417"/>
      <c r="AT73" s="2417"/>
      <c r="AU73" s="2417"/>
      <c r="AV73" s="2417"/>
      <c r="AW73" s="2417"/>
      <c r="AX73" s="2417"/>
      <c r="AY73" s="2417"/>
      <c r="AZ73" s="2417"/>
      <c r="BA73" s="2417"/>
      <c r="BB73" s="2417"/>
      <c r="BC73" s="2418"/>
      <c r="BD73" s="1206"/>
      <c r="BE73" s="1202"/>
    </row>
    <row r="74" spans="1:65" ht="15.75" customHeight="1">
      <c r="A74" s="1206"/>
      <c r="B74" s="2365"/>
      <c r="C74" s="2366"/>
      <c r="D74" s="2366"/>
      <c r="E74" s="2366"/>
      <c r="F74" s="2366"/>
      <c r="G74" s="2366"/>
      <c r="H74" s="2366"/>
      <c r="I74" s="2366"/>
      <c r="J74" s="2366"/>
      <c r="K74" s="2366"/>
      <c r="L74" s="2366"/>
      <c r="M74" s="2366"/>
      <c r="N74" s="2366"/>
      <c r="O74" s="2226"/>
      <c r="P74" s="2226"/>
      <c r="Q74" s="2226"/>
      <c r="R74" s="2226"/>
      <c r="S74" s="2226"/>
      <c r="T74" s="2226"/>
      <c r="U74" s="2226"/>
      <c r="V74" s="2226"/>
      <c r="W74" s="2226"/>
      <c r="X74" s="2226"/>
      <c r="Y74" s="2226"/>
      <c r="Z74" s="2226"/>
      <c r="AA74" s="2227"/>
      <c r="AB74" s="1206"/>
      <c r="AC74" s="2416"/>
      <c r="AD74" s="2417"/>
      <c r="AE74" s="2417"/>
      <c r="AF74" s="2417"/>
      <c r="AG74" s="2417"/>
      <c r="AH74" s="2417"/>
      <c r="AI74" s="2417"/>
      <c r="AJ74" s="2417"/>
      <c r="AK74" s="2417"/>
      <c r="AL74" s="2417"/>
      <c r="AM74" s="2417"/>
      <c r="AN74" s="2417"/>
      <c r="AO74" s="2417"/>
      <c r="AP74" s="2417"/>
      <c r="AQ74" s="2417"/>
      <c r="AR74" s="2417"/>
      <c r="AS74" s="2417"/>
      <c r="AT74" s="2417"/>
      <c r="AU74" s="2417"/>
      <c r="AV74" s="2417"/>
      <c r="AW74" s="2417"/>
      <c r="AX74" s="2417"/>
      <c r="AY74" s="2417"/>
      <c r="AZ74" s="2417"/>
      <c r="BA74" s="2417"/>
      <c r="BB74" s="2417"/>
      <c r="BC74" s="2418"/>
      <c r="BD74" s="1206"/>
      <c r="BE74" s="1202"/>
    </row>
    <row r="75" spans="1:65" ht="15.75" customHeight="1" thickBot="1">
      <c r="A75" s="1206"/>
      <c r="B75" s="2457" t="s">
        <v>124</v>
      </c>
      <c r="C75" s="2458"/>
      <c r="D75" s="2458"/>
      <c r="E75" s="2458"/>
      <c r="F75" s="2458"/>
      <c r="G75" s="2458"/>
      <c r="H75" s="2458"/>
      <c r="I75" s="2458"/>
      <c r="J75" s="2458"/>
      <c r="K75" s="2458"/>
      <c r="L75" s="2458"/>
      <c r="M75" s="2458"/>
      <c r="N75" s="2458"/>
      <c r="O75" s="2234">
        <f>SUM(O70:AA74)</f>
        <v>0</v>
      </c>
      <c r="P75" s="2234"/>
      <c r="Q75" s="2234"/>
      <c r="R75" s="2234"/>
      <c r="S75" s="2234"/>
      <c r="T75" s="2234"/>
      <c r="U75" s="2234"/>
      <c r="V75" s="2234"/>
      <c r="W75" s="2234"/>
      <c r="X75" s="2234"/>
      <c r="Y75" s="2234"/>
      <c r="Z75" s="2234"/>
      <c r="AA75" s="2235"/>
      <c r="AB75" s="1206"/>
      <c r="AC75" s="2416"/>
      <c r="AD75" s="2417"/>
      <c r="AE75" s="2417"/>
      <c r="AF75" s="2417"/>
      <c r="AG75" s="2417"/>
      <c r="AH75" s="2417"/>
      <c r="AI75" s="2417"/>
      <c r="AJ75" s="2417"/>
      <c r="AK75" s="2417"/>
      <c r="AL75" s="2417"/>
      <c r="AM75" s="2417"/>
      <c r="AN75" s="2417"/>
      <c r="AO75" s="2417"/>
      <c r="AP75" s="2417"/>
      <c r="AQ75" s="2417"/>
      <c r="AR75" s="2417"/>
      <c r="AS75" s="2417"/>
      <c r="AT75" s="2417"/>
      <c r="AU75" s="2417"/>
      <c r="AV75" s="2417"/>
      <c r="AW75" s="2417"/>
      <c r="AX75" s="2417"/>
      <c r="AY75" s="2417"/>
      <c r="AZ75" s="2417"/>
      <c r="BA75" s="2417"/>
      <c r="BB75" s="2417"/>
      <c r="BC75" s="2418"/>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416"/>
      <c r="AD76" s="2417"/>
      <c r="AE76" s="2417"/>
      <c r="AF76" s="2417"/>
      <c r="AG76" s="2417"/>
      <c r="AH76" s="2417"/>
      <c r="AI76" s="2417"/>
      <c r="AJ76" s="2417"/>
      <c r="AK76" s="2417"/>
      <c r="AL76" s="2417"/>
      <c r="AM76" s="2417"/>
      <c r="AN76" s="2417"/>
      <c r="AO76" s="2417"/>
      <c r="AP76" s="2417"/>
      <c r="AQ76" s="2417"/>
      <c r="AR76" s="2417"/>
      <c r="AS76" s="2417"/>
      <c r="AT76" s="2417"/>
      <c r="AU76" s="2417"/>
      <c r="AV76" s="2417"/>
      <c r="AW76" s="2417"/>
      <c r="AX76" s="2417"/>
      <c r="AY76" s="2417"/>
      <c r="AZ76" s="2417"/>
      <c r="BA76" s="2417"/>
      <c r="BB76" s="2417"/>
      <c r="BC76" s="2418"/>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419"/>
      <c r="AD77" s="2420"/>
      <c r="AE77" s="2420"/>
      <c r="AF77" s="2420"/>
      <c r="AG77" s="2420"/>
      <c r="AH77" s="2420"/>
      <c r="AI77" s="2420"/>
      <c r="AJ77" s="2420"/>
      <c r="AK77" s="2420"/>
      <c r="AL77" s="2420"/>
      <c r="AM77" s="2420"/>
      <c r="AN77" s="2420"/>
      <c r="AO77" s="2420"/>
      <c r="AP77" s="2420"/>
      <c r="AQ77" s="2420"/>
      <c r="AR77" s="2420"/>
      <c r="AS77" s="2420"/>
      <c r="AT77" s="2420"/>
      <c r="AU77" s="2420"/>
      <c r="AV77" s="2420"/>
      <c r="AW77" s="2420"/>
      <c r="AX77" s="2420"/>
      <c r="AY77" s="2420"/>
      <c r="AZ77" s="2420"/>
      <c r="BA77" s="2420"/>
      <c r="BB77" s="2420"/>
      <c r="BC77" s="2421"/>
      <c r="BD77" s="1206"/>
      <c r="BE77" s="1202"/>
    </row>
    <row r="78" spans="1:65" ht="15.75" customHeight="1" thickBot="1">
      <c r="A78" s="1206"/>
      <c r="B78" s="1237" t="s">
        <v>2615</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1857</v>
      </c>
      <c r="C79" s="1236"/>
      <c r="D79" s="1236"/>
      <c r="E79" s="1248"/>
      <c r="F79" s="2246"/>
      <c r="G79" s="2247"/>
      <c r="H79" s="2247"/>
      <c r="I79" s="2247"/>
      <c r="J79" s="2247"/>
      <c r="K79" s="2247"/>
      <c r="L79" s="2247"/>
      <c r="M79" s="2214"/>
      <c r="N79" s="2214"/>
      <c r="O79" s="2214"/>
      <c r="P79" s="2214"/>
      <c r="Q79" s="2215"/>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2607</v>
      </c>
      <c r="C80" s="1240"/>
      <c r="D80" s="1239"/>
      <c r="E80" s="1239"/>
      <c r="F80" s="1239"/>
      <c r="G80" s="1239"/>
      <c r="H80" s="1239"/>
      <c r="I80" s="1239"/>
      <c r="J80" s="1239"/>
      <c r="K80" s="1239"/>
      <c r="L80" s="1238"/>
      <c r="M80" s="1239"/>
      <c r="N80" s="1238"/>
      <c r="O80" s="2219" t="e">
        <f>BR96/SUM($BR$96:$BR$98)</f>
        <v>#DIV/0!</v>
      </c>
      <c r="P80" s="2220"/>
      <c r="Q80" s="2221"/>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2614</v>
      </c>
      <c r="C81" s="1244"/>
      <c r="D81" s="1226"/>
      <c r="E81" s="1226"/>
      <c r="F81" s="1226"/>
      <c r="G81" s="1226"/>
      <c r="H81" s="1226"/>
      <c r="I81" s="1226"/>
      <c r="J81" s="1226"/>
      <c r="K81" s="1226"/>
      <c r="L81" s="1226"/>
      <c r="M81" s="1226"/>
      <c r="N81" s="1246"/>
      <c r="O81" s="2210" t="s">
        <v>2546</v>
      </c>
      <c r="P81" s="2211"/>
      <c r="Q81" s="2212"/>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596" t="s">
        <v>2165</v>
      </c>
      <c r="C83" s="2597"/>
      <c r="D83" s="2597"/>
      <c r="E83" s="2597"/>
      <c r="F83" s="2597"/>
      <c r="G83" s="2597"/>
      <c r="H83" s="2597"/>
      <c r="I83" s="2597"/>
      <c r="J83" s="2597"/>
      <c r="K83" s="2597"/>
      <c r="L83" s="2597"/>
      <c r="M83" s="2597"/>
      <c r="N83" s="2597"/>
      <c r="O83" s="2597"/>
      <c r="P83" s="2597"/>
      <c r="Q83" s="2597"/>
      <c r="R83" s="2597"/>
      <c r="S83" s="2597"/>
      <c r="T83" s="2597"/>
      <c r="U83" s="2597"/>
      <c r="V83" s="2597"/>
      <c r="W83" s="2597"/>
      <c r="X83" s="2597"/>
      <c r="Y83" s="2597"/>
      <c r="Z83" s="2597"/>
      <c r="AA83" s="2597"/>
      <c r="AB83" s="2597"/>
      <c r="AC83" s="2597"/>
      <c r="AD83" s="2597"/>
      <c r="AE83" s="2597"/>
      <c r="AF83" s="2597"/>
      <c r="AG83" s="2597"/>
      <c r="AH83" s="2598"/>
      <c r="AI83" s="1206"/>
      <c r="AJ83" s="2200" t="s">
        <v>2613</v>
      </c>
      <c r="AK83" s="2201"/>
      <c r="AL83" s="2201"/>
      <c r="AM83" s="2201"/>
      <c r="AN83" s="2201"/>
      <c r="AO83" s="2201"/>
      <c r="AP83" s="2201"/>
      <c r="AQ83" s="2201"/>
      <c r="AR83" s="2201"/>
      <c r="AS83" s="2201"/>
      <c r="AT83" s="2201"/>
      <c r="AU83" s="2201"/>
      <c r="AV83" s="2201"/>
      <c r="AW83" s="2201"/>
      <c r="AX83" s="2201"/>
      <c r="AY83" s="2222" t="s">
        <v>552</v>
      </c>
      <c r="AZ83" s="2222"/>
      <c r="BA83" s="2222"/>
      <c r="BB83" s="2223"/>
      <c r="BC83" s="1206"/>
      <c r="BD83" s="1206"/>
      <c r="BE83" s="1202"/>
    </row>
    <row r="84" spans="1:70" ht="15.75" customHeight="1">
      <c r="A84" s="1206"/>
      <c r="B84" s="2192"/>
      <c r="C84" s="2193"/>
      <c r="D84" s="2193"/>
      <c r="E84" s="2193"/>
      <c r="F84" s="2193"/>
      <c r="G84" s="2193"/>
      <c r="H84" s="2193"/>
      <c r="I84" s="2193" t="s">
        <v>1823</v>
      </c>
      <c r="J84" s="2193"/>
      <c r="K84" s="2193"/>
      <c r="L84" s="2193"/>
      <c r="M84" s="2193"/>
      <c r="N84" s="2193"/>
      <c r="O84" s="2193" t="s">
        <v>1824</v>
      </c>
      <c r="P84" s="2193"/>
      <c r="Q84" s="2193"/>
      <c r="R84" s="2193"/>
      <c r="S84" s="2193"/>
      <c r="T84" s="2193"/>
      <c r="U84" s="2193"/>
      <c r="V84" s="2194" t="s">
        <v>2183</v>
      </c>
      <c r="W84" s="2194"/>
      <c r="X84" s="2194"/>
      <c r="Y84" s="2194"/>
      <c r="Z84" s="2194"/>
      <c r="AA84" s="2194"/>
      <c r="AB84" s="2195" t="s">
        <v>1825</v>
      </c>
      <c r="AC84" s="2195"/>
      <c r="AD84" s="2195"/>
      <c r="AE84" s="2195"/>
      <c r="AF84" s="2195"/>
      <c r="AG84" s="2195"/>
      <c r="AH84" s="2196"/>
      <c r="AI84" s="1206"/>
      <c r="AJ84" s="2202"/>
      <c r="AK84" s="2203"/>
      <c r="AL84" s="2203"/>
      <c r="AM84" s="2203"/>
      <c r="AN84" s="2203"/>
      <c r="AO84" s="2203"/>
      <c r="AP84" s="2203"/>
      <c r="AQ84" s="2203"/>
      <c r="AR84" s="2203"/>
      <c r="AS84" s="2203"/>
      <c r="AT84" s="2203"/>
      <c r="AU84" s="2203"/>
      <c r="AV84" s="2203"/>
      <c r="AW84" s="2203"/>
      <c r="AX84" s="2203"/>
      <c r="AY84" s="2224"/>
      <c r="AZ84" s="2224"/>
      <c r="BA84" s="2224"/>
      <c r="BB84" s="2225"/>
      <c r="BC84" s="1206"/>
      <c r="BD84" s="1206"/>
      <c r="BE84" s="1202"/>
    </row>
    <row r="85" spans="1:70" ht="15.75" customHeight="1">
      <c r="A85" s="1206"/>
      <c r="B85" s="2192"/>
      <c r="C85" s="2193"/>
      <c r="D85" s="2193"/>
      <c r="E85" s="2193"/>
      <c r="F85" s="2193"/>
      <c r="G85" s="2193"/>
      <c r="H85" s="2193"/>
      <c r="I85" s="2193"/>
      <c r="J85" s="2193"/>
      <c r="K85" s="2193"/>
      <c r="L85" s="2193"/>
      <c r="M85" s="2193"/>
      <c r="N85" s="2193"/>
      <c r="O85" s="2193"/>
      <c r="P85" s="2193"/>
      <c r="Q85" s="2193"/>
      <c r="R85" s="2193"/>
      <c r="S85" s="2193"/>
      <c r="T85" s="2193"/>
      <c r="U85" s="2193"/>
      <c r="V85" s="2194"/>
      <c r="W85" s="2194"/>
      <c r="X85" s="2194"/>
      <c r="Y85" s="2194"/>
      <c r="Z85" s="2194"/>
      <c r="AA85" s="2194"/>
      <c r="AB85" s="2195"/>
      <c r="AC85" s="2195"/>
      <c r="AD85" s="2195"/>
      <c r="AE85" s="2195"/>
      <c r="AF85" s="2195"/>
      <c r="AG85" s="2195"/>
      <c r="AH85" s="2196"/>
      <c r="AI85" s="1206"/>
      <c r="AJ85" s="2202"/>
      <c r="AK85" s="2203"/>
      <c r="AL85" s="2203"/>
      <c r="AM85" s="2203"/>
      <c r="AN85" s="2203"/>
      <c r="AO85" s="2203"/>
      <c r="AP85" s="2203"/>
      <c r="AQ85" s="2203"/>
      <c r="AR85" s="2203"/>
      <c r="AS85" s="2203"/>
      <c r="AT85" s="2203"/>
      <c r="AU85" s="2203"/>
      <c r="AV85" s="2203"/>
      <c r="AW85" s="2203"/>
      <c r="AX85" s="2203"/>
      <c r="AY85" s="2224"/>
      <c r="AZ85" s="2224"/>
      <c r="BA85" s="2224"/>
      <c r="BB85" s="2225"/>
      <c r="BC85" s="1206"/>
      <c r="BD85" s="1206"/>
      <c r="BE85" s="1202"/>
    </row>
    <row r="86" spans="1:70" ht="15.75" customHeight="1">
      <c r="A86" s="1206"/>
      <c r="B86" s="2192" t="s">
        <v>2166</v>
      </c>
      <c r="C86" s="2193"/>
      <c r="D86" s="2193"/>
      <c r="E86" s="2193"/>
      <c r="F86" s="2193"/>
      <c r="G86" s="2193"/>
      <c r="H86" s="2193"/>
      <c r="I86" s="2190">
        <v>0</v>
      </c>
      <c r="J86" s="2190"/>
      <c r="K86" s="2190"/>
      <c r="L86" s="2190"/>
      <c r="M86" s="2190"/>
      <c r="N86" s="2190"/>
      <c r="O86" s="2190">
        <v>0</v>
      </c>
      <c r="P86" s="2190"/>
      <c r="Q86" s="2190"/>
      <c r="R86" s="2190"/>
      <c r="S86" s="2190"/>
      <c r="T86" s="2190"/>
      <c r="U86" s="2190"/>
      <c r="V86" s="2190">
        <v>0</v>
      </c>
      <c r="W86" s="2190"/>
      <c r="X86" s="2190"/>
      <c r="Y86" s="2190"/>
      <c r="Z86" s="2190"/>
      <c r="AA86" s="2190"/>
      <c r="AB86" s="2190">
        <v>0</v>
      </c>
      <c r="AC86" s="2190"/>
      <c r="AD86" s="2190"/>
      <c r="AE86" s="2190"/>
      <c r="AF86" s="2190"/>
      <c r="AG86" s="2190"/>
      <c r="AH86" s="2191"/>
      <c r="AI86" s="1206"/>
      <c r="AJ86" s="2202"/>
      <c r="AK86" s="2203"/>
      <c r="AL86" s="2203"/>
      <c r="AM86" s="2203"/>
      <c r="AN86" s="2203"/>
      <c r="AO86" s="2203"/>
      <c r="AP86" s="2203"/>
      <c r="AQ86" s="2203"/>
      <c r="AR86" s="2203"/>
      <c r="AS86" s="2203"/>
      <c r="AT86" s="2203"/>
      <c r="AU86" s="2203"/>
      <c r="AV86" s="2203"/>
      <c r="AW86" s="2203"/>
      <c r="AX86" s="2203"/>
      <c r="AY86" s="2224"/>
      <c r="AZ86" s="2224"/>
      <c r="BA86" s="2224"/>
      <c r="BB86" s="2225"/>
      <c r="BC86" s="1206"/>
      <c r="BD86" s="1206"/>
      <c r="BE86" s="1202"/>
    </row>
    <row r="87" spans="1:70" ht="15.75" customHeight="1">
      <c r="A87" s="1206"/>
      <c r="B87" s="2192" t="s">
        <v>2167</v>
      </c>
      <c r="C87" s="2193"/>
      <c r="D87" s="2193"/>
      <c r="E87" s="2193"/>
      <c r="F87" s="2193"/>
      <c r="G87" s="2193"/>
      <c r="H87" s="2193"/>
      <c r="I87" s="2190">
        <v>0</v>
      </c>
      <c r="J87" s="2190"/>
      <c r="K87" s="2190"/>
      <c r="L87" s="2190"/>
      <c r="M87" s="2190"/>
      <c r="N87" s="2190"/>
      <c r="O87" s="2190">
        <v>0</v>
      </c>
      <c r="P87" s="2190"/>
      <c r="Q87" s="2190"/>
      <c r="R87" s="2190"/>
      <c r="S87" s="2190"/>
      <c r="T87" s="2190"/>
      <c r="U87" s="2190"/>
      <c r="V87" s="2190">
        <v>0</v>
      </c>
      <c r="W87" s="2190"/>
      <c r="X87" s="2190"/>
      <c r="Y87" s="2190"/>
      <c r="Z87" s="2190"/>
      <c r="AA87" s="2190"/>
      <c r="AB87" s="2190">
        <v>0</v>
      </c>
      <c r="AC87" s="2190"/>
      <c r="AD87" s="2190"/>
      <c r="AE87" s="2190"/>
      <c r="AF87" s="2190"/>
      <c r="AG87" s="2190"/>
      <c r="AH87" s="2191"/>
      <c r="AI87" s="1206"/>
      <c r="AJ87" s="2204" t="s">
        <v>2482</v>
      </c>
      <c r="AK87" s="2205"/>
      <c r="AL87" s="2205"/>
      <c r="AM87" s="2205"/>
      <c r="AN87" s="2205"/>
      <c r="AO87" s="2205"/>
      <c r="AP87" s="2205"/>
      <c r="AQ87" s="2205"/>
      <c r="AR87" s="2205"/>
      <c r="AS87" s="2205"/>
      <c r="AT87" s="2205"/>
      <c r="AU87" s="2205"/>
      <c r="AV87" s="2205"/>
      <c r="AW87" s="2205"/>
      <c r="AX87" s="2205"/>
      <c r="AY87" s="2205"/>
      <c r="AZ87" s="2205"/>
      <c r="BA87" s="2205"/>
      <c r="BB87" s="2206"/>
      <c r="BC87" s="1206"/>
      <c r="BD87" s="1206"/>
      <c r="BE87" s="1202"/>
    </row>
    <row r="88" spans="1:70" ht="15.75" customHeight="1" thickBot="1">
      <c r="A88" s="1206"/>
      <c r="B88" s="2186" t="s">
        <v>1826</v>
      </c>
      <c r="C88" s="2187"/>
      <c r="D88" s="2187"/>
      <c r="E88" s="2187"/>
      <c r="F88" s="2187"/>
      <c r="G88" s="2187"/>
      <c r="H88" s="2187"/>
      <c r="I88" s="2188">
        <v>0</v>
      </c>
      <c r="J88" s="2188"/>
      <c r="K88" s="2188"/>
      <c r="L88" s="2188"/>
      <c r="M88" s="2188"/>
      <c r="N88" s="2188"/>
      <c r="O88" s="2188">
        <v>0</v>
      </c>
      <c r="P88" s="2188"/>
      <c r="Q88" s="2188"/>
      <c r="R88" s="2188"/>
      <c r="S88" s="2188"/>
      <c r="T88" s="2188"/>
      <c r="U88" s="2188"/>
      <c r="V88" s="2188">
        <v>0</v>
      </c>
      <c r="W88" s="2188"/>
      <c r="X88" s="2188"/>
      <c r="Y88" s="2188"/>
      <c r="Z88" s="2188"/>
      <c r="AA88" s="2188"/>
      <c r="AB88" s="2188">
        <v>0</v>
      </c>
      <c r="AC88" s="2188"/>
      <c r="AD88" s="2188"/>
      <c r="AE88" s="2188"/>
      <c r="AF88" s="2188"/>
      <c r="AG88" s="2188"/>
      <c r="AH88" s="2189"/>
      <c r="AI88" s="1206"/>
      <c r="AJ88" s="2207"/>
      <c r="AK88" s="2208"/>
      <c r="AL88" s="2208"/>
      <c r="AM88" s="2208"/>
      <c r="AN88" s="2208"/>
      <c r="AO88" s="2208"/>
      <c r="AP88" s="2208"/>
      <c r="AQ88" s="2208"/>
      <c r="AR88" s="2208"/>
      <c r="AS88" s="2208"/>
      <c r="AT88" s="2208"/>
      <c r="AU88" s="2208"/>
      <c r="AV88" s="2208"/>
      <c r="AW88" s="2208"/>
      <c r="AX88" s="2208"/>
      <c r="AY88" s="2208"/>
      <c r="AZ88" s="2208"/>
      <c r="BA88" s="2208"/>
      <c r="BB88" s="2209"/>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2612</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1857</v>
      </c>
      <c r="C92" s="1234"/>
      <c r="D92" s="1233"/>
      <c r="E92" s="1232"/>
      <c r="F92" s="2213"/>
      <c r="G92" s="2214"/>
      <c r="H92" s="2214"/>
      <c r="I92" s="2214"/>
      <c r="J92" s="2214"/>
      <c r="K92" s="2214"/>
      <c r="L92" s="2214"/>
      <c r="M92" s="2214"/>
      <c r="N92" s="2214"/>
      <c r="O92" s="2214"/>
      <c r="P92" s="2214"/>
      <c r="Q92" s="2215"/>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2607</v>
      </c>
      <c r="C93" s="1240"/>
      <c r="D93" s="1239"/>
      <c r="E93" s="1239"/>
      <c r="F93" s="1239"/>
      <c r="G93" s="1239"/>
      <c r="H93" s="1239"/>
      <c r="I93" s="1239"/>
      <c r="J93" s="1239"/>
      <c r="K93" s="1239"/>
      <c r="L93" s="1238"/>
      <c r="M93" s="1239"/>
      <c r="N93" s="1238"/>
      <c r="O93" s="2219" t="e">
        <f>BR97/SUM($BR$96:$BR$98)</f>
        <v>#DIV/0!</v>
      </c>
      <c r="P93" s="2220"/>
      <c r="Q93" s="2221"/>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2611</v>
      </c>
      <c r="C94" s="1244"/>
      <c r="D94" s="1226"/>
      <c r="E94" s="1226"/>
      <c r="F94" s="1226"/>
      <c r="G94" s="1226"/>
      <c r="H94" s="1226"/>
      <c r="I94" s="1226"/>
      <c r="J94" s="1226"/>
      <c r="K94" s="1226"/>
      <c r="L94" s="1226"/>
      <c r="M94" s="1226"/>
      <c r="N94" s="1246"/>
      <c r="O94" s="2210" t="s">
        <v>2546</v>
      </c>
      <c r="P94" s="2211"/>
      <c r="Q94" s="2212"/>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596" t="s">
        <v>2610</v>
      </c>
      <c r="C96" s="2597"/>
      <c r="D96" s="2597"/>
      <c r="E96" s="2597"/>
      <c r="F96" s="2597"/>
      <c r="G96" s="2597"/>
      <c r="H96" s="2597"/>
      <c r="I96" s="2597"/>
      <c r="J96" s="2597"/>
      <c r="K96" s="2597"/>
      <c r="L96" s="2597"/>
      <c r="M96" s="2597"/>
      <c r="N96" s="2597"/>
      <c r="O96" s="2597"/>
      <c r="P96" s="2597"/>
      <c r="Q96" s="2597"/>
      <c r="R96" s="2597"/>
      <c r="S96" s="2597"/>
      <c r="T96" s="2597"/>
      <c r="U96" s="2597"/>
      <c r="V96" s="2597"/>
      <c r="W96" s="2597"/>
      <c r="X96" s="2597"/>
      <c r="Y96" s="2597"/>
      <c r="Z96" s="2597"/>
      <c r="AA96" s="2597"/>
      <c r="AB96" s="2597"/>
      <c r="AC96" s="2597"/>
      <c r="AD96" s="2597"/>
      <c r="AE96" s="2597"/>
      <c r="AF96" s="2597"/>
      <c r="AG96" s="2597"/>
      <c r="AH96" s="2598"/>
      <c r="AI96" s="1206"/>
      <c r="AJ96" s="2200" t="s">
        <v>2609</v>
      </c>
      <c r="AK96" s="2201"/>
      <c r="AL96" s="2201"/>
      <c r="AM96" s="2201"/>
      <c r="AN96" s="2201"/>
      <c r="AO96" s="2201"/>
      <c r="AP96" s="2201"/>
      <c r="AQ96" s="2201"/>
      <c r="AR96" s="2201"/>
      <c r="AS96" s="2201"/>
      <c r="AT96" s="2201"/>
      <c r="AU96" s="2201"/>
      <c r="AV96" s="2201"/>
      <c r="AW96" s="2201"/>
      <c r="AX96" s="2201"/>
      <c r="AY96" s="2222" t="s">
        <v>552</v>
      </c>
      <c r="AZ96" s="2222"/>
      <c r="BA96" s="2222"/>
      <c r="BB96" s="2223"/>
      <c r="BC96" s="1206"/>
      <c r="BD96" s="1206"/>
      <c r="BE96" s="1202"/>
      <c r="BQ96" s="1245" t="str">
        <f>Application!M243</f>
        <v>CFAH Housing, LLC</v>
      </c>
      <c r="BR96" s="1245">
        <f>Application!AH245</f>
        <v>0</v>
      </c>
    </row>
    <row r="97" spans="1:70" ht="15.75" customHeight="1">
      <c r="A97" s="1206"/>
      <c r="B97" s="2192"/>
      <c r="C97" s="2193"/>
      <c r="D97" s="2193"/>
      <c r="E97" s="2193"/>
      <c r="F97" s="2193"/>
      <c r="G97" s="2193"/>
      <c r="H97" s="2193"/>
      <c r="I97" s="2193" t="s">
        <v>1823</v>
      </c>
      <c r="J97" s="2193"/>
      <c r="K97" s="2193"/>
      <c r="L97" s="2193"/>
      <c r="M97" s="2193"/>
      <c r="N97" s="2193"/>
      <c r="O97" s="2193" t="s">
        <v>1824</v>
      </c>
      <c r="P97" s="2193"/>
      <c r="Q97" s="2193"/>
      <c r="R97" s="2193"/>
      <c r="S97" s="2193"/>
      <c r="T97" s="2193"/>
      <c r="U97" s="2193"/>
      <c r="V97" s="2194" t="s">
        <v>2183</v>
      </c>
      <c r="W97" s="2194"/>
      <c r="X97" s="2194"/>
      <c r="Y97" s="2194"/>
      <c r="Z97" s="2194"/>
      <c r="AA97" s="2194"/>
      <c r="AB97" s="2195" t="s">
        <v>1825</v>
      </c>
      <c r="AC97" s="2195"/>
      <c r="AD97" s="2195"/>
      <c r="AE97" s="2195"/>
      <c r="AF97" s="2195"/>
      <c r="AG97" s="2195"/>
      <c r="AH97" s="2196"/>
      <c r="AI97" s="1206"/>
      <c r="AJ97" s="2202"/>
      <c r="AK97" s="2203"/>
      <c r="AL97" s="2203"/>
      <c r="AM97" s="2203"/>
      <c r="AN97" s="2203"/>
      <c r="AO97" s="2203"/>
      <c r="AP97" s="2203"/>
      <c r="AQ97" s="2203"/>
      <c r="AR97" s="2203"/>
      <c r="AS97" s="2203"/>
      <c r="AT97" s="2203"/>
      <c r="AU97" s="2203"/>
      <c r="AV97" s="2203"/>
      <c r="AW97" s="2203"/>
      <c r="AX97" s="2203"/>
      <c r="AY97" s="2224"/>
      <c r="AZ97" s="2224"/>
      <c r="BA97" s="2224"/>
      <c r="BB97" s="2225"/>
      <c r="BC97" s="1206"/>
      <c r="BD97" s="1206"/>
      <c r="BE97" s="1202"/>
      <c r="BQ97" s="1245" t="str">
        <f>Application!M251</f>
        <v>AHG North Fair Oaks, LLC</v>
      </c>
      <c r="BR97" s="1245">
        <f>Application!AH253</f>
        <v>0</v>
      </c>
    </row>
    <row r="98" spans="1:70" ht="15.75" customHeight="1">
      <c r="A98" s="1206"/>
      <c r="B98" s="2192"/>
      <c r="C98" s="2193"/>
      <c r="D98" s="2193"/>
      <c r="E98" s="2193"/>
      <c r="F98" s="2193"/>
      <c r="G98" s="2193"/>
      <c r="H98" s="2193"/>
      <c r="I98" s="2193"/>
      <c r="J98" s="2193"/>
      <c r="K98" s="2193"/>
      <c r="L98" s="2193"/>
      <c r="M98" s="2193"/>
      <c r="N98" s="2193"/>
      <c r="O98" s="2193"/>
      <c r="P98" s="2193"/>
      <c r="Q98" s="2193"/>
      <c r="R98" s="2193"/>
      <c r="S98" s="2193"/>
      <c r="T98" s="2193"/>
      <c r="U98" s="2193"/>
      <c r="V98" s="2194"/>
      <c r="W98" s="2194"/>
      <c r="X98" s="2194"/>
      <c r="Y98" s="2194"/>
      <c r="Z98" s="2194"/>
      <c r="AA98" s="2194"/>
      <c r="AB98" s="2195"/>
      <c r="AC98" s="2195"/>
      <c r="AD98" s="2195"/>
      <c r="AE98" s="2195"/>
      <c r="AF98" s="2195"/>
      <c r="AG98" s="2195"/>
      <c r="AH98" s="2196"/>
      <c r="AI98" s="1206"/>
      <c r="AJ98" s="2202"/>
      <c r="AK98" s="2203"/>
      <c r="AL98" s="2203"/>
      <c r="AM98" s="2203"/>
      <c r="AN98" s="2203"/>
      <c r="AO98" s="2203"/>
      <c r="AP98" s="2203"/>
      <c r="AQ98" s="2203"/>
      <c r="AR98" s="2203"/>
      <c r="AS98" s="2203"/>
      <c r="AT98" s="2203"/>
      <c r="AU98" s="2203"/>
      <c r="AV98" s="2203"/>
      <c r="AW98" s="2203"/>
      <c r="AX98" s="2203"/>
      <c r="AY98" s="2224"/>
      <c r="AZ98" s="2224"/>
      <c r="BA98" s="2224"/>
      <c r="BB98" s="2225"/>
      <c r="BC98" s="1206"/>
      <c r="BD98" s="1206"/>
      <c r="BE98" s="1202"/>
      <c r="BQ98" s="1245" t="str">
        <f>Application!M259</f>
        <v>N/A</v>
      </c>
      <c r="BR98" s="1245">
        <f>Application!AH261</f>
        <v>0</v>
      </c>
    </row>
    <row r="99" spans="1:70" ht="15.75" customHeight="1">
      <c r="A99" s="1206"/>
      <c r="B99" s="2192" t="s">
        <v>2166</v>
      </c>
      <c r="C99" s="2193"/>
      <c r="D99" s="2193"/>
      <c r="E99" s="2193"/>
      <c r="F99" s="2193"/>
      <c r="G99" s="2193"/>
      <c r="H99" s="2193"/>
      <c r="I99" s="2190">
        <v>0</v>
      </c>
      <c r="J99" s="2190"/>
      <c r="K99" s="2190"/>
      <c r="L99" s="2190"/>
      <c r="M99" s="2190"/>
      <c r="N99" s="2190"/>
      <c r="O99" s="2190">
        <v>0</v>
      </c>
      <c r="P99" s="2190"/>
      <c r="Q99" s="2190"/>
      <c r="R99" s="2190"/>
      <c r="S99" s="2190"/>
      <c r="T99" s="2190"/>
      <c r="U99" s="2190"/>
      <c r="V99" s="2190">
        <v>0</v>
      </c>
      <c r="W99" s="2190"/>
      <c r="X99" s="2190"/>
      <c r="Y99" s="2190"/>
      <c r="Z99" s="2190"/>
      <c r="AA99" s="2190"/>
      <c r="AB99" s="2190">
        <v>0</v>
      </c>
      <c r="AC99" s="2190"/>
      <c r="AD99" s="2190"/>
      <c r="AE99" s="2190"/>
      <c r="AF99" s="2190"/>
      <c r="AG99" s="2190"/>
      <c r="AH99" s="2191"/>
      <c r="AI99" s="1206"/>
      <c r="AJ99" s="2202"/>
      <c r="AK99" s="2203"/>
      <c r="AL99" s="2203"/>
      <c r="AM99" s="2203"/>
      <c r="AN99" s="2203"/>
      <c r="AO99" s="2203"/>
      <c r="AP99" s="2203"/>
      <c r="AQ99" s="2203"/>
      <c r="AR99" s="2203"/>
      <c r="AS99" s="2203"/>
      <c r="AT99" s="2203"/>
      <c r="AU99" s="2203"/>
      <c r="AV99" s="2203"/>
      <c r="AW99" s="2203"/>
      <c r="AX99" s="2203"/>
      <c r="AY99" s="2224"/>
      <c r="AZ99" s="2224"/>
      <c r="BA99" s="2224"/>
      <c r="BB99" s="2225"/>
      <c r="BC99" s="1206"/>
      <c r="BD99" s="1206"/>
      <c r="BE99" s="1202"/>
    </row>
    <row r="100" spans="1:70" ht="15.75" customHeight="1">
      <c r="A100" s="1206"/>
      <c r="B100" s="2192" t="s">
        <v>2167</v>
      </c>
      <c r="C100" s="2193"/>
      <c r="D100" s="2193"/>
      <c r="E100" s="2193"/>
      <c r="F100" s="2193"/>
      <c r="G100" s="2193"/>
      <c r="H100" s="2193"/>
      <c r="I100" s="2190">
        <v>0</v>
      </c>
      <c r="J100" s="2190"/>
      <c r="K100" s="2190"/>
      <c r="L100" s="2190"/>
      <c r="M100" s="2190"/>
      <c r="N100" s="2190"/>
      <c r="O100" s="2190">
        <v>0</v>
      </c>
      <c r="P100" s="2190"/>
      <c r="Q100" s="2190"/>
      <c r="R100" s="2190"/>
      <c r="S100" s="2190"/>
      <c r="T100" s="2190"/>
      <c r="U100" s="2190"/>
      <c r="V100" s="2190">
        <v>0</v>
      </c>
      <c r="W100" s="2190"/>
      <c r="X100" s="2190"/>
      <c r="Y100" s="2190"/>
      <c r="Z100" s="2190"/>
      <c r="AA100" s="2190"/>
      <c r="AB100" s="2190">
        <v>0</v>
      </c>
      <c r="AC100" s="2190"/>
      <c r="AD100" s="2190"/>
      <c r="AE100" s="2190"/>
      <c r="AF100" s="2190"/>
      <c r="AG100" s="2190"/>
      <c r="AH100" s="2191"/>
      <c r="AI100" s="1206"/>
      <c r="AJ100" s="2204" t="s">
        <v>2482</v>
      </c>
      <c r="AK100" s="2205"/>
      <c r="AL100" s="2205"/>
      <c r="AM100" s="2205"/>
      <c r="AN100" s="2205"/>
      <c r="AO100" s="2205"/>
      <c r="AP100" s="2205"/>
      <c r="AQ100" s="2205"/>
      <c r="AR100" s="2205"/>
      <c r="AS100" s="2205"/>
      <c r="AT100" s="2205"/>
      <c r="AU100" s="2205"/>
      <c r="AV100" s="2205"/>
      <c r="AW100" s="2205"/>
      <c r="AX100" s="2205"/>
      <c r="AY100" s="2205"/>
      <c r="AZ100" s="2205"/>
      <c r="BA100" s="2205"/>
      <c r="BB100" s="2206"/>
      <c r="BC100" s="1206"/>
      <c r="BD100" s="1206"/>
      <c r="BE100" s="1202"/>
    </row>
    <row r="101" spans="1:70" ht="15.75" customHeight="1" thickBot="1">
      <c r="A101" s="1206"/>
      <c r="B101" s="2186" t="s">
        <v>1826</v>
      </c>
      <c r="C101" s="2187"/>
      <c r="D101" s="2187"/>
      <c r="E101" s="2187"/>
      <c r="F101" s="2187"/>
      <c r="G101" s="2187"/>
      <c r="H101" s="2187"/>
      <c r="I101" s="2188">
        <v>0</v>
      </c>
      <c r="J101" s="2188"/>
      <c r="K101" s="2188"/>
      <c r="L101" s="2188"/>
      <c r="M101" s="2188"/>
      <c r="N101" s="2188"/>
      <c r="O101" s="2188">
        <v>0</v>
      </c>
      <c r="P101" s="2188"/>
      <c r="Q101" s="2188"/>
      <c r="R101" s="2188"/>
      <c r="S101" s="2188"/>
      <c r="T101" s="2188"/>
      <c r="U101" s="2188"/>
      <c r="V101" s="2188">
        <v>0</v>
      </c>
      <c r="W101" s="2188"/>
      <c r="X101" s="2188"/>
      <c r="Y101" s="2188"/>
      <c r="Z101" s="2188"/>
      <c r="AA101" s="2188"/>
      <c r="AB101" s="2188">
        <v>0</v>
      </c>
      <c r="AC101" s="2188"/>
      <c r="AD101" s="2188"/>
      <c r="AE101" s="2188"/>
      <c r="AF101" s="2188"/>
      <c r="AG101" s="2188"/>
      <c r="AH101" s="2189"/>
      <c r="AI101" s="1206"/>
      <c r="AJ101" s="2207"/>
      <c r="AK101" s="2208"/>
      <c r="AL101" s="2208"/>
      <c r="AM101" s="2208"/>
      <c r="AN101" s="2208"/>
      <c r="AO101" s="2208"/>
      <c r="AP101" s="2208"/>
      <c r="AQ101" s="2208"/>
      <c r="AR101" s="2208"/>
      <c r="AS101" s="2208"/>
      <c r="AT101" s="2208"/>
      <c r="AU101" s="2208"/>
      <c r="AV101" s="2208"/>
      <c r="AW101" s="2208"/>
      <c r="AX101" s="2208"/>
      <c r="AY101" s="2208"/>
      <c r="AZ101" s="2208"/>
      <c r="BA101" s="2208"/>
      <c r="BB101" s="2209"/>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2608</v>
      </c>
      <c r="C103" s="1244"/>
      <c r="D103" s="1226"/>
      <c r="E103" s="1226"/>
      <c r="F103" s="1243"/>
      <c r="G103" s="1243"/>
      <c r="H103" s="1243"/>
      <c r="I103" s="1243"/>
      <c r="J103" s="1243"/>
      <c r="K103" s="1243"/>
      <c r="L103" s="1243"/>
      <c r="M103" s="1243"/>
      <c r="N103" s="1243"/>
      <c r="O103" s="1242"/>
      <c r="P103" s="1243"/>
      <c r="Q103" s="1243"/>
      <c r="R103" s="1242"/>
      <c r="S103" s="1206" t="s">
        <v>250</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1857</v>
      </c>
      <c r="C104" s="1234"/>
      <c r="D104" s="1233"/>
      <c r="E104" s="1232"/>
      <c r="F104" s="2216"/>
      <c r="G104" s="2217"/>
      <c r="H104" s="2217"/>
      <c r="I104" s="2217"/>
      <c r="J104" s="2217"/>
      <c r="K104" s="2217"/>
      <c r="L104" s="2217"/>
      <c r="M104" s="2217"/>
      <c r="N104" s="2217"/>
      <c r="O104" s="2217"/>
      <c r="P104" s="2217"/>
      <c r="Q104" s="2217"/>
      <c r="R104" s="2218"/>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2607</v>
      </c>
      <c r="C105" s="1240"/>
      <c r="D105" s="1239"/>
      <c r="E105" s="1239"/>
      <c r="F105" s="1239"/>
      <c r="G105" s="1239"/>
      <c r="H105" s="1239"/>
      <c r="I105" s="1239"/>
      <c r="J105" s="1239"/>
      <c r="K105" s="1239"/>
      <c r="L105" s="1238"/>
      <c r="M105" s="1239"/>
      <c r="N105" s="1238"/>
      <c r="O105" s="2210" t="e">
        <f>BR98/SUM(BR96:BR98)</f>
        <v>#DIV/0!</v>
      </c>
      <c r="P105" s="2211"/>
      <c r="Q105" s="2211"/>
      <c r="R105" s="2212"/>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197" t="s">
        <v>2606</v>
      </c>
      <c r="C107" s="2198"/>
      <c r="D107" s="2198"/>
      <c r="E107" s="2198"/>
      <c r="F107" s="2198"/>
      <c r="G107" s="2198"/>
      <c r="H107" s="2198"/>
      <c r="I107" s="2198"/>
      <c r="J107" s="2198"/>
      <c r="K107" s="2198"/>
      <c r="L107" s="2198"/>
      <c r="M107" s="2198"/>
      <c r="N107" s="2198"/>
      <c r="O107" s="2198"/>
      <c r="P107" s="2198"/>
      <c r="Q107" s="2198"/>
      <c r="R107" s="2198"/>
      <c r="S107" s="2198"/>
      <c r="T107" s="2198"/>
      <c r="U107" s="2198"/>
      <c r="V107" s="2198"/>
      <c r="W107" s="2198"/>
      <c r="X107" s="2198"/>
      <c r="Y107" s="2198"/>
      <c r="Z107" s="2198"/>
      <c r="AA107" s="2198"/>
      <c r="AB107" s="2198"/>
      <c r="AC107" s="2198"/>
      <c r="AD107" s="2198"/>
      <c r="AE107" s="2198"/>
      <c r="AF107" s="2198"/>
      <c r="AG107" s="2198"/>
      <c r="AH107" s="2199"/>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92"/>
      <c r="C108" s="2193"/>
      <c r="D108" s="2193"/>
      <c r="E108" s="2193"/>
      <c r="F108" s="2193"/>
      <c r="G108" s="2193"/>
      <c r="H108" s="2193"/>
      <c r="I108" s="2193" t="s">
        <v>1823</v>
      </c>
      <c r="J108" s="2193"/>
      <c r="K108" s="2193"/>
      <c r="L108" s="2193"/>
      <c r="M108" s="2193"/>
      <c r="N108" s="2193"/>
      <c r="O108" s="2193" t="s">
        <v>1824</v>
      </c>
      <c r="P108" s="2193"/>
      <c r="Q108" s="2193"/>
      <c r="R108" s="2193"/>
      <c r="S108" s="2193"/>
      <c r="T108" s="2193"/>
      <c r="U108" s="2193"/>
      <c r="V108" s="2194" t="s">
        <v>2183</v>
      </c>
      <c r="W108" s="2194"/>
      <c r="X108" s="2194"/>
      <c r="Y108" s="2194"/>
      <c r="Z108" s="2194"/>
      <c r="AA108" s="2194"/>
      <c r="AB108" s="2195" t="s">
        <v>1825</v>
      </c>
      <c r="AC108" s="2195"/>
      <c r="AD108" s="2195"/>
      <c r="AE108" s="2195"/>
      <c r="AF108" s="2195"/>
      <c r="AG108" s="2195"/>
      <c r="AH108" s="2196"/>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92"/>
      <c r="C109" s="2193"/>
      <c r="D109" s="2193"/>
      <c r="E109" s="2193"/>
      <c r="F109" s="2193"/>
      <c r="G109" s="2193"/>
      <c r="H109" s="2193"/>
      <c r="I109" s="2193"/>
      <c r="J109" s="2193"/>
      <c r="K109" s="2193"/>
      <c r="L109" s="2193"/>
      <c r="M109" s="2193"/>
      <c r="N109" s="2193"/>
      <c r="O109" s="2193"/>
      <c r="P109" s="2193"/>
      <c r="Q109" s="2193"/>
      <c r="R109" s="2193"/>
      <c r="S109" s="2193"/>
      <c r="T109" s="2193"/>
      <c r="U109" s="2193"/>
      <c r="V109" s="2194"/>
      <c r="W109" s="2194"/>
      <c r="X109" s="2194"/>
      <c r="Y109" s="2194"/>
      <c r="Z109" s="2194"/>
      <c r="AA109" s="2194"/>
      <c r="AB109" s="2195"/>
      <c r="AC109" s="2195"/>
      <c r="AD109" s="2195"/>
      <c r="AE109" s="2195"/>
      <c r="AF109" s="2195"/>
      <c r="AG109" s="2195"/>
      <c r="AH109" s="2196"/>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92" t="s">
        <v>2166</v>
      </c>
      <c r="C110" s="2193"/>
      <c r="D110" s="2193"/>
      <c r="E110" s="2193"/>
      <c r="F110" s="2193"/>
      <c r="G110" s="2193"/>
      <c r="H110" s="2193"/>
      <c r="I110" s="2190">
        <v>0</v>
      </c>
      <c r="J110" s="2190"/>
      <c r="K110" s="2190"/>
      <c r="L110" s="2190"/>
      <c r="M110" s="2190"/>
      <c r="N110" s="2190"/>
      <c r="O110" s="2190">
        <v>0</v>
      </c>
      <c r="P110" s="2190"/>
      <c r="Q110" s="2190"/>
      <c r="R110" s="2190"/>
      <c r="S110" s="2190"/>
      <c r="T110" s="2190"/>
      <c r="U110" s="2190"/>
      <c r="V110" s="2190">
        <v>0</v>
      </c>
      <c r="W110" s="2190"/>
      <c r="X110" s="2190"/>
      <c r="Y110" s="2190"/>
      <c r="Z110" s="2190"/>
      <c r="AA110" s="2190"/>
      <c r="AB110" s="2190">
        <v>0</v>
      </c>
      <c r="AC110" s="2190"/>
      <c r="AD110" s="2190"/>
      <c r="AE110" s="2190"/>
      <c r="AF110" s="2190"/>
      <c r="AG110" s="2190"/>
      <c r="AH110" s="2191"/>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92" t="s">
        <v>2167</v>
      </c>
      <c r="C111" s="2193"/>
      <c r="D111" s="2193"/>
      <c r="E111" s="2193"/>
      <c r="F111" s="2193"/>
      <c r="G111" s="2193"/>
      <c r="H111" s="2193"/>
      <c r="I111" s="2190">
        <v>0</v>
      </c>
      <c r="J111" s="2190"/>
      <c r="K111" s="2190"/>
      <c r="L111" s="2190"/>
      <c r="M111" s="2190"/>
      <c r="N111" s="2190"/>
      <c r="O111" s="2190">
        <v>0</v>
      </c>
      <c r="P111" s="2190"/>
      <c r="Q111" s="2190"/>
      <c r="R111" s="2190"/>
      <c r="S111" s="2190"/>
      <c r="T111" s="2190"/>
      <c r="U111" s="2190"/>
      <c r="V111" s="2190">
        <v>0</v>
      </c>
      <c r="W111" s="2190"/>
      <c r="X111" s="2190"/>
      <c r="Y111" s="2190"/>
      <c r="Z111" s="2190"/>
      <c r="AA111" s="2190"/>
      <c r="AB111" s="2190">
        <v>0</v>
      </c>
      <c r="AC111" s="2190"/>
      <c r="AD111" s="2190"/>
      <c r="AE111" s="2190"/>
      <c r="AF111" s="2190"/>
      <c r="AG111" s="2190"/>
      <c r="AH111" s="2191"/>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186" t="s">
        <v>1826</v>
      </c>
      <c r="C112" s="2187"/>
      <c r="D112" s="2187"/>
      <c r="E112" s="2187"/>
      <c r="F112" s="2187"/>
      <c r="G112" s="2187"/>
      <c r="H112" s="2187"/>
      <c r="I112" s="2188">
        <v>0</v>
      </c>
      <c r="J112" s="2188"/>
      <c r="K112" s="2188"/>
      <c r="L112" s="2188"/>
      <c r="M112" s="2188"/>
      <c r="N112" s="2188"/>
      <c r="O112" s="2188">
        <v>0</v>
      </c>
      <c r="P112" s="2188"/>
      <c r="Q112" s="2188"/>
      <c r="R112" s="2188"/>
      <c r="S112" s="2188"/>
      <c r="T112" s="2188"/>
      <c r="U112" s="2188"/>
      <c r="V112" s="2188">
        <v>0</v>
      </c>
      <c r="W112" s="2188"/>
      <c r="X112" s="2188"/>
      <c r="Y112" s="2188"/>
      <c r="Z112" s="2188"/>
      <c r="AA112" s="2188"/>
      <c r="AB112" s="2188">
        <v>0</v>
      </c>
      <c r="AC112" s="2188"/>
      <c r="AD112" s="2188"/>
      <c r="AE112" s="2188"/>
      <c r="AF112" s="2188"/>
      <c r="AG112" s="2188"/>
      <c r="AH112" s="2189"/>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250</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2605</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1857</v>
      </c>
      <c r="C115" s="1234"/>
      <c r="D115" s="1233"/>
      <c r="E115" s="1232"/>
      <c r="F115" s="2216"/>
      <c r="G115" s="2217"/>
      <c r="H115" s="2217"/>
      <c r="I115" s="2217"/>
      <c r="J115" s="2217"/>
      <c r="K115" s="2217"/>
      <c r="L115" s="2217"/>
      <c r="M115" s="2217"/>
      <c r="N115" s="2217"/>
      <c r="O115" s="2217"/>
      <c r="P115" s="2217"/>
      <c r="Q115" s="2217"/>
      <c r="R115" s="2218"/>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200" t="s">
        <v>2483</v>
      </c>
      <c r="C117" s="2201"/>
      <c r="D117" s="2201"/>
      <c r="E117" s="2201"/>
      <c r="F117" s="2201"/>
      <c r="G117" s="2201"/>
      <c r="H117" s="2201"/>
      <c r="I117" s="2201"/>
      <c r="J117" s="2201"/>
      <c r="K117" s="2201"/>
      <c r="L117" s="2201"/>
      <c r="M117" s="2201"/>
      <c r="N117" s="2201"/>
      <c r="O117" s="2201"/>
      <c r="P117" s="2201"/>
      <c r="Q117" s="2222" t="s">
        <v>552</v>
      </c>
      <c r="R117" s="2222"/>
      <c r="S117" s="2222"/>
      <c r="T117" s="2223"/>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202"/>
      <c r="C118" s="2203"/>
      <c r="D118" s="2203"/>
      <c r="E118" s="2203"/>
      <c r="F118" s="2203"/>
      <c r="G118" s="2203"/>
      <c r="H118" s="2203"/>
      <c r="I118" s="2203"/>
      <c r="J118" s="2203"/>
      <c r="K118" s="2203"/>
      <c r="L118" s="2203"/>
      <c r="M118" s="2203"/>
      <c r="N118" s="2203"/>
      <c r="O118" s="2203"/>
      <c r="P118" s="2203"/>
      <c r="Q118" s="2224"/>
      <c r="R118" s="2224"/>
      <c r="S118" s="2224"/>
      <c r="T118" s="2225"/>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202"/>
      <c r="C119" s="2203"/>
      <c r="D119" s="2203"/>
      <c r="E119" s="2203"/>
      <c r="F119" s="2203"/>
      <c r="G119" s="2203"/>
      <c r="H119" s="2203"/>
      <c r="I119" s="2203"/>
      <c r="J119" s="2203"/>
      <c r="K119" s="2203"/>
      <c r="L119" s="2203"/>
      <c r="M119" s="2203"/>
      <c r="N119" s="2203"/>
      <c r="O119" s="2203"/>
      <c r="P119" s="2203"/>
      <c r="Q119" s="2224"/>
      <c r="R119" s="2224"/>
      <c r="S119" s="2224"/>
      <c r="T119" s="2225"/>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202"/>
      <c r="C120" s="2203"/>
      <c r="D120" s="2203"/>
      <c r="E120" s="2203"/>
      <c r="F120" s="2203"/>
      <c r="G120" s="2203"/>
      <c r="H120" s="2203"/>
      <c r="I120" s="2203"/>
      <c r="J120" s="2203"/>
      <c r="K120" s="2203"/>
      <c r="L120" s="2203"/>
      <c r="M120" s="2203"/>
      <c r="N120" s="2203"/>
      <c r="O120" s="2203"/>
      <c r="P120" s="2203"/>
      <c r="Q120" s="2224"/>
      <c r="R120" s="2224"/>
      <c r="S120" s="2224"/>
      <c r="T120" s="2225"/>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204" t="s">
        <v>2184</v>
      </c>
      <c r="C121" s="2205"/>
      <c r="D121" s="2205"/>
      <c r="E121" s="2205"/>
      <c r="F121" s="2205"/>
      <c r="G121" s="2205"/>
      <c r="H121" s="2205"/>
      <c r="I121" s="2205"/>
      <c r="J121" s="2205"/>
      <c r="K121" s="2205"/>
      <c r="L121" s="2205"/>
      <c r="M121" s="2205"/>
      <c r="N121" s="2205"/>
      <c r="O121" s="2205"/>
      <c r="P121" s="2205"/>
      <c r="Q121" s="2205"/>
      <c r="R121" s="2205"/>
      <c r="S121" s="2205"/>
      <c r="T121" s="2206"/>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207"/>
      <c r="C122" s="2208"/>
      <c r="D122" s="2208"/>
      <c r="E122" s="2208"/>
      <c r="F122" s="2208"/>
      <c r="G122" s="2208"/>
      <c r="H122" s="2208"/>
      <c r="I122" s="2208"/>
      <c r="J122" s="2208"/>
      <c r="K122" s="2208"/>
      <c r="L122" s="2208"/>
      <c r="M122" s="2208"/>
      <c r="N122" s="2208"/>
      <c r="O122" s="2208"/>
      <c r="P122" s="2208"/>
      <c r="Q122" s="2208"/>
      <c r="R122" s="2208"/>
      <c r="S122" s="2208"/>
      <c r="T122" s="2209"/>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1827</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200" t="s">
        <v>2168</v>
      </c>
      <c r="Y125" s="2201"/>
      <c r="Z125" s="2201"/>
      <c r="AA125" s="2201"/>
      <c r="AB125" s="2201"/>
      <c r="AC125" s="2201"/>
      <c r="AD125" s="2201"/>
      <c r="AE125" s="2201"/>
      <c r="AF125" s="2201"/>
      <c r="AG125" s="2201"/>
      <c r="AH125" s="2201"/>
      <c r="AI125" s="2201"/>
      <c r="AJ125" s="2201"/>
      <c r="AK125" s="2201"/>
      <c r="AL125" s="2201"/>
      <c r="AM125" s="2201"/>
      <c r="AN125" s="2201"/>
      <c r="AO125" s="2201"/>
      <c r="AP125" s="2201"/>
      <c r="AQ125" s="2201"/>
      <c r="AR125" s="2201"/>
      <c r="AS125" s="2201"/>
      <c r="AT125" s="2201"/>
      <c r="AU125" s="2201"/>
      <c r="AV125" s="2201"/>
      <c r="AW125" s="2201"/>
      <c r="AX125" s="2201"/>
      <c r="AY125" s="2201"/>
      <c r="AZ125" s="2201"/>
      <c r="BA125" s="2201"/>
      <c r="BB125" s="2201"/>
      <c r="BC125" s="2201"/>
      <c r="BD125" s="2448"/>
      <c r="BE125" s="1202"/>
    </row>
    <row r="126" spans="1:57" ht="15.75" customHeight="1">
      <c r="A126" s="1206"/>
      <c r="B126" s="2450" t="s">
        <v>1683</v>
      </c>
      <c r="C126" s="2451"/>
      <c r="D126" s="2451"/>
      <c r="E126" s="2451"/>
      <c r="F126" s="2451"/>
      <c r="G126" s="2451"/>
      <c r="H126" s="2451"/>
      <c r="I126" s="2451"/>
      <c r="J126" s="2451"/>
      <c r="K126" s="2451"/>
      <c r="L126" s="2451"/>
      <c r="M126" s="2451"/>
      <c r="N126" s="2451"/>
      <c r="O126" s="2451"/>
      <c r="P126" s="2451"/>
      <c r="Q126" s="2451"/>
      <c r="R126" s="2451"/>
      <c r="S126" s="2451"/>
      <c r="T126" s="2451"/>
      <c r="U126" s="2452"/>
      <c r="V126" s="1206"/>
      <c r="W126" s="1206"/>
      <c r="X126" s="2202"/>
      <c r="Y126" s="2203"/>
      <c r="Z126" s="2203"/>
      <c r="AA126" s="2203"/>
      <c r="AB126" s="2203"/>
      <c r="AC126" s="2203"/>
      <c r="AD126" s="2203"/>
      <c r="AE126" s="2203"/>
      <c r="AF126" s="2203"/>
      <c r="AG126" s="2203"/>
      <c r="AH126" s="2203"/>
      <c r="AI126" s="2203"/>
      <c r="AJ126" s="2203"/>
      <c r="AK126" s="2203"/>
      <c r="AL126" s="2203"/>
      <c r="AM126" s="2203"/>
      <c r="AN126" s="2203"/>
      <c r="AO126" s="2203"/>
      <c r="AP126" s="2203"/>
      <c r="AQ126" s="2203"/>
      <c r="AR126" s="2203"/>
      <c r="AS126" s="2203"/>
      <c r="AT126" s="2203"/>
      <c r="AU126" s="2203"/>
      <c r="AV126" s="2203"/>
      <c r="AW126" s="2203"/>
      <c r="AX126" s="2203"/>
      <c r="AY126" s="2203"/>
      <c r="AZ126" s="2203"/>
      <c r="BA126" s="2203"/>
      <c r="BB126" s="2203"/>
      <c r="BC126" s="2203"/>
      <c r="BD126" s="2449"/>
      <c r="BE126" s="1202"/>
    </row>
    <row r="127" spans="1:57" ht="15.75" customHeight="1">
      <c r="A127" s="1206"/>
      <c r="B127" s="2413"/>
      <c r="C127" s="2414"/>
      <c r="D127" s="2414"/>
      <c r="E127" s="2414"/>
      <c r="F127" s="2414"/>
      <c r="G127" s="2414"/>
      <c r="H127" s="2414"/>
      <c r="I127" s="2193" t="s">
        <v>2169</v>
      </c>
      <c r="J127" s="2193"/>
      <c r="K127" s="2193"/>
      <c r="L127" s="2193"/>
      <c r="M127" s="2193"/>
      <c r="N127" s="2193"/>
      <c r="O127" s="2453" t="s">
        <v>2170</v>
      </c>
      <c r="P127" s="2453"/>
      <c r="Q127" s="2453"/>
      <c r="R127" s="2453"/>
      <c r="S127" s="2453"/>
      <c r="T127" s="2453"/>
      <c r="U127" s="2454"/>
      <c r="V127" s="1206"/>
      <c r="W127" s="1206"/>
      <c r="X127" s="2416" t="s">
        <v>2182</v>
      </c>
      <c r="Y127" s="2417"/>
      <c r="Z127" s="2417"/>
      <c r="AA127" s="2417"/>
      <c r="AB127" s="2417"/>
      <c r="AC127" s="2417"/>
      <c r="AD127" s="2417"/>
      <c r="AE127" s="2417"/>
      <c r="AF127" s="2417"/>
      <c r="AG127" s="2417"/>
      <c r="AH127" s="2417"/>
      <c r="AI127" s="2417"/>
      <c r="AJ127" s="2417"/>
      <c r="AK127" s="2417"/>
      <c r="AL127" s="2417"/>
      <c r="AM127" s="2417"/>
      <c r="AN127" s="2417"/>
      <c r="AO127" s="2417"/>
      <c r="AP127" s="2417"/>
      <c r="AQ127" s="2417"/>
      <c r="AR127" s="2417"/>
      <c r="AS127" s="2417"/>
      <c r="AT127" s="2417"/>
      <c r="AU127" s="2417"/>
      <c r="AV127" s="2417"/>
      <c r="AW127" s="2417"/>
      <c r="AX127" s="2417"/>
      <c r="AY127" s="2417"/>
      <c r="AZ127" s="2417"/>
      <c r="BA127" s="2417"/>
      <c r="BB127" s="2417"/>
      <c r="BC127" s="2417"/>
      <c r="BD127" s="2418"/>
      <c r="BE127" s="1202"/>
    </row>
    <row r="128" spans="1:57" ht="15.75" customHeight="1">
      <c r="A128" s="1206"/>
      <c r="B128" s="2430" t="s">
        <v>2171</v>
      </c>
      <c r="C128" s="2431"/>
      <c r="D128" s="2431"/>
      <c r="E128" s="2431"/>
      <c r="F128" s="2431"/>
      <c r="G128" s="2431"/>
      <c r="H128" s="2431"/>
      <c r="I128" s="2190">
        <v>0</v>
      </c>
      <c r="J128" s="2190"/>
      <c r="K128" s="2190"/>
      <c r="L128" s="2190"/>
      <c r="M128" s="2190"/>
      <c r="N128" s="2190"/>
      <c r="O128" s="2190">
        <v>0</v>
      </c>
      <c r="P128" s="2190"/>
      <c r="Q128" s="2190"/>
      <c r="R128" s="2190"/>
      <c r="S128" s="2190"/>
      <c r="T128" s="2190"/>
      <c r="U128" s="2191"/>
      <c r="V128" s="1206"/>
      <c r="W128" s="1206"/>
      <c r="X128" s="2416"/>
      <c r="Y128" s="2417"/>
      <c r="Z128" s="2417"/>
      <c r="AA128" s="2417"/>
      <c r="AB128" s="2417"/>
      <c r="AC128" s="2417"/>
      <c r="AD128" s="2417"/>
      <c r="AE128" s="2417"/>
      <c r="AF128" s="2417"/>
      <c r="AG128" s="2417"/>
      <c r="AH128" s="2417"/>
      <c r="AI128" s="2417"/>
      <c r="AJ128" s="2417"/>
      <c r="AK128" s="2417"/>
      <c r="AL128" s="2417"/>
      <c r="AM128" s="2417"/>
      <c r="AN128" s="2417"/>
      <c r="AO128" s="2417"/>
      <c r="AP128" s="2417"/>
      <c r="AQ128" s="2417"/>
      <c r="AR128" s="2417"/>
      <c r="AS128" s="2417"/>
      <c r="AT128" s="2417"/>
      <c r="AU128" s="2417"/>
      <c r="AV128" s="2417"/>
      <c r="AW128" s="2417"/>
      <c r="AX128" s="2417"/>
      <c r="AY128" s="2417"/>
      <c r="AZ128" s="2417"/>
      <c r="BA128" s="2417"/>
      <c r="BB128" s="2417"/>
      <c r="BC128" s="2417"/>
      <c r="BD128" s="2418"/>
      <c r="BE128" s="1202"/>
    </row>
    <row r="129" spans="1:57" ht="15.75" customHeight="1" thickBot="1">
      <c r="A129" s="1206"/>
      <c r="B129" s="2432" t="s">
        <v>2172</v>
      </c>
      <c r="C129" s="2433"/>
      <c r="D129" s="2433"/>
      <c r="E129" s="2433"/>
      <c r="F129" s="2433"/>
      <c r="G129" s="2433"/>
      <c r="H129" s="2433"/>
      <c r="I129" s="2188">
        <v>0</v>
      </c>
      <c r="J129" s="2188"/>
      <c r="K129" s="2188"/>
      <c r="L129" s="2188"/>
      <c r="M129" s="2188"/>
      <c r="N129" s="2188"/>
      <c r="O129" s="2455"/>
      <c r="P129" s="2455"/>
      <c r="Q129" s="2455"/>
      <c r="R129" s="2455"/>
      <c r="S129" s="2455"/>
      <c r="T129" s="2455"/>
      <c r="U129" s="2456"/>
      <c r="V129" s="1206"/>
      <c r="W129" s="1206"/>
      <c r="X129" s="2416"/>
      <c r="Y129" s="2417"/>
      <c r="Z129" s="2417"/>
      <c r="AA129" s="2417"/>
      <c r="AB129" s="2417"/>
      <c r="AC129" s="2417"/>
      <c r="AD129" s="2417"/>
      <c r="AE129" s="2417"/>
      <c r="AF129" s="2417"/>
      <c r="AG129" s="2417"/>
      <c r="AH129" s="2417"/>
      <c r="AI129" s="2417"/>
      <c r="AJ129" s="2417"/>
      <c r="AK129" s="2417"/>
      <c r="AL129" s="2417"/>
      <c r="AM129" s="2417"/>
      <c r="AN129" s="2417"/>
      <c r="AO129" s="2417"/>
      <c r="AP129" s="2417"/>
      <c r="AQ129" s="2417"/>
      <c r="AR129" s="2417"/>
      <c r="AS129" s="2417"/>
      <c r="AT129" s="2417"/>
      <c r="AU129" s="2417"/>
      <c r="AV129" s="2417"/>
      <c r="AW129" s="2417"/>
      <c r="AX129" s="2417"/>
      <c r="AY129" s="2417"/>
      <c r="AZ129" s="2417"/>
      <c r="BA129" s="2417"/>
      <c r="BB129" s="2417"/>
      <c r="BC129" s="2417"/>
      <c r="BD129" s="2418"/>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416"/>
      <c r="Y130" s="2417"/>
      <c r="Z130" s="2417"/>
      <c r="AA130" s="2417"/>
      <c r="AB130" s="2417"/>
      <c r="AC130" s="2417"/>
      <c r="AD130" s="2417"/>
      <c r="AE130" s="2417"/>
      <c r="AF130" s="2417"/>
      <c r="AG130" s="2417"/>
      <c r="AH130" s="2417"/>
      <c r="AI130" s="2417"/>
      <c r="AJ130" s="2417"/>
      <c r="AK130" s="2417"/>
      <c r="AL130" s="2417"/>
      <c r="AM130" s="2417"/>
      <c r="AN130" s="2417"/>
      <c r="AO130" s="2417"/>
      <c r="AP130" s="2417"/>
      <c r="AQ130" s="2417"/>
      <c r="AR130" s="2417"/>
      <c r="AS130" s="2417"/>
      <c r="AT130" s="2417"/>
      <c r="AU130" s="2417"/>
      <c r="AV130" s="2417"/>
      <c r="AW130" s="2417"/>
      <c r="AX130" s="2417"/>
      <c r="AY130" s="2417"/>
      <c r="AZ130" s="2417"/>
      <c r="BA130" s="2417"/>
      <c r="BB130" s="2417"/>
      <c r="BC130" s="2417"/>
      <c r="BD130" s="2418"/>
      <c r="BE130" s="1202"/>
    </row>
    <row r="131" spans="1:57" ht="15.75" customHeight="1" thickBot="1">
      <c r="A131" s="1206"/>
      <c r="B131" s="1228" t="s">
        <v>1828</v>
      </c>
      <c r="C131" s="1227"/>
      <c r="D131" s="1227"/>
      <c r="E131" s="1227"/>
      <c r="F131" s="1227"/>
      <c r="G131" s="1227"/>
      <c r="H131" s="1227"/>
      <c r="I131" s="1227"/>
      <c r="J131" s="1227"/>
      <c r="K131" s="1227"/>
      <c r="L131" s="1227"/>
      <c r="M131" s="1227"/>
      <c r="N131" s="1227"/>
      <c r="O131" s="1227"/>
      <c r="P131" s="1229"/>
      <c r="Q131" s="1217" t="s">
        <v>250</v>
      </c>
      <c r="R131" s="1217" t="s">
        <v>250</v>
      </c>
      <c r="S131" s="1206"/>
      <c r="T131" s="1206"/>
      <c r="U131" s="1206"/>
      <c r="V131" s="1206" t="s">
        <v>250</v>
      </c>
      <c r="W131" s="1206"/>
      <c r="X131" s="2416"/>
      <c r="Y131" s="2417"/>
      <c r="Z131" s="2417"/>
      <c r="AA131" s="2417"/>
      <c r="AB131" s="2417"/>
      <c r="AC131" s="2417"/>
      <c r="AD131" s="2417"/>
      <c r="AE131" s="2417"/>
      <c r="AF131" s="2417"/>
      <c r="AG131" s="2417"/>
      <c r="AH131" s="2417"/>
      <c r="AI131" s="2417"/>
      <c r="AJ131" s="2417"/>
      <c r="AK131" s="2417"/>
      <c r="AL131" s="2417"/>
      <c r="AM131" s="2417"/>
      <c r="AN131" s="2417"/>
      <c r="AO131" s="2417"/>
      <c r="AP131" s="2417"/>
      <c r="AQ131" s="2417"/>
      <c r="AR131" s="2417"/>
      <c r="AS131" s="2417"/>
      <c r="AT131" s="2417"/>
      <c r="AU131" s="2417"/>
      <c r="AV131" s="2417"/>
      <c r="AW131" s="2417"/>
      <c r="AX131" s="2417"/>
      <c r="AY131" s="2417"/>
      <c r="AZ131" s="2417"/>
      <c r="BA131" s="2417"/>
      <c r="BB131" s="2417"/>
      <c r="BC131" s="2417"/>
      <c r="BD131" s="2418"/>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416"/>
      <c r="Y132" s="2417"/>
      <c r="Z132" s="2417"/>
      <c r="AA132" s="2417"/>
      <c r="AB132" s="2417"/>
      <c r="AC132" s="2417"/>
      <c r="AD132" s="2417"/>
      <c r="AE132" s="2417"/>
      <c r="AF132" s="2417"/>
      <c r="AG132" s="2417"/>
      <c r="AH132" s="2417"/>
      <c r="AI132" s="2417"/>
      <c r="AJ132" s="2417"/>
      <c r="AK132" s="2417"/>
      <c r="AL132" s="2417"/>
      <c r="AM132" s="2417"/>
      <c r="AN132" s="2417"/>
      <c r="AO132" s="2417"/>
      <c r="AP132" s="2417"/>
      <c r="AQ132" s="2417"/>
      <c r="AR132" s="2417"/>
      <c r="AS132" s="2417"/>
      <c r="AT132" s="2417"/>
      <c r="AU132" s="2417"/>
      <c r="AV132" s="2417"/>
      <c r="AW132" s="2417"/>
      <c r="AX132" s="2417"/>
      <c r="AY132" s="2417"/>
      <c r="AZ132" s="2417"/>
      <c r="BA132" s="2417"/>
      <c r="BB132" s="2417"/>
      <c r="BC132" s="2417"/>
      <c r="BD132" s="2418"/>
      <c r="BE132" s="1202"/>
    </row>
    <row r="133" spans="1:57" ht="15.75" customHeight="1">
      <c r="A133" s="1206"/>
      <c r="B133" s="2445" t="s">
        <v>1829</v>
      </c>
      <c r="C133" s="2446"/>
      <c r="D133" s="2446"/>
      <c r="E133" s="2446"/>
      <c r="F133" s="2446"/>
      <c r="G133" s="2446"/>
      <c r="H133" s="2446"/>
      <c r="I133" s="2446"/>
      <c r="J133" s="2446"/>
      <c r="K133" s="2446"/>
      <c r="L133" s="2446"/>
      <c r="M133" s="2446"/>
      <c r="N133" s="2446"/>
      <c r="O133" s="2446"/>
      <c r="P133" s="2446"/>
      <c r="Q133" s="2446"/>
      <c r="R133" s="2446"/>
      <c r="S133" s="2446"/>
      <c r="T133" s="2446"/>
      <c r="U133" s="2447"/>
      <c r="V133" s="1206"/>
      <c r="W133" s="1206"/>
      <c r="X133" s="2416"/>
      <c r="Y133" s="2417"/>
      <c r="Z133" s="2417"/>
      <c r="AA133" s="2417"/>
      <c r="AB133" s="2417"/>
      <c r="AC133" s="2417"/>
      <c r="AD133" s="2417"/>
      <c r="AE133" s="2417"/>
      <c r="AF133" s="2417"/>
      <c r="AG133" s="2417"/>
      <c r="AH133" s="2417"/>
      <c r="AI133" s="2417"/>
      <c r="AJ133" s="2417"/>
      <c r="AK133" s="2417"/>
      <c r="AL133" s="2417"/>
      <c r="AM133" s="2417"/>
      <c r="AN133" s="2417"/>
      <c r="AO133" s="2417"/>
      <c r="AP133" s="2417"/>
      <c r="AQ133" s="2417"/>
      <c r="AR133" s="2417"/>
      <c r="AS133" s="2417"/>
      <c r="AT133" s="2417"/>
      <c r="AU133" s="2417"/>
      <c r="AV133" s="2417"/>
      <c r="AW133" s="2417"/>
      <c r="AX133" s="2417"/>
      <c r="AY133" s="2417"/>
      <c r="AZ133" s="2417"/>
      <c r="BA133" s="2417"/>
      <c r="BB133" s="2417"/>
      <c r="BC133" s="2417"/>
      <c r="BD133" s="2418"/>
      <c r="BE133" s="1202"/>
    </row>
    <row r="134" spans="1:57" ht="15.75" customHeight="1">
      <c r="A134" s="1206"/>
      <c r="B134" s="2413"/>
      <c r="C134" s="2414"/>
      <c r="D134" s="2414"/>
      <c r="E134" s="2414"/>
      <c r="F134" s="2414"/>
      <c r="G134" s="2414"/>
      <c r="H134" s="2414"/>
      <c r="I134" s="2428" t="s">
        <v>1824</v>
      </c>
      <c r="J134" s="2428"/>
      <c r="K134" s="2428"/>
      <c r="L134" s="2428"/>
      <c r="M134" s="2428"/>
      <c r="N134" s="2428"/>
      <c r="O134" s="2428"/>
      <c r="P134" s="2428" t="s">
        <v>2183</v>
      </c>
      <c r="Q134" s="2428"/>
      <c r="R134" s="2428"/>
      <c r="S134" s="2428"/>
      <c r="T134" s="2428"/>
      <c r="U134" s="2429"/>
      <c r="V134" s="1206"/>
      <c r="W134" s="1206"/>
      <c r="X134" s="2416"/>
      <c r="Y134" s="2417"/>
      <c r="Z134" s="2417"/>
      <c r="AA134" s="2417"/>
      <c r="AB134" s="2417"/>
      <c r="AC134" s="2417"/>
      <c r="AD134" s="2417"/>
      <c r="AE134" s="2417"/>
      <c r="AF134" s="2417"/>
      <c r="AG134" s="2417"/>
      <c r="AH134" s="2417"/>
      <c r="AI134" s="2417"/>
      <c r="AJ134" s="2417"/>
      <c r="AK134" s="2417"/>
      <c r="AL134" s="2417"/>
      <c r="AM134" s="2417"/>
      <c r="AN134" s="2417"/>
      <c r="AO134" s="2417"/>
      <c r="AP134" s="2417"/>
      <c r="AQ134" s="2417"/>
      <c r="AR134" s="2417"/>
      <c r="AS134" s="2417"/>
      <c r="AT134" s="2417"/>
      <c r="AU134" s="2417"/>
      <c r="AV134" s="2417"/>
      <c r="AW134" s="2417"/>
      <c r="AX134" s="2417"/>
      <c r="AY134" s="2417"/>
      <c r="AZ134" s="2417"/>
      <c r="BA134" s="2417"/>
      <c r="BB134" s="2417"/>
      <c r="BC134" s="2417"/>
      <c r="BD134" s="2418"/>
      <c r="BE134" s="1202"/>
    </row>
    <row r="135" spans="1:57" ht="15.75" customHeight="1">
      <c r="A135" s="1206"/>
      <c r="B135" s="2413"/>
      <c r="C135" s="2414"/>
      <c r="D135" s="2414"/>
      <c r="E135" s="2414"/>
      <c r="F135" s="2414"/>
      <c r="G135" s="2414"/>
      <c r="H135" s="2414"/>
      <c r="I135" s="2428"/>
      <c r="J135" s="2428"/>
      <c r="K135" s="2428"/>
      <c r="L135" s="2428"/>
      <c r="M135" s="2428"/>
      <c r="N135" s="2428"/>
      <c r="O135" s="2428"/>
      <c r="P135" s="2428"/>
      <c r="Q135" s="2428"/>
      <c r="R135" s="2428"/>
      <c r="S135" s="2428"/>
      <c r="T135" s="2428"/>
      <c r="U135" s="2429"/>
      <c r="V135" s="1206"/>
      <c r="W135" s="1206"/>
      <c r="X135" s="2416"/>
      <c r="Y135" s="2417"/>
      <c r="Z135" s="2417"/>
      <c r="AA135" s="2417"/>
      <c r="AB135" s="2417"/>
      <c r="AC135" s="2417"/>
      <c r="AD135" s="2417"/>
      <c r="AE135" s="2417"/>
      <c r="AF135" s="2417"/>
      <c r="AG135" s="2417"/>
      <c r="AH135" s="2417"/>
      <c r="AI135" s="2417"/>
      <c r="AJ135" s="2417"/>
      <c r="AK135" s="2417"/>
      <c r="AL135" s="2417"/>
      <c r="AM135" s="2417"/>
      <c r="AN135" s="2417"/>
      <c r="AO135" s="2417"/>
      <c r="AP135" s="2417"/>
      <c r="AQ135" s="2417"/>
      <c r="AR135" s="2417"/>
      <c r="AS135" s="2417"/>
      <c r="AT135" s="2417"/>
      <c r="AU135" s="2417"/>
      <c r="AV135" s="2417"/>
      <c r="AW135" s="2417"/>
      <c r="AX135" s="2417"/>
      <c r="AY135" s="2417"/>
      <c r="AZ135" s="2417"/>
      <c r="BA135" s="2417"/>
      <c r="BB135" s="2417"/>
      <c r="BC135" s="2417"/>
      <c r="BD135" s="2418"/>
      <c r="BE135" s="1202"/>
    </row>
    <row r="136" spans="1:57" ht="15.75" customHeight="1">
      <c r="A136" s="1206"/>
      <c r="B136" s="2430" t="s">
        <v>2171</v>
      </c>
      <c r="C136" s="2431"/>
      <c r="D136" s="2431"/>
      <c r="E136" s="2431"/>
      <c r="F136" s="2431"/>
      <c r="G136" s="2431"/>
      <c r="H136" s="2431"/>
      <c r="I136" s="2190">
        <v>0</v>
      </c>
      <c r="J136" s="2190"/>
      <c r="K136" s="2190"/>
      <c r="L136" s="2190"/>
      <c r="M136" s="2190"/>
      <c r="N136" s="2190"/>
      <c r="O136" s="2190"/>
      <c r="P136" s="2190">
        <v>0</v>
      </c>
      <c r="Q136" s="2190"/>
      <c r="R136" s="2190"/>
      <c r="S136" s="2190"/>
      <c r="T136" s="2190"/>
      <c r="U136" s="2191"/>
      <c r="V136" s="1206"/>
      <c r="W136" s="1206"/>
      <c r="X136" s="2416"/>
      <c r="Y136" s="2417"/>
      <c r="Z136" s="2417"/>
      <c r="AA136" s="2417"/>
      <c r="AB136" s="2417"/>
      <c r="AC136" s="2417"/>
      <c r="AD136" s="2417"/>
      <c r="AE136" s="2417"/>
      <c r="AF136" s="2417"/>
      <c r="AG136" s="2417"/>
      <c r="AH136" s="2417"/>
      <c r="AI136" s="2417"/>
      <c r="AJ136" s="2417"/>
      <c r="AK136" s="2417"/>
      <c r="AL136" s="2417"/>
      <c r="AM136" s="2417"/>
      <c r="AN136" s="2417"/>
      <c r="AO136" s="2417"/>
      <c r="AP136" s="2417"/>
      <c r="AQ136" s="2417"/>
      <c r="AR136" s="2417"/>
      <c r="AS136" s="2417"/>
      <c r="AT136" s="2417"/>
      <c r="AU136" s="2417"/>
      <c r="AV136" s="2417"/>
      <c r="AW136" s="2417"/>
      <c r="AX136" s="2417"/>
      <c r="AY136" s="2417"/>
      <c r="AZ136" s="2417"/>
      <c r="BA136" s="2417"/>
      <c r="BB136" s="2417"/>
      <c r="BC136" s="2417"/>
      <c r="BD136" s="2418"/>
      <c r="BE136" s="1202"/>
    </row>
    <row r="137" spans="1:57" ht="15.75" customHeight="1" thickBot="1">
      <c r="A137" s="1206"/>
      <c r="B137" s="2432" t="s">
        <v>2172</v>
      </c>
      <c r="C137" s="2433"/>
      <c r="D137" s="2433"/>
      <c r="E137" s="2433"/>
      <c r="F137" s="2433"/>
      <c r="G137" s="2433"/>
      <c r="H137" s="2433"/>
      <c r="I137" s="2188">
        <v>0</v>
      </c>
      <c r="J137" s="2188"/>
      <c r="K137" s="2188"/>
      <c r="L137" s="2188"/>
      <c r="M137" s="2188"/>
      <c r="N137" s="2188"/>
      <c r="O137" s="2188"/>
      <c r="P137" s="2188">
        <v>0</v>
      </c>
      <c r="Q137" s="2188"/>
      <c r="R137" s="2188"/>
      <c r="S137" s="2188"/>
      <c r="T137" s="2188"/>
      <c r="U137" s="2189"/>
      <c r="V137" s="1206"/>
      <c r="W137" s="1206"/>
      <c r="X137" s="2419"/>
      <c r="Y137" s="2420"/>
      <c r="Z137" s="2420"/>
      <c r="AA137" s="2420"/>
      <c r="AB137" s="2420"/>
      <c r="AC137" s="2420"/>
      <c r="AD137" s="2420"/>
      <c r="AE137" s="2420"/>
      <c r="AF137" s="2420"/>
      <c r="AG137" s="2420"/>
      <c r="AH137" s="2420"/>
      <c r="AI137" s="2420"/>
      <c r="AJ137" s="2420"/>
      <c r="AK137" s="2420"/>
      <c r="AL137" s="2420"/>
      <c r="AM137" s="2420"/>
      <c r="AN137" s="2420"/>
      <c r="AO137" s="2420"/>
      <c r="AP137" s="2420"/>
      <c r="AQ137" s="2420"/>
      <c r="AR137" s="2420"/>
      <c r="AS137" s="2420"/>
      <c r="AT137" s="2420"/>
      <c r="AU137" s="2420"/>
      <c r="AV137" s="2420"/>
      <c r="AW137" s="2420"/>
      <c r="AX137" s="2420"/>
      <c r="AY137" s="2420"/>
      <c r="AZ137" s="2420"/>
      <c r="BA137" s="2420"/>
      <c r="BB137" s="2420"/>
      <c r="BC137" s="2420"/>
      <c r="BD137" s="2421"/>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410" t="s">
        <v>1830</v>
      </c>
      <c r="C139" s="2411"/>
      <c r="D139" s="2411"/>
      <c r="E139" s="2411"/>
      <c r="F139" s="2411"/>
      <c r="G139" s="2411"/>
      <c r="H139" s="2411"/>
      <c r="I139" s="2411"/>
      <c r="J139" s="2411"/>
      <c r="K139" s="2411"/>
      <c r="L139" s="2411"/>
      <c r="M139" s="2411"/>
      <c r="N139" s="2411"/>
      <c r="O139" s="2411"/>
      <c r="P139" s="2411"/>
      <c r="Q139" s="2411"/>
      <c r="R139" s="2411"/>
      <c r="S139" s="2411"/>
      <c r="T139" s="2411"/>
      <c r="U139" s="2411"/>
      <c r="V139" s="2411"/>
      <c r="W139" s="2411"/>
      <c r="X139" s="2411"/>
      <c r="Y139" s="2411"/>
      <c r="Z139" s="2411"/>
      <c r="AA139" s="2411"/>
      <c r="AB139" s="2411"/>
      <c r="AC139" s="2411"/>
      <c r="AD139" s="2411"/>
      <c r="AE139" s="2411"/>
      <c r="AF139" s="2411"/>
      <c r="AG139" s="2411"/>
      <c r="AH139" s="2249" t="s">
        <v>552</v>
      </c>
      <c r="AI139" s="2249"/>
      <c r="AJ139" s="2249"/>
      <c r="AK139" s="2249"/>
      <c r="AL139" s="2249"/>
      <c r="AM139" s="2249"/>
      <c r="AN139" s="2249"/>
      <c r="AO139" s="2249"/>
      <c r="AP139" s="2249"/>
      <c r="AQ139" s="2249"/>
      <c r="AR139" s="2249"/>
      <c r="AS139" s="2249"/>
      <c r="AT139" s="2249"/>
      <c r="AU139" s="2249"/>
      <c r="AV139" s="2249"/>
      <c r="AW139" s="2249"/>
      <c r="AX139" s="2250"/>
      <c r="AY139" s="1206"/>
      <c r="AZ139" s="1206"/>
      <c r="BA139" s="1206"/>
      <c r="BB139" s="1206"/>
      <c r="BC139" s="1206"/>
      <c r="BD139" s="1206"/>
      <c r="BE139" s="1202"/>
    </row>
    <row r="140" spans="1:57" ht="15.75" customHeight="1">
      <c r="A140" s="1206"/>
      <c r="B140" s="2435" t="s">
        <v>1831</v>
      </c>
      <c r="C140" s="2436"/>
      <c r="D140" s="2436"/>
      <c r="E140" s="2436"/>
      <c r="F140" s="2436"/>
      <c r="G140" s="2436"/>
      <c r="H140" s="2436"/>
      <c r="I140" s="2436"/>
      <c r="J140" s="2436"/>
      <c r="K140" s="2436"/>
      <c r="L140" s="2436"/>
      <c r="M140" s="2436"/>
      <c r="N140" s="2436"/>
      <c r="O140" s="2436"/>
      <c r="P140" s="2436"/>
      <c r="Q140" s="2436"/>
      <c r="R140" s="2437" t="s">
        <v>2185</v>
      </c>
      <c r="S140" s="2437"/>
      <c r="T140" s="2437"/>
      <c r="U140" s="2437"/>
      <c r="V140" s="2437"/>
      <c r="W140" s="2437"/>
      <c r="X140" s="2437"/>
      <c r="Y140" s="2437"/>
      <c r="Z140" s="2437"/>
      <c r="AA140" s="2437"/>
      <c r="AB140" s="2437"/>
      <c r="AC140" s="2437"/>
      <c r="AD140" s="2437"/>
      <c r="AE140" s="2437"/>
      <c r="AF140" s="2437"/>
      <c r="AG140" s="2437"/>
      <c r="AH140" s="2437"/>
      <c r="AI140" s="2437"/>
      <c r="AJ140" s="2437"/>
      <c r="AK140" s="2437"/>
      <c r="AL140" s="2437"/>
      <c r="AM140" s="2437"/>
      <c r="AN140" s="2437"/>
      <c r="AO140" s="2437"/>
      <c r="AP140" s="2437"/>
      <c r="AQ140" s="2437"/>
      <c r="AR140" s="2437"/>
      <c r="AS140" s="2437"/>
      <c r="AT140" s="2437"/>
      <c r="AU140" s="2437"/>
      <c r="AV140" s="2437"/>
      <c r="AW140" s="2437"/>
      <c r="AX140" s="2438"/>
      <c r="AY140" s="1206"/>
      <c r="AZ140" s="1206"/>
      <c r="BA140" s="1206"/>
      <c r="BB140" s="1206"/>
      <c r="BC140" s="1206" t="s">
        <v>250</v>
      </c>
      <c r="BD140" s="1206"/>
      <c r="BE140" s="1202"/>
    </row>
    <row r="141" spans="1:57" ht="15.75" customHeight="1">
      <c r="A141" s="1206"/>
      <c r="B141" s="2439" t="s">
        <v>2186</v>
      </c>
      <c r="C141" s="2440"/>
      <c r="D141" s="2440"/>
      <c r="E141" s="2440"/>
      <c r="F141" s="2440"/>
      <c r="G141" s="2440"/>
      <c r="H141" s="2440"/>
      <c r="I141" s="2440"/>
      <c r="J141" s="2440"/>
      <c r="K141" s="2440"/>
      <c r="L141" s="2440"/>
      <c r="M141" s="2440"/>
      <c r="N141" s="2440"/>
      <c r="O141" s="2440"/>
      <c r="P141" s="2440"/>
      <c r="Q141" s="2440"/>
      <c r="R141" s="2440"/>
      <c r="S141" s="2440"/>
      <c r="T141" s="2440"/>
      <c r="U141" s="2440"/>
      <c r="V141" s="2440"/>
      <c r="W141" s="2440"/>
      <c r="X141" s="2440"/>
      <c r="Y141" s="2440"/>
      <c r="Z141" s="2440"/>
      <c r="AA141" s="2440"/>
      <c r="AB141" s="2440"/>
      <c r="AC141" s="2440"/>
      <c r="AD141" s="2440"/>
      <c r="AE141" s="2440"/>
      <c r="AF141" s="2440"/>
      <c r="AG141" s="2440"/>
      <c r="AH141" s="2440"/>
      <c r="AI141" s="2440"/>
      <c r="AJ141" s="2440"/>
      <c r="AK141" s="2440"/>
      <c r="AL141" s="2440"/>
      <c r="AM141" s="2440"/>
      <c r="AN141" s="2440"/>
      <c r="AO141" s="2440"/>
      <c r="AP141" s="2440"/>
      <c r="AQ141" s="2440"/>
      <c r="AR141" s="2440"/>
      <c r="AS141" s="2440"/>
      <c r="AT141" s="2440"/>
      <c r="AU141" s="2440"/>
      <c r="AV141" s="2440"/>
      <c r="AW141" s="2440"/>
      <c r="AX141" s="2441"/>
      <c r="AY141" s="1206"/>
      <c r="AZ141" s="1206"/>
      <c r="BA141" s="1206"/>
      <c r="BB141" s="1206"/>
      <c r="BC141" s="1206"/>
      <c r="BD141" s="1206"/>
      <c r="BE141" s="1202"/>
    </row>
    <row r="142" spans="1:57" ht="15.75" customHeight="1">
      <c r="A142" s="1206"/>
      <c r="B142" s="2439"/>
      <c r="C142" s="2440"/>
      <c r="D142" s="2440"/>
      <c r="E142" s="2440"/>
      <c r="F142" s="2440"/>
      <c r="G142" s="2440"/>
      <c r="H142" s="2440"/>
      <c r="I142" s="2440"/>
      <c r="J142" s="2440"/>
      <c r="K142" s="2440"/>
      <c r="L142" s="2440"/>
      <c r="M142" s="2440"/>
      <c r="N142" s="2440"/>
      <c r="O142" s="2440"/>
      <c r="P142" s="2440"/>
      <c r="Q142" s="2440"/>
      <c r="R142" s="2440"/>
      <c r="S142" s="2440"/>
      <c r="T142" s="2440"/>
      <c r="U142" s="2440"/>
      <c r="V142" s="2440"/>
      <c r="W142" s="2440"/>
      <c r="X142" s="2440"/>
      <c r="Y142" s="2440"/>
      <c r="Z142" s="2440"/>
      <c r="AA142" s="2440"/>
      <c r="AB142" s="2440"/>
      <c r="AC142" s="2440"/>
      <c r="AD142" s="2440"/>
      <c r="AE142" s="2440"/>
      <c r="AF142" s="2440"/>
      <c r="AG142" s="2440"/>
      <c r="AH142" s="2440"/>
      <c r="AI142" s="2440"/>
      <c r="AJ142" s="2440"/>
      <c r="AK142" s="2440"/>
      <c r="AL142" s="2440"/>
      <c r="AM142" s="2440"/>
      <c r="AN142" s="2440"/>
      <c r="AO142" s="2440"/>
      <c r="AP142" s="2440"/>
      <c r="AQ142" s="2440"/>
      <c r="AR142" s="2440"/>
      <c r="AS142" s="2440"/>
      <c r="AT142" s="2440"/>
      <c r="AU142" s="2440"/>
      <c r="AV142" s="2440"/>
      <c r="AW142" s="2440"/>
      <c r="AX142" s="2441"/>
      <c r="AY142" s="1206"/>
      <c r="AZ142" s="1206"/>
      <c r="BA142" s="1206"/>
      <c r="BB142" s="1206"/>
      <c r="BC142" s="1206"/>
      <c r="BD142" s="1206"/>
      <c r="BE142" s="1202"/>
    </row>
    <row r="143" spans="1:57" ht="15.75" customHeight="1">
      <c r="A143" s="1206"/>
      <c r="B143" s="2439"/>
      <c r="C143" s="2440"/>
      <c r="D143" s="2440"/>
      <c r="E143" s="2440"/>
      <c r="F143" s="2440"/>
      <c r="G143" s="2440"/>
      <c r="H143" s="2440"/>
      <c r="I143" s="2440"/>
      <c r="J143" s="2440"/>
      <c r="K143" s="2440"/>
      <c r="L143" s="2440"/>
      <c r="M143" s="2440"/>
      <c r="N143" s="2440"/>
      <c r="O143" s="2440"/>
      <c r="P143" s="2440"/>
      <c r="Q143" s="2440"/>
      <c r="R143" s="2440"/>
      <c r="S143" s="2440"/>
      <c r="T143" s="2440"/>
      <c r="U143" s="2440"/>
      <c r="V143" s="2440"/>
      <c r="W143" s="2440"/>
      <c r="X143" s="2440"/>
      <c r="Y143" s="2440"/>
      <c r="Z143" s="2440"/>
      <c r="AA143" s="2440"/>
      <c r="AB143" s="2440"/>
      <c r="AC143" s="2440"/>
      <c r="AD143" s="2440"/>
      <c r="AE143" s="2440"/>
      <c r="AF143" s="2440"/>
      <c r="AG143" s="2440"/>
      <c r="AH143" s="2440"/>
      <c r="AI143" s="2440"/>
      <c r="AJ143" s="2440"/>
      <c r="AK143" s="2440"/>
      <c r="AL143" s="2440"/>
      <c r="AM143" s="2440"/>
      <c r="AN143" s="2440"/>
      <c r="AO143" s="2440"/>
      <c r="AP143" s="2440"/>
      <c r="AQ143" s="2440"/>
      <c r="AR143" s="2440"/>
      <c r="AS143" s="2440"/>
      <c r="AT143" s="2440"/>
      <c r="AU143" s="2440"/>
      <c r="AV143" s="2440"/>
      <c r="AW143" s="2440"/>
      <c r="AX143" s="2441"/>
      <c r="AY143" s="1206"/>
      <c r="AZ143" s="1206"/>
      <c r="BA143" s="1206"/>
      <c r="BB143" s="1206"/>
      <c r="BC143" s="1206"/>
      <c r="BD143" s="1206"/>
      <c r="BE143" s="1202"/>
    </row>
    <row r="144" spans="1:57" ht="15.75" customHeight="1">
      <c r="A144" s="1206"/>
      <c r="B144" s="2439"/>
      <c r="C144" s="2440"/>
      <c r="D144" s="2440"/>
      <c r="E144" s="2440"/>
      <c r="F144" s="2440"/>
      <c r="G144" s="2440"/>
      <c r="H144" s="2440"/>
      <c r="I144" s="2440"/>
      <c r="J144" s="2440"/>
      <c r="K144" s="2440"/>
      <c r="L144" s="2440"/>
      <c r="M144" s="2440"/>
      <c r="N144" s="2440"/>
      <c r="O144" s="2440"/>
      <c r="P144" s="2440"/>
      <c r="Q144" s="2440"/>
      <c r="R144" s="2440"/>
      <c r="S144" s="2440"/>
      <c r="T144" s="2440"/>
      <c r="U144" s="2440"/>
      <c r="V144" s="2440"/>
      <c r="W144" s="2440"/>
      <c r="X144" s="2440"/>
      <c r="Y144" s="2440"/>
      <c r="Z144" s="2440"/>
      <c r="AA144" s="2440"/>
      <c r="AB144" s="2440"/>
      <c r="AC144" s="2440"/>
      <c r="AD144" s="2440"/>
      <c r="AE144" s="2440"/>
      <c r="AF144" s="2440"/>
      <c r="AG144" s="2440"/>
      <c r="AH144" s="2440"/>
      <c r="AI144" s="2440"/>
      <c r="AJ144" s="2440"/>
      <c r="AK144" s="2440"/>
      <c r="AL144" s="2440"/>
      <c r="AM144" s="2440"/>
      <c r="AN144" s="2440"/>
      <c r="AO144" s="2440"/>
      <c r="AP144" s="2440"/>
      <c r="AQ144" s="2440"/>
      <c r="AR144" s="2440"/>
      <c r="AS144" s="2440"/>
      <c r="AT144" s="2440"/>
      <c r="AU144" s="2440"/>
      <c r="AV144" s="2440"/>
      <c r="AW144" s="2440"/>
      <c r="AX144" s="2441"/>
      <c r="AY144" s="1206"/>
      <c r="AZ144" s="1206"/>
      <c r="BA144" s="1206"/>
      <c r="BB144" s="1206"/>
      <c r="BC144" s="1206"/>
      <c r="BD144" s="1206"/>
      <c r="BE144" s="1202"/>
    </row>
    <row r="145" spans="1:57" ht="15.75" customHeight="1">
      <c r="A145" s="1206"/>
      <c r="B145" s="2439"/>
      <c r="C145" s="2440"/>
      <c r="D145" s="2440"/>
      <c r="E145" s="2440"/>
      <c r="F145" s="2440"/>
      <c r="G145" s="2440"/>
      <c r="H145" s="2440"/>
      <c r="I145" s="2440"/>
      <c r="J145" s="2440"/>
      <c r="K145" s="2440"/>
      <c r="L145" s="2440"/>
      <c r="M145" s="2440"/>
      <c r="N145" s="2440"/>
      <c r="O145" s="2440"/>
      <c r="P145" s="2440"/>
      <c r="Q145" s="2440"/>
      <c r="R145" s="2440"/>
      <c r="S145" s="2440"/>
      <c r="T145" s="2440"/>
      <c r="U145" s="2440"/>
      <c r="V145" s="2440"/>
      <c r="W145" s="2440"/>
      <c r="X145" s="2440"/>
      <c r="Y145" s="2440"/>
      <c r="Z145" s="2440"/>
      <c r="AA145" s="2440"/>
      <c r="AB145" s="2440"/>
      <c r="AC145" s="2440"/>
      <c r="AD145" s="2440"/>
      <c r="AE145" s="2440"/>
      <c r="AF145" s="2440"/>
      <c r="AG145" s="2440"/>
      <c r="AH145" s="2440"/>
      <c r="AI145" s="2440"/>
      <c r="AJ145" s="2440"/>
      <c r="AK145" s="2440"/>
      <c r="AL145" s="2440"/>
      <c r="AM145" s="2440"/>
      <c r="AN145" s="2440"/>
      <c r="AO145" s="2440"/>
      <c r="AP145" s="2440"/>
      <c r="AQ145" s="2440"/>
      <c r="AR145" s="2440"/>
      <c r="AS145" s="2440"/>
      <c r="AT145" s="2440"/>
      <c r="AU145" s="2440"/>
      <c r="AV145" s="2440"/>
      <c r="AW145" s="2440"/>
      <c r="AX145" s="2441"/>
      <c r="AY145" s="1206"/>
      <c r="AZ145" s="1206"/>
      <c r="BA145" s="1206"/>
      <c r="BB145" s="1206"/>
      <c r="BC145" s="1206"/>
      <c r="BD145" s="1206"/>
      <c r="BE145" s="1202"/>
    </row>
    <row r="146" spans="1:57" ht="15.75" customHeight="1">
      <c r="A146" s="1206"/>
      <c r="B146" s="2439"/>
      <c r="C146" s="2440"/>
      <c r="D146" s="2440"/>
      <c r="E146" s="2440"/>
      <c r="F146" s="2440"/>
      <c r="G146" s="2440"/>
      <c r="H146" s="2440"/>
      <c r="I146" s="2440"/>
      <c r="J146" s="2440"/>
      <c r="K146" s="2440"/>
      <c r="L146" s="2440"/>
      <c r="M146" s="2440"/>
      <c r="N146" s="2440"/>
      <c r="O146" s="2440"/>
      <c r="P146" s="2440"/>
      <c r="Q146" s="2440"/>
      <c r="R146" s="2440"/>
      <c r="S146" s="2440"/>
      <c r="T146" s="2440"/>
      <c r="U146" s="2440"/>
      <c r="V146" s="2440"/>
      <c r="W146" s="2440"/>
      <c r="X146" s="2440"/>
      <c r="Y146" s="2440"/>
      <c r="Z146" s="2440"/>
      <c r="AA146" s="2440"/>
      <c r="AB146" s="2440"/>
      <c r="AC146" s="2440"/>
      <c r="AD146" s="2440"/>
      <c r="AE146" s="2440"/>
      <c r="AF146" s="2440"/>
      <c r="AG146" s="2440"/>
      <c r="AH146" s="2440"/>
      <c r="AI146" s="2440"/>
      <c r="AJ146" s="2440"/>
      <c r="AK146" s="2440"/>
      <c r="AL146" s="2440"/>
      <c r="AM146" s="2440"/>
      <c r="AN146" s="2440"/>
      <c r="AO146" s="2440"/>
      <c r="AP146" s="2440"/>
      <c r="AQ146" s="2440"/>
      <c r="AR146" s="2440"/>
      <c r="AS146" s="2440"/>
      <c r="AT146" s="2440"/>
      <c r="AU146" s="2440"/>
      <c r="AV146" s="2440"/>
      <c r="AW146" s="2440"/>
      <c r="AX146" s="2441"/>
      <c r="AY146" s="1206"/>
      <c r="AZ146" s="1206"/>
      <c r="BA146" s="1206"/>
      <c r="BB146" s="1206"/>
      <c r="BC146" s="1206"/>
      <c r="BD146" s="1206"/>
      <c r="BE146" s="1202"/>
    </row>
    <row r="147" spans="1:57" ht="15.75" customHeight="1">
      <c r="A147" s="1206"/>
      <c r="B147" s="2439"/>
      <c r="C147" s="2440"/>
      <c r="D147" s="2440"/>
      <c r="E147" s="2440"/>
      <c r="F147" s="2440"/>
      <c r="G147" s="2440"/>
      <c r="H147" s="2440"/>
      <c r="I147" s="2440"/>
      <c r="J147" s="2440"/>
      <c r="K147" s="2440"/>
      <c r="L147" s="2440"/>
      <c r="M147" s="2440"/>
      <c r="N147" s="2440"/>
      <c r="O147" s="2440"/>
      <c r="P147" s="2440"/>
      <c r="Q147" s="2440"/>
      <c r="R147" s="2440"/>
      <c r="S147" s="2440"/>
      <c r="T147" s="2440"/>
      <c r="U147" s="2440"/>
      <c r="V147" s="2440"/>
      <c r="W147" s="2440"/>
      <c r="X147" s="2440"/>
      <c r="Y147" s="2440"/>
      <c r="Z147" s="2440"/>
      <c r="AA147" s="2440"/>
      <c r="AB147" s="2440"/>
      <c r="AC147" s="2440"/>
      <c r="AD147" s="2440"/>
      <c r="AE147" s="2440"/>
      <c r="AF147" s="2440"/>
      <c r="AG147" s="2440"/>
      <c r="AH147" s="2440"/>
      <c r="AI147" s="2440"/>
      <c r="AJ147" s="2440"/>
      <c r="AK147" s="2440"/>
      <c r="AL147" s="2440"/>
      <c r="AM147" s="2440"/>
      <c r="AN147" s="2440"/>
      <c r="AO147" s="2440"/>
      <c r="AP147" s="2440"/>
      <c r="AQ147" s="2440"/>
      <c r="AR147" s="2440"/>
      <c r="AS147" s="2440"/>
      <c r="AT147" s="2440"/>
      <c r="AU147" s="2440"/>
      <c r="AV147" s="2440"/>
      <c r="AW147" s="2440"/>
      <c r="AX147" s="2441"/>
      <c r="AY147" s="1206"/>
      <c r="AZ147" s="1206"/>
      <c r="BA147" s="1206"/>
      <c r="BB147" s="1206"/>
      <c r="BC147" s="1206"/>
      <c r="BD147" s="1206"/>
      <c r="BE147" s="1202"/>
    </row>
    <row r="148" spans="1:57" ht="15.75" customHeight="1">
      <c r="A148" s="1206"/>
      <c r="B148" s="2439"/>
      <c r="C148" s="2440"/>
      <c r="D148" s="2440"/>
      <c r="E148" s="2440"/>
      <c r="F148" s="2440"/>
      <c r="G148" s="2440"/>
      <c r="H148" s="2440"/>
      <c r="I148" s="2440"/>
      <c r="J148" s="2440"/>
      <c r="K148" s="2440"/>
      <c r="L148" s="2440"/>
      <c r="M148" s="2440"/>
      <c r="N148" s="2440"/>
      <c r="O148" s="2440"/>
      <c r="P148" s="2440"/>
      <c r="Q148" s="2440"/>
      <c r="R148" s="2440"/>
      <c r="S148" s="2440"/>
      <c r="T148" s="2440"/>
      <c r="U148" s="2440"/>
      <c r="V148" s="2440"/>
      <c r="W148" s="2440"/>
      <c r="X148" s="2440"/>
      <c r="Y148" s="2440"/>
      <c r="Z148" s="2440"/>
      <c r="AA148" s="2440"/>
      <c r="AB148" s="2440"/>
      <c r="AC148" s="2440"/>
      <c r="AD148" s="2440"/>
      <c r="AE148" s="2440"/>
      <c r="AF148" s="2440"/>
      <c r="AG148" s="2440"/>
      <c r="AH148" s="2440"/>
      <c r="AI148" s="2440"/>
      <c r="AJ148" s="2440"/>
      <c r="AK148" s="2440"/>
      <c r="AL148" s="2440"/>
      <c r="AM148" s="2440"/>
      <c r="AN148" s="2440"/>
      <c r="AO148" s="2440"/>
      <c r="AP148" s="2440"/>
      <c r="AQ148" s="2440"/>
      <c r="AR148" s="2440"/>
      <c r="AS148" s="2440"/>
      <c r="AT148" s="2440"/>
      <c r="AU148" s="2440"/>
      <c r="AV148" s="2440"/>
      <c r="AW148" s="2440"/>
      <c r="AX148" s="2441"/>
      <c r="AY148" s="1206"/>
      <c r="AZ148" s="1206"/>
      <c r="BA148" s="1206"/>
      <c r="BB148" s="1206"/>
      <c r="BC148" s="1206"/>
      <c r="BD148" s="1206"/>
      <c r="BE148" s="1202"/>
    </row>
    <row r="149" spans="1:57" ht="15.75" customHeight="1">
      <c r="A149" s="1206"/>
      <c r="B149" s="2439"/>
      <c r="C149" s="2440"/>
      <c r="D149" s="2440"/>
      <c r="E149" s="2440"/>
      <c r="F149" s="2440"/>
      <c r="G149" s="2440"/>
      <c r="H149" s="2440"/>
      <c r="I149" s="2440"/>
      <c r="J149" s="2440"/>
      <c r="K149" s="2440"/>
      <c r="L149" s="2440"/>
      <c r="M149" s="2440"/>
      <c r="N149" s="2440"/>
      <c r="O149" s="2440"/>
      <c r="P149" s="2440"/>
      <c r="Q149" s="2440"/>
      <c r="R149" s="2440"/>
      <c r="S149" s="2440"/>
      <c r="T149" s="2440"/>
      <c r="U149" s="2440"/>
      <c r="V149" s="2440"/>
      <c r="W149" s="2440"/>
      <c r="X149" s="2440"/>
      <c r="Y149" s="2440"/>
      <c r="Z149" s="2440"/>
      <c r="AA149" s="2440"/>
      <c r="AB149" s="2440"/>
      <c r="AC149" s="2440"/>
      <c r="AD149" s="2440"/>
      <c r="AE149" s="2440"/>
      <c r="AF149" s="2440"/>
      <c r="AG149" s="2440"/>
      <c r="AH149" s="2440"/>
      <c r="AI149" s="2440"/>
      <c r="AJ149" s="2440"/>
      <c r="AK149" s="2440"/>
      <c r="AL149" s="2440"/>
      <c r="AM149" s="2440"/>
      <c r="AN149" s="2440"/>
      <c r="AO149" s="2440"/>
      <c r="AP149" s="2440"/>
      <c r="AQ149" s="2440"/>
      <c r="AR149" s="2440"/>
      <c r="AS149" s="2440"/>
      <c r="AT149" s="2440"/>
      <c r="AU149" s="2440"/>
      <c r="AV149" s="2440"/>
      <c r="AW149" s="2440"/>
      <c r="AX149" s="2441"/>
      <c r="AY149" s="1206"/>
      <c r="AZ149" s="1206"/>
      <c r="BA149" s="1206"/>
      <c r="BB149" s="1206"/>
      <c r="BC149" s="1206"/>
      <c r="BD149" s="1206"/>
      <c r="BE149" s="1202"/>
    </row>
    <row r="150" spans="1:57" ht="15.75" customHeight="1" thickBot="1">
      <c r="A150" s="1206"/>
      <c r="B150" s="2442"/>
      <c r="C150" s="2443"/>
      <c r="D150" s="2443"/>
      <c r="E150" s="2443"/>
      <c r="F150" s="2443"/>
      <c r="G150" s="2443"/>
      <c r="H150" s="2443"/>
      <c r="I150" s="2443"/>
      <c r="J150" s="2443"/>
      <c r="K150" s="2443"/>
      <c r="L150" s="2443"/>
      <c r="M150" s="2443"/>
      <c r="N150" s="2443"/>
      <c r="O150" s="2443"/>
      <c r="P150" s="2443"/>
      <c r="Q150" s="2443"/>
      <c r="R150" s="2443"/>
      <c r="S150" s="2443"/>
      <c r="T150" s="2443"/>
      <c r="U150" s="2443"/>
      <c r="V150" s="2443"/>
      <c r="W150" s="2443"/>
      <c r="X150" s="2443"/>
      <c r="Y150" s="2443"/>
      <c r="Z150" s="2443"/>
      <c r="AA150" s="2443"/>
      <c r="AB150" s="2443"/>
      <c r="AC150" s="2443"/>
      <c r="AD150" s="2443"/>
      <c r="AE150" s="2443"/>
      <c r="AF150" s="2443"/>
      <c r="AG150" s="2443"/>
      <c r="AH150" s="2443"/>
      <c r="AI150" s="2443"/>
      <c r="AJ150" s="2443"/>
      <c r="AK150" s="2443"/>
      <c r="AL150" s="2443"/>
      <c r="AM150" s="2443"/>
      <c r="AN150" s="2443"/>
      <c r="AO150" s="2443"/>
      <c r="AP150" s="2443"/>
      <c r="AQ150" s="2443"/>
      <c r="AR150" s="2443"/>
      <c r="AS150" s="2443"/>
      <c r="AT150" s="2443"/>
      <c r="AU150" s="2443"/>
      <c r="AV150" s="2443"/>
      <c r="AW150" s="2443"/>
      <c r="AX150" s="2444"/>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1832</v>
      </c>
      <c r="C152" s="1227"/>
      <c r="D152" s="1227"/>
      <c r="E152" s="1227"/>
      <c r="F152" s="1227"/>
      <c r="G152" s="1227"/>
      <c r="H152" s="1227"/>
      <c r="I152" s="1227"/>
      <c r="J152" s="1227"/>
      <c r="K152" s="1227"/>
      <c r="L152" s="1227"/>
      <c r="M152" s="1229"/>
      <c r="N152" s="1217"/>
      <c r="O152" s="1217"/>
      <c r="P152" s="1206"/>
      <c r="Q152" s="1206"/>
      <c r="R152" s="1206"/>
      <c r="S152" s="1206"/>
      <c r="T152" s="1206"/>
      <c r="U152" s="1206" t="s">
        <v>250</v>
      </c>
      <c r="V152" s="1206"/>
      <c r="W152" s="1206"/>
      <c r="X152" s="1228" t="s">
        <v>2187</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34" t="s">
        <v>1833</v>
      </c>
      <c r="C154" s="2230"/>
      <c r="D154" s="2230"/>
      <c r="E154" s="2230"/>
      <c r="F154" s="2230"/>
      <c r="G154" s="2230"/>
      <c r="H154" s="2230"/>
      <c r="I154" s="2230"/>
      <c r="J154" s="2230"/>
      <c r="K154" s="2230"/>
      <c r="L154" s="2230"/>
      <c r="M154" s="2230"/>
      <c r="N154" s="2230"/>
      <c r="O154" s="2230"/>
      <c r="P154" s="2230"/>
      <c r="Q154" s="2230"/>
      <c r="R154" s="2230"/>
      <c r="S154" s="2230"/>
      <c r="T154" s="2230"/>
      <c r="U154" s="2231"/>
      <c r="V154" s="1206"/>
      <c r="W154" s="1214"/>
      <c r="X154" s="2434" t="s">
        <v>2188</v>
      </c>
      <c r="Y154" s="2230"/>
      <c r="Z154" s="2230"/>
      <c r="AA154" s="2230"/>
      <c r="AB154" s="2230"/>
      <c r="AC154" s="2230"/>
      <c r="AD154" s="2230"/>
      <c r="AE154" s="2230"/>
      <c r="AF154" s="2230"/>
      <c r="AG154" s="2230"/>
      <c r="AH154" s="2230"/>
      <c r="AI154" s="2230"/>
      <c r="AJ154" s="2230"/>
      <c r="AK154" s="2230"/>
      <c r="AL154" s="2230"/>
      <c r="AM154" s="2230"/>
      <c r="AN154" s="2230"/>
      <c r="AO154" s="2230"/>
      <c r="AP154" s="2230"/>
      <c r="AQ154" s="2231"/>
      <c r="AR154" s="1206"/>
      <c r="AS154" s="1206"/>
      <c r="AT154" s="1206"/>
      <c r="AU154" s="1206"/>
      <c r="AV154" s="1206"/>
      <c r="AW154" s="1206"/>
      <c r="AX154" s="1206"/>
      <c r="AY154" s="1206"/>
      <c r="AZ154" s="1206"/>
      <c r="BA154" s="1206"/>
      <c r="BB154" s="1206"/>
      <c r="BC154" s="1206"/>
      <c r="BD154" s="1206"/>
      <c r="BE154" s="1202"/>
    </row>
    <row r="155" spans="1:57" ht="15.75" customHeight="1">
      <c r="A155" s="1206"/>
      <c r="B155" s="2413"/>
      <c r="C155" s="2414"/>
      <c r="D155" s="2414"/>
      <c r="E155" s="2414"/>
      <c r="F155" s="2414"/>
      <c r="G155" s="2414"/>
      <c r="H155" s="2414"/>
      <c r="I155" s="2428" t="s">
        <v>1824</v>
      </c>
      <c r="J155" s="2428"/>
      <c r="K155" s="2428"/>
      <c r="L155" s="2428"/>
      <c r="M155" s="2428"/>
      <c r="N155" s="2428"/>
      <c r="O155" s="2428"/>
      <c r="P155" s="2428" t="s">
        <v>2189</v>
      </c>
      <c r="Q155" s="2428"/>
      <c r="R155" s="2428"/>
      <c r="S155" s="2428"/>
      <c r="T155" s="2428"/>
      <c r="U155" s="2429"/>
      <c r="V155" s="1206"/>
      <c r="W155" s="1206"/>
      <c r="X155" s="2413"/>
      <c r="Y155" s="2414"/>
      <c r="Z155" s="2414"/>
      <c r="AA155" s="2414"/>
      <c r="AB155" s="2414"/>
      <c r="AC155" s="2414"/>
      <c r="AD155" s="2414"/>
      <c r="AE155" s="2428" t="s">
        <v>1824</v>
      </c>
      <c r="AF155" s="2428"/>
      <c r="AG155" s="2428"/>
      <c r="AH155" s="2428"/>
      <c r="AI155" s="2428"/>
      <c r="AJ155" s="2428"/>
      <c r="AK155" s="2428"/>
      <c r="AL155" s="2428" t="s">
        <v>2183</v>
      </c>
      <c r="AM155" s="2428"/>
      <c r="AN155" s="2428"/>
      <c r="AO155" s="2428"/>
      <c r="AP155" s="2428"/>
      <c r="AQ155" s="2429"/>
      <c r="AR155" s="1206"/>
      <c r="AS155" s="1206"/>
      <c r="AT155" s="1206"/>
      <c r="AU155" s="1206"/>
      <c r="AV155" s="1206"/>
      <c r="AW155" s="1206"/>
      <c r="AX155" s="1206"/>
      <c r="AY155" s="1206"/>
      <c r="AZ155" s="1206"/>
      <c r="BA155" s="1206"/>
      <c r="BB155" s="1206"/>
      <c r="BC155" s="1206"/>
      <c r="BD155" s="1206"/>
      <c r="BE155" s="1202"/>
    </row>
    <row r="156" spans="1:57" ht="15.75" customHeight="1">
      <c r="A156" s="1206"/>
      <c r="B156" s="2413"/>
      <c r="C156" s="2414"/>
      <c r="D156" s="2414"/>
      <c r="E156" s="2414"/>
      <c r="F156" s="2414"/>
      <c r="G156" s="2414"/>
      <c r="H156" s="2414"/>
      <c r="I156" s="2428"/>
      <c r="J156" s="2428"/>
      <c r="K156" s="2428"/>
      <c r="L156" s="2428"/>
      <c r="M156" s="2428"/>
      <c r="N156" s="2428"/>
      <c r="O156" s="2428"/>
      <c r="P156" s="2428"/>
      <c r="Q156" s="2428"/>
      <c r="R156" s="2428"/>
      <c r="S156" s="2428"/>
      <c r="T156" s="2428"/>
      <c r="U156" s="2429"/>
      <c r="V156" s="1206"/>
      <c r="W156" s="1206"/>
      <c r="X156" s="2413"/>
      <c r="Y156" s="2414"/>
      <c r="Z156" s="2414"/>
      <c r="AA156" s="2414"/>
      <c r="AB156" s="2414"/>
      <c r="AC156" s="2414"/>
      <c r="AD156" s="2414"/>
      <c r="AE156" s="2428"/>
      <c r="AF156" s="2428"/>
      <c r="AG156" s="2428"/>
      <c r="AH156" s="2428"/>
      <c r="AI156" s="2428"/>
      <c r="AJ156" s="2428"/>
      <c r="AK156" s="2428"/>
      <c r="AL156" s="2428"/>
      <c r="AM156" s="2428"/>
      <c r="AN156" s="2428"/>
      <c r="AO156" s="2428"/>
      <c r="AP156" s="2428"/>
      <c r="AQ156" s="2429"/>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30" t="s">
        <v>2171</v>
      </c>
      <c r="C157" s="2431"/>
      <c r="D157" s="2431"/>
      <c r="E157" s="2431"/>
      <c r="F157" s="2431"/>
      <c r="G157" s="2431"/>
      <c r="H157" s="2431"/>
      <c r="I157" s="2190">
        <v>0</v>
      </c>
      <c r="J157" s="2190"/>
      <c r="K157" s="2190"/>
      <c r="L157" s="2190"/>
      <c r="M157" s="2190"/>
      <c r="N157" s="2190"/>
      <c r="O157" s="2190"/>
      <c r="P157" s="2190">
        <v>0</v>
      </c>
      <c r="Q157" s="2190"/>
      <c r="R157" s="2190"/>
      <c r="S157" s="2190"/>
      <c r="T157" s="2190"/>
      <c r="U157" s="2191"/>
      <c r="V157" s="1206"/>
      <c r="W157" s="1206"/>
      <c r="X157" s="2432" t="s">
        <v>2171</v>
      </c>
      <c r="Y157" s="2433"/>
      <c r="Z157" s="2433"/>
      <c r="AA157" s="2433"/>
      <c r="AB157" s="2433"/>
      <c r="AC157" s="2433"/>
      <c r="AD157" s="2433"/>
      <c r="AE157" s="2188">
        <v>0</v>
      </c>
      <c r="AF157" s="2188"/>
      <c r="AG157" s="2188"/>
      <c r="AH157" s="2188"/>
      <c r="AI157" s="2188"/>
      <c r="AJ157" s="2188"/>
      <c r="AK157" s="2188"/>
      <c r="AL157" s="2188">
        <v>0</v>
      </c>
      <c r="AM157" s="2188"/>
      <c r="AN157" s="2188"/>
      <c r="AO157" s="2188"/>
      <c r="AP157" s="2188"/>
      <c r="AQ157" s="2189"/>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32" t="s">
        <v>2172</v>
      </c>
      <c r="C158" s="2433"/>
      <c r="D158" s="2433"/>
      <c r="E158" s="2433"/>
      <c r="F158" s="2433"/>
      <c r="G158" s="2433"/>
      <c r="H158" s="2433"/>
      <c r="I158" s="2188">
        <v>0</v>
      </c>
      <c r="J158" s="2188"/>
      <c r="K158" s="2188"/>
      <c r="L158" s="2188"/>
      <c r="M158" s="2188"/>
      <c r="N158" s="2188"/>
      <c r="O158" s="2188"/>
      <c r="P158" s="2188">
        <v>0</v>
      </c>
      <c r="Q158" s="2188"/>
      <c r="R158" s="2188"/>
      <c r="S158" s="2188"/>
      <c r="T158" s="2188"/>
      <c r="U158" s="2189"/>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34" t="s">
        <v>2173</v>
      </c>
      <c r="D160" s="2230"/>
      <c r="E160" s="2230"/>
      <c r="F160" s="2230"/>
      <c r="G160" s="2230"/>
      <c r="H160" s="2230"/>
      <c r="I160" s="2230"/>
      <c r="J160" s="2230"/>
      <c r="K160" s="2230"/>
      <c r="L160" s="2230"/>
      <c r="M160" s="2230"/>
      <c r="N160" s="2230"/>
      <c r="O160" s="2230"/>
      <c r="P160" s="2230"/>
      <c r="Q160" s="2230"/>
      <c r="R160" s="2230"/>
      <c r="S160" s="2230"/>
      <c r="T160" s="2230"/>
      <c r="U160" s="2230"/>
      <c r="V160" s="2230"/>
      <c r="W160" s="2230"/>
      <c r="X160" s="2230"/>
      <c r="Y160" s="2230"/>
      <c r="Z160" s="2230"/>
      <c r="AA160" s="2230"/>
      <c r="AB160" s="2230"/>
      <c r="AC160" s="2230"/>
      <c r="AD160" s="2230"/>
      <c r="AE160" s="2230"/>
      <c r="AF160" s="2230"/>
      <c r="AG160" s="2231"/>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13" t="s">
        <v>1834</v>
      </c>
      <c r="D161" s="2414"/>
      <c r="E161" s="2414"/>
      <c r="F161" s="2414"/>
      <c r="G161" s="2414"/>
      <c r="H161" s="2414"/>
      <c r="I161" s="2414"/>
      <c r="J161" s="2414"/>
      <c r="K161" s="2414"/>
      <c r="L161" s="2414"/>
      <c r="M161" s="2414"/>
      <c r="N161" s="2414"/>
      <c r="O161" s="2414"/>
      <c r="P161" s="2414"/>
      <c r="Q161" s="2414" t="s">
        <v>1835</v>
      </c>
      <c r="R161" s="2414"/>
      <c r="S161" s="2414"/>
      <c r="T161" s="2195" t="s">
        <v>2174</v>
      </c>
      <c r="U161" s="2195"/>
      <c r="V161" s="2195"/>
      <c r="W161" s="2195"/>
      <c r="X161" s="2195"/>
      <c r="Y161" s="2195"/>
      <c r="Z161" s="2195"/>
      <c r="AA161" s="2195"/>
      <c r="AB161" s="2414" t="s">
        <v>1836</v>
      </c>
      <c r="AC161" s="2414"/>
      <c r="AD161" s="2414"/>
      <c r="AE161" s="2414"/>
      <c r="AF161" s="2414"/>
      <c r="AG161" s="2415"/>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22" t="s">
        <v>1837</v>
      </c>
      <c r="D162" s="2423"/>
      <c r="E162" s="2423"/>
      <c r="F162" s="2423"/>
      <c r="G162" s="2423"/>
      <c r="H162" s="2423"/>
      <c r="I162" s="2423"/>
      <c r="J162" s="2423"/>
      <c r="K162" s="2423"/>
      <c r="L162" s="2423"/>
      <c r="M162" s="2423"/>
      <c r="N162" s="2423"/>
      <c r="O162" s="2423"/>
      <c r="P162" s="2423"/>
      <c r="Q162" s="2372">
        <v>55</v>
      </c>
      <c r="R162" s="2372"/>
      <c r="S162" s="2372"/>
      <c r="T162" s="2386"/>
      <c r="U162" s="2386"/>
      <c r="V162" s="2386"/>
      <c r="W162" s="2386"/>
      <c r="X162" s="2386"/>
      <c r="Y162" s="2386"/>
      <c r="Z162" s="2386"/>
      <c r="AA162" s="2386"/>
      <c r="AB162" s="1224"/>
      <c r="AC162" s="1224"/>
      <c r="AD162" s="1224"/>
      <c r="AE162" s="1224"/>
      <c r="AF162" s="1224"/>
      <c r="AG162" s="1223"/>
      <c r="AH162" s="1206"/>
      <c r="AI162" s="1206"/>
      <c r="AJ162" s="1206"/>
      <c r="AK162" s="1206"/>
      <c r="AL162" s="1206"/>
      <c r="AM162" s="1206"/>
      <c r="AN162" s="1206"/>
      <c r="AO162" s="1206"/>
      <c r="AP162" s="1206" t="s">
        <v>250</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22" t="s">
        <v>1838</v>
      </c>
      <c r="D163" s="2423"/>
      <c r="E163" s="2423"/>
      <c r="F163" s="2423"/>
      <c r="G163" s="2423"/>
      <c r="H163" s="2423"/>
      <c r="I163" s="2423"/>
      <c r="J163" s="2423"/>
      <c r="K163" s="2423"/>
      <c r="L163" s="2423"/>
      <c r="M163" s="2423"/>
      <c r="N163" s="2423"/>
      <c r="O163" s="2423"/>
      <c r="P163" s="2423"/>
      <c r="Q163" s="2372">
        <v>55</v>
      </c>
      <c r="R163" s="2372"/>
      <c r="S163" s="2372"/>
      <c r="T163" s="2425"/>
      <c r="U163" s="2425"/>
      <c r="V163" s="2425"/>
      <c r="W163" s="2425"/>
      <c r="X163" s="2425"/>
      <c r="Y163" s="2425"/>
      <c r="Z163" s="2425"/>
      <c r="AA163" s="2425"/>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22" t="s">
        <v>1839</v>
      </c>
      <c r="D164" s="2423"/>
      <c r="E164" s="2423"/>
      <c r="F164" s="2423"/>
      <c r="G164" s="2423"/>
      <c r="H164" s="2423"/>
      <c r="I164" s="2423"/>
      <c r="J164" s="2423"/>
      <c r="K164" s="2423"/>
      <c r="L164" s="2423"/>
      <c r="M164" s="2423"/>
      <c r="N164" s="2423"/>
      <c r="O164" s="2423"/>
      <c r="P164" s="2423"/>
      <c r="Q164" s="2372">
        <v>55</v>
      </c>
      <c r="R164" s="2372"/>
      <c r="S164" s="2372"/>
      <c r="T164" s="2386"/>
      <c r="U164" s="2386"/>
      <c r="V164" s="2386"/>
      <c r="W164" s="2386"/>
      <c r="X164" s="2386"/>
      <c r="Y164" s="2386"/>
      <c r="Z164" s="2386"/>
      <c r="AA164" s="2386"/>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22" t="s">
        <v>1810</v>
      </c>
      <c r="D165" s="2423"/>
      <c r="E165" s="2423"/>
      <c r="F165" s="2423"/>
      <c r="G165" s="2423"/>
      <c r="H165" s="2423"/>
      <c r="I165" s="2423"/>
      <c r="J165" s="2423"/>
      <c r="K165" s="2423"/>
      <c r="L165" s="2423"/>
      <c r="M165" s="2423"/>
      <c r="N165" s="2423"/>
      <c r="O165" s="2423"/>
      <c r="P165" s="2423"/>
      <c r="Q165" s="2372">
        <v>55</v>
      </c>
      <c r="R165" s="2372"/>
      <c r="S165" s="2372"/>
      <c r="T165" s="2386"/>
      <c r="U165" s="2386"/>
      <c r="V165" s="2386"/>
      <c r="W165" s="2386"/>
      <c r="X165" s="2386"/>
      <c r="Y165" s="2386"/>
      <c r="Z165" s="2386"/>
      <c r="AA165" s="2386"/>
      <c r="AB165" s="2426">
        <v>0</v>
      </c>
      <c r="AC165" s="2426"/>
      <c r="AD165" s="2426"/>
      <c r="AE165" s="2426"/>
      <c r="AF165" s="2426"/>
      <c r="AG165" s="2427"/>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22" t="s">
        <v>169</v>
      </c>
      <c r="D166" s="2423"/>
      <c r="E166" s="2423"/>
      <c r="F166" s="2424" t="s">
        <v>1840</v>
      </c>
      <c r="G166" s="2424"/>
      <c r="H166" s="2424"/>
      <c r="I166" s="2424"/>
      <c r="J166" s="2424"/>
      <c r="K166" s="2424"/>
      <c r="L166" s="2424"/>
      <c r="M166" s="2424"/>
      <c r="N166" s="2424"/>
      <c r="O166" s="2424"/>
      <c r="P166" s="2424"/>
      <c r="Q166" s="2372">
        <v>55</v>
      </c>
      <c r="R166" s="2372"/>
      <c r="S166" s="2372"/>
      <c r="T166" s="2425"/>
      <c r="U166" s="2425"/>
      <c r="V166" s="2425"/>
      <c r="W166" s="2425"/>
      <c r="X166" s="2425"/>
      <c r="Y166" s="2425"/>
      <c r="Z166" s="2425"/>
      <c r="AA166" s="2425"/>
      <c r="AB166" s="2426">
        <v>0</v>
      </c>
      <c r="AC166" s="2426"/>
      <c r="AD166" s="2426"/>
      <c r="AE166" s="2426"/>
      <c r="AF166" s="2426"/>
      <c r="AG166" s="2427"/>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22" t="s">
        <v>169</v>
      </c>
      <c r="D167" s="2423"/>
      <c r="E167" s="2423"/>
      <c r="F167" s="2424" t="s">
        <v>1840</v>
      </c>
      <c r="G167" s="2424"/>
      <c r="H167" s="2424"/>
      <c r="I167" s="2424"/>
      <c r="J167" s="2424"/>
      <c r="K167" s="2424"/>
      <c r="L167" s="2424"/>
      <c r="M167" s="2424"/>
      <c r="N167" s="2424"/>
      <c r="O167" s="2424"/>
      <c r="P167" s="2424"/>
      <c r="Q167" s="2372">
        <v>55</v>
      </c>
      <c r="R167" s="2372"/>
      <c r="S167" s="2372"/>
      <c r="T167" s="2425"/>
      <c r="U167" s="2425"/>
      <c r="V167" s="2425"/>
      <c r="W167" s="2425"/>
      <c r="X167" s="2425"/>
      <c r="Y167" s="2425"/>
      <c r="Z167" s="2425"/>
      <c r="AA167" s="2425"/>
      <c r="AB167" s="2426">
        <v>0</v>
      </c>
      <c r="AC167" s="2426"/>
      <c r="AD167" s="2426"/>
      <c r="AE167" s="2426"/>
      <c r="AF167" s="2426"/>
      <c r="AG167" s="2427"/>
      <c r="AH167" s="1206"/>
      <c r="AI167" s="1206"/>
      <c r="AJ167" s="1206"/>
      <c r="AK167" s="1206" t="s">
        <v>250</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393" t="s">
        <v>169</v>
      </c>
      <c r="D168" s="2394"/>
      <c r="E168" s="2394"/>
      <c r="F168" s="2395" t="s">
        <v>1840</v>
      </c>
      <c r="G168" s="2395"/>
      <c r="H168" s="2395"/>
      <c r="I168" s="2395"/>
      <c r="J168" s="2395"/>
      <c r="K168" s="2395"/>
      <c r="L168" s="2395"/>
      <c r="M168" s="2395"/>
      <c r="N168" s="2395"/>
      <c r="O168" s="2395"/>
      <c r="P168" s="2395"/>
      <c r="Q168" s="2396">
        <v>55</v>
      </c>
      <c r="R168" s="2396"/>
      <c r="S168" s="2396"/>
      <c r="T168" s="2397"/>
      <c r="U168" s="2397"/>
      <c r="V168" s="2397"/>
      <c r="W168" s="2397"/>
      <c r="X168" s="2397"/>
      <c r="Y168" s="2397"/>
      <c r="Z168" s="2397"/>
      <c r="AA168" s="2397"/>
      <c r="AB168" s="2398">
        <v>0</v>
      </c>
      <c r="AC168" s="2398"/>
      <c r="AD168" s="2398"/>
      <c r="AE168" s="2398"/>
      <c r="AF168" s="2398"/>
      <c r="AG168" s="2399"/>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197" t="s">
        <v>1841</v>
      </c>
      <c r="D170" s="2198"/>
      <c r="E170" s="2198"/>
      <c r="F170" s="2198"/>
      <c r="G170" s="2198"/>
      <c r="H170" s="2198"/>
      <c r="I170" s="2198"/>
      <c r="J170" s="2198"/>
      <c r="K170" s="2198"/>
      <c r="L170" s="2198"/>
      <c r="M170" s="2198"/>
      <c r="N170" s="2199"/>
      <c r="O170" s="1206"/>
      <c r="P170" s="2410" t="s">
        <v>1842</v>
      </c>
      <c r="Q170" s="2411"/>
      <c r="R170" s="2411"/>
      <c r="S170" s="2411"/>
      <c r="T170" s="2411"/>
      <c r="U170" s="2411"/>
      <c r="V170" s="2411"/>
      <c r="W170" s="2411"/>
      <c r="X170" s="2411"/>
      <c r="Y170" s="2411"/>
      <c r="Z170" s="2411"/>
      <c r="AA170" s="2411"/>
      <c r="AB170" s="2411"/>
      <c r="AC170" s="2411"/>
      <c r="AD170" s="2411"/>
      <c r="AE170" s="2411"/>
      <c r="AF170" s="2411"/>
      <c r="AG170" s="2411"/>
      <c r="AH170" s="2411"/>
      <c r="AI170" s="2411"/>
      <c r="AJ170" s="2411"/>
      <c r="AK170" s="2411"/>
      <c r="AL170" s="2411"/>
      <c r="AM170" s="2411"/>
      <c r="AN170" s="2411"/>
      <c r="AO170" s="2412"/>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13" t="s">
        <v>1843</v>
      </c>
      <c r="D171" s="2414"/>
      <c r="E171" s="2414"/>
      <c r="F171" s="2414"/>
      <c r="G171" s="2414"/>
      <c r="H171" s="2414"/>
      <c r="I171" s="2414" t="s">
        <v>1844</v>
      </c>
      <c r="J171" s="2414"/>
      <c r="K171" s="2414"/>
      <c r="L171" s="2414"/>
      <c r="M171" s="2414"/>
      <c r="N171" s="2415"/>
      <c r="O171" s="1206"/>
      <c r="P171" s="2416" t="s">
        <v>2182</v>
      </c>
      <c r="Q171" s="2417"/>
      <c r="R171" s="2417"/>
      <c r="S171" s="2417"/>
      <c r="T171" s="2417"/>
      <c r="U171" s="2417"/>
      <c r="V171" s="2417"/>
      <c r="W171" s="2417"/>
      <c r="X171" s="2417"/>
      <c r="Y171" s="2417"/>
      <c r="Z171" s="2417"/>
      <c r="AA171" s="2417"/>
      <c r="AB171" s="2417"/>
      <c r="AC171" s="2417"/>
      <c r="AD171" s="2417"/>
      <c r="AE171" s="2417"/>
      <c r="AF171" s="2417"/>
      <c r="AG171" s="2417"/>
      <c r="AH171" s="2417"/>
      <c r="AI171" s="2417"/>
      <c r="AJ171" s="2417"/>
      <c r="AK171" s="2417"/>
      <c r="AL171" s="2417"/>
      <c r="AM171" s="2417"/>
      <c r="AN171" s="2417"/>
      <c r="AO171" s="2418"/>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65"/>
      <c r="D172" s="2366"/>
      <c r="E172" s="2366"/>
      <c r="F172" s="2366"/>
      <c r="G172" s="2366"/>
      <c r="H172" s="2366"/>
      <c r="I172" s="2386"/>
      <c r="J172" s="2386"/>
      <c r="K172" s="2386"/>
      <c r="L172" s="2386"/>
      <c r="M172" s="2386"/>
      <c r="N172" s="2387"/>
      <c r="O172" s="1206"/>
      <c r="P172" s="2416"/>
      <c r="Q172" s="2417"/>
      <c r="R172" s="2417"/>
      <c r="S172" s="2417"/>
      <c r="T172" s="2417"/>
      <c r="U172" s="2417"/>
      <c r="V172" s="2417"/>
      <c r="W172" s="2417"/>
      <c r="X172" s="2417"/>
      <c r="Y172" s="2417"/>
      <c r="Z172" s="2417"/>
      <c r="AA172" s="2417"/>
      <c r="AB172" s="2417"/>
      <c r="AC172" s="2417"/>
      <c r="AD172" s="2417"/>
      <c r="AE172" s="2417"/>
      <c r="AF172" s="2417"/>
      <c r="AG172" s="2417"/>
      <c r="AH172" s="2417"/>
      <c r="AI172" s="2417"/>
      <c r="AJ172" s="2417"/>
      <c r="AK172" s="2417"/>
      <c r="AL172" s="2417"/>
      <c r="AM172" s="2417"/>
      <c r="AN172" s="2417"/>
      <c r="AO172" s="2418"/>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65"/>
      <c r="D173" s="2366"/>
      <c r="E173" s="2366"/>
      <c r="F173" s="2366"/>
      <c r="G173" s="2366"/>
      <c r="H173" s="2366"/>
      <c r="I173" s="2386"/>
      <c r="J173" s="2386"/>
      <c r="K173" s="2386"/>
      <c r="L173" s="2386"/>
      <c r="M173" s="2386"/>
      <c r="N173" s="2387"/>
      <c r="O173" s="1206"/>
      <c r="P173" s="2416"/>
      <c r="Q173" s="2417"/>
      <c r="R173" s="2417"/>
      <c r="S173" s="2417"/>
      <c r="T173" s="2417"/>
      <c r="U173" s="2417"/>
      <c r="V173" s="2417"/>
      <c r="W173" s="2417"/>
      <c r="X173" s="2417"/>
      <c r="Y173" s="2417"/>
      <c r="Z173" s="2417"/>
      <c r="AA173" s="2417"/>
      <c r="AB173" s="2417"/>
      <c r="AC173" s="2417"/>
      <c r="AD173" s="2417"/>
      <c r="AE173" s="2417"/>
      <c r="AF173" s="2417"/>
      <c r="AG173" s="2417"/>
      <c r="AH173" s="2417"/>
      <c r="AI173" s="2417"/>
      <c r="AJ173" s="2417"/>
      <c r="AK173" s="2417"/>
      <c r="AL173" s="2417"/>
      <c r="AM173" s="2417"/>
      <c r="AN173" s="2417"/>
      <c r="AO173" s="2418"/>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65"/>
      <c r="D174" s="2366"/>
      <c r="E174" s="2366"/>
      <c r="F174" s="2366"/>
      <c r="G174" s="2366"/>
      <c r="H174" s="2366"/>
      <c r="I174" s="2386"/>
      <c r="J174" s="2386"/>
      <c r="K174" s="2386"/>
      <c r="L174" s="2386"/>
      <c r="M174" s="2386"/>
      <c r="N174" s="2387"/>
      <c r="O174" s="1206"/>
      <c r="P174" s="2416"/>
      <c r="Q174" s="2417"/>
      <c r="R174" s="2417"/>
      <c r="S174" s="2417"/>
      <c r="T174" s="2417"/>
      <c r="U174" s="2417"/>
      <c r="V174" s="2417"/>
      <c r="W174" s="2417"/>
      <c r="X174" s="2417"/>
      <c r="Y174" s="2417"/>
      <c r="Z174" s="2417"/>
      <c r="AA174" s="2417"/>
      <c r="AB174" s="2417"/>
      <c r="AC174" s="2417"/>
      <c r="AD174" s="2417"/>
      <c r="AE174" s="2417"/>
      <c r="AF174" s="2417"/>
      <c r="AG174" s="2417"/>
      <c r="AH174" s="2417"/>
      <c r="AI174" s="2417"/>
      <c r="AJ174" s="2417"/>
      <c r="AK174" s="2417"/>
      <c r="AL174" s="2417"/>
      <c r="AM174" s="2417"/>
      <c r="AN174" s="2417"/>
      <c r="AO174" s="2418"/>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65"/>
      <c r="D175" s="2366"/>
      <c r="E175" s="2366"/>
      <c r="F175" s="2366"/>
      <c r="G175" s="2366"/>
      <c r="H175" s="2366"/>
      <c r="I175" s="2386"/>
      <c r="J175" s="2386"/>
      <c r="K175" s="2386"/>
      <c r="L175" s="2386"/>
      <c r="M175" s="2386"/>
      <c r="N175" s="2387"/>
      <c r="O175" s="1206"/>
      <c r="P175" s="2416"/>
      <c r="Q175" s="2417"/>
      <c r="R175" s="2417"/>
      <c r="S175" s="2417"/>
      <c r="T175" s="2417"/>
      <c r="U175" s="2417"/>
      <c r="V175" s="2417"/>
      <c r="W175" s="2417"/>
      <c r="X175" s="2417"/>
      <c r="Y175" s="2417"/>
      <c r="Z175" s="2417"/>
      <c r="AA175" s="2417"/>
      <c r="AB175" s="2417"/>
      <c r="AC175" s="2417"/>
      <c r="AD175" s="2417"/>
      <c r="AE175" s="2417"/>
      <c r="AF175" s="2417"/>
      <c r="AG175" s="2417"/>
      <c r="AH175" s="2417"/>
      <c r="AI175" s="2417"/>
      <c r="AJ175" s="2417"/>
      <c r="AK175" s="2417"/>
      <c r="AL175" s="2417"/>
      <c r="AM175" s="2417"/>
      <c r="AN175" s="2417"/>
      <c r="AO175" s="2418"/>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65"/>
      <c r="D176" s="2366"/>
      <c r="E176" s="2366"/>
      <c r="F176" s="2366"/>
      <c r="G176" s="2366"/>
      <c r="H176" s="2366"/>
      <c r="I176" s="2386"/>
      <c r="J176" s="2386"/>
      <c r="K176" s="2386"/>
      <c r="L176" s="2386"/>
      <c r="M176" s="2386"/>
      <c r="N176" s="2387"/>
      <c r="O176" s="1206"/>
      <c r="P176" s="2416"/>
      <c r="Q176" s="2417"/>
      <c r="R176" s="2417"/>
      <c r="S176" s="2417"/>
      <c r="T176" s="2417"/>
      <c r="U176" s="2417"/>
      <c r="V176" s="2417"/>
      <c r="W176" s="2417"/>
      <c r="X176" s="2417"/>
      <c r="Y176" s="2417"/>
      <c r="Z176" s="2417"/>
      <c r="AA176" s="2417"/>
      <c r="AB176" s="2417"/>
      <c r="AC176" s="2417"/>
      <c r="AD176" s="2417"/>
      <c r="AE176" s="2417"/>
      <c r="AF176" s="2417"/>
      <c r="AG176" s="2417"/>
      <c r="AH176" s="2417"/>
      <c r="AI176" s="2417"/>
      <c r="AJ176" s="2417"/>
      <c r="AK176" s="2417"/>
      <c r="AL176" s="2417"/>
      <c r="AM176" s="2417"/>
      <c r="AN176" s="2417"/>
      <c r="AO176" s="2418"/>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65"/>
      <c r="D177" s="2366"/>
      <c r="E177" s="2366"/>
      <c r="F177" s="2366"/>
      <c r="G177" s="2366"/>
      <c r="H177" s="2366"/>
      <c r="I177" s="2386"/>
      <c r="J177" s="2386"/>
      <c r="K177" s="2386"/>
      <c r="L177" s="2386"/>
      <c r="M177" s="2386"/>
      <c r="N177" s="2387"/>
      <c r="O177" s="1206"/>
      <c r="P177" s="2416"/>
      <c r="Q177" s="2417"/>
      <c r="R177" s="2417"/>
      <c r="S177" s="2417"/>
      <c r="T177" s="2417"/>
      <c r="U177" s="2417"/>
      <c r="V177" s="2417"/>
      <c r="W177" s="2417"/>
      <c r="X177" s="2417"/>
      <c r="Y177" s="2417"/>
      <c r="Z177" s="2417"/>
      <c r="AA177" s="2417"/>
      <c r="AB177" s="2417"/>
      <c r="AC177" s="2417"/>
      <c r="AD177" s="2417"/>
      <c r="AE177" s="2417"/>
      <c r="AF177" s="2417"/>
      <c r="AG177" s="2417"/>
      <c r="AH177" s="2417"/>
      <c r="AI177" s="2417"/>
      <c r="AJ177" s="2417"/>
      <c r="AK177" s="2417"/>
      <c r="AL177" s="2417"/>
      <c r="AM177" s="2417"/>
      <c r="AN177" s="2417"/>
      <c r="AO177" s="2418"/>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400"/>
      <c r="D178" s="2401"/>
      <c r="E178" s="2401"/>
      <c r="F178" s="2401"/>
      <c r="G178" s="2401"/>
      <c r="H178" s="2401"/>
      <c r="I178" s="2402"/>
      <c r="J178" s="2402"/>
      <c r="K178" s="2402"/>
      <c r="L178" s="2402"/>
      <c r="M178" s="2402"/>
      <c r="N178" s="2403"/>
      <c r="O178" s="1206"/>
      <c r="P178" s="2419"/>
      <c r="Q178" s="2420"/>
      <c r="R178" s="2420"/>
      <c r="S178" s="2420"/>
      <c r="T178" s="2420"/>
      <c r="U178" s="2420"/>
      <c r="V178" s="2420"/>
      <c r="W178" s="2420"/>
      <c r="X178" s="2420"/>
      <c r="Y178" s="2420"/>
      <c r="Z178" s="2420"/>
      <c r="AA178" s="2420"/>
      <c r="AB178" s="2420"/>
      <c r="AC178" s="2420"/>
      <c r="AD178" s="2420"/>
      <c r="AE178" s="2420"/>
      <c r="AF178" s="2420"/>
      <c r="AG178" s="2420"/>
      <c r="AH178" s="2420"/>
      <c r="AI178" s="2420"/>
      <c r="AJ178" s="2420"/>
      <c r="AK178" s="2420"/>
      <c r="AL178" s="2420"/>
      <c r="AM178" s="2420"/>
      <c r="AN178" s="2420"/>
      <c r="AO178" s="2421"/>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404" t="s">
        <v>2484</v>
      </c>
      <c r="D180" s="2405"/>
      <c r="E180" s="2405"/>
      <c r="F180" s="2405"/>
      <c r="G180" s="2405"/>
      <c r="H180" s="2405"/>
      <c r="I180" s="2405"/>
      <c r="J180" s="2405"/>
      <c r="K180" s="2405"/>
      <c r="L180" s="2405"/>
      <c r="M180" s="2405"/>
      <c r="N180" s="2405"/>
      <c r="O180" s="2405"/>
      <c r="P180" s="2405"/>
      <c r="Q180" s="2405"/>
      <c r="R180" s="2405"/>
      <c r="S180" s="2405"/>
      <c r="T180" s="2405"/>
      <c r="U180" s="2405"/>
      <c r="V180" s="2405"/>
      <c r="W180" s="2405"/>
      <c r="X180" s="2405"/>
      <c r="Y180" s="2405"/>
      <c r="Z180" s="2405"/>
      <c r="AA180" s="2405"/>
      <c r="AB180" s="2405"/>
      <c r="AC180" s="2405"/>
      <c r="AD180" s="2405"/>
      <c r="AE180" s="2406"/>
      <c r="AF180" s="1206"/>
      <c r="AG180" s="1206"/>
      <c r="AH180" s="2599" t="s">
        <v>2599</v>
      </c>
      <c r="AI180" s="2600"/>
      <c r="AJ180" s="2600"/>
      <c r="AK180" s="2600"/>
      <c r="AL180" s="2600"/>
      <c r="AM180" s="2600"/>
      <c r="AN180" s="2600"/>
      <c r="AO180" s="2600"/>
      <c r="AP180" s="2600"/>
      <c r="AQ180" s="2600"/>
      <c r="AR180" s="2600"/>
      <c r="AS180" s="2600"/>
      <c r="AT180" s="2600"/>
      <c r="AU180" s="2600"/>
      <c r="AV180" s="2600"/>
      <c r="AW180" s="2600"/>
      <c r="AX180" s="2600"/>
      <c r="AY180" s="2600"/>
      <c r="AZ180" s="2600"/>
      <c r="BA180" s="2600"/>
      <c r="BB180" s="2600"/>
      <c r="BC180" s="2600"/>
      <c r="BD180" s="2600"/>
      <c r="BE180" s="2601"/>
    </row>
    <row r="181" spans="1:57" ht="15.75" customHeight="1" thickBot="1">
      <c r="A181" s="1206"/>
      <c r="B181" s="1206"/>
      <c r="C181" s="2407"/>
      <c r="D181" s="2408"/>
      <c r="E181" s="2408"/>
      <c r="F181" s="2408"/>
      <c r="G181" s="2408"/>
      <c r="H181" s="2408"/>
      <c r="I181" s="2408"/>
      <c r="J181" s="2408"/>
      <c r="K181" s="2408"/>
      <c r="L181" s="2408"/>
      <c r="M181" s="2408"/>
      <c r="N181" s="2408"/>
      <c r="O181" s="2408"/>
      <c r="P181" s="2408"/>
      <c r="Q181" s="2408"/>
      <c r="R181" s="2408"/>
      <c r="S181" s="2408"/>
      <c r="T181" s="2408"/>
      <c r="U181" s="2408"/>
      <c r="V181" s="2408"/>
      <c r="W181" s="2408"/>
      <c r="X181" s="2408"/>
      <c r="Y181" s="2408"/>
      <c r="Z181" s="2408"/>
      <c r="AA181" s="2408"/>
      <c r="AB181" s="2408"/>
      <c r="AC181" s="2408"/>
      <c r="AD181" s="2408"/>
      <c r="AE181" s="2409"/>
      <c r="AF181" s="1206"/>
      <c r="AG181" s="1206"/>
      <c r="AH181" s="2602" t="s">
        <v>2620</v>
      </c>
      <c r="AI181" s="2602"/>
      <c r="AJ181" s="2602"/>
      <c r="AK181" s="2602"/>
      <c r="AL181" s="2602"/>
      <c r="AM181" s="2602"/>
      <c r="AN181" s="2602"/>
      <c r="AO181" s="2602"/>
      <c r="AP181" s="2602"/>
      <c r="AQ181" s="2602"/>
      <c r="AR181" s="2602"/>
      <c r="AS181" s="2602"/>
      <c r="AT181" s="2602"/>
      <c r="AU181" s="2602"/>
      <c r="AV181" s="2602"/>
      <c r="AW181" s="2602"/>
      <c r="AX181" s="2602"/>
      <c r="AY181" s="2602"/>
      <c r="AZ181" s="2602"/>
      <c r="BA181" s="2602"/>
      <c r="BB181" s="2602"/>
      <c r="BC181" s="2602"/>
      <c r="BD181" s="2602"/>
      <c r="BE181" s="2602"/>
    </row>
    <row r="182" spans="1:57" ht="15.75" customHeight="1">
      <c r="A182" s="1206"/>
      <c r="B182" s="1206"/>
      <c r="C182" s="2197" t="s">
        <v>1834</v>
      </c>
      <c r="D182" s="2198"/>
      <c r="E182" s="2198"/>
      <c r="F182" s="2198"/>
      <c r="G182" s="2198"/>
      <c r="H182" s="2198"/>
      <c r="I182" s="2198"/>
      <c r="J182" s="2198"/>
      <c r="K182" s="2198"/>
      <c r="L182" s="2198"/>
      <c r="M182" s="2198"/>
      <c r="N182" s="2198" t="s">
        <v>1845</v>
      </c>
      <c r="O182" s="2198"/>
      <c r="P182" s="2198"/>
      <c r="Q182" s="2198"/>
      <c r="R182" s="2198"/>
      <c r="S182" s="2198"/>
      <c r="T182" s="2198"/>
      <c r="U182" s="2230" t="s">
        <v>1834</v>
      </c>
      <c r="V182" s="2230"/>
      <c r="W182" s="2230"/>
      <c r="X182" s="2230"/>
      <c r="Y182" s="2230"/>
      <c r="Z182" s="2230"/>
      <c r="AA182" s="2230"/>
      <c r="AB182" s="2230"/>
      <c r="AC182" s="2230"/>
      <c r="AD182" s="2230"/>
      <c r="AE182" s="2231"/>
      <c r="AF182" s="1206"/>
      <c r="AG182" s="1206"/>
      <c r="AH182" s="2385" t="s">
        <v>2604</v>
      </c>
      <c r="AI182" s="2385"/>
      <c r="AJ182" s="2385"/>
      <c r="AK182" s="2385"/>
      <c r="AL182" s="2385"/>
      <c r="AM182" s="2385"/>
      <c r="AN182" s="2385"/>
      <c r="AO182" s="2385"/>
      <c r="AP182" s="2385"/>
      <c r="AQ182" s="2385"/>
      <c r="AR182" s="2385"/>
      <c r="AS182" s="2385"/>
      <c r="AT182" s="2385"/>
      <c r="AU182" s="2610">
        <v>2500000</v>
      </c>
      <c r="AV182" s="2610"/>
      <c r="AW182" s="2610"/>
      <c r="AX182" s="2610"/>
      <c r="AY182" s="2610"/>
      <c r="AZ182" s="2610"/>
      <c r="BA182" s="2610"/>
      <c r="BB182" s="2610"/>
      <c r="BC182" s="2614"/>
      <c r="BD182" s="2615"/>
      <c r="BE182" s="2616"/>
    </row>
    <row r="183" spans="1:57" ht="15.75" customHeight="1">
      <c r="A183" s="1206"/>
      <c r="B183" s="1206"/>
      <c r="C183" s="2374" t="s">
        <v>2485</v>
      </c>
      <c r="D183" s="2375"/>
      <c r="E183" s="2375"/>
      <c r="F183" s="2375"/>
      <c r="G183" s="2375"/>
      <c r="H183" s="2375"/>
      <c r="I183" s="2375"/>
      <c r="J183" s="2375"/>
      <c r="K183" s="2375"/>
      <c r="L183" s="2375"/>
      <c r="M183" s="2375"/>
      <c r="N183" s="2388">
        <f>'Sources and Uses Budget'!B105</f>
        <v>68632776</v>
      </c>
      <c r="O183" s="2388"/>
      <c r="P183" s="2388"/>
      <c r="Q183" s="2388"/>
      <c r="R183" s="2388"/>
      <c r="S183" s="2388"/>
      <c r="T183" s="2388"/>
      <c r="U183" s="2389"/>
      <c r="V183" s="2389"/>
      <c r="W183" s="2389"/>
      <c r="X183" s="2389"/>
      <c r="Y183" s="2389"/>
      <c r="Z183" s="2389"/>
      <c r="AA183" s="2389"/>
      <c r="AB183" s="2389"/>
      <c r="AC183" s="2389"/>
      <c r="AD183" s="2389"/>
      <c r="AE183" s="2390"/>
      <c r="AF183" s="1206"/>
      <c r="AG183" s="1206"/>
      <c r="AH183" s="2385" t="s">
        <v>2603</v>
      </c>
      <c r="AI183" s="2385"/>
      <c r="AJ183" s="2385"/>
      <c r="AK183" s="2385"/>
      <c r="AL183" s="2385"/>
      <c r="AM183" s="2385"/>
      <c r="AN183" s="2385"/>
      <c r="AO183" s="2385"/>
      <c r="AP183" s="2385"/>
      <c r="AQ183" s="2385"/>
      <c r="AR183" s="2385"/>
      <c r="AS183" s="2385"/>
      <c r="AT183" s="2385"/>
      <c r="AU183" s="2611">
        <f>MAX(0,Application!AG439-100)*20000</f>
        <v>0</v>
      </c>
      <c r="AV183" s="2611"/>
      <c r="AW183" s="2611"/>
      <c r="AX183" s="2611"/>
      <c r="AY183" s="2611"/>
      <c r="AZ183" s="2611"/>
      <c r="BA183" s="2611"/>
      <c r="BB183" s="2611"/>
      <c r="BC183" s="2344"/>
      <c r="BD183" s="2345"/>
      <c r="BE183" s="2346"/>
    </row>
    <row r="184" spans="1:57" ht="15.75" customHeight="1">
      <c r="A184" s="1206"/>
      <c r="B184" s="1206"/>
      <c r="C184" s="2374" t="s">
        <v>2486</v>
      </c>
      <c r="D184" s="2375"/>
      <c r="E184" s="2375"/>
      <c r="F184" s="2375"/>
      <c r="G184" s="2375"/>
      <c r="H184" s="2375"/>
      <c r="I184" s="2375"/>
      <c r="J184" s="2375"/>
      <c r="K184" s="2375"/>
      <c r="L184" s="2375"/>
      <c r="M184" s="2375"/>
      <c r="N184" s="2388">
        <f>N183/J29</f>
        <v>1125127.475409836</v>
      </c>
      <c r="O184" s="2388"/>
      <c r="P184" s="2388"/>
      <c r="Q184" s="2388"/>
      <c r="R184" s="2388"/>
      <c r="S184" s="2388"/>
      <c r="T184" s="2388"/>
      <c r="U184" s="1222"/>
      <c r="V184" s="1222"/>
      <c r="W184" s="1222"/>
      <c r="X184" s="1222"/>
      <c r="Y184" s="1222"/>
      <c r="Z184" s="1222"/>
      <c r="AA184" s="1222"/>
      <c r="AB184" s="1222"/>
      <c r="AC184" s="1222"/>
      <c r="AD184" s="1222"/>
      <c r="AE184" s="1221"/>
      <c r="AF184" s="1206"/>
      <c r="AG184" s="1206"/>
      <c r="AH184" s="2603" t="s">
        <v>2602</v>
      </c>
      <c r="AI184" s="2603"/>
      <c r="AJ184" s="2603"/>
      <c r="AK184" s="2603"/>
      <c r="AL184" s="2603"/>
      <c r="AM184" s="2603"/>
      <c r="AN184" s="2603"/>
      <c r="AO184" s="2603"/>
      <c r="AP184" s="2603"/>
      <c r="AQ184" s="2603"/>
      <c r="AR184" s="2603"/>
      <c r="AS184" s="2603"/>
      <c r="AT184" s="2603"/>
      <c r="AU184" s="2343">
        <f>AU182+AU183</f>
        <v>2500000</v>
      </c>
      <c r="AV184" s="2343"/>
      <c r="AW184" s="2343"/>
      <c r="AX184" s="2343"/>
      <c r="AY184" s="2343"/>
      <c r="AZ184" s="2343"/>
      <c r="BA184" s="2343"/>
      <c r="BB184" s="2343"/>
      <c r="BC184" s="2344"/>
      <c r="BD184" s="2345"/>
      <c r="BE184" s="2346"/>
    </row>
    <row r="185" spans="1:57" ht="15.75" customHeight="1">
      <c r="A185" s="1206"/>
      <c r="B185" s="1206"/>
      <c r="C185" s="2391" t="s">
        <v>2487</v>
      </c>
      <c r="D185" s="2392"/>
      <c r="E185" s="2392"/>
      <c r="F185" s="2392"/>
      <c r="G185" s="2392"/>
      <c r="H185" s="2392"/>
      <c r="I185" s="2392"/>
      <c r="J185" s="2392"/>
      <c r="K185" s="2392"/>
      <c r="L185" s="2392"/>
      <c r="M185" s="2392"/>
      <c r="N185" s="2226">
        <v>0</v>
      </c>
      <c r="O185" s="2226"/>
      <c r="P185" s="2226"/>
      <c r="Q185" s="2226"/>
      <c r="R185" s="2226"/>
      <c r="S185" s="2226"/>
      <c r="T185" s="2226"/>
      <c r="U185" s="2369"/>
      <c r="V185" s="2369"/>
      <c r="W185" s="2369"/>
      <c r="X185" s="2369"/>
      <c r="Y185" s="2369"/>
      <c r="Z185" s="2369"/>
      <c r="AA185" s="2369"/>
      <c r="AB185" s="2369"/>
      <c r="AC185" s="2369"/>
      <c r="AD185" s="2369"/>
      <c r="AE185" s="2370"/>
      <c r="AF185" s="1206"/>
      <c r="AG185" s="1206"/>
      <c r="AH185" s="2613" t="s">
        <v>2601</v>
      </c>
      <c r="AI185" s="2613"/>
      <c r="AJ185" s="2613"/>
      <c r="AK185" s="2613"/>
      <c r="AL185" s="2613"/>
      <c r="AM185" s="2613"/>
      <c r="AN185" s="2613"/>
      <c r="AO185" s="2613"/>
      <c r="AP185" s="2613"/>
      <c r="AQ185" s="2613"/>
      <c r="AR185" s="2613"/>
      <c r="AS185" s="2613"/>
      <c r="AT185" s="2613"/>
      <c r="AU185" s="2612" t="str">
        <f>IF(AU189-AU192&lt;=AU184,"Y","N")</f>
        <v>Y</v>
      </c>
      <c r="AV185" s="2612"/>
      <c r="AW185" s="2612"/>
      <c r="AX185" s="2612"/>
      <c r="AY185" s="2612"/>
      <c r="AZ185" s="2612"/>
      <c r="BA185" s="2612"/>
      <c r="BB185" s="2612"/>
      <c r="BC185" s="2344"/>
      <c r="BD185" s="2345"/>
      <c r="BE185" s="2346"/>
    </row>
    <row r="186" spans="1:57" ht="15.75" customHeight="1" thickBot="1">
      <c r="A186" s="1206"/>
      <c r="B186" s="1206"/>
      <c r="C186" s="2374" t="s">
        <v>2488</v>
      </c>
      <c r="D186" s="2375"/>
      <c r="E186" s="2375"/>
      <c r="F186" s="2375"/>
      <c r="G186" s="2375"/>
      <c r="H186" s="2375"/>
      <c r="I186" s="2375"/>
      <c r="J186" s="2375"/>
      <c r="K186" s="2375"/>
      <c r="L186" s="2375"/>
      <c r="M186" s="2375"/>
      <c r="N186" s="2376">
        <f>SUM('Sources and Uses Budget'!B85:B86)</f>
        <v>747000</v>
      </c>
      <c r="O186" s="2376"/>
      <c r="P186" s="2376"/>
      <c r="Q186" s="2376"/>
      <c r="R186" s="2376"/>
      <c r="S186" s="2376"/>
      <c r="T186" s="2376"/>
      <c r="U186" s="2369"/>
      <c r="V186" s="2369"/>
      <c r="W186" s="2369"/>
      <c r="X186" s="2369"/>
      <c r="Y186" s="2369"/>
      <c r="Z186" s="2369"/>
      <c r="AA186" s="2369"/>
      <c r="AB186" s="2369"/>
      <c r="AC186" s="2369"/>
      <c r="AD186" s="2369"/>
      <c r="AE186" s="2370"/>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374" t="s">
        <v>2489</v>
      </c>
      <c r="D187" s="2375"/>
      <c r="E187" s="2375"/>
      <c r="F187" s="2375"/>
      <c r="G187" s="2375"/>
      <c r="H187" s="2375"/>
      <c r="I187" s="2375"/>
      <c r="J187" s="2375"/>
      <c r="K187" s="2375"/>
      <c r="L187" s="2375"/>
      <c r="M187" s="2375"/>
      <c r="N187" s="2376">
        <f>'Sources and Uses Budget'!B8</f>
        <v>6319745</v>
      </c>
      <c r="O187" s="2376"/>
      <c r="P187" s="2376"/>
      <c r="Q187" s="2376"/>
      <c r="R187" s="2376"/>
      <c r="S187" s="2376"/>
      <c r="T187" s="2376"/>
      <c r="U187" s="2369"/>
      <c r="V187" s="2369"/>
      <c r="W187" s="2369"/>
      <c r="X187" s="2369"/>
      <c r="Y187" s="2369"/>
      <c r="Z187" s="2369"/>
      <c r="AA187" s="2369"/>
      <c r="AB187" s="2369"/>
      <c r="AC187" s="2369"/>
      <c r="AD187" s="2369"/>
      <c r="AE187" s="2370"/>
      <c r="AF187" s="1206"/>
      <c r="AG187" s="1206"/>
      <c r="AH187" s="2377" t="s">
        <v>1846</v>
      </c>
      <c r="AI187" s="2378"/>
      <c r="AJ187" s="2378"/>
      <c r="AK187" s="2378"/>
      <c r="AL187" s="2378"/>
      <c r="AM187" s="2378"/>
      <c r="AN187" s="2378"/>
      <c r="AO187" s="2378"/>
      <c r="AP187" s="2378"/>
      <c r="AQ187" s="2378"/>
      <c r="AR187" s="2378"/>
      <c r="AS187" s="2378"/>
      <c r="AT187" s="2378"/>
      <c r="AU187" s="2378"/>
      <c r="AV187" s="2378"/>
      <c r="AW187" s="2378"/>
      <c r="AX187" s="2378"/>
      <c r="AY187" s="2378"/>
      <c r="AZ187" s="2378"/>
      <c r="BA187" s="2378"/>
      <c r="BB187" s="2378"/>
      <c r="BC187" s="2378"/>
      <c r="BD187" s="2378"/>
      <c r="BE187" s="2379"/>
    </row>
    <row r="188" spans="1:57" ht="15.75" customHeight="1">
      <c r="A188" s="1206"/>
      <c r="B188" s="1206"/>
      <c r="C188" s="2374" t="s">
        <v>2490</v>
      </c>
      <c r="D188" s="2375"/>
      <c r="E188" s="2375"/>
      <c r="F188" s="2375"/>
      <c r="G188" s="2375"/>
      <c r="H188" s="2375"/>
      <c r="I188" s="2375"/>
      <c r="J188" s="2375"/>
      <c r="K188" s="2375"/>
      <c r="L188" s="2375"/>
      <c r="M188" s="2375"/>
      <c r="N188" s="2368">
        <v>0</v>
      </c>
      <c r="O188" s="2368"/>
      <c r="P188" s="2368"/>
      <c r="Q188" s="2368"/>
      <c r="R188" s="2368"/>
      <c r="S188" s="2368"/>
      <c r="T188" s="2368"/>
      <c r="U188" s="2369"/>
      <c r="V188" s="2369"/>
      <c r="W188" s="2369"/>
      <c r="X188" s="2369"/>
      <c r="Y188" s="2369"/>
      <c r="Z188" s="2369"/>
      <c r="AA188" s="2369"/>
      <c r="AB188" s="2369"/>
      <c r="AC188" s="2369"/>
      <c r="AD188" s="2369"/>
      <c r="AE188" s="2370"/>
      <c r="AF188" s="1206"/>
      <c r="AG188" s="1206"/>
      <c r="AH188" s="2380" t="s">
        <v>1846</v>
      </c>
      <c r="AI188" s="2380"/>
      <c r="AJ188" s="2380"/>
      <c r="AK188" s="2380"/>
      <c r="AL188" s="2380"/>
      <c r="AM188" s="2380"/>
      <c r="AN188" s="2380"/>
      <c r="AO188" s="2380"/>
      <c r="AP188" s="2380"/>
      <c r="AQ188" s="2380"/>
      <c r="AR188" s="2380"/>
      <c r="AS188" s="2380"/>
      <c r="AT188" s="2380"/>
      <c r="AU188" s="2381">
        <v>0</v>
      </c>
      <c r="AV188" s="2381"/>
      <c r="AW188" s="2381"/>
      <c r="AX188" s="2381"/>
      <c r="AY188" s="2381"/>
      <c r="AZ188" s="2381"/>
      <c r="BA188" s="2381"/>
      <c r="BB188" s="2381"/>
      <c r="BC188" s="2382"/>
      <c r="BD188" s="2383"/>
      <c r="BE188" s="2384"/>
    </row>
    <row r="189" spans="1:57" ht="15.75" customHeight="1">
      <c r="A189" s="1206"/>
      <c r="B189" s="1206"/>
      <c r="C189" s="2374" t="s">
        <v>2491</v>
      </c>
      <c r="D189" s="2375"/>
      <c r="E189" s="2375"/>
      <c r="F189" s="2375"/>
      <c r="G189" s="2375"/>
      <c r="H189" s="2375"/>
      <c r="I189" s="2375"/>
      <c r="J189" s="2375"/>
      <c r="K189" s="2375"/>
      <c r="L189" s="2375"/>
      <c r="M189" s="2375"/>
      <c r="N189" s="2368">
        <v>0</v>
      </c>
      <c r="O189" s="2368"/>
      <c r="P189" s="2368"/>
      <c r="Q189" s="2368"/>
      <c r="R189" s="2368"/>
      <c r="S189" s="2368"/>
      <c r="T189" s="2368"/>
      <c r="U189" s="2369"/>
      <c r="V189" s="2369"/>
      <c r="W189" s="2369"/>
      <c r="X189" s="2369"/>
      <c r="Y189" s="2369"/>
      <c r="Z189" s="2369"/>
      <c r="AA189" s="2369"/>
      <c r="AB189" s="2369"/>
      <c r="AC189" s="2369"/>
      <c r="AD189" s="2369"/>
      <c r="AE189" s="2370"/>
      <c r="AF189" s="1206"/>
      <c r="AG189" s="1206"/>
      <c r="AH189" s="2385" t="s">
        <v>2600</v>
      </c>
      <c r="AI189" s="2385"/>
      <c r="AJ189" s="2385"/>
      <c r="AK189" s="2385"/>
      <c r="AL189" s="2385"/>
      <c r="AM189" s="2385"/>
      <c r="AN189" s="2385"/>
      <c r="AO189" s="2385"/>
      <c r="AP189" s="2385"/>
      <c r="AQ189" s="2385"/>
      <c r="AR189" s="2385"/>
      <c r="AS189" s="2385"/>
      <c r="AT189" s="2385"/>
      <c r="AU189" s="2373"/>
      <c r="AV189" s="2373"/>
      <c r="AW189" s="2373"/>
      <c r="AX189" s="2373"/>
      <c r="AY189" s="2373"/>
      <c r="AZ189" s="2373"/>
      <c r="BA189" s="2373"/>
      <c r="BB189" s="2373"/>
      <c r="BC189" s="2344"/>
      <c r="BD189" s="2345"/>
      <c r="BE189" s="2346"/>
    </row>
    <row r="190" spans="1:57" ht="15.75" customHeight="1">
      <c r="A190" s="1206"/>
      <c r="B190" s="1206"/>
      <c r="C190" s="2371" t="s">
        <v>300</v>
      </c>
      <c r="D190" s="2372"/>
      <c r="E190" s="2367" t="s">
        <v>1840</v>
      </c>
      <c r="F190" s="2367"/>
      <c r="G190" s="2367"/>
      <c r="H190" s="2367"/>
      <c r="I190" s="2367"/>
      <c r="J190" s="2367"/>
      <c r="K190" s="2367"/>
      <c r="L190" s="2367"/>
      <c r="M190" s="2367"/>
      <c r="N190" s="2368">
        <v>0</v>
      </c>
      <c r="O190" s="2368"/>
      <c r="P190" s="2368"/>
      <c r="Q190" s="2368"/>
      <c r="R190" s="2368"/>
      <c r="S190" s="2368"/>
      <c r="T190" s="2368"/>
      <c r="U190" s="2369"/>
      <c r="V190" s="2369"/>
      <c r="W190" s="2369"/>
      <c r="X190" s="2369"/>
      <c r="Y190" s="2369"/>
      <c r="Z190" s="2369"/>
      <c r="AA190" s="2369"/>
      <c r="AB190" s="2369"/>
      <c r="AC190" s="2369"/>
      <c r="AD190" s="2369"/>
      <c r="AE190" s="2370"/>
      <c r="AF190" s="1206"/>
      <c r="AG190" s="1206"/>
      <c r="AH190" s="2603" t="s">
        <v>2599</v>
      </c>
      <c r="AI190" s="2603"/>
      <c r="AJ190" s="2603"/>
      <c r="AK190" s="2603"/>
      <c r="AL190" s="2603"/>
      <c r="AM190" s="2603"/>
      <c r="AN190" s="2603"/>
      <c r="AO190" s="2603"/>
      <c r="AP190" s="2603"/>
      <c r="AQ190" s="2603"/>
      <c r="AR190" s="2603"/>
      <c r="AS190" s="2603"/>
      <c r="AT190" s="2603"/>
      <c r="AU190" s="2343">
        <f>SUM(AU188:BB189)</f>
        <v>0</v>
      </c>
      <c r="AV190" s="2343"/>
      <c r="AW190" s="2343"/>
      <c r="AX190" s="2343"/>
      <c r="AY190" s="2343"/>
      <c r="AZ190" s="2343"/>
      <c r="BA190" s="2343"/>
      <c r="BB190" s="2343"/>
      <c r="BC190" s="2344"/>
      <c r="BD190" s="2345"/>
      <c r="BE190" s="2346"/>
    </row>
    <row r="191" spans="1:57" ht="15.75" customHeight="1" thickBot="1">
      <c r="A191" s="1206"/>
      <c r="B191" s="1206"/>
      <c r="C191" s="2365" t="s">
        <v>300</v>
      </c>
      <c r="D191" s="2366"/>
      <c r="E191" s="2367" t="s">
        <v>1840</v>
      </c>
      <c r="F191" s="2367"/>
      <c r="G191" s="2367"/>
      <c r="H191" s="2367"/>
      <c r="I191" s="2367"/>
      <c r="J191" s="2367"/>
      <c r="K191" s="2367"/>
      <c r="L191" s="2367"/>
      <c r="M191" s="2367"/>
      <c r="N191" s="2368">
        <v>0</v>
      </c>
      <c r="O191" s="2368"/>
      <c r="P191" s="2368"/>
      <c r="Q191" s="2368"/>
      <c r="R191" s="2368"/>
      <c r="S191" s="2368"/>
      <c r="T191" s="2368"/>
      <c r="U191" s="2369"/>
      <c r="V191" s="2369"/>
      <c r="W191" s="2369"/>
      <c r="X191" s="2369"/>
      <c r="Y191" s="2369"/>
      <c r="Z191" s="2369"/>
      <c r="AA191" s="2369"/>
      <c r="AB191" s="2369"/>
      <c r="AC191" s="2369"/>
      <c r="AD191" s="2369"/>
      <c r="AE191" s="2370"/>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47"/>
      <c r="BD191" s="2348"/>
      <c r="BE191" s="2349"/>
    </row>
    <row r="192" spans="1:57" ht="15.75" customHeight="1" thickBot="1">
      <c r="A192" s="1206"/>
      <c r="B192" s="1206"/>
      <c r="C192" s="2354" t="s">
        <v>300</v>
      </c>
      <c r="D192" s="2355"/>
      <c r="E192" s="2356" t="s">
        <v>1840</v>
      </c>
      <c r="F192" s="2356"/>
      <c r="G192" s="2356"/>
      <c r="H192" s="2356"/>
      <c r="I192" s="2356"/>
      <c r="J192" s="2356"/>
      <c r="K192" s="2356"/>
      <c r="L192" s="2356"/>
      <c r="M192" s="2357"/>
      <c r="N192" s="2358">
        <v>0</v>
      </c>
      <c r="O192" s="2358"/>
      <c r="P192" s="2358"/>
      <c r="Q192" s="2358"/>
      <c r="R192" s="2358"/>
      <c r="S192" s="2358"/>
      <c r="T192" s="2359"/>
      <c r="U192" s="2360"/>
      <c r="V192" s="2361"/>
      <c r="W192" s="2361"/>
      <c r="X192" s="2361"/>
      <c r="Y192" s="2361"/>
      <c r="Z192" s="2361"/>
      <c r="AA192" s="2361"/>
      <c r="AB192" s="2361"/>
      <c r="AC192" s="2361"/>
      <c r="AD192" s="2361"/>
      <c r="AE192" s="2362"/>
      <c r="AF192" s="1206"/>
      <c r="AG192" s="1206"/>
      <c r="AH192" s="2328" t="s">
        <v>1847</v>
      </c>
      <c r="AI192" s="2329"/>
      <c r="AJ192" s="2329"/>
      <c r="AK192" s="2329"/>
      <c r="AL192" s="2329"/>
      <c r="AM192" s="2329"/>
      <c r="AN192" s="2329"/>
      <c r="AO192" s="2329"/>
      <c r="AP192" s="2329"/>
      <c r="AQ192" s="2329"/>
      <c r="AR192" s="2329"/>
      <c r="AS192" s="2329"/>
      <c r="AT192" s="2329"/>
      <c r="AU192" s="2338"/>
      <c r="AV192" s="2338"/>
      <c r="AW192" s="2338"/>
      <c r="AX192" s="2338"/>
      <c r="AY192" s="2338"/>
      <c r="AZ192" s="2338"/>
      <c r="BA192" s="2338"/>
      <c r="BB192" s="2338"/>
      <c r="BC192" s="1219"/>
      <c r="BD192" s="1219"/>
      <c r="BE192" s="1218"/>
    </row>
    <row r="193" spans="1:57" ht="15.75" customHeight="1">
      <c r="A193" s="1206"/>
      <c r="B193" s="1206"/>
      <c r="C193" s="2350" t="s">
        <v>1848</v>
      </c>
      <c r="D193" s="2351"/>
      <c r="E193" s="2351"/>
      <c r="F193" s="2351"/>
      <c r="G193" s="2351"/>
      <c r="H193" s="2351"/>
      <c r="I193" s="2351"/>
      <c r="J193" s="2351"/>
      <c r="K193" s="2351"/>
      <c r="L193" s="2351"/>
      <c r="M193" s="2351"/>
      <c r="N193" s="2352">
        <f>SUM(N185:T192)</f>
        <v>7066745</v>
      </c>
      <c r="O193" s="2352"/>
      <c r="P193" s="2352"/>
      <c r="Q193" s="2352"/>
      <c r="R193" s="2352"/>
      <c r="S193" s="2352"/>
      <c r="T193" s="2353"/>
      <c r="U193" s="1206"/>
      <c r="V193" s="1206"/>
      <c r="W193" s="1206"/>
      <c r="X193" s="1206"/>
      <c r="Y193" s="1206"/>
      <c r="Z193" s="1206"/>
      <c r="AA193" s="1206"/>
      <c r="AB193" s="1206"/>
      <c r="AC193" s="1206"/>
      <c r="AD193" s="1206"/>
      <c r="AE193" s="1206"/>
      <c r="AF193" s="1206"/>
      <c r="AG193" s="1206"/>
      <c r="AH193" s="2363" t="s">
        <v>2598</v>
      </c>
      <c r="AI193" s="2363"/>
      <c r="AJ193" s="2363"/>
      <c r="AK193" s="2363"/>
      <c r="AL193" s="2363"/>
      <c r="AM193" s="2363"/>
      <c r="AN193" s="2363"/>
      <c r="AO193" s="2363"/>
      <c r="AP193" s="2363"/>
      <c r="AQ193" s="2363"/>
      <c r="AR193" s="2363"/>
      <c r="AS193" s="2363"/>
      <c r="AT193" s="2363"/>
      <c r="AU193" s="2363"/>
      <c r="AV193" s="2363"/>
      <c r="AW193" s="2363"/>
      <c r="AX193" s="2363"/>
      <c r="AY193" s="2363"/>
      <c r="AZ193" s="2363"/>
      <c r="BA193" s="2363"/>
      <c r="BB193" s="2363"/>
      <c r="BC193" s="2363"/>
      <c r="BD193" s="2363"/>
      <c r="BE193" s="2364"/>
    </row>
    <row r="194" spans="1:57" ht="15.75" customHeight="1" thickBot="1">
      <c r="A194" s="1206"/>
      <c r="B194" s="1206"/>
      <c r="C194" s="2330" t="s">
        <v>2492</v>
      </c>
      <c r="D194" s="2331"/>
      <c r="E194" s="2331"/>
      <c r="F194" s="2331"/>
      <c r="G194" s="2331"/>
      <c r="H194" s="2331"/>
      <c r="I194" s="2331"/>
      <c r="J194" s="2331"/>
      <c r="K194" s="2331"/>
      <c r="L194" s="2331"/>
      <c r="M194" s="2331"/>
      <c r="N194" s="2332">
        <f>(N183-N193)/J29</f>
        <v>1009279.1967213114</v>
      </c>
      <c r="O194" s="2333"/>
      <c r="P194" s="2333"/>
      <c r="Q194" s="2333"/>
      <c r="R194" s="2333"/>
      <c r="S194" s="2333"/>
      <c r="T194" s="2334"/>
      <c r="U194" s="1217"/>
      <c r="V194" s="1206"/>
      <c r="W194" s="1206"/>
      <c r="X194" s="1206"/>
      <c r="Y194" s="1206"/>
      <c r="Z194" s="1206"/>
      <c r="AA194" s="1206"/>
      <c r="AB194" s="1206"/>
      <c r="AC194" s="1206"/>
      <c r="AD194" s="1206"/>
      <c r="AE194" s="1206"/>
      <c r="AF194" s="1206"/>
      <c r="AG194" s="1206"/>
      <c r="AH194" s="2363"/>
      <c r="AI194" s="2363"/>
      <c r="AJ194" s="2363"/>
      <c r="AK194" s="2363"/>
      <c r="AL194" s="2363"/>
      <c r="AM194" s="2363"/>
      <c r="AN194" s="2363"/>
      <c r="AO194" s="2363"/>
      <c r="AP194" s="2363"/>
      <c r="AQ194" s="2363"/>
      <c r="AR194" s="2363"/>
      <c r="AS194" s="2363"/>
      <c r="AT194" s="2363"/>
      <c r="AU194" s="2363"/>
      <c r="AV194" s="2363"/>
      <c r="AW194" s="2363"/>
      <c r="AX194" s="2363"/>
      <c r="AY194" s="2363"/>
      <c r="AZ194" s="2363"/>
      <c r="BA194" s="2363"/>
      <c r="BB194" s="2363"/>
      <c r="BC194" s="2363"/>
      <c r="BD194" s="2363"/>
      <c r="BE194" s="2364"/>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35"/>
      <c r="AI195" s="2335"/>
      <c r="AJ195" s="2335"/>
      <c r="AK195" s="2335"/>
      <c r="AL195" s="2335"/>
      <c r="AM195" s="2335"/>
      <c r="AN195" s="2335"/>
      <c r="AO195" s="2335"/>
      <c r="AP195" s="2335"/>
      <c r="AQ195" s="2335"/>
      <c r="AR195" s="2335"/>
      <c r="AS195" s="2339"/>
      <c r="AT195" s="2339"/>
      <c r="AU195" s="2339"/>
      <c r="AV195" s="2339"/>
      <c r="AW195" s="2339"/>
      <c r="AX195" s="2339"/>
      <c r="AY195" s="2339"/>
      <c r="AZ195" s="2339"/>
      <c r="BA195" s="2339"/>
      <c r="BB195" s="2339"/>
      <c r="BC195" s="2339"/>
      <c r="BD195" s="2339"/>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40" t="s">
        <v>2597</v>
      </c>
      <c r="D197" s="2341"/>
      <c r="E197" s="2341"/>
      <c r="F197" s="2341"/>
      <c r="G197" s="2341"/>
      <c r="H197" s="2341"/>
      <c r="I197" s="2341"/>
      <c r="J197" s="2341"/>
      <c r="K197" s="2341"/>
      <c r="L197" s="2341"/>
      <c r="M197" s="2341"/>
      <c r="N197" s="2341"/>
      <c r="O197" s="2341"/>
      <c r="P197" s="2341"/>
      <c r="Q197" s="2341"/>
      <c r="R197" s="2341"/>
      <c r="S197" s="2341"/>
      <c r="T197" s="2341"/>
      <c r="U197" s="2341"/>
      <c r="V197" s="2341"/>
      <c r="W197" s="2341"/>
      <c r="X197" s="2341"/>
      <c r="Y197" s="2341"/>
      <c r="Z197" s="2341"/>
      <c r="AA197" s="2341"/>
      <c r="AB197" s="2341"/>
      <c r="AC197" s="2341"/>
      <c r="AD197" s="2341"/>
      <c r="AE197" s="2342"/>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606" t="s">
        <v>2596</v>
      </c>
      <c r="D198" s="2606"/>
      <c r="E198" s="2606"/>
      <c r="F198" s="2606"/>
      <c r="G198" s="2606"/>
      <c r="H198" s="2606"/>
      <c r="I198" s="2606"/>
      <c r="J198" s="2606"/>
      <c r="K198" s="2606"/>
      <c r="L198" s="2606"/>
      <c r="M198" s="2606"/>
      <c r="N198" s="2606"/>
      <c r="O198" s="2607" t="s">
        <v>2595</v>
      </c>
      <c r="P198" s="2607"/>
      <c r="Q198" s="2607"/>
      <c r="R198" s="2607"/>
      <c r="S198" s="2607"/>
      <c r="T198" s="2607"/>
      <c r="U198" s="2607"/>
      <c r="V198" s="2607"/>
      <c r="W198" s="2607"/>
      <c r="X198" s="2607" t="s">
        <v>2594</v>
      </c>
      <c r="Y198" s="2607"/>
      <c r="Z198" s="2607"/>
      <c r="AA198" s="2607"/>
      <c r="AB198" s="2607"/>
      <c r="AC198" s="2607"/>
      <c r="AD198" s="2607"/>
      <c r="AE198" s="2607"/>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604" t="s">
        <v>2593</v>
      </c>
      <c r="D199" s="2604"/>
      <c r="E199" s="2604"/>
      <c r="F199" s="2604"/>
      <c r="G199" s="2604"/>
      <c r="H199" s="2604"/>
      <c r="I199" s="2604"/>
      <c r="J199" s="2604"/>
      <c r="K199" s="2604"/>
      <c r="L199" s="2604"/>
      <c r="M199" s="2604"/>
      <c r="N199" s="2604"/>
      <c r="O199" s="2336" t="s">
        <v>2592</v>
      </c>
      <c r="P199" s="2336"/>
      <c r="Q199" s="2336"/>
      <c r="R199" s="2336"/>
      <c r="S199" s="2336"/>
      <c r="T199" s="2336"/>
      <c r="U199" s="2336"/>
      <c r="V199" s="2336"/>
      <c r="W199" s="2336"/>
      <c r="X199" s="2337">
        <v>0.03</v>
      </c>
      <c r="Y199" s="2337"/>
      <c r="Z199" s="2337"/>
      <c r="AA199" s="2337"/>
      <c r="AB199" s="2337"/>
      <c r="AC199" s="2337"/>
      <c r="AD199" s="2337"/>
      <c r="AE199" s="2337"/>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604" t="s">
        <v>864</v>
      </c>
      <c r="D200" s="2604"/>
      <c r="E200" s="2604"/>
      <c r="F200" s="2604"/>
      <c r="G200" s="2604"/>
      <c r="H200" s="2604"/>
      <c r="I200" s="2604"/>
      <c r="J200" s="2604"/>
      <c r="K200" s="2604"/>
      <c r="L200" s="2604"/>
      <c r="M200" s="2604"/>
      <c r="N200" s="2604"/>
      <c r="O200" s="2336" t="s">
        <v>2592</v>
      </c>
      <c r="P200" s="2336"/>
      <c r="Q200" s="2336"/>
      <c r="R200" s="2336"/>
      <c r="S200" s="2336"/>
      <c r="T200" s="2336"/>
      <c r="U200" s="2336"/>
      <c r="V200" s="2336"/>
      <c r="W200" s="2336"/>
      <c r="X200" s="2337">
        <v>0.03</v>
      </c>
      <c r="Y200" s="2337"/>
      <c r="Z200" s="2337"/>
      <c r="AA200" s="2337"/>
      <c r="AB200" s="2337"/>
      <c r="AC200" s="2337"/>
      <c r="AD200" s="2337"/>
      <c r="AE200" s="2337"/>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604" t="s">
        <v>2591</v>
      </c>
      <c r="D201" s="2604"/>
      <c r="E201" s="2604"/>
      <c r="F201" s="2604"/>
      <c r="G201" s="2604"/>
      <c r="H201" s="2604"/>
      <c r="I201" s="2604"/>
      <c r="J201" s="2604"/>
      <c r="K201" s="2604"/>
      <c r="L201" s="2604"/>
      <c r="M201" s="2604"/>
      <c r="N201" s="2604"/>
      <c r="O201" s="2608">
        <f>SUM(O199:W200)</f>
        <v>0</v>
      </c>
      <c r="P201" s="2609"/>
      <c r="Q201" s="2609"/>
      <c r="R201" s="2609"/>
      <c r="S201" s="2609"/>
      <c r="T201" s="2609"/>
      <c r="U201" s="2609"/>
      <c r="V201" s="2609"/>
      <c r="W201" s="2609"/>
      <c r="X201" s="2609" t="s">
        <v>2590</v>
      </c>
      <c r="Y201" s="2609"/>
      <c r="Z201" s="2609"/>
      <c r="AA201" s="2609"/>
      <c r="AB201" s="2609"/>
      <c r="AC201" s="2609"/>
      <c r="AD201" s="2609"/>
      <c r="AE201" s="2609"/>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605" t="s">
        <v>2589</v>
      </c>
      <c r="D202" s="2605"/>
      <c r="E202" s="2605"/>
      <c r="F202" s="2605"/>
      <c r="G202" s="2605"/>
      <c r="H202" s="2605"/>
      <c r="I202" s="2605"/>
      <c r="J202" s="2605"/>
      <c r="K202" s="2605"/>
      <c r="L202" s="2605"/>
      <c r="M202" s="2605"/>
      <c r="N202" s="2605"/>
      <c r="O202" s="2605"/>
      <c r="P202" s="2605"/>
      <c r="Q202" s="2605"/>
      <c r="R202" s="2605"/>
      <c r="S202" s="2605"/>
      <c r="T202" s="2605"/>
      <c r="U202" s="2605"/>
      <c r="V202" s="2605"/>
      <c r="W202" s="2605"/>
      <c r="X202" s="2605"/>
      <c r="Y202" s="2605"/>
      <c r="Z202" s="2605"/>
      <c r="AA202" s="2605"/>
      <c r="AB202" s="2605"/>
      <c r="AC202" s="2605"/>
      <c r="AD202" s="2605"/>
      <c r="AE202" s="2605"/>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315" t="s">
        <v>2588</v>
      </c>
      <c r="D204" s="2316"/>
      <c r="E204" s="2316"/>
      <c r="F204" s="2316"/>
      <c r="G204" s="2316"/>
      <c r="H204" s="2316"/>
      <c r="I204" s="2316"/>
      <c r="J204" s="2316"/>
      <c r="K204" s="2316"/>
      <c r="L204" s="2316"/>
      <c r="M204" s="2316"/>
      <c r="N204" s="2316"/>
      <c r="O204" s="2316"/>
      <c r="P204" s="2316"/>
      <c r="Q204" s="2316"/>
      <c r="R204" s="2316"/>
      <c r="S204" s="2316"/>
      <c r="T204" s="2316"/>
      <c r="U204" s="2316"/>
      <c r="V204" s="2316"/>
      <c r="W204" s="2316"/>
      <c r="X204" s="2316"/>
      <c r="Y204" s="2316"/>
      <c r="Z204" s="2316"/>
      <c r="AA204" s="2316"/>
      <c r="AB204" s="2316"/>
      <c r="AC204" s="2316"/>
      <c r="AD204" s="2316"/>
      <c r="AE204" s="2316"/>
      <c r="AF204" s="2316"/>
      <c r="AG204" s="2316"/>
      <c r="AH204" s="2316"/>
      <c r="AI204" s="2316"/>
      <c r="AJ204" s="2316"/>
      <c r="AK204" s="2317"/>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318" t="s">
        <v>2587</v>
      </c>
      <c r="D205" s="2276"/>
      <c r="E205" s="2276"/>
      <c r="F205" s="2319"/>
      <c r="G205" s="2275" t="s">
        <v>2586</v>
      </c>
      <c r="H205" s="2276"/>
      <c r="I205" s="2276"/>
      <c r="J205" s="2276"/>
      <c r="K205" s="2276"/>
      <c r="L205" s="2276"/>
      <c r="M205" s="2276"/>
      <c r="N205" s="2276"/>
      <c r="O205" s="2319"/>
      <c r="P205" s="2322" t="s">
        <v>2585</v>
      </c>
      <c r="Q205" s="2323"/>
      <c r="R205" s="2323"/>
      <c r="S205" s="2323"/>
      <c r="T205" s="2324"/>
      <c r="U205" s="2269" t="s">
        <v>2584</v>
      </c>
      <c r="V205" s="2270"/>
      <c r="W205" s="2270"/>
      <c r="X205" s="2271"/>
      <c r="Y205" s="2269" t="s">
        <v>2583</v>
      </c>
      <c r="Z205" s="2270"/>
      <c r="AA205" s="2270"/>
      <c r="AB205" s="2271"/>
      <c r="AC205" s="2269" t="s">
        <v>2582</v>
      </c>
      <c r="AD205" s="2270"/>
      <c r="AE205" s="2270"/>
      <c r="AF205" s="2271"/>
      <c r="AG205" s="2275" t="s">
        <v>2581</v>
      </c>
      <c r="AH205" s="2276"/>
      <c r="AI205" s="2276"/>
      <c r="AJ205" s="2276"/>
      <c r="AK205" s="2277"/>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320"/>
      <c r="D206" s="2279"/>
      <c r="E206" s="2279"/>
      <c r="F206" s="2321"/>
      <c r="G206" s="2278"/>
      <c r="H206" s="2279"/>
      <c r="I206" s="2279"/>
      <c r="J206" s="2279"/>
      <c r="K206" s="2279"/>
      <c r="L206" s="2279"/>
      <c r="M206" s="2279"/>
      <c r="N206" s="2279"/>
      <c r="O206" s="2321"/>
      <c r="P206" s="2325"/>
      <c r="Q206" s="2326"/>
      <c r="R206" s="2326"/>
      <c r="S206" s="2326"/>
      <c r="T206" s="2327"/>
      <c r="U206" s="2272"/>
      <c r="V206" s="2273"/>
      <c r="W206" s="2273"/>
      <c r="X206" s="2274"/>
      <c r="Y206" s="2272"/>
      <c r="Z206" s="2273"/>
      <c r="AA206" s="2273"/>
      <c r="AB206" s="2274"/>
      <c r="AC206" s="2272"/>
      <c r="AD206" s="2273"/>
      <c r="AE206" s="2273"/>
      <c r="AF206" s="2274"/>
      <c r="AG206" s="2278"/>
      <c r="AH206" s="2279"/>
      <c r="AI206" s="2279"/>
      <c r="AJ206" s="2279"/>
      <c r="AK206" s="2280"/>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281">
        <v>1</v>
      </c>
      <c r="D207" s="2282"/>
      <c r="E207" s="2282"/>
      <c r="F207" s="2282"/>
      <c r="G207" s="2283" t="s">
        <v>2149</v>
      </c>
      <c r="H207" s="2283"/>
      <c r="I207" s="2283"/>
      <c r="J207" s="2283"/>
      <c r="K207" s="2283"/>
      <c r="L207" s="2283"/>
      <c r="M207" s="2283"/>
      <c r="N207" s="2283"/>
      <c r="O207" s="2283"/>
      <c r="P207" s="2284"/>
      <c r="Q207" s="2285"/>
      <c r="R207" s="2285"/>
      <c r="S207" s="2285"/>
      <c r="T207" s="2285"/>
      <c r="U207" s="2286" t="s">
        <v>2149</v>
      </c>
      <c r="V207" s="2286"/>
      <c r="W207" s="2286"/>
      <c r="X207" s="2286"/>
      <c r="Y207" s="2286" t="s">
        <v>2149</v>
      </c>
      <c r="Z207" s="2286"/>
      <c r="AA207" s="2286"/>
      <c r="AB207" s="2286"/>
      <c r="AC207" s="2287" t="s">
        <v>2149</v>
      </c>
      <c r="AD207" s="2287"/>
      <c r="AE207" s="2287"/>
      <c r="AF207" s="2287"/>
      <c r="AG207" s="2266"/>
      <c r="AH207" s="2267"/>
      <c r="AI207" s="2267"/>
      <c r="AJ207" s="2267"/>
      <c r="AK207" s="2268"/>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281">
        <v>2</v>
      </c>
      <c r="D208" s="2282"/>
      <c r="E208" s="2282"/>
      <c r="F208" s="2282"/>
      <c r="G208" s="2283" t="s">
        <v>2149</v>
      </c>
      <c r="H208" s="2283"/>
      <c r="I208" s="2283"/>
      <c r="J208" s="2283"/>
      <c r="K208" s="2283"/>
      <c r="L208" s="2283"/>
      <c r="M208" s="2283"/>
      <c r="N208" s="2283"/>
      <c r="O208" s="2283"/>
      <c r="P208" s="2284"/>
      <c r="Q208" s="2284"/>
      <c r="R208" s="2284"/>
      <c r="S208" s="2284"/>
      <c r="T208" s="2284"/>
      <c r="U208" s="2286" t="s">
        <v>2149</v>
      </c>
      <c r="V208" s="2286"/>
      <c r="W208" s="2286"/>
      <c r="X208" s="2286"/>
      <c r="Y208" s="2286" t="s">
        <v>2149</v>
      </c>
      <c r="Z208" s="2286"/>
      <c r="AA208" s="2286"/>
      <c r="AB208" s="2286"/>
      <c r="AC208" s="2287" t="s">
        <v>2149</v>
      </c>
      <c r="AD208" s="2287"/>
      <c r="AE208" s="2287"/>
      <c r="AF208" s="2287"/>
      <c r="AG208" s="2266"/>
      <c r="AH208" s="2267"/>
      <c r="AI208" s="2267"/>
      <c r="AJ208" s="2267"/>
      <c r="AK208" s="2268"/>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281">
        <v>3</v>
      </c>
      <c r="D209" s="2282"/>
      <c r="E209" s="2282"/>
      <c r="F209" s="2282"/>
      <c r="G209" s="2283" t="s">
        <v>2149</v>
      </c>
      <c r="H209" s="2283"/>
      <c r="I209" s="2283"/>
      <c r="J209" s="2283"/>
      <c r="K209" s="2283"/>
      <c r="L209" s="2283"/>
      <c r="M209" s="2283"/>
      <c r="N209" s="2283"/>
      <c r="O209" s="2283"/>
      <c r="P209" s="2284"/>
      <c r="Q209" s="2284"/>
      <c r="R209" s="2284"/>
      <c r="S209" s="2284"/>
      <c r="T209" s="2284"/>
      <c r="U209" s="2286" t="s">
        <v>2149</v>
      </c>
      <c r="V209" s="2286"/>
      <c r="W209" s="2286"/>
      <c r="X209" s="2286"/>
      <c r="Y209" s="2286" t="s">
        <v>2149</v>
      </c>
      <c r="Z209" s="2286"/>
      <c r="AA209" s="2286"/>
      <c r="AB209" s="2286"/>
      <c r="AC209" s="2287" t="s">
        <v>2149</v>
      </c>
      <c r="AD209" s="2287"/>
      <c r="AE209" s="2287"/>
      <c r="AF209" s="2287"/>
      <c r="AG209" s="2266"/>
      <c r="AH209" s="2267"/>
      <c r="AI209" s="2267"/>
      <c r="AJ209" s="2267"/>
      <c r="AK209" s="2268"/>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281">
        <v>4</v>
      </c>
      <c r="D210" s="2282"/>
      <c r="E210" s="2282"/>
      <c r="F210" s="2282"/>
      <c r="G210" s="2283" t="s">
        <v>2149</v>
      </c>
      <c r="H210" s="2283"/>
      <c r="I210" s="2283"/>
      <c r="J210" s="2283"/>
      <c r="K210" s="2283"/>
      <c r="L210" s="2283"/>
      <c r="M210" s="2283"/>
      <c r="N210" s="2283"/>
      <c r="O210" s="2283"/>
      <c r="P210" s="2284"/>
      <c r="Q210" s="2284"/>
      <c r="R210" s="2284"/>
      <c r="S210" s="2284"/>
      <c r="T210" s="2284"/>
      <c r="U210" s="2286" t="s">
        <v>2149</v>
      </c>
      <c r="V210" s="2286"/>
      <c r="W210" s="2286"/>
      <c r="X210" s="2286"/>
      <c r="Y210" s="2286" t="s">
        <v>2149</v>
      </c>
      <c r="Z210" s="2286"/>
      <c r="AA210" s="2286"/>
      <c r="AB210" s="2286"/>
      <c r="AC210" s="2287" t="s">
        <v>2149</v>
      </c>
      <c r="AD210" s="2287"/>
      <c r="AE210" s="2287"/>
      <c r="AF210" s="2287"/>
      <c r="AG210" s="2266"/>
      <c r="AH210" s="2267"/>
      <c r="AI210" s="2267"/>
      <c r="AJ210" s="2267"/>
      <c r="AK210" s="2268"/>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281">
        <v>5</v>
      </c>
      <c r="D211" s="2282"/>
      <c r="E211" s="2282"/>
      <c r="F211" s="2282"/>
      <c r="G211" s="2283"/>
      <c r="H211" s="2283"/>
      <c r="I211" s="2283"/>
      <c r="J211" s="2283"/>
      <c r="K211" s="2283"/>
      <c r="L211" s="2283"/>
      <c r="M211" s="2283"/>
      <c r="N211" s="2283"/>
      <c r="O211" s="2283"/>
      <c r="P211" s="2284"/>
      <c r="Q211" s="2284"/>
      <c r="R211" s="2284"/>
      <c r="S211" s="2284"/>
      <c r="T211" s="2284"/>
      <c r="U211" s="2286" t="s">
        <v>2149</v>
      </c>
      <c r="V211" s="2286"/>
      <c r="W211" s="2286"/>
      <c r="X211" s="2286"/>
      <c r="Y211" s="2286" t="s">
        <v>2149</v>
      </c>
      <c r="Z211" s="2286"/>
      <c r="AA211" s="2286"/>
      <c r="AB211" s="2286"/>
      <c r="AC211" s="2287" t="s">
        <v>2149</v>
      </c>
      <c r="AD211" s="2287"/>
      <c r="AE211" s="2287"/>
      <c r="AF211" s="2287"/>
      <c r="AG211" s="2266"/>
      <c r="AH211" s="2267"/>
      <c r="AI211" s="2267"/>
      <c r="AJ211" s="2267"/>
      <c r="AK211" s="2268"/>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281">
        <v>6</v>
      </c>
      <c r="D212" s="2282"/>
      <c r="E212" s="2282"/>
      <c r="F212" s="2282"/>
      <c r="G212" s="2283" t="s">
        <v>2149</v>
      </c>
      <c r="H212" s="2283"/>
      <c r="I212" s="2283"/>
      <c r="J212" s="2283"/>
      <c r="K212" s="2283"/>
      <c r="L212" s="2283"/>
      <c r="M212" s="2283"/>
      <c r="N212" s="2283"/>
      <c r="O212" s="2283"/>
      <c r="P212" s="2284"/>
      <c r="Q212" s="2284"/>
      <c r="R212" s="2284"/>
      <c r="S212" s="2284"/>
      <c r="T212" s="2284"/>
      <c r="U212" s="2286"/>
      <c r="V212" s="2286"/>
      <c r="W212" s="2286"/>
      <c r="X212" s="2286"/>
      <c r="Y212" s="2286"/>
      <c r="Z212" s="2286"/>
      <c r="AA212" s="2286"/>
      <c r="AB212" s="2286"/>
      <c r="AC212" s="2287" t="s">
        <v>2149</v>
      </c>
      <c r="AD212" s="2287"/>
      <c r="AE212" s="2287"/>
      <c r="AF212" s="2287"/>
      <c r="AG212" s="2266"/>
      <c r="AH212" s="2267"/>
      <c r="AI212" s="2267"/>
      <c r="AJ212" s="2267"/>
      <c r="AK212" s="2268"/>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281">
        <v>7</v>
      </c>
      <c r="D213" s="2282"/>
      <c r="E213" s="2282"/>
      <c r="F213" s="2282"/>
      <c r="G213" s="2617"/>
      <c r="H213" s="2618"/>
      <c r="I213" s="2618"/>
      <c r="J213" s="2618"/>
      <c r="K213" s="2618"/>
      <c r="L213" s="2618"/>
      <c r="M213" s="2618"/>
      <c r="N213" s="2618"/>
      <c r="O213" s="2619"/>
      <c r="P213" s="2284"/>
      <c r="Q213" s="2284"/>
      <c r="R213" s="2284"/>
      <c r="S213" s="2284"/>
      <c r="T213" s="2284"/>
      <c r="U213" s="2286"/>
      <c r="V213" s="2286"/>
      <c r="W213" s="2286"/>
      <c r="X213" s="2286"/>
      <c r="Y213" s="2286"/>
      <c r="Z213" s="2286"/>
      <c r="AA213" s="2286"/>
      <c r="AB213" s="2286"/>
      <c r="AC213" s="2287" t="s">
        <v>2149</v>
      </c>
      <c r="AD213" s="2287"/>
      <c r="AE213" s="2287"/>
      <c r="AF213" s="2287"/>
      <c r="AG213" s="2266"/>
      <c r="AH213" s="2267"/>
      <c r="AI213" s="2267"/>
      <c r="AJ213" s="2267"/>
      <c r="AK213" s="2268"/>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620" t="s">
        <v>2580</v>
      </c>
      <c r="D214" s="2621"/>
      <c r="E214" s="2621"/>
      <c r="F214" s="2621"/>
      <c r="G214" s="2621"/>
      <c r="H214" s="2621"/>
      <c r="I214" s="2621"/>
      <c r="J214" s="2621"/>
      <c r="K214" s="2621"/>
      <c r="L214" s="2621"/>
      <c r="M214" s="2621"/>
      <c r="N214" s="2621"/>
      <c r="O214" s="2621"/>
      <c r="P214" s="2622"/>
      <c r="Q214" s="2622"/>
      <c r="R214" s="2622"/>
      <c r="S214" s="2622"/>
      <c r="T214" s="2622"/>
      <c r="U214" s="2623">
        <v>0</v>
      </c>
      <c r="V214" s="2623"/>
      <c r="W214" s="2623"/>
      <c r="X214" s="2623"/>
      <c r="Y214" s="2623">
        <v>0</v>
      </c>
      <c r="Z214" s="2623"/>
      <c r="AA214" s="2623"/>
      <c r="AB214" s="2623"/>
      <c r="AC214" s="2624">
        <v>0</v>
      </c>
      <c r="AD214" s="2624"/>
      <c r="AE214" s="2624"/>
      <c r="AF214" s="2624"/>
      <c r="AG214" s="2263"/>
      <c r="AH214" s="2264"/>
      <c r="AI214" s="2264"/>
      <c r="AJ214" s="2264"/>
      <c r="AK214" s="2265"/>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2579</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91" t="s">
        <v>1849</v>
      </c>
      <c r="C219" s="2292"/>
      <c r="D219" s="2292"/>
      <c r="E219" s="2292"/>
      <c r="F219" s="2292"/>
      <c r="G219" s="2292"/>
      <c r="H219" s="2292"/>
      <c r="I219" s="2292"/>
      <c r="J219" s="2292"/>
      <c r="K219" s="2292"/>
      <c r="L219" s="2292"/>
      <c r="M219" s="2292"/>
      <c r="N219" s="2292"/>
      <c r="O219" s="2292"/>
      <c r="P219" s="2292"/>
      <c r="Q219" s="2292"/>
      <c r="R219" s="2292"/>
      <c r="S219" s="2292"/>
      <c r="T219" s="2292"/>
      <c r="U219" s="2292"/>
      <c r="V219" s="2292"/>
      <c r="W219" s="2292"/>
      <c r="X219" s="2292"/>
      <c r="Y219" s="2292"/>
      <c r="Z219" s="2292"/>
      <c r="AA219" s="2292"/>
      <c r="AB219" s="2292"/>
      <c r="AC219" s="2292"/>
      <c r="AD219" s="2292"/>
      <c r="AE219" s="2292"/>
      <c r="AF219" s="2292"/>
      <c r="AG219" s="2292"/>
      <c r="AH219" s="2292"/>
      <c r="AI219" s="2292"/>
      <c r="AJ219" s="2292"/>
      <c r="AK219" s="2292"/>
      <c r="AL219" s="2292"/>
      <c r="AM219" s="2292"/>
      <c r="AN219" s="2292"/>
      <c r="AO219" s="2292"/>
      <c r="AP219" s="2292"/>
      <c r="AQ219" s="2292"/>
      <c r="AR219" s="2292"/>
      <c r="AS219" s="2292"/>
      <c r="AT219" s="2292"/>
      <c r="AU219" s="2292"/>
      <c r="AV219" s="2292"/>
      <c r="AW219" s="2292"/>
      <c r="AX219" s="2292"/>
      <c r="AY219" s="2292"/>
      <c r="AZ219" s="2292"/>
      <c r="BA219" s="2292"/>
      <c r="BB219" s="2292"/>
      <c r="BC219" s="2292"/>
      <c r="BD219" s="2293"/>
      <c r="BE219" s="1202"/>
    </row>
    <row r="220" spans="1:57" ht="15.75" customHeight="1">
      <c r="A220" s="1206"/>
      <c r="B220" s="2294"/>
      <c r="C220" s="2295"/>
      <c r="D220" s="2295"/>
      <c r="E220" s="2295"/>
      <c r="F220" s="2295"/>
      <c r="G220" s="2295"/>
      <c r="H220" s="2295"/>
      <c r="I220" s="2295"/>
      <c r="J220" s="2295"/>
      <c r="K220" s="2295"/>
      <c r="L220" s="2295"/>
      <c r="M220" s="2295"/>
      <c r="N220" s="2295"/>
      <c r="O220" s="2295"/>
      <c r="P220" s="2295"/>
      <c r="Q220" s="2295"/>
      <c r="R220" s="2295"/>
      <c r="S220" s="2295"/>
      <c r="T220" s="2295"/>
      <c r="U220" s="2295"/>
      <c r="V220" s="2295"/>
      <c r="W220" s="2295"/>
      <c r="X220" s="2295"/>
      <c r="Y220" s="2295"/>
      <c r="Z220" s="2295"/>
      <c r="AA220" s="2295"/>
      <c r="AB220" s="2295"/>
      <c r="AC220" s="2295"/>
      <c r="AD220" s="2295"/>
      <c r="AE220" s="2295"/>
      <c r="AF220" s="2295"/>
      <c r="AG220" s="2295"/>
      <c r="AH220" s="2295"/>
      <c r="AI220" s="2295"/>
      <c r="AJ220" s="2295"/>
      <c r="AK220" s="2295"/>
      <c r="AL220" s="2295"/>
      <c r="AM220" s="2295"/>
      <c r="AN220" s="2295"/>
      <c r="AO220" s="2295"/>
      <c r="AP220" s="2295"/>
      <c r="AQ220" s="2295"/>
      <c r="AR220" s="2295"/>
      <c r="AS220" s="2295"/>
      <c r="AT220" s="2295"/>
      <c r="AU220" s="2295"/>
      <c r="AV220" s="2295"/>
      <c r="AW220" s="2295"/>
      <c r="AX220" s="2295"/>
      <c r="AY220" s="2295"/>
      <c r="AZ220" s="2295"/>
      <c r="BA220" s="2295"/>
      <c r="BB220" s="2295"/>
      <c r="BC220" s="2295"/>
      <c r="BD220" s="2296"/>
      <c r="BE220" s="1202"/>
    </row>
    <row r="221" spans="1:57" ht="15.75" customHeight="1">
      <c r="A221" s="1206"/>
      <c r="B221" s="2297" t="s">
        <v>1850</v>
      </c>
      <c r="C221" s="2298"/>
      <c r="D221" s="2298"/>
      <c r="E221" s="2298"/>
      <c r="F221" s="2298"/>
      <c r="G221" s="2298"/>
      <c r="H221" s="2298"/>
      <c r="I221" s="2298"/>
      <c r="J221" s="2298"/>
      <c r="K221" s="2298"/>
      <c r="L221" s="2298"/>
      <c r="M221" s="2298"/>
      <c r="N221" s="2298"/>
      <c r="O221" s="2298"/>
      <c r="P221" s="2298"/>
      <c r="Q221" s="2298"/>
      <c r="R221" s="2298"/>
      <c r="S221" s="2298"/>
      <c r="T221" s="2298"/>
      <c r="U221" s="2298"/>
      <c r="V221" s="2298"/>
      <c r="W221" s="2298"/>
      <c r="X221" s="2298"/>
      <c r="Y221" s="2298"/>
      <c r="Z221" s="2298"/>
      <c r="AA221" s="2298"/>
      <c r="AB221" s="2298"/>
      <c r="AC221" s="2298"/>
      <c r="AD221" s="2298"/>
      <c r="AE221" s="2298"/>
      <c r="AF221" s="2298"/>
      <c r="AG221" s="2298"/>
      <c r="AH221" s="2298"/>
      <c r="AI221" s="2298"/>
      <c r="AJ221" s="2298"/>
      <c r="AK221" s="2298"/>
      <c r="AL221" s="2298"/>
      <c r="AM221" s="2298"/>
      <c r="AN221" s="2298"/>
      <c r="AO221" s="2298"/>
      <c r="AP221" s="2298"/>
      <c r="AQ221" s="2298"/>
      <c r="AR221" s="2298"/>
      <c r="AS221" s="2298"/>
      <c r="AT221" s="2298"/>
      <c r="AU221" s="2298"/>
      <c r="AV221" s="2298"/>
      <c r="AW221" s="2298"/>
      <c r="AX221" s="2298"/>
      <c r="AY221" s="2298"/>
      <c r="AZ221" s="2298"/>
      <c r="BA221" s="2298"/>
      <c r="BB221" s="2298"/>
      <c r="BC221" s="2298"/>
      <c r="BD221" s="2299"/>
      <c r="BE221" s="1202"/>
    </row>
    <row r="222" spans="1:57" ht="15.75" customHeight="1">
      <c r="A222" s="1206"/>
      <c r="B222" s="2297" t="s">
        <v>1851</v>
      </c>
      <c r="C222" s="2298"/>
      <c r="D222" s="2298"/>
      <c r="E222" s="2298"/>
      <c r="F222" s="2298"/>
      <c r="G222" s="2298"/>
      <c r="H222" s="2298"/>
      <c r="I222" s="2298"/>
      <c r="J222" s="2298"/>
      <c r="K222" s="2298"/>
      <c r="L222" s="2298"/>
      <c r="M222" s="2298"/>
      <c r="N222" s="2298"/>
      <c r="O222" s="2298"/>
      <c r="P222" s="2298"/>
      <c r="Q222" s="2298"/>
      <c r="R222" s="2298"/>
      <c r="S222" s="2298"/>
      <c r="T222" s="2298"/>
      <c r="U222" s="2298"/>
      <c r="V222" s="2298"/>
      <c r="W222" s="2298"/>
      <c r="X222" s="2298"/>
      <c r="Y222" s="2298"/>
      <c r="Z222" s="2298"/>
      <c r="AA222" s="2298"/>
      <c r="AB222" s="2298"/>
      <c r="AC222" s="2298"/>
      <c r="AD222" s="2298"/>
      <c r="AE222" s="2298"/>
      <c r="AF222" s="2298"/>
      <c r="AG222" s="2298"/>
      <c r="AH222" s="2298"/>
      <c r="AI222" s="2298"/>
      <c r="AJ222" s="2298"/>
      <c r="AK222" s="2298"/>
      <c r="AL222" s="2298"/>
      <c r="AM222" s="2298"/>
      <c r="AN222" s="2298"/>
      <c r="AO222" s="2298"/>
      <c r="AP222" s="2298"/>
      <c r="AQ222" s="2298"/>
      <c r="AR222" s="2298"/>
      <c r="AS222" s="2298"/>
      <c r="AT222" s="2298"/>
      <c r="AU222" s="2298"/>
      <c r="AV222" s="2298"/>
      <c r="AW222" s="2298"/>
      <c r="AX222" s="2298"/>
      <c r="AY222" s="2298"/>
      <c r="AZ222" s="2298"/>
      <c r="BA222" s="2298"/>
      <c r="BB222" s="2298"/>
      <c r="BC222" s="2298"/>
      <c r="BD222" s="2299"/>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300" t="s">
        <v>1852</v>
      </c>
      <c r="C224" s="2301"/>
      <c r="D224" s="2301"/>
      <c r="E224" s="2301"/>
      <c r="F224" s="2301"/>
      <c r="G224" s="2301"/>
      <c r="H224" s="2301"/>
      <c r="I224" s="2301"/>
      <c r="J224" s="2301"/>
      <c r="K224" s="2301"/>
      <c r="L224" s="2301"/>
      <c r="M224" s="2301"/>
      <c r="N224" s="2301"/>
      <c r="O224" s="2301"/>
      <c r="P224" s="2301"/>
      <c r="Q224" s="2301"/>
      <c r="R224" s="2301"/>
      <c r="S224" s="2301"/>
      <c r="T224" s="2301"/>
      <c r="U224" s="2301"/>
      <c r="V224" s="2301"/>
      <c r="W224" s="2301"/>
      <c r="X224" s="2301"/>
      <c r="Y224" s="2301"/>
      <c r="Z224" s="2301"/>
      <c r="AA224" s="2301"/>
      <c r="AB224" s="2301"/>
      <c r="AC224" s="2301"/>
      <c r="AD224" s="2301"/>
      <c r="AE224" s="2301"/>
      <c r="AF224" s="2301"/>
      <c r="AG224" s="2301"/>
      <c r="AH224" s="2301"/>
      <c r="AI224" s="2301"/>
      <c r="AJ224" s="2301"/>
      <c r="AK224" s="2301"/>
      <c r="AL224" s="2301"/>
      <c r="AM224" s="2301"/>
      <c r="AN224" s="2301"/>
      <c r="AO224" s="2301"/>
      <c r="AP224" s="2301"/>
      <c r="AQ224" s="2301"/>
      <c r="AR224" s="2301"/>
      <c r="AS224" s="2301"/>
      <c r="AT224" s="2301"/>
      <c r="AU224" s="2301"/>
      <c r="AV224" s="2301"/>
      <c r="AW224" s="2301"/>
      <c r="AX224" s="2301"/>
      <c r="AY224" s="2301"/>
      <c r="AZ224" s="2301"/>
      <c r="BA224" s="2301"/>
      <c r="BB224" s="2301"/>
      <c r="BC224" s="2301"/>
      <c r="BD224" s="2302"/>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1853</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314" t="s">
        <v>1854</v>
      </c>
      <c r="I228" s="2314"/>
      <c r="J228" s="2314"/>
      <c r="K228" s="2314"/>
      <c r="L228" s="2314"/>
      <c r="M228" s="2314"/>
      <c r="N228" s="2314"/>
      <c r="O228" s="2314"/>
      <c r="P228" s="2314"/>
      <c r="Q228" s="2314"/>
      <c r="R228" s="2314"/>
      <c r="S228" s="2314"/>
      <c r="T228" s="2314"/>
      <c r="U228" s="2314"/>
      <c r="V228" s="2314"/>
      <c r="W228" s="2314"/>
      <c r="X228" s="2314"/>
      <c r="Y228" s="2314"/>
      <c r="Z228" s="2314"/>
      <c r="AA228" s="2314"/>
      <c r="AB228" s="2314"/>
      <c r="AC228" s="2314"/>
      <c r="AD228" s="2314"/>
      <c r="AE228" s="2314"/>
      <c r="AF228" s="2314"/>
      <c r="AG228" s="2314"/>
      <c r="AH228" s="2314"/>
      <c r="AI228" s="2314"/>
      <c r="AJ228" s="2314"/>
      <c r="AK228" s="2314"/>
      <c r="AL228" s="2314"/>
      <c r="AM228" s="2314"/>
      <c r="AN228" s="2314"/>
      <c r="AO228" s="2314"/>
      <c r="AP228" s="2314"/>
      <c r="AQ228" s="2314"/>
      <c r="AR228" s="2314"/>
      <c r="AS228" s="2314"/>
      <c r="AT228" s="2314"/>
      <c r="AU228" s="2314"/>
      <c r="AV228" s="2314"/>
      <c r="AW228" s="2314"/>
      <c r="AX228" s="2314"/>
      <c r="AY228" s="2314"/>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313" t="s">
        <v>2493</v>
      </c>
      <c r="I230" s="2313"/>
      <c r="J230" s="2313"/>
      <c r="K230" s="2313"/>
      <c r="L230" s="2313"/>
      <c r="M230" s="2313"/>
      <c r="N230" s="2313"/>
      <c r="O230" s="2313"/>
      <c r="P230" s="2313"/>
      <c r="Q230" s="2313"/>
      <c r="R230" s="2313"/>
      <c r="S230" s="2313"/>
      <c r="T230" s="2313"/>
      <c r="U230" s="2313"/>
      <c r="V230" s="2313"/>
      <c r="W230" s="2313"/>
      <c r="X230" s="2313"/>
      <c r="Y230" s="2313"/>
      <c r="Z230" s="2313"/>
      <c r="AA230" s="2313"/>
      <c r="AB230" s="2313"/>
      <c r="AC230" s="2313"/>
      <c r="AD230" s="2313"/>
      <c r="AE230" s="2313"/>
      <c r="AF230" s="2313"/>
      <c r="AG230" s="2313"/>
      <c r="AH230" s="2313"/>
      <c r="AI230" s="2313"/>
      <c r="AJ230" s="2313"/>
      <c r="AK230" s="2313"/>
      <c r="AL230" s="2313"/>
      <c r="AM230" s="2313"/>
      <c r="AN230" s="2313"/>
      <c r="AO230" s="2313"/>
      <c r="AP230" s="2313"/>
      <c r="AQ230" s="2313"/>
      <c r="AR230" s="2313"/>
      <c r="AS230" s="2313"/>
      <c r="AT230" s="2313"/>
      <c r="AU230" s="2313"/>
      <c r="AV230" s="2313"/>
      <c r="AW230" s="2313"/>
      <c r="AX230" s="2313"/>
      <c r="AY230" s="2313"/>
      <c r="AZ230" s="2313"/>
      <c r="BA230" s="1206"/>
      <c r="BB230" s="1206"/>
      <c r="BC230" s="1206"/>
      <c r="BD230" s="1202"/>
      <c r="BE230" s="1202"/>
    </row>
    <row r="231" spans="1:57" ht="15.75" customHeight="1">
      <c r="A231" s="1206"/>
      <c r="B231" s="1212"/>
      <c r="C231" s="1206"/>
      <c r="D231" s="1206"/>
      <c r="E231" s="1206"/>
      <c r="F231" s="1206"/>
      <c r="G231" s="1206"/>
      <c r="H231" s="2313"/>
      <c r="I231" s="2313"/>
      <c r="J231" s="2313"/>
      <c r="K231" s="2313"/>
      <c r="L231" s="2313"/>
      <c r="M231" s="2313"/>
      <c r="N231" s="2313"/>
      <c r="O231" s="2313"/>
      <c r="P231" s="2313"/>
      <c r="Q231" s="2313"/>
      <c r="R231" s="2313"/>
      <c r="S231" s="2313"/>
      <c r="T231" s="2313"/>
      <c r="U231" s="2313"/>
      <c r="V231" s="2313"/>
      <c r="W231" s="2313"/>
      <c r="X231" s="2313"/>
      <c r="Y231" s="2313"/>
      <c r="Z231" s="2313"/>
      <c r="AA231" s="2313"/>
      <c r="AB231" s="2313"/>
      <c r="AC231" s="2313"/>
      <c r="AD231" s="2313"/>
      <c r="AE231" s="2313"/>
      <c r="AF231" s="2313"/>
      <c r="AG231" s="2313"/>
      <c r="AH231" s="2313"/>
      <c r="AI231" s="2313"/>
      <c r="AJ231" s="2313"/>
      <c r="AK231" s="2313"/>
      <c r="AL231" s="2313"/>
      <c r="AM231" s="2313"/>
      <c r="AN231" s="2313"/>
      <c r="AO231" s="2313"/>
      <c r="AP231" s="2313"/>
      <c r="AQ231" s="2313"/>
      <c r="AR231" s="2313"/>
      <c r="AS231" s="2313"/>
      <c r="AT231" s="2313"/>
      <c r="AU231" s="2313"/>
      <c r="AV231" s="2313"/>
      <c r="AW231" s="2313"/>
      <c r="AX231" s="2313"/>
      <c r="AY231" s="2313"/>
      <c r="AZ231" s="2313"/>
      <c r="BA231" s="1206"/>
      <c r="BB231" s="1206"/>
      <c r="BC231" s="1206"/>
      <c r="BD231" s="1202"/>
      <c r="BE231" s="1202"/>
    </row>
    <row r="232" spans="1:57" ht="15.75" customHeight="1">
      <c r="A232" s="1206"/>
      <c r="B232" s="1212"/>
      <c r="C232" s="1206"/>
      <c r="D232" s="1206"/>
      <c r="E232" s="1206"/>
      <c r="F232" s="1206"/>
      <c r="G232" s="1206"/>
      <c r="H232" s="2313"/>
      <c r="I232" s="2313"/>
      <c r="J232" s="2313"/>
      <c r="K232" s="2313"/>
      <c r="L232" s="2313"/>
      <c r="M232" s="2313"/>
      <c r="N232" s="2313"/>
      <c r="O232" s="2313"/>
      <c r="P232" s="2313"/>
      <c r="Q232" s="2313"/>
      <c r="R232" s="2313"/>
      <c r="S232" s="2313"/>
      <c r="T232" s="2313"/>
      <c r="U232" s="2313"/>
      <c r="V232" s="2313"/>
      <c r="W232" s="2313"/>
      <c r="X232" s="2313"/>
      <c r="Y232" s="2313"/>
      <c r="Z232" s="2313"/>
      <c r="AA232" s="2313"/>
      <c r="AB232" s="2313"/>
      <c r="AC232" s="2313"/>
      <c r="AD232" s="2313"/>
      <c r="AE232" s="2313"/>
      <c r="AF232" s="2313"/>
      <c r="AG232" s="2313"/>
      <c r="AH232" s="2313"/>
      <c r="AI232" s="2313"/>
      <c r="AJ232" s="2313"/>
      <c r="AK232" s="2313"/>
      <c r="AL232" s="2313"/>
      <c r="AM232" s="2313"/>
      <c r="AN232" s="2313"/>
      <c r="AO232" s="2313"/>
      <c r="AP232" s="2313"/>
      <c r="AQ232" s="2313"/>
      <c r="AR232" s="2313"/>
      <c r="AS232" s="2313"/>
      <c r="AT232" s="2313"/>
      <c r="AU232" s="2313"/>
      <c r="AV232" s="2313"/>
      <c r="AW232" s="2313"/>
      <c r="AX232" s="2313"/>
      <c r="AY232" s="2313"/>
      <c r="AZ232" s="2313"/>
      <c r="BA232" s="1206"/>
      <c r="BB232" s="1206"/>
      <c r="BC232" s="1206"/>
      <c r="BD232" s="1202"/>
      <c r="BE232" s="1202"/>
    </row>
    <row r="233" spans="1:57" ht="15.75" customHeight="1">
      <c r="A233" s="1206"/>
      <c r="B233" s="1212"/>
      <c r="C233" s="1206"/>
      <c r="D233" s="1206"/>
      <c r="E233" s="1206"/>
      <c r="F233" s="1206"/>
      <c r="G233" s="1206"/>
      <c r="H233" s="2313"/>
      <c r="I233" s="2313"/>
      <c r="J233" s="2313"/>
      <c r="K233" s="2313"/>
      <c r="L233" s="2313"/>
      <c r="M233" s="2313"/>
      <c r="N233" s="2313"/>
      <c r="O233" s="2313"/>
      <c r="P233" s="2313"/>
      <c r="Q233" s="2313"/>
      <c r="R233" s="2313"/>
      <c r="S233" s="2313"/>
      <c r="T233" s="2313"/>
      <c r="U233" s="2313"/>
      <c r="V233" s="2313"/>
      <c r="W233" s="2313"/>
      <c r="X233" s="2313"/>
      <c r="Y233" s="2313"/>
      <c r="Z233" s="2313"/>
      <c r="AA233" s="2313"/>
      <c r="AB233" s="2313"/>
      <c r="AC233" s="2313"/>
      <c r="AD233" s="2313"/>
      <c r="AE233" s="2313"/>
      <c r="AF233" s="2313"/>
      <c r="AG233" s="2313"/>
      <c r="AH233" s="2313"/>
      <c r="AI233" s="2313"/>
      <c r="AJ233" s="2313"/>
      <c r="AK233" s="2313"/>
      <c r="AL233" s="2313"/>
      <c r="AM233" s="2313"/>
      <c r="AN233" s="2313"/>
      <c r="AO233" s="2313"/>
      <c r="AP233" s="2313"/>
      <c r="AQ233" s="2313"/>
      <c r="AR233" s="2313"/>
      <c r="AS233" s="2313"/>
      <c r="AT233" s="2313"/>
      <c r="AU233" s="2313"/>
      <c r="AV233" s="2313"/>
      <c r="AW233" s="2313"/>
      <c r="AX233" s="2313"/>
      <c r="AY233" s="2313"/>
      <c r="AZ233" s="2313"/>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312" t="s">
        <v>1855</v>
      </c>
      <c r="I235" s="2312"/>
      <c r="J235" s="2312"/>
      <c r="K235" s="2312"/>
      <c r="L235" s="2312"/>
      <c r="M235" s="2312"/>
      <c r="N235" s="2312"/>
      <c r="O235" s="2312"/>
      <c r="P235" s="2312"/>
      <c r="Q235" s="2312"/>
      <c r="R235" s="2312"/>
      <c r="S235" s="2312"/>
      <c r="T235" s="2312"/>
      <c r="U235" s="2312"/>
      <c r="V235" s="2312"/>
      <c r="W235" s="2312"/>
      <c r="X235" s="2312"/>
      <c r="Y235" s="2312"/>
      <c r="Z235" s="2312"/>
      <c r="AA235" s="2312"/>
      <c r="AB235" s="2312"/>
      <c r="AC235" s="2312"/>
      <c r="AD235" s="2312"/>
      <c r="AE235" s="2312"/>
      <c r="AF235" s="2312"/>
      <c r="AG235" s="2312"/>
      <c r="AH235" s="2312"/>
      <c r="AI235" s="2312"/>
      <c r="AJ235" s="2312"/>
      <c r="AK235" s="2312"/>
      <c r="AL235" s="2312"/>
      <c r="AM235" s="2312"/>
      <c r="AN235" s="2312"/>
      <c r="AO235" s="2312"/>
      <c r="AP235" s="2312"/>
      <c r="AQ235" s="2312"/>
      <c r="AR235" s="2312"/>
      <c r="AS235" s="2312"/>
      <c r="AT235" s="2312"/>
      <c r="AU235" s="2312"/>
      <c r="AV235" s="2312"/>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88" t="s">
        <v>1856</v>
      </c>
      <c r="I237" s="2288"/>
      <c r="J237" s="2288"/>
      <c r="K237" s="2288"/>
      <c r="L237" s="1208"/>
      <c r="M237" s="1208"/>
      <c r="N237" s="1208"/>
      <c r="O237" s="1208"/>
      <c r="P237" s="1208"/>
      <c r="Q237" s="1208"/>
      <c r="R237" s="1208"/>
      <c r="S237" s="2309"/>
      <c r="T237" s="2310"/>
      <c r="U237" s="2310"/>
      <c r="V237" s="2310"/>
      <c r="W237" s="2310"/>
      <c r="X237" s="2310"/>
      <c r="Y237" s="2310"/>
      <c r="Z237" s="2310"/>
      <c r="AA237" s="2310"/>
      <c r="AB237" s="2310"/>
      <c r="AC237" s="2310"/>
      <c r="AD237" s="2310"/>
      <c r="AE237" s="2310"/>
      <c r="AF237" s="2310"/>
      <c r="AG237" s="2310"/>
      <c r="AH237" s="2310"/>
      <c r="AI237" s="2310"/>
      <c r="AJ237" s="2311"/>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88" t="s">
        <v>1857</v>
      </c>
      <c r="I239" s="2288"/>
      <c r="J239" s="2288"/>
      <c r="K239" s="1210"/>
      <c r="L239" s="1208"/>
      <c r="M239" s="1208"/>
      <c r="N239" s="1208"/>
      <c r="O239" s="1208"/>
      <c r="P239" s="1208"/>
      <c r="Q239" s="1208"/>
      <c r="R239" s="1208"/>
      <c r="S239" s="2306"/>
      <c r="T239" s="2307"/>
      <c r="U239" s="2307"/>
      <c r="V239" s="2307"/>
      <c r="W239" s="2307"/>
      <c r="X239" s="2307"/>
      <c r="Y239" s="2307"/>
      <c r="Z239" s="2307"/>
      <c r="AA239" s="2307"/>
      <c r="AB239" s="2307"/>
      <c r="AC239" s="2307"/>
      <c r="AD239" s="2307"/>
      <c r="AE239" s="2307"/>
      <c r="AF239" s="2307"/>
      <c r="AG239" s="2307"/>
      <c r="AH239" s="2307"/>
      <c r="AI239" s="2307"/>
      <c r="AJ239" s="2308"/>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88" t="s">
        <v>442</v>
      </c>
      <c r="I241" s="2288"/>
      <c r="J241" s="1210"/>
      <c r="K241" s="1210"/>
      <c r="L241" s="1208"/>
      <c r="M241" s="1208"/>
      <c r="N241" s="1208"/>
      <c r="O241" s="1208"/>
      <c r="P241" s="1208"/>
      <c r="Q241" s="1208"/>
      <c r="R241" s="1208"/>
      <c r="S241" s="2306"/>
      <c r="T241" s="2307"/>
      <c r="U241" s="2307"/>
      <c r="V241" s="2307"/>
      <c r="W241" s="2307"/>
      <c r="X241" s="2307"/>
      <c r="Y241" s="2307"/>
      <c r="Z241" s="2307"/>
      <c r="AA241" s="2307"/>
      <c r="AB241" s="2307"/>
      <c r="AC241" s="2307"/>
      <c r="AD241" s="2307"/>
      <c r="AE241" s="2307"/>
      <c r="AF241" s="2307"/>
      <c r="AG241" s="2307"/>
      <c r="AH241" s="2307"/>
      <c r="AI241" s="2307"/>
      <c r="AJ241" s="2308"/>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89" t="s">
        <v>1858</v>
      </c>
      <c r="I243" s="2289"/>
      <c r="J243" s="2289"/>
      <c r="K243" s="2289"/>
      <c r="L243" s="2289"/>
      <c r="M243" s="2289"/>
      <c r="N243" s="2289"/>
      <c r="O243" s="2289"/>
      <c r="P243" s="1208"/>
      <c r="Q243" s="1208"/>
      <c r="R243" s="1208"/>
      <c r="S243" s="2306"/>
      <c r="T243" s="2307"/>
      <c r="U243" s="2307"/>
      <c r="V243" s="2307"/>
      <c r="W243" s="2307"/>
      <c r="X243" s="2307"/>
      <c r="Y243" s="2307"/>
      <c r="Z243" s="2307"/>
      <c r="AA243" s="2307"/>
      <c r="AB243" s="2307"/>
      <c r="AC243" s="2307"/>
      <c r="AD243" s="2307"/>
      <c r="AE243" s="2307"/>
      <c r="AF243" s="2307"/>
      <c r="AG243" s="2307"/>
      <c r="AH243" s="2307"/>
      <c r="AI243" s="2307"/>
      <c r="AJ243" s="2308"/>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90" t="s">
        <v>1859</v>
      </c>
      <c r="I245" s="2290"/>
      <c r="J245" s="1208"/>
      <c r="K245" s="1208"/>
      <c r="L245" s="1208"/>
      <c r="M245" s="1208"/>
      <c r="N245" s="1208"/>
      <c r="O245" s="1208"/>
      <c r="P245" s="1208"/>
      <c r="Q245" s="1208"/>
      <c r="R245" s="1208"/>
      <c r="S245" s="2303"/>
      <c r="T245" s="2304"/>
      <c r="U245" s="2304"/>
      <c r="V245" s="2304"/>
      <c r="W245" s="2304"/>
      <c r="X245" s="2304"/>
      <c r="Y245" s="2304"/>
      <c r="Z245" s="2304"/>
      <c r="AA245" s="2304"/>
      <c r="AB245" s="2304"/>
      <c r="AC245" s="2304"/>
      <c r="AD245" s="2304"/>
      <c r="AE245" s="2304"/>
      <c r="AF245" s="2304"/>
      <c r="AG245" s="2304"/>
      <c r="AH245" s="2304"/>
      <c r="AI245" s="2304"/>
      <c r="AJ245" s="2305"/>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250</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5"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J60" sqref="AJ60"/>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56" t="s">
        <v>1385</v>
      </c>
      <c r="B1" s="2656"/>
      <c r="C1" s="2656"/>
      <c r="D1" s="2656"/>
      <c r="E1" s="2656"/>
      <c r="F1" s="2656"/>
      <c r="G1" s="2656"/>
      <c r="H1" s="2656"/>
      <c r="I1" s="2656"/>
      <c r="J1" s="2656"/>
      <c r="K1" s="2656"/>
      <c r="L1" s="2656"/>
      <c r="M1" s="2656"/>
      <c r="N1" s="2656"/>
      <c r="O1" s="2656"/>
      <c r="P1" s="2656"/>
      <c r="Q1" s="2656"/>
      <c r="R1" s="2656"/>
      <c r="S1" s="2656"/>
      <c r="T1" s="2656"/>
      <c r="U1" s="2656"/>
      <c r="V1" s="2656"/>
      <c r="W1" s="2656"/>
      <c r="X1" s="2656"/>
      <c r="Y1" s="2656"/>
      <c r="Z1" s="2656"/>
      <c r="AA1" s="2656"/>
      <c r="AB1" s="2656"/>
      <c r="AC1" s="2656"/>
      <c r="AD1" s="2656"/>
      <c r="AE1" s="2656"/>
      <c r="AF1" s="2656"/>
      <c r="AG1" s="2656"/>
      <c r="AH1" s="2656"/>
      <c r="AI1" s="2656"/>
      <c r="AJ1" s="2656"/>
      <c r="AK1" s="2656"/>
      <c r="AL1" s="2656"/>
      <c r="AM1" s="2656"/>
      <c r="AN1" s="2656"/>
    </row>
    <row r="2" spans="1:40" ht="12.95" customHeight="1" thickBot="1">
      <c r="A2" s="2657"/>
      <c r="B2" s="2657"/>
      <c r="C2" s="2657"/>
      <c r="D2" s="2657"/>
      <c r="E2" s="2657"/>
      <c r="F2" s="2657"/>
      <c r="G2" s="2657"/>
      <c r="H2" s="2657"/>
      <c r="I2" s="2657"/>
      <c r="J2" s="2657"/>
      <c r="K2" s="2657"/>
      <c r="L2" s="2657"/>
      <c r="M2" s="2657"/>
      <c r="N2" s="2657"/>
      <c r="O2" s="2657"/>
      <c r="P2" s="2657"/>
      <c r="Q2" s="2657"/>
      <c r="R2" s="2657"/>
      <c r="S2" s="2657"/>
      <c r="T2" s="2657"/>
      <c r="U2" s="2657"/>
      <c r="V2" s="2657"/>
      <c r="W2" s="2657"/>
      <c r="X2" s="2657"/>
      <c r="Y2" s="2657"/>
      <c r="Z2" s="2657"/>
      <c r="AA2" s="2657"/>
      <c r="AB2" s="2657"/>
      <c r="AC2" s="2657"/>
      <c r="AD2" s="2657"/>
      <c r="AE2" s="2657"/>
      <c r="AF2" s="2657"/>
      <c r="AG2" s="2657"/>
      <c r="AH2" s="2657"/>
      <c r="AI2" s="2657"/>
      <c r="AJ2" s="2657"/>
      <c r="AK2" s="2657"/>
      <c r="AL2" s="2657"/>
      <c r="AM2" s="2657"/>
      <c r="AN2" s="2657"/>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319</v>
      </c>
      <c r="C5" s="435" t="s">
        <v>122</v>
      </c>
      <c r="F5" s="435"/>
    </row>
    <row r="6" spans="1:40" ht="12.95" customHeight="1">
      <c r="A6" s="435"/>
      <c r="C6" s="433" t="s">
        <v>1342</v>
      </c>
    </row>
    <row r="7" spans="1:40" ht="12.95" customHeight="1">
      <c r="B7" s="436"/>
      <c r="C7" s="437"/>
      <c r="D7" s="437"/>
      <c r="E7" s="437"/>
      <c r="F7" s="437"/>
      <c r="G7" s="437"/>
      <c r="H7" s="437"/>
      <c r="I7" s="437"/>
      <c r="J7" s="437"/>
      <c r="K7" s="437"/>
      <c r="L7" s="437"/>
      <c r="M7" s="437"/>
      <c r="N7" s="437"/>
      <c r="O7" s="437"/>
      <c r="P7" s="437"/>
      <c r="Q7" s="437"/>
      <c r="R7" s="437"/>
      <c r="S7" s="437"/>
      <c r="T7" s="2658" t="str">
        <f xml:space="preserve"> IF(T25=100%,'Sources and Basis Breakdown'!G2,'Sources and Basis Breakdown'!F2)</f>
        <v>30% PVC for New Const/
Rehabilitation
DDA/QCT
Building(s)</v>
      </c>
      <c r="U7" s="2658"/>
      <c r="V7" s="2658"/>
      <c r="W7" s="2658"/>
      <c r="X7" s="2658"/>
      <c r="Y7" s="2658" t="str">
        <f>IF(T25=100%,"",'Sources and Basis Breakdown'!G2)</f>
        <v>30% PVC for New Const/
Rehabilitation
NON-DDA/
NON-QCT Building(s)</v>
      </c>
      <c r="Z7" s="2658"/>
      <c r="AA7" s="2658"/>
      <c r="AB7" s="2658"/>
      <c r="AC7" s="2658"/>
      <c r="AD7" s="2658" t="str">
        <f xml:space="preserve"> IF(T25=100%, 'Sources and Basis Breakdown'!J2,'Sources and Basis Breakdown'!I2)</f>
        <v>30% PVC for Acquisition
DDA/QCT Building(s)</v>
      </c>
      <c r="AE7" s="2658"/>
      <c r="AF7" s="2658"/>
      <c r="AG7" s="2658"/>
      <c r="AH7" s="2658"/>
      <c r="AI7" s="2658" t="str">
        <f>IF(T25=100%,"",'Sources and Basis Breakdown'!J2)</f>
        <v>30% PVC for Acquisition
NON-DDA/
NON-QCT Building(s)</v>
      </c>
      <c r="AJ7" s="2658"/>
      <c r="AK7" s="2658"/>
      <c r="AL7" s="2658"/>
      <c r="AM7" s="2658"/>
    </row>
    <row r="8" spans="1:40" ht="12.95" customHeight="1">
      <c r="B8" s="438"/>
      <c r="T8" s="2658"/>
      <c r="U8" s="2658"/>
      <c r="V8" s="2658"/>
      <c r="W8" s="2658"/>
      <c r="X8" s="2658"/>
      <c r="Y8" s="2658"/>
      <c r="Z8" s="2658"/>
      <c r="AA8" s="2658"/>
      <c r="AB8" s="2658"/>
      <c r="AC8" s="2658"/>
      <c r="AD8" s="2658"/>
      <c r="AE8" s="2658"/>
      <c r="AF8" s="2658"/>
      <c r="AG8" s="2658"/>
      <c r="AH8" s="2658"/>
      <c r="AI8" s="2658"/>
      <c r="AJ8" s="2658"/>
      <c r="AK8" s="2658"/>
      <c r="AL8" s="2658"/>
      <c r="AM8" s="2658"/>
    </row>
    <row r="9" spans="1:40" ht="12.95" customHeight="1">
      <c r="B9" s="438"/>
      <c r="T9" s="2658"/>
      <c r="U9" s="2658"/>
      <c r="V9" s="2658"/>
      <c r="W9" s="2658"/>
      <c r="X9" s="2658"/>
      <c r="Y9" s="2658"/>
      <c r="Z9" s="2658"/>
      <c r="AA9" s="2658"/>
      <c r="AB9" s="2658"/>
      <c r="AC9" s="2658"/>
      <c r="AD9" s="2658"/>
      <c r="AE9" s="2658"/>
      <c r="AF9" s="2658"/>
      <c r="AG9" s="2658"/>
      <c r="AH9" s="2658"/>
      <c r="AI9" s="2658"/>
      <c r="AJ9" s="2658"/>
      <c r="AK9" s="2658"/>
      <c r="AL9" s="2658"/>
      <c r="AM9" s="2658"/>
    </row>
    <row r="10" spans="1:40" ht="12.95" customHeight="1">
      <c r="B10" s="439"/>
      <c r="C10" s="440"/>
      <c r="D10" s="440"/>
      <c r="E10" s="440"/>
      <c r="F10" s="440"/>
      <c r="G10" s="440"/>
      <c r="H10" s="440"/>
      <c r="I10" s="440"/>
      <c r="J10" s="440"/>
      <c r="K10" s="440"/>
      <c r="L10" s="440"/>
      <c r="M10" s="440"/>
      <c r="N10" s="440"/>
      <c r="O10" s="440"/>
      <c r="P10" s="440"/>
      <c r="Q10" s="440"/>
      <c r="R10" s="440"/>
      <c r="S10" s="440"/>
      <c r="T10" s="2658"/>
      <c r="U10" s="2658"/>
      <c r="V10" s="2658"/>
      <c r="W10" s="2658"/>
      <c r="X10" s="2658"/>
      <c r="Y10" s="2658"/>
      <c r="Z10" s="2658"/>
      <c r="AA10" s="2658"/>
      <c r="AB10" s="2658"/>
      <c r="AC10" s="2658"/>
      <c r="AD10" s="2658"/>
      <c r="AE10" s="2658"/>
      <c r="AF10" s="2658"/>
      <c r="AG10" s="2658"/>
      <c r="AH10" s="2658"/>
      <c r="AI10" s="2658"/>
      <c r="AJ10" s="2658"/>
      <c r="AK10" s="2658"/>
      <c r="AL10" s="2658"/>
      <c r="AM10" s="2658"/>
    </row>
    <row r="11" spans="1:40" ht="12.95" customHeight="1">
      <c r="B11" s="2637" t="s">
        <v>375</v>
      </c>
      <c r="C11" s="2638"/>
      <c r="D11" s="2638"/>
      <c r="E11" s="2638"/>
      <c r="F11" s="2638"/>
      <c r="G11" s="2638"/>
      <c r="H11" s="2638"/>
      <c r="I11" s="2638"/>
      <c r="J11" s="2638"/>
      <c r="K11" s="2638"/>
      <c r="L11" s="2638"/>
      <c r="M11" s="2638"/>
      <c r="N11" s="2638"/>
      <c r="O11" s="2638"/>
      <c r="P11" s="2638"/>
      <c r="Q11" s="2638"/>
      <c r="R11" s="2638"/>
      <c r="S11" s="2639"/>
      <c r="T11" s="2659">
        <f>IF('Sources and Basis Breakdown'!F107=0,'Sources and Basis Breakdown'!E107,'Sources and Basis Breakdown'!F107)</f>
        <v>57643208</v>
      </c>
      <c r="U11" s="2660"/>
      <c r="V11" s="2660"/>
      <c r="W11" s="2660"/>
      <c r="X11" s="2660"/>
      <c r="Y11" s="2659">
        <f>IF(Y7="",0,IF('Sources and Basis Breakdown'!G107+'Sources and Basis Breakdown'!F107='Sources and Basis Breakdown'!E107,'Sources and Basis Breakdown'!G107,0))</f>
        <v>0</v>
      </c>
      <c r="Z11" s="2660"/>
      <c r="AA11" s="2660"/>
      <c r="AB11" s="2660"/>
      <c r="AC11" s="2660"/>
      <c r="AD11" s="2660">
        <f>IF('Sources and Basis Breakdown'!I107=0,'Sources and Basis Breakdown'!H107,'Sources and Basis Breakdown'!I107)</f>
        <v>0</v>
      </c>
      <c r="AE11" s="2660"/>
      <c r="AF11" s="2660"/>
      <c r="AG11" s="2660"/>
      <c r="AH11" s="2660"/>
      <c r="AI11" s="2660">
        <f>IF(Y7="",0,IF('Sources and Basis Breakdown'!I107+'Sources and Basis Breakdown'!J107='Sources and Basis Breakdown'!H107,'Sources and Basis Breakdown'!J107,0))</f>
        <v>0</v>
      </c>
      <c r="AJ11" s="2660"/>
      <c r="AK11" s="2660"/>
      <c r="AL11" s="2660"/>
      <c r="AM11" s="2660"/>
    </row>
    <row r="12" spans="1:40" ht="12.95" customHeight="1">
      <c r="B12" s="2652" t="s">
        <v>504</v>
      </c>
      <c r="C12" s="1288"/>
      <c r="D12" s="1288"/>
      <c r="E12" s="1288"/>
      <c r="F12" s="1288"/>
      <c r="G12" s="1288"/>
      <c r="H12" s="1288"/>
      <c r="I12" s="1288"/>
      <c r="J12" s="1288"/>
      <c r="K12" s="1288"/>
      <c r="L12" s="1288"/>
      <c r="M12" s="1288"/>
      <c r="N12" s="1288"/>
      <c r="O12" s="1288"/>
      <c r="P12" s="1288"/>
      <c r="Q12" s="1288"/>
      <c r="R12" s="1288"/>
      <c r="S12" s="2653"/>
      <c r="T12" s="2625"/>
      <c r="U12" s="2626"/>
      <c r="V12" s="2626"/>
      <c r="W12" s="2626"/>
      <c r="X12" s="2627"/>
      <c r="Y12" s="2625"/>
      <c r="Z12" s="2626"/>
      <c r="AA12" s="2626"/>
      <c r="AB12" s="2626"/>
      <c r="AC12" s="2627"/>
      <c r="AD12" s="2625"/>
      <c r="AE12" s="2626"/>
      <c r="AF12" s="2626"/>
      <c r="AG12" s="2626"/>
      <c r="AH12" s="2627"/>
      <c r="AI12" s="2625"/>
      <c r="AJ12" s="2626"/>
      <c r="AK12" s="2626"/>
      <c r="AL12" s="2626"/>
      <c r="AM12" s="2627"/>
    </row>
    <row r="13" spans="1:40" ht="12.95" customHeight="1">
      <c r="B13" s="467"/>
      <c r="C13" s="2654" t="s">
        <v>505</v>
      </c>
      <c r="D13" s="2654"/>
      <c r="E13" s="2654"/>
      <c r="F13" s="2654"/>
      <c r="G13" s="2654"/>
      <c r="H13" s="2654"/>
      <c r="I13" s="2654"/>
      <c r="J13" s="2654"/>
      <c r="K13" s="2654"/>
      <c r="L13" s="2654"/>
      <c r="M13" s="2654"/>
      <c r="N13" s="2654"/>
      <c r="O13" s="2654"/>
      <c r="P13" s="2654"/>
      <c r="Q13" s="2654"/>
      <c r="R13" s="2654"/>
      <c r="S13" s="2655"/>
      <c r="T13" s="2661"/>
      <c r="U13" s="2662"/>
      <c r="V13" s="2662"/>
      <c r="W13" s="2662"/>
      <c r="X13" s="2662"/>
      <c r="Y13" s="2661"/>
      <c r="Z13" s="2662"/>
      <c r="AA13" s="2662"/>
      <c r="AB13" s="2662"/>
      <c r="AC13" s="2662"/>
      <c r="AD13" s="2662"/>
      <c r="AE13" s="2662"/>
      <c r="AF13" s="2662"/>
      <c r="AG13" s="2662"/>
      <c r="AH13" s="2662"/>
      <c r="AI13" s="2662"/>
      <c r="AJ13" s="2662"/>
      <c r="AK13" s="2662"/>
      <c r="AL13" s="2662"/>
      <c r="AM13" s="2662"/>
    </row>
    <row r="14" spans="1:40" ht="12.95" customHeight="1">
      <c r="B14" s="467"/>
      <c r="C14" s="2654" t="s">
        <v>506</v>
      </c>
      <c r="D14" s="2654"/>
      <c r="E14" s="2654"/>
      <c r="F14" s="2654"/>
      <c r="G14" s="2654"/>
      <c r="H14" s="2654"/>
      <c r="I14" s="2654"/>
      <c r="J14" s="2654"/>
      <c r="K14" s="2654"/>
      <c r="L14" s="2654"/>
      <c r="M14" s="2654"/>
      <c r="N14" s="2654"/>
      <c r="O14" s="2654"/>
      <c r="P14" s="2654"/>
      <c r="Q14" s="2654"/>
      <c r="R14" s="2654"/>
      <c r="S14" s="2655"/>
      <c r="T14" s="2628"/>
      <c r="U14" s="2629"/>
      <c r="V14" s="2629"/>
      <c r="W14" s="2629"/>
      <c r="X14" s="2629"/>
      <c r="Y14" s="2628"/>
      <c r="Z14" s="2629"/>
      <c r="AA14" s="2629"/>
      <c r="AB14" s="2629"/>
      <c r="AC14" s="2629"/>
      <c r="AD14" s="2629"/>
      <c r="AE14" s="2629"/>
      <c r="AF14" s="2629"/>
      <c r="AG14" s="2629"/>
      <c r="AH14" s="2629"/>
      <c r="AI14" s="2629"/>
      <c r="AJ14" s="2629"/>
      <c r="AK14" s="2629"/>
      <c r="AL14" s="2629"/>
      <c r="AM14" s="2629"/>
    </row>
    <row r="15" spans="1:40" ht="12.95" customHeight="1">
      <c r="B15" s="467"/>
      <c r="C15" s="2654" t="s">
        <v>507</v>
      </c>
      <c r="D15" s="2654"/>
      <c r="E15" s="2654"/>
      <c r="F15" s="2654"/>
      <c r="G15" s="2654"/>
      <c r="H15" s="2654"/>
      <c r="I15" s="2654"/>
      <c r="J15" s="2654"/>
      <c r="K15" s="2654"/>
      <c r="L15" s="2654"/>
      <c r="M15" s="2654"/>
      <c r="N15" s="2654"/>
      <c r="O15" s="2654"/>
      <c r="P15" s="2654"/>
      <c r="Q15" s="2654"/>
      <c r="R15" s="2654"/>
      <c r="S15" s="2655"/>
      <c r="T15" s="2628"/>
      <c r="U15" s="2629"/>
      <c r="V15" s="2629"/>
      <c r="W15" s="2629"/>
      <c r="X15" s="2629"/>
      <c r="Y15" s="2628"/>
      <c r="Z15" s="2629"/>
      <c r="AA15" s="2629"/>
      <c r="AB15" s="2629"/>
      <c r="AC15" s="2629"/>
      <c r="AD15" s="2629"/>
      <c r="AE15" s="2629"/>
      <c r="AF15" s="2629"/>
      <c r="AG15" s="2629"/>
      <c r="AH15" s="2629"/>
      <c r="AI15" s="2629"/>
      <c r="AJ15" s="2629"/>
      <c r="AK15" s="2629"/>
      <c r="AL15" s="2629"/>
      <c r="AM15" s="2629"/>
    </row>
    <row r="16" spans="1:40" ht="12.95" customHeight="1">
      <c r="B16" s="467"/>
      <c r="C16" s="2654" t="s">
        <v>813</v>
      </c>
      <c r="D16" s="2654"/>
      <c r="E16" s="2654"/>
      <c r="F16" s="2654"/>
      <c r="G16" s="2654"/>
      <c r="H16" s="2654"/>
      <c r="I16" s="2654"/>
      <c r="J16" s="2654"/>
      <c r="K16" s="2654"/>
      <c r="L16" s="2654"/>
      <c r="M16" s="2654"/>
      <c r="N16" s="2654"/>
      <c r="O16" s="2654"/>
      <c r="P16" s="2654"/>
      <c r="Q16" s="2654"/>
      <c r="R16" s="2654"/>
      <c r="S16" s="2655"/>
      <c r="T16" s="2628"/>
      <c r="U16" s="2629"/>
      <c r="V16" s="2629"/>
      <c r="W16" s="2629"/>
      <c r="X16" s="2629"/>
      <c r="Y16" s="2628"/>
      <c r="Z16" s="2629"/>
      <c r="AA16" s="2629"/>
      <c r="AB16" s="2629"/>
      <c r="AC16" s="2629"/>
      <c r="AD16" s="2629"/>
      <c r="AE16" s="2629"/>
      <c r="AF16" s="2629"/>
      <c r="AG16" s="2629"/>
      <c r="AH16" s="2629"/>
      <c r="AI16" s="2629"/>
      <c r="AJ16" s="2629"/>
      <c r="AK16" s="2629"/>
      <c r="AL16" s="2629"/>
      <c r="AM16" s="2629"/>
    </row>
    <row r="17" spans="1:40" ht="12.95" customHeight="1">
      <c r="B17" s="467"/>
      <c r="C17" s="2654" t="s">
        <v>508</v>
      </c>
      <c r="D17" s="2654"/>
      <c r="E17" s="2654"/>
      <c r="F17" s="2654"/>
      <c r="G17" s="2654"/>
      <c r="H17" s="2654"/>
      <c r="I17" s="2654"/>
      <c r="J17" s="2654"/>
      <c r="K17" s="2654"/>
      <c r="L17" s="2654"/>
      <c r="M17" s="2654"/>
      <c r="N17" s="2654"/>
      <c r="O17" s="2654"/>
      <c r="P17" s="2654"/>
      <c r="Q17" s="2654"/>
      <c r="R17" s="2654"/>
      <c r="S17" s="2655"/>
      <c r="T17" s="2628"/>
      <c r="U17" s="2629"/>
      <c r="V17" s="2629"/>
      <c r="W17" s="2629"/>
      <c r="X17" s="2629"/>
      <c r="Y17" s="2628"/>
      <c r="Z17" s="2629"/>
      <c r="AA17" s="2629"/>
      <c r="AB17" s="2629"/>
      <c r="AC17" s="2629"/>
      <c r="AD17" s="2629"/>
      <c r="AE17" s="2629"/>
      <c r="AF17" s="2629"/>
      <c r="AG17" s="2629"/>
      <c r="AH17" s="2629"/>
      <c r="AI17" s="2629"/>
      <c r="AJ17" s="2629"/>
      <c r="AK17" s="2629"/>
      <c r="AL17" s="2629"/>
      <c r="AM17" s="2629"/>
    </row>
    <row r="18" spans="1:40" ht="12.95" customHeight="1">
      <c r="A18"/>
      <c r="B18" s="1194"/>
      <c r="C18" s="1756" t="s">
        <v>976</v>
      </c>
      <c r="D18" s="1756"/>
      <c r="E18" s="1756"/>
      <c r="F18" s="1756"/>
      <c r="G18" s="1756"/>
      <c r="H18" s="1756"/>
      <c r="I18" s="1756"/>
      <c r="J18" s="1756"/>
      <c r="K18" s="1756"/>
      <c r="L18" s="1756"/>
      <c r="M18" s="1756"/>
      <c r="N18" s="1756"/>
      <c r="O18" s="1756"/>
      <c r="P18" s="1756"/>
      <c r="Q18" s="1756"/>
      <c r="R18" s="1756"/>
      <c r="S18" s="1757"/>
      <c r="T18" s="2628"/>
      <c r="U18" s="2629"/>
      <c r="V18" s="2629"/>
      <c r="W18" s="2629"/>
      <c r="X18" s="2629"/>
      <c r="Y18" s="2628"/>
      <c r="Z18" s="2629"/>
      <c r="AA18" s="2629"/>
      <c r="AB18" s="2629"/>
      <c r="AC18" s="2629"/>
      <c r="AD18" s="2629"/>
      <c r="AE18" s="2629"/>
      <c r="AF18" s="2629"/>
      <c r="AG18" s="2629"/>
      <c r="AH18" s="2629"/>
      <c r="AI18" s="2629"/>
      <c r="AJ18" s="2629"/>
      <c r="AK18" s="2629"/>
      <c r="AL18" s="2629"/>
      <c r="AM18" s="2629"/>
    </row>
    <row r="19" spans="1:40" ht="12.95" customHeight="1">
      <c r="B19" s="1194"/>
      <c r="C19" s="1756" t="s">
        <v>976</v>
      </c>
      <c r="D19" s="1756"/>
      <c r="E19" s="1756"/>
      <c r="F19" s="1756"/>
      <c r="G19" s="1756"/>
      <c r="H19" s="1756"/>
      <c r="I19" s="1756"/>
      <c r="J19" s="1756"/>
      <c r="K19" s="1756"/>
      <c r="L19" s="1756"/>
      <c r="M19" s="1756"/>
      <c r="N19" s="1756"/>
      <c r="O19" s="1756"/>
      <c r="P19" s="1756"/>
      <c r="Q19" s="1756"/>
      <c r="R19" s="1756"/>
      <c r="S19" s="1757"/>
      <c r="T19" s="2628"/>
      <c r="U19" s="2629"/>
      <c r="V19" s="2629"/>
      <c r="W19" s="2629"/>
      <c r="X19" s="2629"/>
      <c r="Y19" s="2628"/>
      <c r="Z19" s="2629"/>
      <c r="AA19" s="2629"/>
      <c r="AB19" s="2629"/>
      <c r="AC19" s="2629"/>
      <c r="AD19" s="2629"/>
      <c r="AE19" s="2629"/>
      <c r="AF19" s="2629"/>
      <c r="AG19" s="2629"/>
      <c r="AH19" s="2629"/>
      <c r="AI19" s="2629"/>
      <c r="AJ19" s="2629"/>
      <c r="AK19" s="2629"/>
      <c r="AL19" s="2629"/>
      <c r="AM19" s="2629"/>
    </row>
    <row r="20" spans="1:40" ht="12.95" customHeight="1">
      <c r="B20" s="2637" t="s">
        <v>509</v>
      </c>
      <c r="C20" s="2638"/>
      <c r="D20" s="2638"/>
      <c r="E20" s="2638"/>
      <c r="F20" s="2638"/>
      <c r="G20" s="2638"/>
      <c r="H20" s="2638"/>
      <c r="I20" s="2638"/>
      <c r="J20" s="2638"/>
      <c r="K20" s="2638"/>
      <c r="L20" s="2638"/>
      <c r="M20" s="2638"/>
      <c r="N20" s="2638"/>
      <c r="O20" s="2638"/>
      <c r="P20" s="2638"/>
      <c r="Q20" s="2638"/>
      <c r="R20" s="2638"/>
      <c r="S20" s="2639"/>
      <c r="T20" s="2630">
        <f>SUM(T13:X19)</f>
        <v>0</v>
      </c>
      <c r="U20" s="2631"/>
      <c r="V20" s="2631"/>
      <c r="W20" s="2631"/>
      <c r="X20" s="2631"/>
      <c r="Y20" s="2630">
        <f>SUM(Y13:AC19)</f>
        <v>0</v>
      </c>
      <c r="Z20" s="2631"/>
      <c r="AA20" s="2631"/>
      <c r="AB20" s="2631"/>
      <c r="AC20" s="2631"/>
      <c r="AD20" s="2632">
        <f>SUM(AD13:AH19)</f>
        <v>0</v>
      </c>
      <c r="AE20" s="2633"/>
      <c r="AF20" s="2633"/>
      <c r="AG20" s="2633"/>
      <c r="AH20" s="2630"/>
      <c r="AI20" s="2632">
        <f>SUM(AI13:AM19)</f>
        <v>0</v>
      </c>
      <c r="AJ20" s="2633"/>
      <c r="AK20" s="2633"/>
      <c r="AL20" s="2633"/>
      <c r="AM20" s="2630"/>
    </row>
    <row r="21" spans="1:40" ht="12.95" customHeight="1">
      <c r="B21" s="2637" t="s">
        <v>1368</v>
      </c>
      <c r="C21" s="2638"/>
      <c r="D21" s="2638"/>
      <c r="E21" s="2638"/>
      <c r="F21" s="2638"/>
      <c r="G21" s="2638"/>
      <c r="H21" s="2638"/>
      <c r="I21" s="2638"/>
      <c r="J21" s="2638"/>
      <c r="K21" s="2638"/>
      <c r="L21" s="2638"/>
      <c r="M21" s="2638"/>
      <c r="N21" s="2638"/>
      <c r="O21" s="2638"/>
      <c r="P21" s="2638"/>
      <c r="Q21" s="2638"/>
      <c r="R21" s="2638"/>
      <c r="S21" s="2639"/>
      <c r="T21" s="2628"/>
      <c r="U21" s="2629"/>
      <c r="V21" s="2629"/>
      <c r="W21" s="2629"/>
      <c r="X21" s="2629"/>
      <c r="Y21" s="2628"/>
      <c r="Z21" s="2629"/>
      <c r="AA21" s="2629"/>
      <c r="AB21" s="2629"/>
      <c r="AC21" s="2629"/>
      <c r="AD21" s="2625"/>
      <c r="AE21" s="2626"/>
      <c r="AF21" s="2626"/>
      <c r="AG21" s="2626"/>
      <c r="AH21" s="2627"/>
      <c r="AI21" s="2625"/>
      <c r="AJ21" s="2626"/>
      <c r="AK21" s="2626"/>
      <c r="AL21" s="2626"/>
      <c r="AM21" s="2627"/>
    </row>
    <row r="22" spans="1:40" ht="12.95" customHeight="1">
      <c r="B22" s="2637" t="s">
        <v>510</v>
      </c>
      <c r="C22" s="2638"/>
      <c r="D22" s="2638"/>
      <c r="E22" s="2638"/>
      <c r="F22" s="2638"/>
      <c r="G22" s="2638"/>
      <c r="H22" s="2638"/>
      <c r="I22" s="2638"/>
      <c r="J22" s="2638"/>
      <c r="K22" s="2638"/>
      <c r="L22" s="2638"/>
      <c r="M22" s="2638"/>
      <c r="N22" s="2638"/>
      <c r="O22" s="2638"/>
      <c r="P22" s="2638"/>
      <c r="Q22" s="2638"/>
      <c r="R22" s="2638"/>
      <c r="S22" s="2639"/>
      <c r="T22" s="2663">
        <f>(ABS(T20)+ABS(T21))*-1</f>
        <v>0</v>
      </c>
      <c r="U22" s="2664"/>
      <c r="V22" s="2664"/>
      <c r="W22" s="2664"/>
      <c r="X22" s="2664"/>
      <c r="Y22" s="2663">
        <f>(Y20+Y21)*-1</f>
        <v>0</v>
      </c>
      <c r="Z22" s="2664"/>
      <c r="AA22" s="2664"/>
      <c r="AB22" s="2664"/>
      <c r="AC22" s="2664"/>
      <c r="AD22" s="2665">
        <f>(AD20)*-1</f>
        <v>0</v>
      </c>
      <c r="AE22" s="2666"/>
      <c r="AF22" s="2666"/>
      <c r="AG22" s="2666"/>
      <c r="AH22" s="2663"/>
      <c r="AI22" s="2665">
        <f>(AI20)*-1</f>
        <v>0</v>
      </c>
      <c r="AJ22" s="2666"/>
      <c r="AK22" s="2666"/>
      <c r="AL22" s="2666"/>
      <c r="AM22" s="2663"/>
    </row>
    <row r="23" spans="1:40" ht="12.95" customHeight="1">
      <c r="B23" s="2637" t="s">
        <v>511</v>
      </c>
      <c r="C23" s="2638"/>
      <c r="D23" s="2638"/>
      <c r="E23" s="2638"/>
      <c r="F23" s="2638"/>
      <c r="G23" s="2638"/>
      <c r="H23" s="2638"/>
      <c r="I23" s="2638"/>
      <c r="J23" s="2638"/>
      <c r="K23" s="2638"/>
      <c r="L23" s="2638"/>
      <c r="M23" s="2638"/>
      <c r="N23" s="2638"/>
      <c r="O23" s="2638"/>
      <c r="P23" s="2638"/>
      <c r="Q23" s="2638"/>
      <c r="R23" s="2638"/>
      <c r="S23" s="2639"/>
      <c r="T23" s="2630">
        <f>T11+T22</f>
        <v>57643208</v>
      </c>
      <c r="U23" s="2631"/>
      <c r="V23" s="2631"/>
      <c r="W23" s="2631"/>
      <c r="X23" s="2631"/>
      <c r="Y23" s="2630">
        <f>Y11+Y22</f>
        <v>0</v>
      </c>
      <c r="Z23" s="2631"/>
      <c r="AA23" s="2631"/>
      <c r="AB23" s="2631"/>
      <c r="AC23" s="2631"/>
      <c r="AD23" s="2630">
        <f>AD11+AD22</f>
        <v>0</v>
      </c>
      <c r="AE23" s="2631"/>
      <c r="AF23" s="2631"/>
      <c r="AG23" s="2631"/>
      <c r="AH23" s="2631"/>
      <c r="AI23" s="2630">
        <f>AI11+AI22</f>
        <v>0</v>
      </c>
      <c r="AJ23" s="2631"/>
      <c r="AK23" s="2631"/>
      <c r="AL23" s="2631"/>
      <c r="AM23" s="2631"/>
    </row>
    <row r="24" spans="1:40" ht="12.95" customHeight="1">
      <c r="B24" s="2637" t="s">
        <v>977</v>
      </c>
      <c r="C24" s="2638"/>
      <c r="D24" s="2638"/>
      <c r="E24" s="2638"/>
      <c r="F24" s="2638"/>
      <c r="G24" s="2638"/>
      <c r="H24" s="2638"/>
      <c r="I24" s="2638"/>
      <c r="J24" s="2638"/>
      <c r="K24" s="2638"/>
      <c r="L24" s="2638"/>
      <c r="M24" s="2638"/>
      <c r="N24" s="2638"/>
      <c r="O24" s="2638"/>
      <c r="P24" s="2638"/>
      <c r="Q24" s="2638"/>
      <c r="R24" s="2638"/>
      <c r="S24" s="2639"/>
      <c r="T24" s="2632">
        <f>Application!AJ1052</f>
        <v>118387490</v>
      </c>
      <c r="U24" s="2633"/>
      <c r="V24" s="2633"/>
      <c r="W24" s="2633"/>
      <c r="X24" s="2633"/>
      <c r="Y24" s="2633"/>
      <c r="Z24" s="2633"/>
      <c r="AA24" s="2633"/>
      <c r="AB24" s="2633"/>
      <c r="AC24" s="2633"/>
      <c r="AD24" s="2633"/>
      <c r="AE24" s="2633"/>
      <c r="AF24" s="2633"/>
      <c r="AG24" s="2633"/>
      <c r="AH24" s="2633"/>
      <c r="AI24" s="2633"/>
      <c r="AJ24" s="2633"/>
      <c r="AK24" s="2633"/>
      <c r="AL24" s="2633"/>
      <c r="AM24" s="2630"/>
    </row>
    <row r="25" spans="1:40" ht="12.95" customHeight="1">
      <c r="B25" s="2641" t="s">
        <v>1369</v>
      </c>
      <c r="C25" s="2642"/>
      <c r="D25" s="2642"/>
      <c r="E25" s="2642"/>
      <c r="F25" s="2642"/>
      <c r="G25" s="2642"/>
      <c r="H25" s="2642"/>
      <c r="I25" s="2642"/>
      <c r="J25" s="2642"/>
      <c r="K25" s="2642"/>
      <c r="L25" s="2642"/>
      <c r="M25" s="2642"/>
      <c r="N25" s="2642"/>
      <c r="O25" s="2642"/>
      <c r="P25" s="2642"/>
      <c r="Q25" s="2642"/>
      <c r="R25" s="2642"/>
      <c r="S25" s="2643"/>
      <c r="T25" s="2667">
        <f>IF(OR(Application!T196="yes",Application!T195="yes"),1.3,1)</f>
        <v>1.3</v>
      </c>
      <c r="U25" s="2668"/>
      <c r="V25" s="2668"/>
      <c r="W25" s="2668"/>
      <c r="X25" s="2668"/>
      <c r="Y25" s="2667">
        <v>1</v>
      </c>
      <c r="Z25" s="2668"/>
      <c r="AA25" s="2668"/>
      <c r="AB25" s="2668"/>
      <c r="AC25" s="2668"/>
      <c r="AD25" s="2667">
        <v>1</v>
      </c>
      <c r="AE25" s="2668"/>
      <c r="AF25" s="2668"/>
      <c r="AG25" s="2668"/>
      <c r="AH25" s="2669"/>
      <c r="AI25" s="2667">
        <v>1</v>
      </c>
      <c r="AJ25" s="2668"/>
      <c r="AK25" s="2668"/>
      <c r="AL25" s="2668"/>
      <c r="AM25" s="2669"/>
    </row>
    <row r="26" spans="1:40" ht="12.95" customHeight="1">
      <c r="B26" s="2637" t="s">
        <v>512</v>
      </c>
      <c r="C26" s="2638"/>
      <c r="D26" s="2638"/>
      <c r="E26" s="2638"/>
      <c r="F26" s="2638"/>
      <c r="G26" s="2638"/>
      <c r="H26" s="2638"/>
      <c r="I26" s="2638"/>
      <c r="J26" s="2638"/>
      <c r="K26" s="2638"/>
      <c r="L26" s="2638"/>
      <c r="M26" s="2638"/>
      <c r="N26" s="2638"/>
      <c r="O26" s="2638"/>
      <c r="P26" s="2638"/>
      <c r="Q26" s="2638"/>
      <c r="R26" s="2638"/>
      <c r="S26" s="2639"/>
      <c r="T26" s="2630">
        <f>T23*T25</f>
        <v>74936170.400000006</v>
      </c>
      <c r="U26" s="2631"/>
      <c r="V26" s="2631"/>
      <c r="W26" s="2631"/>
      <c r="X26" s="2631"/>
      <c r="Y26" s="2630">
        <f>Y23*Y25</f>
        <v>0</v>
      </c>
      <c r="Z26" s="2631"/>
      <c r="AA26" s="2631"/>
      <c r="AB26" s="2631"/>
      <c r="AC26" s="2631"/>
      <c r="AD26" s="2630">
        <f>AD23*AD25</f>
        <v>0</v>
      </c>
      <c r="AE26" s="2631"/>
      <c r="AF26" s="2631"/>
      <c r="AG26" s="2631"/>
      <c r="AH26" s="2631"/>
      <c r="AI26" s="2630">
        <f>AI23*AI25</f>
        <v>0</v>
      </c>
      <c r="AJ26" s="2631"/>
      <c r="AK26" s="2631"/>
      <c r="AL26" s="2631"/>
      <c r="AM26" s="2631"/>
    </row>
    <row r="27" spans="1:40" ht="12.95" customHeight="1">
      <c r="A27" s="441"/>
      <c r="B27" s="2644" t="s">
        <v>426</v>
      </c>
      <c r="C27" s="2645"/>
      <c r="D27" s="2645"/>
      <c r="E27" s="2645"/>
      <c r="F27" s="2645"/>
      <c r="G27" s="2645"/>
      <c r="H27" s="2645"/>
      <c r="I27" s="2645"/>
      <c r="J27" s="2645"/>
      <c r="K27" s="2645"/>
      <c r="L27" s="2645"/>
      <c r="M27" s="2645"/>
      <c r="N27" s="2645"/>
      <c r="O27" s="2645"/>
      <c r="P27" s="2645"/>
      <c r="Q27" s="2645"/>
      <c r="R27" s="2645"/>
      <c r="S27" s="2646"/>
      <c r="T27" s="2650">
        <f>Application!$AG$445</f>
        <v>1</v>
      </c>
      <c r="U27" s="2651"/>
      <c r="V27" s="2651"/>
      <c r="W27" s="2651"/>
      <c r="X27" s="2651"/>
      <c r="Y27" s="2650">
        <f>Application!$AG$445</f>
        <v>1</v>
      </c>
      <c r="Z27" s="2651"/>
      <c r="AA27" s="2651"/>
      <c r="AB27" s="2651"/>
      <c r="AC27" s="2651"/>
      <c r="AD27" s="2650">
        <f>Application!$AG$445</f>
        <v>1</v>
      </c>
      <c r="AE27" s="2651"/>
      <c r="AF27" s="2651"/>
      <c r="AG27" s="2651"/>
      <c r="AH27" s="2651"/>
      <c r="AI27" s="2650">
        <f>Application!$AG$445</f>
        <v>1</v>
      </c>
      <c r="AJ27" s="2651"/>
      <c r="AK27" s="2651"/>
      <c r="AL27" s="2651"/>
      <c r="AM27" s="2651"/>
    </row>
    <row r="28" spans="1:40" ht="12.95" customHeight="1">
      <c r="A28" s="435"/>
      <c r="B28" s="2637" t="s">
        <v>513</v>
      </c>
      <c r="C28" s="2638"/>
      <c r="D28" s="2638"/>
      <c r="E28" s="2638"/>
      <c r="F28" s="2638"/>
      <c r="G28" s="2638"/>
      <c r="H28" s="2638"/>
      <c r="I28" s="2638"/>
      <c r="J28" s="2638"/>
      <c r="K28" s="2638"/>
      <c r="L28" s="2638"/>
      <c r="M28" s="2638"/>
      <c r="N28" s="2638"/>
      <c r="O28" s="2638"/>
      <c r="P28" s="2638"/>
      <c r="Q28" s="2638"/>
      <c r="R28" s="2638"/>
      <c r="S28" s="2639"/>
      <c r="T28" s="2630">
        <f>IF(ISERROR((T26*T27)),0,(T26*T27))</f>
        <v>74936170.400000006</v>
      </c>
      <c r="U28" s="2631"/>
      <c r="V28" s="2631"/>
      <c r="W28" s="2631"/>
      <c r="X28" s="2631"/>
      <c r="Y28" s="2630">
        <f>IF(ISERROR((Y26*Y27)),0,(Y26*Y27))</f>
        <v>0</v>
      </c>
      <c r="Z28" s="2631"/>
      <c r="AA28" s="2631"/>
      <c r="AB28" s="2631"/>
      <c r="AC28" s="2631"/>
      <c r="AD28" s="2630">
        <f>IF(ISERROR((AD26*AD27)),0,(AD26*AD27))</f>
        <v>0</v>
      </c>
      <c r="AE28" s="2631"/>
      <c r="AF28" s="2631"/>
      <c r="AG28" s="2631"/>
      <c r="AH28" s="2631"/>
      <c r="AI28" s="2630">
        <f>IF(ISERROR((AI26*AI27)),0,(AI26*AI27))</f>
        <v>0</v>
      </c>
      <c r="AJ28" s="2631"/>
      <c r="AK28" s="2631"/>
      <c r="AL28" s="2631"/>
      <c r="AM28" s="2631"/>
    </row>
    <row r="29" spans="1:40" ht="12.95" customHeight="1">
      <c r="B29" s="2637" t="s">
        <v>530</v>
      </c>
      <c r="C29" s="2638"/>
      <c r="D29" s="2638"/>
      <c r="E29" s="2638"/>
      <c r="F29" s="2638"/>
      <c r="G29" s="2638"/>
      <c r="H29" s="2638"/>
      <c r="I29" s="2638"/>
      <c r="J29" s="2638"/>
      <c r="K29" s="2638"/>
      <c r="L29" s="2638"/>
      <c r="M29" s="2638"/>
      <c r="N29" s="2638"/>
      <c r="O29" s="2638"/>
      <c r="P29" s="2638"/>
      <c r="Q29" s="2638"/>
      <c r="R29" s="2638"/>
      <c r="S29" s="2639"/>
      <c r="T29" s="2632">
        <f>T28+Y28+AD28+AI28</f>
        <v>74936170.400000006</v>
      </c>
      <c r="U29" s="2633"/>
      <c r="V29" s="2633"/>
      <c r="W29" s="2633"/>
      <c r="X29" s="2633"/>
      <c r="Y29" s="2633"/>
      <c r="Z29" s="2633"/>
      <c r="AA29" s="2633"/>
      <c r="AB29" s="2633"/>
      <c r="AC29" s="2633"/>
      <c r="AD29" s="2633"/>
      <c r="AE29" s="2633"/>
      <c r="AF29" s="2633"/>
      <c r="AG29" s="2633"/>
      <c r="AH29" s="2633"/>
      <c r="AI29" s="2633"/>
      <c r="AJ29" s="2633"/>
      <c r="AK29" s="2633"/>
      <c r="AL29" s="2633"/>
      <c r="AM29" s="2630"/>
    </row>
    <row r="30" spans="1:40" ht="12.95" customHeight="1">
      <c r="B30" s="2640" t="s">
        <v>1371</v>
      </c>
      <c r="C30" s="2640"/>
      <c r="D30" s="2640"/>
      <c r="E30" s="2640"/>
      <c r="F30" s="2640"/>
      <c r="G30" s="2640"/>
      <c r="H30" s="2640"/>
      <c r="I30" s="2640"/>
      <c r="J30" s="2640"/>
      <c r="K30" s="2640"/>
      <c r="L30" s="2640"/>
      <c r="M30" s="2640"/>
      <c r="N30" s="2640"/>
      <c r="O30" s="2640"/>
      <c r="P30" s="2640"/>
      <c r="Q30" s="2640"/>
      <c r="R30" s="2640"/>
      <c r="S30" s="2640"/>
      <c r="T30" s="2640"/>
      <c r="U30" s="2640"/>
      <c r="V30" s="2640"/>
      <c r="W30" s="2640"/>
      <c r="X30" s="2640"/>
      <c r="Y30" s="2640"/>
      <c r="Z30" s="2640"/>
      <c r="AA30" s="2640"/>
      <c r="AB30" s="2640"/>
      <c r="AC30" s="2640"/>
      <c r="AD30" s="2640"/>
      <c r="AE30" s="2640"/>
      <c r="AF30" s="2640"/>
      <c r="AG30" s="2640"/>
      <c r="AH30" s="2640"/>
      <c r="AI30" s="2640"/>
      <c r="AJ30" s="2640"/>
      <c r="AK30" s="2640"/>
      <c r="AL30" s="2640"/>
      <c r="AM30" s="2640"/>
    </row>
    <row r="31" spans="1:40" ht="12.95" customHeight="1">
      <c r="B31" s="2640" t="s">
        <v>1370</v>
      </c>
      <c r="C31" s="2640"/>
      <c r="D31" s="2640"/>
      <c r="E31" s="2640"/>
      <c r="F31" s="2640"/>
      <c r="G31" s="2640"/>
      <c r="H31" s="2640"/>
      <c r="I31" s="2640"/>
      <c r="J31" s="2640"/>
      <c r="K31" s="2640"/>
      <c r="L31" s="2640"/>
      <c r="M31" s="2640"/>
      <c r="N31" s="2640"/>
      <c r="O31" s="2640"/>
      <c r="P31" s="2640"/>
      <c r="Q31" s="2640"/>
      <c r="R31" s="2640"/>
      <c r="S31" s="2640"/>
      <c r="T31" s="2640"/>
      <c r="U31" s="2640"/>
      <c r="V31" s="2640"/>
      <c r="W31" s="2640"/>
      <c r="X31" s="2640"/>
      <c r="Y31" s="2640"/>
      <c r="Z31" s="2640"/>
      <c r="AA31" s="2640"/>
      <c r="AB31" s="2640"/>
      <c r="AC31" s="2640"/>
      <c r="AD31" s="2640"/>
      <c r="AE31" s="2640"/>
      <c r="AF31" s="2640"/>
      <c r="AG31" s="2640"/>
      <c r="AH31" s="2640"/>
      <c r="AI31" s="2640"/>
      <c r="AJ31" s="2640"/>
      <c r="AK31" s="2640"/>
      <c r="AL31" s="2640"/>
      <c r="AM31" s="2640"/>
      <c r="AN31" s="552"/>
    </row>
    <row r="32" spans="1:40" ht="12.95" customHeight="1">
      <c r="B32" s="466"/>
      <c r="C32" s="545" t="s">
        <v>387</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583</v>
      </c>
      <c r="C34" s="435" t="s">
        <v>575</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58" t="s">
        <v>1253</v>
      </c>
      <c r="Z35" s="2658"/>
      <c r="AA35" s="2658"/>
      <c r="AB35" s="2658"/>
      <c r="AC35" s="2658"/>
      <c r="AD35" s="2681" t="s">
        <v>369</v>
      </c>
      <c r="AE35" s="2681"/>
      <c r="AF35" s="2681"/>
      <c r="AG35" s="2681"/>
      <c r="AH35" s="2681"/>
    </row>
    <row r="36" spans="1:76" ht="12.95" customHeight="1">
      <c r="B36" s="438"/>
      <c r="X36" s="443"/>
      <c r="Y36" s="2658"/>
      <c r="Z36" s="2658"/>
      <c r="AA36" s="2658"/>
      <c r="AB36" s="2658"/>
      <c r="AC36" s="2658"/>
      <c r="AD36" s="2681"/>
      <c r="AE36" s="2681"/>
      <c r="AF36" s="2681"/>
      <c r="AG36" s="2681"/>
      <c r="AH36" s="2681"/>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58"/>
      <c r="Z37" s="2658"/>
      <c r="AA37" s="2658"/>
      <c r="AB37" s="2658"/>
      <c r="AC37" s="2658"/>
      <c r="AD37" s="2681"/>
      <c r="AE37" s="2681"/>
      <c r="AF37" s="2681"/>
      <c r="AG37" s="2681"/>
      <c r="AH37" s="2681"/>
    </row>
    <row r="38" spans="1:76" ht="12.95" customHeight="1">
      <c r="A38" s="435"/>
      <c r="B38" s="2637" t="s">
        <v>513</v>
      </c>
      <c r="C38" s="2638"/>
      <c r="D38" s="2638"/>
      <c r="E38" s="2638"/>
      <c r="F38" s="2638"/>
      <c r="G38" s="2638"/>
      <c r="H38" s="2638"/>
      <c r="I38" s="2638"/>
      <c r="J38" s="2638"/>
      <c r="K38" s="2638"/>
      <c r="L38" s="2638"/>
      <c r="M38" s="2638"/>
      <c r="N38" s="2638"/>
      <c r="O38" s="2638"/>
      <c r="P38" s="2638"/>
      <c r="Q38" s="2638"/>
      <c r="R38" s="2638"/>
      <c r="S38" s="2638"/>
      <c r="T38" s="2638"/>
      <c r="U38" s="2638"/>
      <c r="V38" s="2638"/>
      <c r="W38" s="2638"/>
      <c r="X38" s="2639"/>
      <c r="Y38" s="2631">
        <f>IF(T24&gt;=(T23+Y23+AD23+AI23),T28+Y28,0)</f>
        <v>74936170.400000006</v>
      </c>
      <c r="Z38" s="2631"/>
      <c r="AA38" s="2631"/>
      <c r="AB38" s="2631"/>
      <c r="AC38" s="2631"/>
      <c r="AD38" s="2631">
        <f>IF(T24&gt;=(T23+Y23+AD23+AI23),AD28+AI28,0)</f>
        <v>0</v>
      </c>
      <c r="AE38" s="2631"/>
      <c r="AF38" s="2631"/>
      <c r="AG38" s="2631"/>
      <c r="AH38" s="2631"/>
    </row>
    <row r="39" spans="1:76" ht="12.95" customHeight="1">
      <c r="B39" s="2637" t="s">
        <v>1876</v>
      </c>
      <c r="C39" s="2638"/>
      <c r="D39" s="2638"/>
      <c r="E39" s="2638"/>
      <c r="F39" s="2638"/>
      <c r="G39" s="2638"/>
      <c r="H39" s="2638"/>
      <c r="I39" s="2638"/>
      <c r="J39" s="2638"/>
      <c r="K39" s="2638"/>
      <c r="L39" s="2638"/>
      <c r="M39" s="2638"/>
      <c r="N39" s="2638"/>
      <c r="O39" s="2638"/>
      <c r="P39" s="2638"/>
      <c r="Q39" s="2638"/>
      <c r="R39" s="2638"/>
      <c r="S39" s="2638"/>
      <c r="T39" s="2638"/>
      <c r="U39" s="2638"/>
      <c r="V39" s="2638"/>
      <c r="W39" s="2638"/>
      <c r="X39" s="2639"/>
      <c r="Y39" s="2682">
        <v>0.04</v>
      </c>
      <c r="Z39" s="2682"/>
      <c r="AA39" s="2682"/>
      <c r="AB39" s="2682"/>
      <c r="AC39" s="2682"/>
      <c r="AD39" s="2682">
        <v>0.04</v>
      </c>
      <c r="AE39" s="2682"/>
      <c r="AF39" s="2682"/>
      <c r="AG39" s="2682"/>
      <c r="AH39" s="2682"/>
    </row>
    <row r="40" spans="1:76" ht="12.95" customHeight="1">
      <c r="A40" s="435"/>
      <c r="B40" s="2637" t="s">
        <v>649</v>
      </c>
      <c r="C40" s="2638"/>
      <c r="D40" s="2638"/>
      <c r="E40" s="2638"/>
      <c r="F40" s="2638"/>
      <c r="G40" s="2638"/>
      <c r="H40" s="2638"/>
      <c r="I40" s="2638"/>
      <c r="J40" s="2638"/>
      <c r="K40" s="2638"/>
      <c r="L40" s="2638"/>
      <c r="M40" s="2638"/>
      <c r="N40" s="2638"/>
      <c r="O40" s="2638"/>
      <c r="P40" s="2638"/>
      <c r="Q40" s="2638"/>
      <c r="R40" s="2638"/>
      <c r="S40" s="2638"/>
      <c r="T40" s="2638"/>
      <c r="U40" s="2638"/>
      <c r="V40" s="2638"/>
      <c r="W40" s="2638"/>
      <c r="X40" s="2639"/>
      <c r="Y40" s="2631">
        <f>ROUND(Y38*Y39,0)</f>
        <v>2997447</v>
      </c>
      <c r="Z40" s="2631"/>
      <c r="AA40" s="2631"/>
      <c r="AB40" s="2631"/>
      <c r="AC40" s="2631"/>
      <c r="AD40" s="2630">
        <f>ROUND(AD38*AD39,0)</f>
        <v>0</v>
      </c>
      <c r="AE40" s="2631"/>
      <c r="AF40" s="2631"/>
      <c r="AG40" s="2631"/>
      <c r="AH40" s="2631"/>
    </row>
    <row r="41" spans="1:76" ht="12.95" customHeight="1">
      <c r="B41" s="2637" t="s">
        <v>650</v>
      </c>
      <c r="C41" s="2638"/>
      <c r="D41" s="2638"/>
      <c r="E41" s="2638"/>
      <c r="F41" s="2638"/>
      <c r="G41" s="2638"/>
      <c r="H41" s="2638"/>
      <c r="I41" s="2638"/>
      <c r="J41" s="2638"/>
      <c r="K41" s="2638"/>
      <c r="L41" s="2638"/>
      <c r="M41" s="2638"/>
      <c r="N41" s="2638"/>
      <c r="O41" s="2638"/>
      <c r="P41" s="2638"/>
      <c r="Q41" s="2638"/>
      <c r="R41" s="2638"/>
      <c r="S41" s="2638"/>
      <c r="T41" s="2638"/>
      <c r="U41" s="2638"/>
      <c r="V41" s="2638"/>
      <c r="W41" s="2638"/>
      <c r="X41" s="2639"/>
      <c r="Y41" s="2632">
        <f>Y40+AD40</f>
        <v>2997447</v>
      </c>
      <c r="Z41" s="2633"/>
      <c r="AA41" s="2633"/>
      <c r="AB41" s="2633"/>
      <c r="AC41" s="2633"/>
      <c r="AD41" s="2633"/>
      <c r="AE41" s="2633"/>
      <c r="AF41" s="2633"/>
      <c r="AG41" s="2633"/>
      <c r="AH41" s="2630"/>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35" t="s">
        <v>1381</v>
      </c>
      <c r="B44" s="2635"/>
      <c r="C44" s="2635"/>
      <c r="D44" s="2635"/>
      <c r="E44" s="2635"/>
      <c r="F44" s="2635"/>
      <c r="G44" s="2635"/>
      <c r="H44" s="2635"/>
      <c r="I44" s="2635"/>
      <c r="J44" s="2635"/>
      <c r="K44" s="2635"/>
      <c r="L44" s="2635"/>
      <c r="M44" s="2635"/>
      <c r="N44" s="2635"/>
      <c r="O44" s="2635"/>
      <c r="P44" s="2635"/>
      <c r="Q44" s="2635"/>
      <c r="R44" s="2635"/>
      <c r="S44" s="2635"/>
      <c r="T44" s="2635"/>
      <c r="U44" s="2635"/>
      <c r="V44" s="2635"/>
      <c r="W44" s="2635"/>
      <c r="X44" s="2635"/>
      <c r="Y44" s="2635"/>
      <c r="Z44" s="2635"/>
      <c r="AA44" s="2635"/>
      <c r="AB44" s="2635"/>
      <c r="AC44" s="2635"/>
      <c r="AD44" s="2635"/>
      <c r="AE44" s="2635"/>
      <c r="AF44" s="2635"/>
      <c r="AG44" s="2635"/>
      <c r="AH44" s="2635"/>
      <c r="AI44" s="2635"/>
      <c r="AJ44" s="2635"/>
      <c r="AK44" s="2635"/>
      <c r="AL44" s="2635"/>
      <c r="AM44" s="2635"/>
      <c r="AN44" s="2635"/>
      <c r="AO44" s="2635"/>
      <c r="AP44" s="2635"/>
      <c r="AQ44" s="2635"/>
      <c r="AR44" s="2635"/>
      <c r="AS44" s="2635"/>
      <c r="AT44" s="2635"/>
      <c r="AU44" s="2635"/>
      <c r="AV44" s="2635"/>
      <c r="AW44" s="2635"/>
      <c r="AX44" s="2635"/>
      <c r="AY44" s="2635"/>
      <c r="AZ44" s="2635"/>
      <c r="BA44" s="2635"/>
      <c r="BB44" s="2635"/>
      <c r="BC44" s="2635"/>
      <c r="BD44" s="2635"/>
      <c r="BE44" s="2635"/>
      <c r="BF44" s="2635"/>
      <c r="BG44" s="2635"/>
      <c r="BH44" s="2635"/>
      <c r="BI44" s="2635"/>
      <c r="BJ44" s="2635"/>
      <c r="BK44" s="2635"/>
      <c r="BL44" s="2635"/>
      <c r="BM44" s="2635"/>
      <c r="BN44" s="2635"/>
      <c r="BO44" s="2635"/>
      <c r="BP44" s="2635"/>
      <c r="BQ44" s="2635"/>
      <c r="BR44" s="2635"/>
      <c r="BS44" s="2635"/>
      <c r="BT44" s="2635"/>
      <c r="BU44" s="2635"/>
      <c r="BV44" s="2635"/>
      <c r="BW44" s="2635"/>
      <c r="BX44" s="2635"/>
    </row>
    <row r="45" spans="1:76" s="218" customFormat="1" ht="12.95" customHeight="1" thickTop="1"/>
    <row r="46" spans="1:76" ht="12.95" customHeight="1">
      <c r="A46" s="435" t="s">
        <v>593</v>
      </c>
      <c r="C46" s="435" t="s">
        <v>282</v>
      </c>
    </row>
    <row r="47" spans="1:76" ht="12.95" customHeight="1">
      <c r="D47" s="435" t="s">
        <v>283</v>
      </c>
      <c r="AB47" s="2647">
        <f>'Sources and Uses Budget'!B105-MAX(IF('Sources and Uses Budget'!B15="",0,'Sources and Uses Budget'!B15),IF(Application!AG394="",0,Application!AG394))</f>
        <v>68632776</v>
      </c>
      <c r="AC47" s="2648"/>
      <c r="AD47" s="2648"/>
      <c r="AE47" s="2648"/>
      <c r="AF47" s="2649"/>
    </row>
    <row r="48" spans="1:76" ht="12.95" customHeight="1">
      <c r="D48" s="435" t="s">
        <v>21</v>
      </c>
      <c r="AB48" s="2647">
        <f>Application!AO639-MAX(IF('Sources and Uses Budget'!B15="",0,'Sources and Uses Budget'!B15),IF(Application!AG394="",0,Application!AG394))</f>
        <v>40741402</v>
      </c>
      <c r="AC48" s="2648"/>
      <c r="AD48" s="2648"/>
      <c r="AE48" s="2648"/>
      <c r="AF48" s="2649"/>
    </row>
    <row r="49" spans="1:76" ht="12.95" customHeight="1">
      <c r="D49" s="435" t="s">
        <v>91</v>
      </c>
      <c r="AB49" s="2647">
        <f>AB47-AB48</f>
        <v>27891374</v>
      </c>
      <c r="AC49" s="2648"/>
      <c r="AD49" s="2648"/>
      <c r="AE49" s="2648"/>
      <c r="AF49" s="2649"/>
    </row>
    <row r="50" spans="1:76" ht="12.95" customHeight="1">
      <c r="D50" s="435" t="s">
        <v>688</v>
      </c>
      <c r="AA50" s="446"/>
      <c r="AB50" s="2674">
        <v>0.93059999999999998</v>
      </c>
      <c r="AC50" s="2675"/>
      <c r="AD50" s="2675"/>
      <c r="AE50" s="2675"/>
      <c r="AF50" s="2676"/>
    </row>
    <row r="51" spans="1:76" s="448" customFormat="1" ht="12.95" customHeight="1">
      <c r="A51" s="433"/>
      <c r="B51" s="433"/>
      <c r="C51" s="433"/>
      <c r="D51" s="433"/>
      <c r="E51" s="2677" t="s">
        <v>2036</v>
      </c>
      <c r="F51" s="2677"/>
      <c r="G51" s="2677"/>
      <c r="H51" s="2677"/>
      <c r="I51" s="2677"/>
      <c r="J51" s="2677"/>
      <c r="K51" s="2677"/>
      <c r="L51" s="2677"/>
      <c r="M51" s="2677"/>
      <c r="N51" s="2677"/>
      <c r="O51" s="2677"/>
      <c r="P51" s="2677"/>
      <c r="Q51" s="2677"/>
      <c r="R51" s="2677"/>
      <c r="S51" s="2677"/>
      <c r="T51" s="2677"/>
      <c r="U51" s="2677"/>
      <c r="V51" s="2677"/>
      <c r="W51" s="2677"/>
      <c r="X51" s="2677"/>
      <c r="Y51" s="2677"/>
      <c r="Z51" s="2677"/>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77"/>
      <c r="F52" s="2677"/>
      <c r="G52" s="2677"/>
      <c r="H52" s="2677"/>
      <c r="I52" s="2677"/>
      <c r="J52" s="2677"/>
      <c r="K52" s="2677"/>
      <c r="L52" s="2677"/>
      <c r="M52" s="2677"/>
      <c r="N52" s="2677"/>
      <c r="O52" s="2677"/>
      <c r="P52" s="2677"/>
      <c r="Q52" s="2677"/>
      <c r="R52" s="2677"/>
      <c r="S52" s="2677"/>
      <c r="T52" s="2677"/>
      <c r="U52" s="2677"/>
      <c r="V52" s="2677"/>
      <c r="W52" s="2677"/>
      <c r="X52" s="2677"/>
      <c r="Y52" s="2677"/>
      <c r="Z52" s="2677"/>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332</v>
      </c>
      <c r="AB54" s="2647">
        <f>ROUND(IF(ISERROR((AB49/AB50)),0,(AB49/AB50)),0)</f>
        <v>29971388</v>
      </c>
      <c r="AC54" s="2648"/>
      <c r="AD54" s="2648"/>
      <c r="AE54" s="2648"/>
      <c r="AF54" s="2649"/>
    </row>
    <row r="55" spans="1:76" ht="12.95" customHeight="1">
      <c r="D55" s="435" t="s">
        <v>333</v>
      </c>
      <c r="AB55" s="2647">
        <f>(AB54/10)</f>
        <v>2997138.8</v>
      </c>
      <c r="AC55" s="2648"/>
      <c r="AD55" s="2648"/>
      <c r="AE55" s="2648"/>
      <c r="AF55" s="2649"/>
    </row>
    <row r="56" spans="1:76" ht="12.95" customHeight="1">
      <c r="D56" s="435" t="s">
        <v>764</v>
      </c>
      <c r="AB56" s="2678">
        <f>(IF((Y41&lt;AB55),Y41,AB55))</f>
        <v>2997138.8</v>
      </c>
      <c r="AC56" s="2679"/>
      <c r="AD56" s="2679"/>
      <c r="AE56" s="2679"/>
      <c r="AF56" s="2680"/>
    </row>
    <row r="57" spans="1:76" ht="12.95" customHeight="1">
      <c r="D57" s="435" t="s">
        <v>763</v>
      </c>
      <c r="AB57" s="2647">
        <f>ROUND((10*AB56*AB50),0)</f>
        <v>27891374</v>
      </c>
      <c r="AC57" s="2648"/>
      <c r="AD57" s="2648"/>
      <c r="AE57" s="2648"/>
      <c r="AF57" s="2649"/>
    </row>
    <row r="58" spans="1:76" ht="12.95" customHeight="1">
      <c r="D58" s="435"/>
      <c r="AB58" s="454"/>
      <c r="AC58" s="454"/>
      <c r="AD58" s="454"/>
      <c r="AE58" s="454"/>
      <c r="AF58" s="454"/>
    </row>
    <row r="59" spans="1:76" ht="12.95" customHeight="1">
      <c r="D59" s="435" t="s">
        <v>762</v>
      </c>
      <c r="AB59" s="2670">
        <f>AB49-AB57</f>
        <v>0</v>
      </c>
      <c r="AC59" s="2670"/>
      <c r="AD59" s="2670"/>
      <c r="AE59" s="2670"/>
      <c r="AF59" s="2670"/>
    </row>
    <row r="60" spans="1:76" ht="12.95" customHeight="1">
      <c r="D60" s="435"/>
      <c r="AB60" s="454"/>
      <c r="AC60" s="454"/>
      <c r="AD60" s="454"/>
      <c r="AE60" s="454"/>
      <c r="AF60" s="454"/>
    </row>
    <row r="61" spans="1:76" s="218" customFormat="1" ht="12.95" customHeight="1" thickBot="1">
      <c r="A61" s="2635" t="str">
        <f>IF(Application!AP205="yes","Farmworker State Credit", "State Credit" )</f>
        <v>State Credit</v>
      </c>
      <c r="B61" s="2635"/>
      <c r="C61" s="2635"/>
      <c r="D61" s="2635"/>
      <c r="E61" s="2635"/>
      <c r="F61" s="2635"/>
      <c r="G61" s="2635"/>
      <c r="H61" s="2635"/>
      <c r="I61" s="2635"/>
      <c r="J61" s="2635"/>
      <c r="K61" s="2635"/>
      <c r="L61" s="2635"/>
      <c r="M61" s="2635"/>
      <c r="N61" s="2635"/>
      <c r="O61" s="2635"/>
      <c r="P61" s="2635"/>
      <c r="Q61" s="2635"/>
      <c r="R61" s="2635"/>
      <c r="S61" s="2635"/>
      <c r="T61" s="2635"/>
      <c r="U61" s="2635"/>
      <c r="V61" s="2635"/>
      <c r="W61" s="2635"/>
      <c r="X61" s="2635"/>
      <c r="Y61" s="2635"/>
      <c r="Z61" s="2635"/>
      <c r="AA61" s="2635"/>
      <c r="AB61" s="2635"/>
      <c r="AC61" s="2635"/>
      <c r="AD61" s="2635"/>
      <c r="AE61" s="2635"/>
      <c r="AF61" s="2635"/>
      <c r="AG61" s="2635"/>
      <c r="AH61" s="2635"/>
      <c r="AI61" s="2635"/>
      <c r="AJ61" s="2635"/>
      <c r="AK61" s="2635"/>
      <c r="AL61" s="2635"/>
      <c r="AM61" s="2635"/>
      <c r="AN61" s="2635"/>
      <c r="AO61" s="2635"/>
      <c r="AP61" s="2635"/>
      <c r="AQ61" s="2635"/>
      <c r="AR61" s="2635"/>
      <c r="AS61" s="2635"/>
      <c r="AT61" s="2635"/>
      <c r="AU61" s="2635"/>
      <c r="AV61" s="2635"/>
      <c r="AW61" s="2635"/>
      <c r="AX61" s="2635"/>
      <c r="AY61" s="2635"/>
      <c r="AZ61" s="2635"/>
      <c r="BA61" s="2635"/>
      <c r="BB61" s="2635"/>
      <c r="BC61" s="2635"/>
      <c r="BD61" s="2635"/>
      <c r="BE61" s="2635"/>
      <c r="BF61" s="2635"/>
      <c r="BG61" s="2635"/>
      <c r="BH61" s="2635"/>
      <c r="BI61" s="2635"/>
      <c r="BJ61" s="2635"/>
      <c r="BK61" s="2635"/>
      <c r="BL61" s="2635"/>
      <c r="BM61" s="2635"/>
      <c r="BN61" s="2635"/>
      <c r="BO61" s="2635"/>
      <c r="BP61" s="2635"/>
      <c r="BQ61" s="2635"/>
      <c r="BR61" s="2635"/>
      <c r="BS61" s="2635"/>
      <c r="BT61" s="2635"/>
      <c r="BU61" s="2635"/>
      <c r="BV61" s="2635"/>
      <c r="BW61" s="2635"/>
      <c r="BX61" s="2635"/>
    </row>
    <row r="62" spans="1:76" s="218" customFormat="1" ht="12.95" customHeight="1" thickTop="1"/>
    <row r="63" spans="1:76" ht="12.95" customHeight="1">
      <c r="A63" s="435" t="s">
        <v>596</v>
      </c>
      <c r="C63" s="219" t="s">
        <v>1353</v>
      </c>
      <c r="Y63" s="2671" t="s">
        <v>1000</v>
      </c>
      <c r="Z63" s="2671"/>
      <c r="AA63" s="2671"/>
      <c r="AB63" s="2671"/>
      <c r="AC63" s="2671"/>
      <c r="AD63" s="2671" t="s">
        <v>369</v>
      </c>
      <c r="AE63" s="2671"/>
      <c r="AF63" s="2671"/>
      <c r="AG63" s="2671"/>
      <c r="AH63" s="2671"/>
    </row>
    <row r="64" spans="1:76" ht="12.95" customHeight="1">
      <c r="C64" s="435"/>
      <c r="D64" s="408" t="s">
        <v>1354</v>
      </c>
      <c r="E64" s="451"/>
      <c r="F64" s="451"/>
      <c r="G64" s="451"/>
      <c r="H64" s="451"/>
      <c r="I64" s="451"/>
      <c r="J64" s="451"/>
      <c r="K64" s="451"/>
      <c r="L64" s="451"/>
      <c r="M64" s="451"/>
      <c r="N64" s="451"/>
      <c r="O64" s="451"/>
      <c r="P64" s="451"/>
      <c r="Q64" s="451"/>
      <c r="R64" s="451"/>
      <c r="S64" s="451"/>
      <c r="T64" s="451"/>
      <c r="U64" s="451"/>
      <c r="V64" s="451"/>
      <c r="W64" s="451"/>
      <c r="X64" s="451"/>
      <c r="Y64" s="2632">
        <f>IF(Application!$Z$205="(select)",0,((T23*T27)+Y28))</f>
        <v>0</v>
      </c>
      <c r="Z64" s="2672"/>
      <c r="AA64" s="2672"/>
      <c r="AB64" s="2672"/>
      <c r="AC64" s="2673"/>
      <c r="AD64" s="2632">
        <f>IF(AND(OR(Application!D211="At-Risk",Application!D211="At-Risk and Special Needs"),Application!M358="yes"),AD28+AI28,0)</f>
        <v>0</v>
      </c>
      <c r="AE64" s="2672"/>
      <c r="AF64" s="2672"/>
      <c r="AG64" s="2672"/>
      <c r="AH64" s="2673"/>
    </row>
    <row r="65" spans="1:36" ht="12.95" customHeight="1">
      <c r="C65" s="435"/>
      <c r="E65" s="1052" t="s">
        <v>2034</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2035</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270</v>
      </c>
      <c r="E67" s="452"/>
      <c r="F67" s="452"/>
      <c r="G67" s="452"/>
      <c r="H67" s="452"/>
      <c r="I67" s="452"/>
      <c r="J67" s="452"/>
      <c r="K67" s="452"/>
      <c r="L67" s="452"/>
      <c r="M67" s="452"/>
      <c r="N67" s="452"/>
      <c r="O67" s="452"/>
      <c r="P67" s="452"/>
      <c r="Q67" s="452"/>
      <c r="R67" s="452"/>
      <c r="S67" s="452"/>
      <c r="T67" s="452"/>
      <c r="U67" s="452"/>
      <c r="V67" s="452"/>
      <c r="W67" s="452"/>
      <c r="X67" s="452"/>
      <c r="Y67" s="2688">
        <f>IF(OR(Application!Z205="State Farmworker Credit",Application!Z205="$500M (Farmworker Housing)"),0.75,IF(Application!Z205="15% set-aside",0.13,IF(Application!Z205="15% set-aside with qualifying low value rehab",0.95,0.3)))</f>
        <v>0.3</v>
      </c>
      <c r="Z67" s="2688"/>
      <c r="AA67" s="2688"/>
      <c r="AB67" s="2688"/>
      <c r="AC67" s="2688"/>
      <c r="AD67" s="2688">
        <f>IF(Application!Z205="15% set-aside with qualifying low value rehab", 0.95,0.13)</f>
        <v>0.13</v>
      </c>
      <c r="AE67" s="2688"/>
      <c r="AF67" s="2688"/>
      <c r="AG67" s="2688"/>
      <c r="AH67" s="2688"/>
    </row>
    <row r="68" spans="1:36" ht="12.95" customHeight="1">
      <c r="C68" s="435"/>
      <c r="D68" s="219" t="s">
        <v>2632</v>
      </c>
      <c r="Y68" s="2631">
        <f>ROUND(Y64*Y67,0)</f>
        <v>0</v>
      </c>
      <c r="Z68" s="2689"/>
      <c r="AA68" s="2689"/>
      <c r="AB68" s="2689"/>
      <c r="AC68" s="2689"/>
      <c r="AD68" s="2631">
        <f>ROUND(AD64*AD67,0)</f>
        <v>0</v>
      </c>
      <c r="AE68" s="2689"/>
      <c r="AF68" s="2689"/>
      <c r="AG68" s="2689"/>
      <c r="AH68" s="2689"/>
    </row>
    <row r="69" spans="1:36" ht="12.95" customHeight="1">
      <c r="C69" s="435"/>
      <c r="D69" s="219" t="s">
        <v>2633</v>
      </c>
      <c r="Y69" s="2631">
        <f>IF(OR(Application!Z205="State Farmworker Credit",Application!Z205="$500M (Farmworker Housing)"),Y68+AD68,MIN(Y68+AD68,200000*(Application!G753+Application!O777)))</f>
        <v>0</v>
      </c>
      <c r="Z69" s="2631"/>
      <c r="AA69" s="2631"/>
      <c r="AB69" s="2631"/>
      <c r="AC69" s="2631"/>
      <c r="AD69" s="2631"/>
      <c r="AE69" s="2631"/>
      <c r="AF69" s="2631"/>
      <c r="AG69" s="2631"/>
      <c r="AH69" s="2631"/>
    </row>
    <row r="70" spans="1:36" ht="12.95" customHeight="1">
      <c r="C70" s="435"/>
      <c r="E70" s="435"/>
      <c r="AB70" s="453"/>
      <c r="AC70" s="453"/>
      <c r="AD70" s="453"/>
      <c r="AE70" s="453"/>
      <c r="AF70" s="453"/>
    </row>
    <row r="71" spans="1:36" ht="12.95" customHeight="1">
      <c r="A71" s="435" t="s">
        <v>597</v>
      </c>
      <c r="C71" s="219" t="s">
        <v>284</v>
      </c>
    </row>
    <row r="72" spans="1:36" ht="12.95" customHeight="1">
      <c r="A72" s="435"/>
      <c r="C72" s="435"/>
      <c r="D72" s="219" t="s">
        <v>1355</v>
      </c>
      <c r="AB72" s="2674"/>
      <c r="AC72" s="2675"/>
      <c r="AD72" s="2675"/>
      <c r="AE72" s="2675"/>
      <c r="AF72" s="2676"/>
    </row>
    <row r="73" spans="1:36" ht="12.95" customHeight="1">
      <c r="A73" s="435"/>
      <c r="C73" s="435"/>
      <c r="D73" s="435"/>
      <c r="E73" s="2690" t="s">
        <v>1356</v>
      </c>
      <c r="F73" s="2690"/>
      <c r="G73" s="2690"/>
      <c r="H73" s="2690"/>
      <c r="I73" s="2690"/>
      <c r="J73" s="2690"/>
      <c r="K73" s="2690"/>
      <c r="L73" s="2690"/>
      <c r="M73" s="2690"/>
      <c r="N73" s="2690"/>
      <c r="O73" s="2690"/>
      <c r="P73" s="2690"/>
      <c r="Q73" s="2690"/>
      <c r="R73" s="2690"/>
      <c r="S73" s="2690"/>
      <c r="T73" s="2690"/>
      <c r="U73" s="2690"/>
      <c r="V73" s="2690"/>
      <c r="W73" s="2690"/>
      <c r="X73" s="2690"/>
      <c r="Y73" s="2690"/>
      <c r="Z73" s="2690"/>
      <c r="AA73" s="2690"/>
      <c r="AB73" s="471"/>
      <c r="AC73" s="471"/>
    </row>
    <row r="74" spans="1:36" ht="12.95" customHeight="1">
      <c r="A74" s="435"/>
      <c r="C74" s="435"/>
      <c r="D74" s="435"/>
      <c r="E74" s="2690"/>
      <c r="F74" s="2690"/>
      <c r="G74" s="2690"/>
      <c r="H74" s="2690"/>
      <c r="I74" s="2690"/>
      <c r="J74" s="2690"/>
      <c r="K74" s="2690"/>
      <c r="L74" s="2690"/>
      <c r="M74" s="2690"/>
      <c r="N74" s="2690"/>
      <c r="O74" s="2690"/>
      <c r="P74" s="2690"/>
      <c r="Q74" s="2690"/>
      <c r="R74" s="2690"/>
      <c r="S74" s="2690"/>
      <c r="T74" s="2690"/>
      <c r="U74" s="2690"/>
      <c r="V74" s="2690"/>
      <c r="W74" s="2690"/>
      <c r="X74" s="2690"/>
      <c r="Y74" s="2690"/>
      <c r="Z74" s="2690"/>
      <c r="AA74" s="2690"/>
      <c r="AB74" s="471"/>
      <c r="AC74" s="471"/>
    </row>
    <row r="75" spans="1:36" ht="12.95" customHeight="1">
      <c r="A75" s="435"/>
      <c r="C75" s="435"/>
      <c r="D75" s="435"/>
      <c r="E75" s="2690"/>
      <c r="F75" s="2690"/>
      <c r="G75" s="2690"/>
      <c r="H75" s="2690"/>
      <c r="I75" s="2690"/>
      <c r="J75" s="2690"/>
      <c r="K75" s="2690"/>
      <c r="L75" s="2690"/>
      <c r="M75" s="2690"/>
      <c r="N75" s="2690"/>
      <c r="O75" s="2690"/>
      <c r="P75" s="2690"/>
      <c r="Q75" s="2690"/>
      <c r="R75" s="2690"/>
      <c r="S75" s="2690"/>
      <c r="T75" s="2690"/>
      <c r="U75" s="2690"/>
      <c r="V75" s="2690"/>
      <c r="W75" s="2690"/>
      <c r="X75" s="2690"/>
      <c r="Y75" s="2690"/>
      <c r="Z75" s="2690"/>
      <c r="AA75" s="2690"/>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1357</v>
      </c>
      <c r="AB77" s="2683">
        <f>ROUND(IF(ISERROR((AB59/AB72)),0,(AB59/AB72)),0)</f>
        <v>0</v>
      </c>
      <c r="AC77" s="2683"/>
      <c r="AD77" s="2683"/>
      <c r="AE77" s="2683"/>
      <c r="AF77" s="2683"/>
    </row>
    <row r="78" spans="1:36" ht="12.95" customHeight="1">
      <c r="C78" s="435"/>
      <c r="D78" s="219" t="s">
        <v>1358</v>
      </c>
      <c r="AB78" s="2684">
        <f>MIN(Y69,AB77)</f>
        <v>0</v>
      </c>
      <c r="AC78" s="2685"/>
      <c r="AD78" s="2685"/>
      <c r="AE78" s="2685"/>
      <c r="AF78" s="2686"/>
    </row>
    <row r="79" spans="1:36" ht="12.95" customHeight="1">
      <c r="C79" s="435"/>
      <c r="D79" s="219" t="s">
        <v>1359</v>
      </c>
      <c r="AB79" s="2687">
        <f>AB78*AB72</f>
        <v>0</v>
      </c>
      <c r="AC79" s="2687"/>
      <c r="AD79" s="2687"/>
      <c r="AE79" s="2687"/>
      <c r="AF79" s="2687"/>
    </row>
    <row r="80" spans="1:36" ht="12.95" customHeight="1">
      <c r="C80" s="435"/>
      <c r="D80" s="435"/>
      <c r="AB80" s="456"/>
      <c r="AC80" s="456"/>
      <c r="AD80" s="456"/>
      <c r="AE80" s="456"/>
      <c r="AF80" s="456"/>
    </row>
    <row r="81" spans="1:78" ht="12.95" customHeight="1">
      <c r="D81" s="435" t="s">
        <v>762</v>
      </c>
      <c r="AB81" s="2670">
        <f>AB49-(AB57+AB79)</f>
        <v>0</v>
      </c>
      <c r="AC81" s="2670"/>
      <c r="AD81" s="2670"/>
      <c r="AE81" s="2670"/>
      <c r="AF81" s="2670"/>
    </row>
    <row r="82" spans="1:78" ht="12.95" customHeight="1">
      <c r="F82" s="556"/>
      <c r="J82" s="556" t="str">
        <f>IF(AB81&gt;0,"FUNDING GAP MUST NOT EXCEED ZERO","")</f>
        <v/>
      </c>
    </row>
    <row r="83" spans="1:78" ht="12.95" customHeight="1">
      <c r="D83" s="557"/>
    </row>
    <row r="84" spans="1:78" ht="12.95" customHeight="1" thickBot="1">
      <c r="A84" s="2635"/>
      <c r="B84" s="2635"/>
      <c r="C84" s="2635"/>
      <c r="D84" s="2635"/>
      <c r="E84" s="2635"/>
      <c r="F84" s="2635"/>
      <c r="G84" s="2635"/>
      <c r="H84" s="2635"/>
      <c r="I84" s="2635"/>
      <c r="J84" s="2635"/>
      <c r="K84" s="2635"/>
      <c r="L84" s="2635"/>
      <c r="M84" s="2635"/>
      <c r="N84" s="2635"/>
      <c r="O84" s="2635"/>
      <c r="P84" s="2635"/>
      <c r="Q84" s="2635"/>
      <c r="R84" s="2635"/>
      <c r="S84" s="2635"/>
      <c r="T84" s="2635"/>
      <c r="U84" s="2635"/>
      <c r="V84" s="2635"/>
      <c r="W84" s="2635"/>
      <c r="X84" s="2635"/>
      <c r="Y84" s="2635"/>
      <c r="Z84" s="2635"/>
      <c r="AA84" s="2635"/>
      <c r="AB84" s="2635"/>
      <c r="AC84" s="2635"/>
      <c r="AD84" s="2635"/>
      <c r="AE84" s="2635"/>
      <c r="AF84" s="2635"/>
      <c r="AG84" s="2635"/>
      <c r="AH84" s="2635"/>
      <c r="AI84" s="2635"/>
      <c r="AJ84" s="2635"/>
      <c r="AK84" s="2635"/>
      <c r="AL84" s="2635"/>
      <c r="AM84" s="2635"/>
      <c r="AN84" s="2635"/>
      <c r="AO84" s="2635"/>
      <c r="AP84" s="2635"/>
      <c r="AQ84" s="2635"/>
      <c r="AR84" s="2635"/>
      <c r="AS84" s="2635"/>
      <c r="AT84" s="2635"/>
      <c r="AU84" s="2635"/>
      <c r="AV84" s="2635"/>
      <c r="AW84" s="2635"/>
      <c r="AX84" s="2635"/>
      <c r="AY84" s="2635"/>
      <c r="AZ84" s="2635"/>
      <c r="BA84" s="2635"/>
      <c r="BB84" s="2635"/>
      <c r="BC84" s="2635"/>
      <c r="BD84" s="2635"/>
      <c r="BE84" s="2635"/>
      <c r="BF84" s="2635"/>
      <c r="BG84" s="2635"/>
      <c r="BH84" s="2635"/>
      <c r="BI84" s="2635"/>
      <c r="BJ84" s="2635"/>
      <c r="BK84" s="2635"/>
      <c r="BL84" s="2635"/>
      <c r="BM84" s="2635"/>
      <c r="BN84" s="2635"/>
      <c r="BO84" s="2635"/>
      <c r="BP84" s="2635"/>
      <c r="BQ84" s="2635"/>
      <c r="BR84" s="2635"/>
      <c r="BS84" s="2635"/>
      <c r="BT84" s="2635"/>
      <c r="BU84" s="2635"/>
      <c r="BV84" s="2635"/>
      <c r="BW84" s="2635"/>
      <c r="BX84" s="2635"/>
    </row>
    <row r="85" spans="1:78" ht="12.95" customHeight="1" thickTop="1"/>
    <row r="86" spans="1:78" ht="12.95" customHeight="1">
      <c r="A86" s="435"/>
      <c r="C86" s="219"/>
    </row>
    <row r="87" spans="1:78" ht="12.95" customHeight="1">
      <c r="D87" s="219"/>
      <c r="AB87" s="2636"/>
      <c r="AC87" s="2636"/>
      <c r="AD87" s="2636"/>
      <c r="AE87" s="2636"/>
      <c r="AF87" s="2636"/>
    </row>
    <row r="88" spans="1:78" ht="12.95" customHeight="1" thickBot="1">
      <c r="D88" s="219"/>
      <c r="AB88" s="2634"/>
      <c r="AC88" s="2634"/>
      <c r="AD88" s="2634"/>
      <c r="AE88" s="2634"/>
      <c r="AF88" s="2634"/>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A3" sqref="A3"/>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91" t="s">
        <v>923</v>
      </c>
      <c r="B1" s="2691"/>
      <c r="C1" s="2691"/>
      <c r="D1" s="2691"/>
      <c r="E1" s="2691"/>
      <c r="F1" s="2691"/>
      <c r="G1" s="2691"/>
      <c r="H1" s="2691"/>
      <c r="I1" s="2691"/>
      <c r="J1" s="2691"/>
      <c r="K1" s="218"/>
      <c r="L1" s="218"/>
    </row>
    <row r="2" spans="1:12">
      <c r="A2" s="225"/>
      <c r="B2" s="225"/>
      <c r="C2" s="225"/>
      <c r="D2" s="225"/>
      <c r="E2" s="225"/>
      <c r="F2" s="225"/>
      <c r="G2" s="225"/>
      <c r="H2" s="225"/>
      <c r="I2" s="225"/>
      <c r="J2" s="225"/>
    </row>
    <row r="3" spans="1:12" ht="99.75">
      <c r="A3" s="457" t="s">
        <v>924</v>
      </c>
      <c r="B3" s="457" t="s">
        <v>925</v>
      </c>
      <c r="C3" s="457" t="s">
        <v>2253</v>
      </c>
      <c r="D3" s="1190" t="s">
        <v>2791</v>
      </c>
      <c r="E3" s="218"/>
      <c r="F3" s="1190" t="s">
        <v>2790</v>
      </c>
      <c r="G3" s="457" t="s">
        <v>926</v>
      </c>
      <c r="H3" s="458"/>
      <c r="I3" s="457" t="s">
        <v>927</v>
      </c>
      <c r="J3" s="457" t="s">
        <v>928</v>
      </c>
      <c r="K3" s="218"/>
      <c r="L3" s="328"/>
    </row>
    <row r="4" spans="1:12">
      <c r="A4" s="459" t="str">
        <f>Application!B718</f>
        <v>SRO/Studio</v>
      </c>
      <c r="B4" s="1121">
        <f>Application!G718</f>
        <v>14</v>
      </c>
      <c r="C4" s="1122" t="s">
        <v>385</v>
      </c>
      <c r="D4" s="459">
        <f>Application!O718</f>
        <v>685</v>
      </c>
      <c r="E4" s="460"/>
      <c r="F4" s="1123">
        <v>2407</v>
      </c>
      <c r="G4" s="459">
        <f>F4*B4</f>
        <v>33698</v>
      </c>
      <c r="H4" s="460"/>
      <c r="I4" s="459">
        <f t="shared" ref="I4:I27" si="0">IF(F4=0,"",(F4-D4))</f>
        <v>1722</v>
      </c>
      <c r="J4" s="459">
        <f t="shared" ref="J4:J27" si="1">IF(F4=0,"",(I4*B4))</f>
        <v>24108</v>
      </c>
      <c r="K4" s="218"/>
      <c r="L4" s="328"/>
    </row>
    <row r="5" spans="1:12">
      <c r="A5" s="459" t="str">
        <f>Application!B719</f>
        <v>SRO/Studio</v>
      </c>
      <c r="B5" s="1121">
        <f>Application!G719</f>
        <v>6</v>
      </c>
      <c r="C5" s="1122"/>
      <c r="D5" s="459">
        <f>Application!O719</f>
        <v>1028</v>
      </c>
      <c r="E5" s="460"/>
      <c r="F5" s="1123"/>
      <c r="G5" s="459">
        <f t="shared" ref="G5:G38" si="2">F5*B5</f>
        <v>0</v>
      </c>
      <c r="H5" s="460"/>
      <c r="I5" s="459" t="str">
        <f t="shared" si="0"/>
        <v/>
      </c>
      <c r="J5" s="459" t="str">
        <f t="shared" si="1"/>
        <v/>
      </c>
      <c r="K5" s="218"/>
      <c r="L5" s="328"/>
    </row>
    <row r="6" spans="1:12">
      <c r="A6" s="459" t="str">
        <f>Application!B720</f>
        <v>SRO/Studio</v>
      </c>
      <c r="B6" s="1121">
        <f>Application!G720</f>
        <v>2</v>
      </c>
      <c r="C6" s="1122"/>
      <c r="D6" s="459">
        <f>Application!O720</f>
        <v>1028</v>
      </c>
      <c r="E6" s="460"/>
      <c r="F6" s="1123"/>
      <c r="G6" s="459">
        <f t="shared" si="2"/>
        <v>0</v>
      </c>
      <c r="H6" s="460"/>
      <c r="I6" s="459" t="str">
        <f t="shared" si="0"/>
        <v/>
      </c>
      <c r="J6" s="459" t="str">
        <f t="shared" si="1"/>
        <v/>
      </c>
      <c r="K6" s="218"/>
      <c r="L6" s="328"/>
    </row>
    <row r="7" spans="1:12">
      <c r="A7" s="459" t="str">
        <f>Application!B721</f>
        <v>SRO/Studio</v>
      </c>
      <c r="B7" s="1121">
        <f>Application!G721</f>
        <v>25</v>
      </c>
      <c r="C7" s="1122"/>
      <c r="D7" s="459">
        <f>Application!O721</f>
        <v>2011</v>
      </c>
      <c r="E7" s="460"/>
      <c r="F7" s="1123"/>
      <c r="G7" s="459">
        <f t="shared" si="2"/>
        <v>0</v>
      </c>
      <c r="H7" s="460"/>
      <c r="I7" s="459" t="str">
        <f t="shared" si="0"/>
        <v/>
      </c>
      <c r="J7" s="459" t="str">
        <f t="shared" si="1"/>
        <v/>
      </c>
      <c r="K7" s="218"/>
      <c r="L7" s="328"/>
    </row>
    <row r="8" spans="1:12">
      <c r="A8" s="459" t="str">
        <f>Application!B722</f>
        <v>1 Bedroom</v>
      </c>
      <c r="B8" s="1121">
        <f>Application!G722</f>
        <v>10</v>
      </c>
      <c r="C8" s="1122" t="s">
        <v>385</v>
      </c>
      <c r="D8" s="459">
        <f>Application!O722</f>
        <v>734</v>
      </c>
      <c r="E8" s="460"/>
      <c r="F8" s="1123">
        <v>2959</v>
      </c>
      <c r="G8" s="459">
        <f t="shared" si="2"/>
        <v>29590</v>
      </c>
      <c r="H8" s="460"/>
      <c r="I8" s="459">
        <f t="shared" si="0"/>
        <v>2225</v>
      </c>
      <c r="J8" s="459">
        <f t="shared" si="1"/>
        <v>22250</v>
      </c>
      <c r="K8" s="218"/>
      <c r="L8" s="328"/>
    </row>
    <row r="9" spans="1:12">
      <c r="A9" s="459" t="str">
        <f>Application!B723</f>
        <v>1 Bedroom</v>
      </c>
      <c r="B9" s="1121">
        <f>Application!G723</f>
        <v>5</v>
      </c>
      <c r="C9" s="1122"/>
      <c r="D9" s="459">
        <f>Application!O723</f>
        <v>1101</v>
      </c>
      <c r="E9" s="460"/>
      <c r="F9" s="1123"/>
      <c r="G9" s="459">
        <f t="shared" si="2"/>
        <v>0</v>
      </c>
      <c r="H9" s="460"/>
      <c r="I9" s="459" t="str">
        <f t="shared" si="0"/>
        <v/>
      </c>
      <c r="J9" s="459" t="str">
        <f t="shared" si="1"/>
        <v/>
      </c>
      <c r="K9" s="218"/>
      <c r="L9" s="328"/>
    </row>
    <row r="10" spans="1:12">
      <c r="A10" s="459" t="str">
        <f>Application!B724</f>
        <v>1 Bedroom</v>
      </c>
      <c r="B10" s="1121">
        <f>Application!G724</f>
        <v>2</v>
      </c>
      <c r="C10" s="1122"/>
      <c r="D10" s="459">
        <f>Application!O724</f>
        <v>1101</v>
      </c>
      <c r="E10" s="460"/>
      <c r="F10" s="1123"/>
      <c r="G10" s="459">
        <f t="shared" si="2"/>
        <v>0</v>
      </c>
      <c r="H10" s="460"/>
      <c r="I10" s="459" t="str">
        <f t="shared" si="0"/>
        <v/>
      </c>
      <c r="J10" s="459" t="str">
        <f t="shared" si="1"/>
        <v/>
      </c>
      <c r="K10" s="218"/>
      <c r="L10" s="328"/>
    </row>
    <row r="11" spans="1:12">
      <c r="A11" s="459" t="str">
        <f>Application!B725</f>
        <v>1 Bedroom</v>
      </c>
      <c r="B11" s="1121">
        <f>Application!G725</f>
        <v>12</v>
      </c>
      <c r="C11" s="1122"/>
      <c r="D11" s="459">
        <f>Application!O725</f>
        <v>2161</v>
      </c>
      <c r="E11" s="460"/>
      <c r="F11" s="1123"/>
      <c r="G11" s="459">
        <f t="shared" si="2"/>
        <v>0</v>
      </c>
      <c r="H11" s="460"/>
      <c r="I11" s="459" t="str">
        <f t="shared" si="0"/>
        <v/>
      </c>
      <c r="J11" s="459" t="str">
        <f t="shared" si="1"/>
        <v/>
      </c>
      <c r="K11" s="218"/>
      <c r="L11" s="328"/>
    </row>
    <row r="12" spans="1:12">
      <c r="A12" s="459" t="str">
        <f>Application!B726</f>
        <v>2 Bedrooms</v>
      </c>
      <c r="B12" s="1121">
        <f>Application!G726</f>
        <v>4</v>
      </c>
      <c r="C12" s="1122"/>
      <c r="D12" s="459">
        <f>Application!O726</f>
        <v>2595</v>
      </c>
      <c r="E12" s="460"/>
      <c r="F12" s="1123"/>
      <c r="G12" s="459">
        <f t="shared" si="2"/>
        <v>0</v>
      </c>
      <c r="H12" s="460"/>
      <c r="I12" s="459" t="str">
        <f t="shared" si="0"/>
        <v/>
      </c>
      <c r="J12" s="459" t="str">
        <f t="shared" si="1"/>
        <v/>
      </c>
      <c r="K12" s="218"/>
      <c r="L12" s="328"/>
    </row>
    <row r="13" spans="1:12">
      <c r="A13" s="459" t="str">
        <f>Application!B727</f>
        <v>3 Bedrooms</v>
      </c>
      <c r="B13" s="1121">
        <f>Application!G727</f>
        <v>5</v>
      </c>
      <c r="C13" s="1122"/>
      <c r="D13" s="459">
        <f>Application!O727</f>
        <v>3011</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929</v>
      </c>
      <c r="B40" s="462"/>
      <c r="C40" s="462"/>
      <c r="D40" s="463">
        <f>Application!O753</f>
        <v>134503</v>
      </c>
      <c r="E40" s="460"/>
      <c r="F40" s="460"/>
      <c r="G40" s="463">
        <f>SUM(G4:G38)*12</f>
        <v>759456</v>
      </c>
      <c r="H40" s="464"/>
      <c r="I40" s="462"/>
      <c r="J40" s="463">
        <f>SUM(J4:J38)*12</f>
        <v>556296</v>
      </c>
      <c r="K40" s="218"/>
      <c r="L40" s="329"/>
    </row>
    <row r="41" spans="1:12" ht="15">
      <c r="A41" s="461"/>
      <c r="B41" s="462"/>
      <c r="C41" s="462"/>
      <c r="D41" s="464"/>
      <c r="E41" s="460"/>
      <c r="F41" s="460"/>
      <c r="G41" s="464"/>
      <c r="H41" s="464"/>
      <c r="I41" s="462"/>
      <c r="J41" s="464"/>
      <c r="K41" s="218"/>
      <c r="L41" s="329"/>
    </row>
    <row r="42" spans="1:12">
      <c r="A42" s="465" t="s">
        <v>930</v>
      </c>
      <c r="B42" s="225"/>
      <c r="C42" s="225"/>
      <c r="D42" s="225"/>
      <c r="E42" s="225"/>
      <c r="F42" s="225"/>
      <c r="G42" s="225"/>
      <c r="H42" s="225"/>
      <c r="I42" s="225"/>
      <c r="J42" s="225"/>
    </row>
    <row r="43" spans="1:12">
      <c r="A43" s="465" t="s">
        <v>931</v>
      </c>
      <c r="B43" s="225"/>
      <c r="C43" s="225"/>
      <c r="D43" s="225"/>
      <c r="E43" s="225"/>
      <c r="F43" s="225"/>
      <c r="G43" s="225"/>
      <c r="H43" s="225"/>
      <c r="I43" s="225"/>
      <c r="J43" s="225"/>
    </row>
    <row r="44" spans="1:12">
      <c r="A44" s="225" t="s">
        <v>2414</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2"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selection activeCell="E49" sqref="E49"/>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2405</v>
      </c>
      <c r="B1" s="226"/>
    </row>
    <row r="2" spans="1:34"/>
    <row r="3" spans="1:34" ht="15.75">
      <c r="A3" s="227" t="s">
        <v>829</v>
      </c>
      <c r="B3" s="227"/>
      <c r="C3" s="251" t="s">
        <v>830</v>
      </c>
      <c r="D3" s="13"/>
      <c r="E3" s="252" t="s">
        <v>831</v>
      </c>
      <c r="F3" s="217"/>
      <c r="G3" s="252" t="s">
        <v>832</v>
      </c>
      <c r="H3" s="217"/>
      <c r="I3" s="252" t="s">
        <v>833</v>
      </c>
      <c r="J3" s="217"/>
      <c r="K3" s="252" t="s">
        <v>834</v>
      </c>
      <c r="L3" s="217"/>
      <c r="M3" s="252" t="s">
        <v>835</v>
      </c>
      <c r="N3" s="217"/>
      <c r="O3" s="252" t="s">
        <v>836</v>
      </c>
      <c r="P3" s="217"/>
      <c r="Q3" s="252" t="s">
        <v>837</v>
      </c>
      <c r="R3" s="217"/>
      <c r="S3" s="252" t="s">
        <v>838</v>
      </c>
      <c r="T3" s="217"/>
      <c r="U3" s="252" t="s">
        <v>839</v>
      </c>
      <c r="V3" s="217"/>
      <c r="W3" s="252" t="s">
        <v>840</v>
      </c>
      <c r="X3" s="217"/>
      <c r="Y3" s="252" t="s">
        <v>841</v>
      </c>
      <c r="Z3" s="217"/>
      <c r="AA3" s="252" t="s">
        <v>842</v>
      </c>
      <c r="AB3" s="217"/>
      <c r="AC3" s="252" t="s">
        <v>843</v>
      </c>
      <c r="AD3" s="217"/>
      <c r="AE3" s="252" t="s">
        <v>844</v>
      </c>
      <c r="AF3" s="217"/>
      <c r="AG3" s="252" t="s">
        <v>845</v>
      </c>
      <c r="AH3" s="13"/>
    </row>
    <row r="4" spans="1:34" s="235" customFormat="1" ht="14.25">
      <c r="A4" s="235" t="s">
        <v>847</v>
      </c>
      <c r="C4" s="253">
        <v>1.0249999999999999</v>
      </c>
      <c r="E4" s="235">
        <f>Application!Y801</f>
        <v>1614036</v>
      </c>
      <c r="G4" s="235">
        <f>E4*$C$4</f>
        <v>1654386.9</v>
      </c>
      <c r="I4" s="235">
        <f>G4*$C$4</f>
        <v>1695746.5724999998</v>
      </c>
      <c r="K4" s="235">
        <f>I4*$C$4</f>
        <v>1738140.2368124996</v>
      </c>
      <c r="M4" s="235">
        <f>K4*$C$4</f>
        <v>1781593.742732812</v>
      </c>
      <c r="O4" s="235">
        <f>M4*$C$4</f>
        <v>1826133.5863011321</v>
      </c>
      <c r="Q4" s="235">
        <f>O4*$C$4</f>
        <v>1871786.9259586602</v>
      </c>
      <c r="S4" s="235">
        <f>Q4*$C$4</f>
        <v>1918581.5991076266</v>
      </c>
      <c r="U4" s="235">
        <f>S4*$C$4</f>
        <v>1966546.139085317</v>
      </c>
      <c r="W4" s="235">
        <f>U4*$C$4</f>
        <v>2015709.7925624498</v>
      </c>
      <c r="Y4" s="235">
        <f>W4*$C$4</f>
        <v>2066102.5373765109</v>
      </c>
      <c r="AA4" s="235">
        <f>Y4*$C$4</f>
        <v>2117755.1008109236</v>
      </c>
      <c r="AC4" s="235">
        <f>AA4*$C$4</f>
        <v>2170698.9783311966</v>
      </c>
      <c r="AE4" s="235">
        <f>AC4*$C$4</f>
        <v>2224966.4527894761</v>
      </c>
      <c r="AG4" s="235">
        <f>AE4*$C$4</f>
        <v>2280590.614109213</v>
      </c>
    </row>
    <row r="5" spans="1:34" s="225" customFormat="1" ht="14.25">
      <c r="B5" s="225" t="s">
        <v>848</v>
      </c>
      <c r="C5" s="254">
        <v>0.06</v>
      </c>
      <c r="E5" s="237">
        <f>-E4*$C$5</f>
        <v>-96842.16</v>
      </c>
      <c r="F5" s="237"/>
      <c r="G5" s="237">
        <f>-G4*$C$5</f>
        <v>-99263.213999999993</v>
      </c>
      <c r="H5" s="237"/>
      <c r="I5" s="237">
        <f>-I4*$C$5</f>
        <v>-101744.79434999998</v>
      </c>
      <c r="J5" s="237"/>
      <c r="K5" s="237">
        <f>-K4*$C$5</f>
        <v>-104288.41420874996</v>
      </c>
      <c r="L5" s="237"/>
      <c r="M5" s="237">
        <f>-M4*$C$5</f>
        <v>-106895.62456396871</v>
      </c>
      <c r="N5" s="237"/>
      <c r="O5" s="237">
        <f>-O4*$C$5</f>
        <v>-109568.01517806792</v>
      </c>
      <c r="P5" s="237"/>
      <c r="Q5" s="237">
        <f>-Q4*$C$5</f>
        <v>-112307.21555751961</v>
      </c>
      <c r="R5" s="237"/>
      <c r="S5" s="237">
        <f>-S4*$C$5</f>
        <v>-115114.89594645759</v>
      </c>
      <c r="T5" s="237"/>
      <c r="U5" s="237">
        <f>-U4*$C$5</f>
        <v>-117992.76834511902</v>
      </c>
      <c r="V5" s="237"/>
      <c r="W5" s="237">
        <f>-W4*$C$5</f>
        <v>-120942.58755374698</v>
      </c>
      <c r="X5" s="237"/>
      <c r="Y5" s="237">
        <f>-Y4*$C$5</f>
        <v>-123966.15224259064</v>
      </c>
      <c r="Z5" s="237"/>
      <c r="AA5" s="237">
        <f>-AA4*$C$5</f>
        <v>-127065.30604865542</v>
      </c>
      <c r="AB5" s="237"/>
      <c r="AC5" s="237">
        <f>-AC4*$C$5</f>
        <v>-130241.9386998718</v>
      </c>
      <c r="AD5" s="237"/>
      <c r="AE5" s="237">
        <f>-AE4*$C$5</f>
        <v>-133497.98716736856</v>
      </c>
      <c r="AF5" s="237"/>
      <c r="AG5" s="237">
        <f>-AG4*$C$5</f>
        <v>-136835.43684655277</v>
      </c>
    </row>
    <row r="6" spans="1:34" s="225" customFormat="1" ht="14.25">
      <c r="A6" s="225" t="s">
        <v>846</v>
      </c>
      <c r="C6" s="253">
        <v>1.0249999999999999</v>
      </c>
      <c r="E6" s="238">
        <f>Application!Z809</f>
        <v>556296</v>
      </c>
      <c r="F6" s="238"/>
      <c r="G6" s="238">
        <f>E6*$C$6</f>
        <v>570203.39999999991</v>
      </c>
      <c r="H6" s="238"/>
      <c r="I6" s="238">
        <f>G6*$C$6</f>
        <v>584458.48499999987</v>
      </c>
      <c r="J6" s="238"/>
      <c r="K6" s="238">
        <f>I6*$C$6</f>
        <v>599069.94712499983</v>
      </c>
      <c r="L6" s="238"/>
      <c r="M6" s="238">
        <f>K6*$C$6</f>
        <v>614046.69580312481</v>
      </c>
      <c r="N6" s="238"/>
      <c r="O6" s="238">
        <f>M6*$C$6</f>
        <v>629397.86319820292</v>
      </c>
      <c r="P6" s="238"/>
      <c r="Q6" s="238">
        <f>O6*$C$6</f>
        <v>645132.80977815797</v>
      </c>
      <c r="R6" s="238"/>
      <c r="S6" s="238">
        <f>Q6*$C$6</f>
        <v>661261.13002261182</v>
      </c>
      <c r="T6" s="238"/>
      <c r="U6" s="238">
        <f>S6*$C$6</f>
        <v>677792.65827317711</v>
      </c>
      <c r="V6" s="238"/>
      <c r="W6" s="238">
        <f>U6*$C$6</f>
        <v>694737.47473000642</v>
      </c>
      <c r="X6" s="238"/>
      <c r="Y6" s="238">
        <f>W6*$C$6</f>
        <v>712105.91159825656</v>
      </c>
      <c r="Z6" s="238"/>
      <c r="AA6" s="238">
        <f>Y6*$C$6</f>
        <v>729908.55938821286</v>
      </c>
      <c r="AB6" s="238"/>
      <c r="AC6" s="238">
        <f>AA6*$C$6</f>
        <v>748156.27337291813</v>
      </c>
      <c r="AD6" s="238"/>
      <c r="AE6" s="238">
        <f>AC6*$C$6</f>
        <v>766860.18020724098</v>
      </c>
      <c r="AF6" s="238"/>
      <c r="AG6" s="238">
        <f>AE6*$C$6</f>
        <v>786031.68471242196</v>
      </c>
    </row>
    <row r="7" spans="1:34" s="225" customFormat="1" ht="14.25">
      <c r="B7" s="225" t="s">
        <v>848</v>
      </c>
      <c r="C7" s="254">
        <v>0.06</v>
      </c>
      <c r="E7" s="237">
        <f>-E6*$C$7</f>
        <v>-33377.760000000002</v>
      </c>
      <c r="F7" s="237"/>
      <c r="G7" s="237">
        <f>-G6*$C$7</f>
        <v>-34212.203999999991</v>
      </c>
      <c r="H7" s="237"/>
      <c r="I7" s="237">
        <f>-I6*$C$7</f>
        <v>-35067.509099999988</v>
      </c>
      <c r="J7" s="237"/>
      <c r="K7" s="237">
        <f>-K6*$C$7</f>
        <v>-35944.196827499989</v>
      </c>
      <c r="L7" s="237"/>
      <c r="M7" s="237">
        <f>-M6*$C$7</f>
        <v>-36842.801748187485</v>
      </c>
      <c r="N7" s="237"/>
      <c r="O7" s="237">
        <f>-O6*$C$7</f>
        <v>-37763.871791892176</v>
      </c>
      <c r="P7" s="237"/>
      <c r="Q7" s="237">
        <f>-Q6*$C$7</f>
        <v>-38707.96858668948</v>
      </c>
      <c r="R7" s="237"/>
      <c r="S7" s="237">
        <f>-S6*$C$7</f>
        <v>-39675.667801356707</v>
      </c>
      <c r="T7" s="237"/>
      <c r="U7" s="237">
        <f>-U6*$C$7</f>
        <v>-40667.559496390626</v>
      </c>
      <c r="V7" s="237"/>
      <c r="W7" s="237">
        <f>-W6*$C$7</f>
        <v>-41684.24848380038</v>
      </c>
      <c r="X7" s="237"/>
      <c r="Y7" s="237">
        <f>-Y6*$C$7</f>
        <v>-42726.354695895388</v>
      </c>
      <c r="Z7" s="237"/>
      <c r="AA7" s="237">
        <f>-AA6*$C$7</f>
        <v>-43794.51356329277</v>
      </c>
      <c r="AB7" s="237"/>
      <c r="AC7" s="237">
        <f>-AC6*$C$7</f>
        <v>-44889.376402375085</v>
      </c>
      <c r="AD7" s="237"/>
      <c r="AE7" s="237">
        <f>-AE6*$C$7</f>
        <v>-46011.610812434454</v>
      </c>
      <c r="AF7" s="237"/>
      <c r="AG7" s="237">
        <f>-AG6*$C$7</f>
        <v>-47161.901082745317</v>
      </c>
    </row>
    <row r="8" spans="1:34" s="225" customFormat="1" ht="14.25">
      <c r="A8" s="225" t="s">
        <v>288</v>
      </c>
      <c r="C8" s="253">
        <v>1.0249999999999999</v>
      </c>
      <c r="E8" s="238">
        <f>Application!Z817</f>
        <v>18160</v>
      </c>
      <c r="F8" s="238"/>
      <c r="G8" s="238">
        <f>E8*$C$8</f>
        <v>18614</v>
      </c>
      <c r="H8" s="238"/>
      <c r="I8" s="238">
        <f>G8*$C$8</f>
        <v>19079.349999999999</v>
      </c>
      <c r="J8" s="238"/>
      <c r="K8" s="238">
        <f>I8*$C$8</f>
        <v>19556.333749999998</v>
      </c>
      <c r="L8" s="238"/>
      <c r="M8" s="238">
        <f>K8*$C$8</f>
        <v>20045.242093749996</v>
      </c>
      <c r="N8" s="238"/>
      <c r="O8" s="238">
        <f>M8*$C$8</f>
        <v>20546.373146093745</v>
      </c>
      <c r="P8" s="238"/>
      <c r="Q8" s="238">
        <f>O8*$C$8</f>
        <v>21060.032474746087</v>
      </c>
      <c r="R8" s="238"/>
      <c r="S8" s="238">
        <f>Q8*$C$8</f>
        <v>21586.533286614736</v>
      </c>
      <c r="T8" s="238"/>
      <c r="U8" s="238">
        <f>S8*$C$8</f>
        <v>22126.196618780104</v>
      </c>
      <c r="V8" s="238"/>
      <c r="W8" s="238">
        <f>U8*$C$8</f>
        <v>22679.351534249607</v>
      </c>
      <c r="X8" s="238"/>
      <c r="Y8" s="238">
        <f>W8*$C$8</f>
        <v>23246.335322605846</v>
      </c>
      <c r="Z8" s="238"/>
      <c r="AA8" s="238">
        <f>Y8*$C$8</f>
        <v>23827.49370567099</v>
      </c>
      <c r="AB8" s="238"/>
      <c r="AC8" s="238">
        <f>AA8*$C$8</f>
        <v>24423.181048312763</v>
      </c>
      <c r="AD8" s="238"/>
      <c r="AE8" s="238">
        <f>AC8*$C$8</f>
        <v>25033.76057452058</v>
      </c>
      <c r="AF8" s="238"/>
      <c r="AG8" s="238">
        <f>AE8*$C$8</f>
        <v>25659.604588883591</v>
      </c>
    </row>
    <row r="9" spans="1:34" s="225" customFormat="1" ht="14.25">
      <c r="B9" s="225" t="s">
        <v>848</v>
      </c>
      <c r="C9" s="254">
        <v>0.06</v>
      </c>
      <c r="E9" s="237">
        <f>-E8*$C$9</f>
        <v>-1089.5999999999999</v>
      </c>
      <c r="F9" s="237"/>
      <c r="G9" s="237">
        <f>-G8*$C$9</f>
        <v>-1116.8399999999999</v>
      </c>
      <c r="H9" s="237"/>
      <c r="I9" s="237">
        <f>-I8*$C$9</f>
        <v>-1144.761</v>
      </c>
      <c r="J9" s="237"/>
      <c r="K9" s="237">
        <f>-K8*$C$9</f>
        <v>-1173.3800249999999</v>
      </c>
      <c r="L9" s="237"/>
      <c r="M9" s="237">
        <f>-M8*$C$9</f>
        <v>-1202.7145256249996</v>
      </c>
      <c r="N9" s="237"/>
      <c r="O9" s="237">
        <f>-O8*$C$9</f>
        <v>-1232.7823887656248</v>
      </c>
      <c r="P9" s="237"/>
      <c r="Q9" s="237">
        <f>-Q8*$C$9</f>
        <v>-1263.6019484847652</v>
      </c>
      <c r="R9" s="237"/>
      <c r="S9" s="237">
        <f>-S8*$C$9</f>
        <v>-1295.1919971968841</v>
      </c>
      <c r="T9" s="237"/>
      <c r="U9" s="237">
        <f>-U8*$C$9</f>
        <v>-1327.5717971268061</v>
      </c>
      <c r="V9" s="237"/>
      <c r="W9" s="237">
        <f>-W8*$C$9</f>
        <v>-1360.7610920549764</v>
      </c>
      <c r="X9" s="237"/>
      <c r="Y9" s="237">
        <f>-Y8*$C$9</f>
        <v>-1394.7801193563507</v>
      </c>
      <c r="Z9" s="237"/>
      <c r="AA9" s="237">
        <f>-AA8*$C$9</f>
        <v>-1429.6496223402594</v>
      </c>
      <c r="AB9" s="237"/>
      <c r="AC9" s="237">
        <f>-AC8*$C$9</f>
        <v>-1465.3908628987658</v>
      </c>
      <c r="AD9" s="237"/>
      <c r="AE9" s="237">
        <f>-AE8*$C$9</f>
        <v>-1502.0256344712348</v>
      </c>
      <c r="AF9" s="237"/>
      <c r="AG9" s="237">
        <f>-AG8*$C$9</f>
        <v>-1539.5762753330155</v>
      </c>
    </row>
    <row r="10" spans="1:34" s="225" customFormat="1" ht="14.25">
      <c r="A10" s="1187" t="s">
        <v>2626</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869</v>
      </c>
      <c r="C11" s="231"/>
      <c r="E11" s="239">
        <f>SUM(E4:E10)</f>
        <v>2057182.48</v>
      </c>
      <c r="G11" s="239">
        <f>SUM(G4:G10)</f>
        <v>2108612.0420000004</v>
      </c>
      <c r="I11" s="239">
        <f>SUM(I4:I10)</f>
        <v>2161327.3430499998</v>
      </c>
      <c r="K11" s="239">
        <f>SUM(K4:K10)</f>
        <v>2215360.5266262498</v>
      </c>
      <c r="M11" s="239">
        <f>SUM(M4:M10)</f>
        <v>2270744.5397919053</v>
      </c>
      <c r="O11" s="239">
        <f>SUM(O4:O10)</f>
        <v>2327513.1532867029</v>
      </c>
      <c r="Q11" s="239">
        <f>SUM(Q4:Q10)</f>
        <v>2385700.9821188706</v>
      </c>
      <c r="S11" s="239">
        <f>SUM(S4:S10)</f>
        <v>2445343.5066718417</v>
      </c>
      <c r="U11" s="239">
        <f>SUM(U4:U10)</f>
        <v>2506477.0943386378</v>
      </c>
      <c r="W11" s="239">
        <f>SUM(W4:W10)</f>
        <v>2569139.0216971035</v>
      </c>
      <c r="Y11" s="239">
        <f>SUM(Y4:Y10)</f>
        <v>2633367.4972395315</v>
      </c>
      <c r="AA11" s="239">
        <f>SUM(AA4:AA10)</f>
        <v>2699201.6846705191</v>
      </c>
      <c r="AC11" s="239">
        <f>SUM(AC4:AC10)</f>
        <v>2766681.7267872817</v>
      </c>
      <c r="AE11" s="239">
        <f>SUM(AE4:AE10)</f>
        <v>2835848.7699569631</v>
      </c>
      <c r="AG11" s="239">
        <f>SUM(AG4:AG10)</f>
        <v>2906744.9892058875</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849</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850</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851</v>
      </c>
      <c r="C15" s="185"/>
      <c r="E15" s="235">
        <f>Application!W847</f>
        <v>168182</v>
      </c>
      <c r="G15" s="235">
        <f>E15*$C$14</f>
        <v>174068.37</v>
      </c>
      <c r="I15" s="235">
        <f>G15*$C$14</f>
        <v>180160.76294999997</v>
      </c>
      <c r="K15" s="235">
        <f>I15*$C$14</f>
        <v>186466.38965324996</v>
      </c>
      <c r="M15" s="235">
        <f>K15*$C$14</f>
        <v>192992.7132911137</v>
      </c>
      <c r="O15" s="235">
        <f>M15*$C$14</f>
        <v>199747.45825630266</v>
      </c>
      <c r="Q15" s="235">
        <f>O15*$C$14</f>
        <v>206738.61929527324</v>
      </c>
      <c r="S15" s="235">
        <f>Q15*$C$14</f>
        <v>213974.4709706078</v>
      </c>
      <c r="U15" s="235">
        <f>S15*$C$14</f>
        <v>221463.57745457906</v>
      </c>
      <c r="W15" s="235">
        <f>U15*$C$14</f>
        <v>229214.80266548932</v>
      </c>
      <c r="Y15" s="235">
        <f>W15*$C$14</f>
        <v>237237.32075878142</v>
      </c>
      <c r="AA15" s="235">
        <f>Y15*$C$14</f>
        <v>245540.62698533875</v>
      </c>
      <c r="AC15" s="235">
        <f>AA15*$C$14</f>
        <v>254134.5489298256</v>
      </c>
      <c r="AE15" s="235">
        <f>AC15*$C$14</f>
        <v>263029.25814236945</v>
      </c>
      <c r="AG15" s="235">
        <f>AE15*$C$14</f>
        <v>272235.28217735235</v>
      </c>
    </row>
    <row r="16" spans="1:34" s="225" customFormat="1" ht="14.25">
      <c r="A16" s="225" t="s">
        <v>344</v>
      </c>
      <c r="C16" s="249"/>
      <c r="E16" s="238">
        <f>Application!W849</f>
        <v>82331</v>
      </c>
      <c r="F16" s="238"/>
      <c r="G16" s="238">
        <f t="shared" ref="G16:AG21" si="0">E16*$C$14</f>
        <v>85212.584999999992</v>
      </c>
      <c r="H16" s="238"/>
      <c r="I16" s="238">
        <f t="shared" si="0"/>
        <v>88195.025474999988</v>
      </c>
      <c r="J16" s="238"/>
      <c r="K16" s="238">
        <f t="shared" si="0"/>
        <v>91281.851366624978</v>
      </c>
      <c r="L16" s="238"/>
      <c r="M16" s="238">
        <f t="shared" si="0"/>
        <v>94476.71616445684</v>
      </c>
      <c r="N16" s="238"/>
      <c r="O16" s="238">
        <f t="shared" si="0"/>
        <v>97783.401230212825</v>
      </c>
      <c r="P16" s="238"/>
      <c r="Q16" s="238">
        <f t="shared" si="0"/>
        <v>101205.82027327026</v>
      </c>
      <c r="R16" s="238"/>
      <c r="S16" s="238">
        <f t="shared" si="0"/>
        <v>104748.02398283471</v>
      </c>
      <c r="T16" s="238"/>
      <c r="U16" s="238">
        <f t="shared" si="0"/>
        <v>108414.20482223392</v>
      </c>
      <c r="V16" s="238"/>
      <c r="W16" s="238">
        <f t="shared" si="0"/>
        <v>112208.7019910121</v>
      </c>
      <c r="X16" s="238"/>
      <c r="Y16" s="238">
        <f t="shared" si="0"/>
        <v>116136.00656069751</v>
      </c>
      <c r="Z16" s="238"/>
      <c r="AA16" s="238">
        <f t="shared" si="0"/>
        <v>120200.76679032191</v>
      </c>
      <c r="AB16" s="238"/>
      <c r="AC16" s="238">
        <f t="shared" si="0"/>
        <v>124407.79362798316</v>
      </c>
      <c r="AD16" s="238"/>
      <c r="AE16" s="238">
        <f t="shared" si="0"/>
        <v>128762.06640496256</v>
      </c>
      <c r="AF16" s="238"/>
      <c r="AG16" s="238">
        <f t="shared" si="0"/>
        <v>133268.73872913624</v>
      </c>
    </row>
    <row r="17" spans="1:33" s="225" customFormat="1" ht="14.25">
      <c r="A17" s="225" t="s">
        <v>568</v>
      </c>
      <c r="C17" s="249"/>
      <c r="E17" s="238">
        <f>Application!W855</f>
        <v>120000</v>
      </c>
      <c r="F17" s="238"/>
      <c r="G17" s="238">
        <f t="shared" si="0"/>
        <v>124199.99999999999</v>
      </c>
      <c r="H17" s="238"/>
      <c r="I17" s="238">
        <f t="shared" si="0"/>
        <v>128546.99999999997</v>
      </c>
      <c r="J17" s="238"/>
      <c r="K17" s="238">
        <f t="shared" si="0"/>
        <v>133046.14499999996</v>
      </c>
      <c r="L17" s="238"/>
      <c r="M17" s="238">
        <f t="shared" si="0"/>
        <v>137702.76007499994</v>
      </c>
      <c r="N17" s="238"/>
      <c r="O17" s="238">
        <f t="shared" si="0"/>
        <v>142522.35667762492</v>
      </c>
      <c r="P17" s="238"/>
      <c r="Q17" s="238">
        <f t="shared" si="0"/>
        <v>147510.63916134179</v>
      </c>
      <c r="R17" s="238"/>
      <c r="S17" s="238">
        <f t="shared" si="0"/>
        <v>152673.51153198874</v>
      </c>
      <c r="T17" s="238"/>
      <c r="U17" s="238">
        <f t="shared" si="0"/>
        <v>158017.08443560833</v>
      </c>
      <c r="V17" s="238"/>
      <c r="W17" s="238">
        <f t="shared" si="0"/>
        <v>163547.68239085461</v>
      </c>
      <c r="X17" s="238"/>
      <c r="Y17" s="238">
        <f t="shared" si="0"/>
        <v>169271.85127453451</v>
      </c>
      <c r="Z17" s="238"/>
      <c r="AA17" s="238">
        <f t="shared" si="0"/>
        <v>175196.3660691432</v>
      </c>
      <c r="AB17" s="238"/>
      <c r="AC17" s="238">
        <f t="shared" si="0"/>
        <v>181328.23888156319</v>
      </c>
      <c r="AD17" s="238"/>
      <c r="AE17" s="238">
        <f t="shared" si="0"/>
        <v>187674.7272424179</v>
      </c>
      <c r="AF17" s="238"/>
      <c r="AG17" s="238">
        <f t="shared" si="0"/>
        <v>194243.34269590251</v>
      </c>
    </row>
    <row r="18" spans="1:33" s="225" customFormat="1" ht="14.25">
      <c r="A18" s="225" t="s">
        <v>852</v>
      </c>
      <c r="C18" s="249"/>
      <c r="E18" s="238">
        <f>Application!W862</f>
        <v>226601</v>
      </c>
      <c r="F18" s="238"/>
      <c r="G18" s="238">
        <f t="shared" si="0"/>
        <v>234532.03499999997</v>
      </c>
      <c r="H18" s="238"/>
      <c r="I18" s="238">
        <f t="shared" si="0"/>
        <v>242740.65622499996</v>
      </c>
      <c r="J18" s="238"/>
      <c r="K18" s="238">
        <f t="shared" si="0"/>
        <v>251236.57919287492</v>
      </c>
      <c r="L18" s="238"/>
      <c r="M18" s="238">
        <f t="shared" si="0"/>
        <v>260029.85946462554</v>
      </c>
      <c r="N18" s="238"/>
      <c r="O18" s="238">
        <f t="shared" si="0"/>
        <v>269130.90454588743</v>
      </c>
      <c r="P18" s="238"/>
      <c r="Q18" s="238">
        <f t="shared" si="0"/>
        <v>278550.48620499345</v>
      </c>
      <c r="R18" s="238"/>
      <c r="S18" s="238">
        <f t="shared" si="0"/>
        <v>288299.75322216819</v>
      </c>
      <c r="T18" s="238"/>
      <c r="U18" s="238">
        <f t="shared" si="0"/>
        <v>298390.24458494404</v>
      </c>
      <c r="V18" s="238"/>
      <c r="W18" s="238">
        <f t="shared" si="0"/>
        <v>308833.90314541705</v>
      </c>
      <c r="X18" s="238"/>
      <c r="Y18" s="238">
        <f t="shared" si="0"/>
        <v>319643.0897555066</v>
      </c>
      <c r="Z18" s="238"/>
      <c r="AA18" s="238">
        <f t="shared" si="0"/>
        <v>330830.59789694933</v>
      </c>
      <c r="AB18" s="238"/>
      <c r="AC18" s="238">
        <f t="shared" si="0"/>
        <v>342409.66882334254</v>
      </c>
      <c r="AD18" s="238"/>
      <c r="AE18" s="238">
        <f t="shared" si="0"/>
        <v>354394.00723215949</v>
      </c>
      <c r="AF18" s="238"/>
      <c r="AG18" s="238">
        <f t="shared" si="0"/>
        <v>366797.79748528503</v>
      </c>
    </row>
    <row r="19" spans="1:33" s="225" customFormat="1" ht="14.25">
      <c r="A19" s="225" t="s">
        <v>155</v>
      </c>
      <c r="C19" s="249"/>
      <c r="E19" s="238">
        <f>Application!W863</f>
        <v>72500</v>
      </c>
      <c r="F19" s="238"/>
      <c r="G19" s="238">
        <f t="shared" si="0"/>
        <v>75037.5</v>
      </c>
      <c r="H19" s="238"/>
      <c r="I19" s="238">
        <f t="shared" si="0"/>
        <v>77663.8125</v>
      </c>
      <c r="J19" s="238"/>
      <c r="K19" s="238">
        <f t="shared" si="0"/>
        <v>80382.045937499992</v>
      </c>
      <c r="L19" s="238"/>
      <c r="M19" s="238">
        <f t="shared" si="0"/>
        <v>83195.417545312492</v>
      </c>
      <c r="N19" s="238"/>
      <c r="O19" s="238">
        <f t="shared" si="0"/>
        <v>86107.257159398418</v>
      </c>
      <c r="P19" s="238"/>
      <c r="Q19" s="238">
        <f t="shared" si="0"/>
        <v>89121.011159977352</v>
      </c>
      <c r="R19" s="238"/>
      <c r="S19" s="238">
        <f t="shared" si="0"/>
        <v>92240.246550576558</v>
      </c>
      <c r="T19" s="238"/>
      <c r="U19" s="238">
        <f t="shared" si="0"/>
        <v>95468.655179846726</v>
      </c>
      <c r="V19" s="238"/>
      <c r="W19" s="238">
        <f t="shared" si="0"/>
        <v>98810.058111141348</v>
      </c>
      <c r="X19" s="238"/>
      <c r="Y19" s="238">
        <f t="shared" si="0"/>
        <v>102268.41014503129</v>
      </c>
      <c r="Z19" s="238"/>
      <c r="AA19" s="238">
        <f t="shared" si="0"/>
        <v>105847.80450010738</v>
      </c>
      <c r="AB19" s="238"/>
      <c r="AC19" s="238">
        <f t="shared" si="0"/>
        <v>109552.47765761113</v>
      </c>
      <c r="AD19" s="238"/>
      <c r="AE19" s="238">
        <f t="shared" si="0"/>
        <v>113386.81437562751</v>
      </c>
      <c r="AF19" s="238"/>
      <c r="AG19" s="238">
        <f t="shared" si="0"/>
        <v>117355.35287877446</v>
      </c>
    </row>
    <row r="20" spans="1:33" s="225" customFormat="1" ht="14.25">
      <c r="A20" s="225" t="s">
        <v>390</v>
      </c>
      <c r="C20" s="249"/>
      <c r="E20" s="238">
        <f>Application!W872</f>
        <v>101500</v>
      </c>
      <c r="F20" s="238"/>
      <c r="G20" s="238">
        <f t="shared" si="0"/>
        <v>105052.49999999999</v>
      </c>
      <c r="H20" s="238"/>
      <c r="I20" s="238">
        <f t="shared" si="0"/>
        <v>108729.33749999998</v>
      </c>
      <c r="J20" s="238"/>
      <c r="K20" s="238">
        <f t="shared" si="0"/>
        <v>112534.86431249997</v>
      </c>
      <c r="L20" s="238"/>
      <c r="M20" s="238">
        <f t="shared" si="0"/>
        <v>116473.58456343746</v>
      </c>
      <c r="N20" s="238"/>
      <c r="O20" s="238">
        <f t="shared" si="0"/>
        <v>120550.16002315776</v>
      </c>
      <c r="P20" s="238"/>
      <c r="Q20" s="238">
        <f t="shared" si="0"/>
        <v>124769.41562396828</v>
      </c>
      <c r="R20" s="238"/>
      <c r="S20" s="238">
        <f t="shared" si="0"/>
        <v>129136.34517080715</v>
      </c>
      <c r="T20" s="238"/>
      <c r="U20" s="238">
        <f t="shared" si="0"/>
        <v>133656.11725178538</v>
      </c>
      <c r="V20" s="238"/>
      <c r="W20" s="238">
        <f t="shared" si="0"/>
        <v>138334.08135559785</v>
      </c>
      <c r="X20" s="238"/>
      <c r="Y20" s="238">
        <f t="shared" si="0"/>
        <v>143175.77420304378</v>
      </c>
      <c r="Z20" s="238"/>
      <c r="AA20" s="238">
        <f t="shared" si="0"/>
        <v>148186.92630015031</v>
      </c>
      <c r="AB20" s="238"/>
      <c r="AC20" s="238">
        <f t="shared" si="0"/>
        <v>153373.46872065557</v>
      </c>
      <c r="AD20" s="238"/>
      <c r="AE20" s="238">
        <f t="shared" si="0"/>
        <v>158741.5401258785</v>
      </c>
      <c r="AF20" s="238"/>
      <c r="AG20" s="238">
        <f t="shared" si="0"/>
        <v>164297.49403028423</v>
      </c>
    </row>
    <row r="21" spans="1:33" s="225" customFormat="1" ht="14.25">
      <c r="A21" s="242" t="s">
        <v>978</v>
      </c>
      <c r="B21" s="242"/>
      <c r="C21" s="249"/>
      <c r="E21" s="248">
        <f>Application!W879</f>
        <v>8000</v>
      </c>
      <c r="F21" s="238"/>
      <c r="G21" s="248">
        <f t="shared" si="0"/>
        <v>8280</v>
      </c>
      <c r="H21" s="238"/>
      <c r="I21" s="248">
        <f t="shared" si="0"/>
        <v>8569.7999999999993</v>
      </c>
      <c r="J21" s="238"/>
      <c r="K21" s="248">
        <f t="shared" si="0"/>
        <v>8869.7429999999986</v>
      </c>
      <c r="L21" s="238"/>
      <c r="M21" s="248">
        <f t="shared" si="0"/>
        <v>9180.1840049999973</v>
      </c>
      <c r="N21" s="238"/>
      <c r="O21" s="248">
        <f t="shared" si="0"/>
        <v>9501.4904451749971</v>
      </c>
      <c r="P21" s="238"/>
      <c r="Q21" s="248">
        <f t="shared" si="0"/>
        <v>9834.0426107561216</v>
      </c>
      <c r="R21" s="238"/>
      <c r="S21" s="248">
        <f t="shared" si="0"/>
        <v>10178.234102132585</v>
      </c>
      <c r="T21" s="238"/>
      <c r="U21" s="248">
        <f t="shared" si="0"/>
        <v>10534.472295707224</v>
      </c>
      <c r="V21" s="238"/>
      <c r="W21" s="248">
        <f t="shared" si="0"/>
        <v>10903.178826056976</v>
      </c>
      <c r="X21" s="238"/>
      <c r="Y21" s="248">
        <f t="shared" si="0"/>
        <v>11284.790084968969</v>
      </c>
      <c r="Z21" s="238"/>
      <c r="AA21" s="248">
        <f t="shared" si="0"/>
        <v>11679.757737942882</v>
      </c>
      <c r="AB21" s="238"/>
      <c r="AC21" s="248">
        <f t="shared" si="0"/>
        <v>12088.549258770881</v>
      </c>
      <c r="AD21" s="238"/>
      <c r="AE21" s="248">
        <f t="shared" si="0"/>
        <v>12511.648482827861</v>
      </c>
      <c r="AF21" s="238"/>
      <c r="AG21" s="248">
        <f t="shared" si="0"/>
        <v>12949.556179726835</v>
      </c>
    </row>
    <row r="22" spans="1:33" s="239" customFormat="1" ht="15">
      <c r="A22" s="239" t="s">
        <v>853</v>
      </c>
      <c r="C22" s="249"/>
      <c r="E22" s="239">
        <f>SUM(E15:E21)</f>
        <v>779114</v>
      </c>
      <c r="G22" s="239">
        <f>SUM(G15:G21)</f>
        <v>806382.99</v>
      </c>
      <c r="I22" s="239">
        <f>SUM(I15:I21)</f>
        <v>834606.39464999991</v>
      </c>
      <c r="K22" s="239">
        <f>SUM(K15:K21)</f>
        <v>863817.61846274976</v>
      </c>
      <c r="M22" s="239">
        <f>SUM(M15:M21)</f>
        <v>894051.23510894598</v>
      </c>
      <c r="O22" s="239">
        <f>SUM(O15:O21)</f>
        <v>925343.02833775897</v>
      </c>
      <c r="Q22" s="239">
        <f>SUM(Q15:Q21)</f>
        <v>957730.03432958038</v>
      </c>
      <c r="S22" s="239">
        <f>SUM(S15:S21)</f>
        <v>991250.58553111565</v>
      </c>
      <c r="U22" s="239">
        <f>SUM(U15:U21)</f>
        <v>1025944.3560247045</v>
      </c>
      <c r="W22" s="239">
        <f>SUM(W15:W21)</f>
        <v>1061852.4084855693</v>
      </c>
      <c r="Y22" s="239">
        <f>SUM(Y15:Y21)</f>
        <v>1099017.2427825641</v>
      </c>
      <c r="AA22" s="239">
        <f>SUM(AA15:AA21)</f>
        <v>1137482.8462799538</v>
      </c>
      <c r="AC22" s="239">
        <f>SUM(AC15:AC21)</f>
        <v>1177294.745899752</v>
      </c>
      <c r="AE22" s="239">
        <f>SUM(AE15:AE21)</f>
        <v>1218500.0620062433</v>
      </c>
      <c r="AG22" s="239">
        <f>SUM(AG15:AG21)</f>
        <v>1261147.5641764617</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1866</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1261</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855</v>
      </c>
      <c r="C27" s="253">
        <v>1.0349999999999999</v>
      </c>
      <c r="E27" s="238">
        <f>Application!AC888</f>
        <v>246818</v>
      </c>
      <c r="F27" s="238"/>
      <c r="G27" s="238">
        <f>E27*$C$27</f>
        <v>255456.62999999998</v>
      </c>
      <c r="H27" s="238"/>
      <c r="I27" s="238">
        <f>G27*$C$27</f>
        <v>264397.61204999994</v>
      </c>
      <c r="J27" s="238"/>
      <c r="K27" s="238">
        <f>I27*$C$27</f>
        <v>273651.52847174992</v>
      </c>
      <c r="L27" s="238"/>
      <c r="M27" s="238">
        <f>K27*$C$27</f>
        <v>283229.33196826116</v>
      </c>
      <c r="N27" s="238"/>
      <c r="O27" s="238">
        <f>M27*$C$27</f>
        <v>293142.35858715029</v>
      </c>
      <c r="P27" s="238"/>
      <c r="Q27" s="238">
        <f>O27*$C$27</f>
        <v>303402.34113770054</v>
      </c>
      <c r="R27" s="238"/>
      <c r="S27" s="238">
        <f>Q27*$C$27</f>
        <v>314021.42307752004</v>
      </c>
      <c r="T27" s="238"/>
      <c r="U27" s="238">
        <f>S27*$C$27</f>
        <v>325012.17288523325</v>
      </c>
      <c r="V27" s="238"/>
      <c r="W27" s="238">
        <f>U27*$C$27</f>
        <v>336387.59893621638</v>
      </c>
      <c r="X27" s="238"/>
      <c r="Y27" s="238">
        <f>W27*$C$27</f>
        <v>348161.1648989839</v>
      </c>
      <c r="Z27" s="238"/>
      <c r="AA27" s="238">
        <f>Y27*$C$27</f>
        <v>360346.80567044829</v>
      </c>
      <c r="AB27" s="238"/>
      <c r="AC27" s="238">
        <f>AA27*$C$27</f>
        <v>372958.94386891392</v>
      </c>
      <c r="AD27" s="238"/>
      <c r="AE27" s="238">
        <f>AC27*$C$27</f>
        <v>386012.50690432586</v>
      </c>
      <c r="AF27" s="238"/>
      <c r="AG27" s="238">
        <f>AE27*$C$27</f>
        <v>399522.94464597723</v>
      </c>
    </row>
    <row r="28" spans="1:33" s="225" customFormat="1" ht="14.25">
      <c r="A28" s="225" t="s">
        <v>856</v>
      </c>
      <c r="C28" s="253"/>
      <c r="E28" s="238">
        <f>Application!AC889</f>
        <v>21500</v>
      </c>
      <c r="F28" s="238"/>
      <c r="G28" s="238">
        <f>$E$28</f>
        <v>21500</v>
      </c>
      <c r="H28" s="238"/>
      <c r="I28" s="238">
        <f>$E$28</f>
        <v>21500</v>
      </c>
      <c r="J28" s="238"/>
      <c r="K28" s="238">
        <f>$E$28</f>
        <v>21500</v>
      </c>
      <c r="L28" s="238"/>
      <c r="M28" s="238">
        <f>$E$28</f>
        <v>21500</v>
      </c>
      <c r="N28" s="238"/>
      <c r="O28" s="238">
        <f>$E$28</f>
        <v>21500</v>
      </c>
      <c r="P28" s="238"/>
      <c r="Q28" s="238">
        <f>$E$28</f>
        <v>21500</v>
      </c>
      <c r="R28" s="238"/>
      <c r="S28" s="238">
        <f>$E$28</f>
        <v>21500</v>
      </c>
      <c r="T28" s="238"/>
      <c r="U28" s="238">
        <f>$E$28</f>
        <v>21500</v>
      </c>
      <c r="V28" s="238"/>
      <c r="W28" s="238">
        <f>$E$28</f>
        <v>21500</v>
      </c>
      <c r="X28" s="238"/>
      <c r="Y28" s="238">
        <f>$E$28</f>
        <v>21500</v>
      </c>
      <c r="Z28" s="238"/>
      <c r="AA28" s="238">
        <f>$E$28</f>
        <v>21500</v>
      </c>
      <c r="AB28" s="238"/>
      <c r="AC28" s="238">
        <f>$E$28</f>
        <v>21500</v>
      </c>
      <c r="AD28" s="238"/>
      <c r="AE28" s="238">
        <f>$E$28</f>
        <v>21500</v>
      </c>
      <c r="AF28" s="238"/>
      <c r="AG28" s="238">
        <f>$E$28</f>
        <v>21500</v>
      </c>
    </row>
    <row r="29" spans="1:33" s="225" customFormat="1" ht="14.25">
      <c r="A29" s="225" t="s">
        <v>1864</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4.25">
      <c r="A30" s="225" t="s">
        <v>854</v>
      </c>
      <c r="C30" s="253">
        <v>1.02</v>
      </c>
      <c r="E30" s="238">
        <f>Application!AC891</f>
        <v>12000</v>
      </c>
      <c r="F30" s="238"/>
      <c r="G30" s="238">
        <f>E30*$C$30</f>
        <v>12240</v>
      </c>
      <c r="H30" s="238"/>
      <c r="I30" s="238">
        <f>G30*$C$30</f>
        <v>12484.800000000001</v>
      </c>
      <c r="J30" s="238"/>
      <c r="K30" s="238">
        <f>I30*$C$30</f>
        <v>12734.496000000001</v>
      </c>
      <c r="L30" s="238"/>
      <c r="M30" s="238">
        <f>K30*$C$30</f>
        <v>12989.185920000002</v>
      </c>
      <c r="N30" s="238"/>
      <c r="O30" s="238">
        <f>M30*$C$30</f>
        <v>13248.969638400002</v>
      </c>
      <c r="P30" s="238"/>
      <c r="Q30" s="238">
        <f>O30*$C$30</f>
        <v>13513.949031168002</v>
      </c>
      <c r="R30" s="238"/>
      <c r="S30" s="238">
        <f>Q30*$C$30</f>
        <v>13784.228011791361</v>
      </c>
      <c r="T30" s="238"/>
      <c r="U30" s="238">
        <f>S30*$C$30</f>
        <v>14059.91257202719</v>
      </c>
      <c r="V30" s="238"/>
      <c r="W30" s="238">
        <f>U30*$C$30</f>
        <v>14341.110823467734</v>
      </c>
      <c r="X30" s="238"/>
      <c r="Y30" s="238">
        <f>W30*$C$30</f>
        <v>14627.933039937088</v>
      </c>
      <c r="Z30" s="238"/>
      <c r="AA30" s="238">
        <f>Y30*$C$30</f>
        <v>14920.491700735831</v>
      </c>
      <c r="AB30" s="238"/>
      <c r="AC30" s="238">
        <f>AA30*$C$30</f>
        <v>15218.901534750548</v>
      </c>
      <c r="AD30" s="238"/>
      <c r="AE30" s="238">
        <f>AC30*$C$30</f>
        <v>15523.27956544556</v>
      </c>
      <c r="AF30" s="238"/>
      <c r="AG30" s="238">
        <f>AE30*$C$30</f>
        <v>15833.745156754472</v>
      </c>
    </row>
    <row r="31" spans="1:33" s="225" customFormat="1" ht="14.25">
      <c r="A31" s="225" t="s">
        <v>1865</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Misc State &amp; Loacal Fees, Issuer Fees</v>
      </c>
      <c r="C32" s="340">
        <v>1.0249999999999999</v>
      </c>
      <c r="E32" s="238">
        <f>Application!AC893</f>
        <v>9000</v>
      </c>
      <c r="F32" s="238"/>
      <c r="G32" s="238">
        <f>E32*$C$32</f>
        <v>9225</v>
      </c>
      <c r="H32" s="238"/>
      <c r="I32" s="238">
        <f>G32*$C$32</f>
        <v>9455.625</v>
      </c>
      <c r="J32" s="238"/>
      <c r="K32" s="238">
        <f>I32*$C$32</f>
        <v>9692.015625</v>
      </c>
      <c r="L32" s="238"/>
      <c r="M32" s="238">
        <f>K32*$C$32</f>
        <v>9934.3160156249996</v>
      </c>
      <c r="N32" s="238"/>
      <c r="O32" s="238">
        <f>M32*$C$32</f>
        <v>10182.673916015623</v>
      </c>
      <c r="P32" s="238"/>
      <c r="Q32" s="238">
        <f>O32*$C$32</f>
        <v>10437.240763916012</v>
      </c>
      <c r="R32" s="238"/>
      <c r="S32" s="238">
        <f>Q32*$C$32</f>
        <v>10698.171783013911</v>
      </c>
      <c r="T32" s="238"/>
      <c r="U32" s="238">
        <f>S32*$C$32</f>
        <v>10965.626077589259</v>
      </c>
      <c r="V32" s="238"/>
      <c r="W32" s="238">
        <f>U32*$C$32</f>
        <v>11239.766729528988</v>
      </c>
      <c r="X32" s="238"/>
      <c r="Y32" s="238">
        <f>W32*$C$32</f>
        <v>11520.760897767212</v>
      </c>
      <c r="Z32" s="238"/>
      <c r="AA32" s="238">
        <f>Y32*$C$32</f>
        <v>11808.779920211391</v>
      </c>
      <c r="AB32" s="238"/>
      <c r="AC32" s="238">
        <f>AA32*$C$32</f>
        <v>12103.999418216676</v>
      </c>
      <c r="AD32" s="238"/>
      <c r="AE32" s="238">
        <f>AC32*$C$32</f>
        <v>12406.599403672091</v>
      </c>
      <c r="AF32" s="238"/>
      <c r="AG32" s="238">
        <f>AE32*$C$32</f>
        <v>12716.764388763893</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177</v>
      </c>
      <c r="C35" s="240"/>
      <c r="E35" s="239">
        <f>SUM(E22:E33)</f>
        <v>1068432</v>
      </c>
      <c r="G35" s="239">
        <f>SUM(G22:G33)</f>
        <v>1104804.6199999999</v>
      </c>
      <c r="I35" s="239">
        <f>SUM(I22:I33)</f>
        <v>1142444.4316999998</v>
      </c>
      <c r="K35" s="239">
        <f>SUM(K22:K33)</f>
        <v>1181395.6585594998</v>
      </c>
      <c r="M35" s="239">
        <f>SUM(M22:M33)</f>
        <v>1221704.0690128321</v>
      </c>
      <c r="O35" s="239">
        <f>SUM(O22:O33)</f>
        <v>1263417.0304793247</v>
      </c>
      <c r="Q35" s="239">
        <f>SUM(Q22:Q33)</f>
        <v>1306583.5652623647</v>
      </c>
      <c r="S35" s="239">
        <f>SUM(S22:S33)</f>
        <v>1351254.4084034411</v>
      </c>
      <c r="U35" s="239">
        <f>SUM(U22:U33)</f>
        <v>1397482.0675595542</v>
      </c>
      <c r="W35" s="239">
        <f>SUM(W22:W33)</f>
        <v>1445320.8849747826</v>
      </c>
      <c r="Y35" s="239">
        <f>SUM(Y22:Y33)</f>
        <v>1494827.1016192525</v>
      </c>
      <c r="AA35" s="239">
        <f>SUM(AA22:AA33)</f>
        <v>1546058.9235713494</v>
      </c>
      <c r="AC35" s="239">
        <f>SUM(AC22:AC33)</f>
        <v>1599076.5907216333</v>
      </c>
      <c r="AE35" s="239">
        <f>SUM(AE22:AE33)</f>
        <v>1653942.447879687</v>
      </c>
      <c r="AG35" s="239">
        <f>SUM(AG22:AG33)</f>
        <v>1710721.0183679571</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857</v>
      </c>
      <c r="C37" s="240"/>
      <c r="E37" s="239">
        <f>E11-E35</f>
        <v>988750.48</v>
      </c>
      <c r="G37" s="239">
        <f>G11-G35</f>
        <v>1003807.4220000005</v>
      </c>
      <c r="I37" s="239">
        <f>I11-I35</f>
        <v>1018882.91135</v>
      </c>
      <c r="K37" s="239">
        <f>K11-K35</f>
        <v>1033964.86806675</v>
      </c>
      <c r="M37" s="239">
        <f>M11-M35</f>
        <v>1049040.4707790732</v>
      </c>
      <c r="O37" s="239">
        <f>O11-O35</f>
        <v>1064096.1228073782</v>
      </c>
      <c r="Q37" s="239">
        <f>Q11-Q35</f>
        <v>1079117.4168565059</v>
      </c>
      <c r="S37" s="239">
        <f>S11-S35</f>
        <v>1094089.0982684006</v>
      </c>
      <c r="U37" s="239">
        <f>U11-U35</f>
        <v>1108995.0267790835</v>
      </c>
      <c r="W37" s="239">
        <f>W11-W35</f>
        <v>1123818.1367223209</v>
      </c>
      <c r="Y37" s="239">
        <f>Y11-Y35</f>
        <v>1138540.395620279</v>
      </c>
      <c r="AA37" s="239">
        <f>AA11-AA35</f>
        <v>1153142.7610991697</v>
      </c>
      <c r="AC37" s="239">
        <f>AC11-AC35</f>
        <v>1167605.1360656484</v>
      </c>
      <c r="AE37" s="239">
        <f>AE11-AE35</f>
        <v>1181906.3220772762</v>
      </c>
      <c r="AG37" s="239">
        <f>AG11-AG35</f>
        <v>1196023.9708379305</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870</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Lument Real Estate Capital, LLC</v>
      </c>
      <c r="B40" s="242"/>
      <c r="C40" s="236"/>
      <c r="E40" s="238">
        <f>Application!AF627</f>
        <v>860882</v>
      </c>
      <c r="F40" s="238"/>
      <c r="G40" s="238">
        <f>$E$40</f>
        <v>860882</v>
      </c>
      <c r="H40" s="238"/>
      <c r="I40" s="238">
        <f>$E$40</f>
        <v>860882</v>
      </c>
      <c r="J40" s="238"/>
      <c r="K40" s="238">
        <f>$E$40</f>
        <v>860882</v>
      </c>
      <c r="L40" s="238"/>
      <c r="M40" s="238">
        <f>$E$40</f>
        <v>860882</v>
      </c>
      <c r="N40" s="238"/>
      <c r="O40" s="238">
        <f>$E$40</f>
        <v>860882</v>
      </c>
      <c r="P40" s="238"/>
      <c r="Q40" s="238">
        <f>$E$40</f>
        <v>860882</v>
      </c>
      <c r="R40" s="238"/>
      <c r="S40" s="238">
        <f>$E$40</f>
        <v>860882</v>
      </c>
      <c r="T40" s="238"/>
      <c r="U40" s="238">
        <f>$E$40</f>
        <v>860882</v>
      </c>
      <c r="V40" s="238"/>
      <c r="W40" s="238">
        <f>$E$40</f>
        <v>860882</v>
      </c>
      <c r="X40" s="238"/>
      <c r="Y40" s="238">
        <f>$E$40</f>
        <v>860882</v>
      </c>
      <c r="Z40" s="238"/>
      <c r="AA40" s="238">
        <f>$E$40</f>
        <v>860882</v>
      </c>
      <c r="AB40" s="238"/>
      <c r="AC40" s="238">
        <f>$E$40</f>
        <v>860882</v>
      </c>
      <c r="AD40" s="238"/>
      <c r="AE40" s="238">
        <f>$E$40</f>
        <v>860882</v>
      </c>
      <c r="AF40" s="238"/>
      <c r="AG40" s="238">
        <f>$E$40</f>
        <v>860882</v>
      </c>
    </row>
    <row r="41" spans="1:33" s="225" customFormat="1" ht="14.25">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858</v>
      </c>
      <c r="C43" s="240"/>
      <c r="E43" s="239">
        <f>SUM(E40:E42)</f>
        <v>860882</v>
      </c>
      <c r="G43" s="239">
        <f>SUM(G40:G42)</f>
        <v>860882</v>
      </c>
      <c r="I43" s="239">
        <f>SUM(I40:I42)</f>
        <v>860882</v>
      </c>
      <c r="K43" s="239">
        <f>SUM(K40:K42)</f>
        <v>860882</v>
      </c>
      <c r="M43" s="239">
        <f>SUM(M40:M42)</f>
        <v>860882</v>
      </c>
      <c r="O43" s="239">
        <f>SUM(O40:O42)</f>
        <v>860882</v>
      </c>
      <c r="Q43" s="239">
        <f>SUM(Q40:Q42)</f>
        <v>860882</v>
      </c>
      <c r="S43" s="239">
        <f>SUM(S40:S42)</f>
        <v>860882</v>
      </c>
      <c r="U43" s="239">
        <f>SUM(U40:U42)</f>
        <v>860882</v>
      </c>
      <c r="W43" s="239">
        <f>SUM(W40:W42)</f>
        <v>860882</v>
      </c>
      <c r="Y43" s="239">
        <f>SUM(Y40:Y42)</f>
        <v>860882</v>
      </c>
      <c r="AA43" s="239">
        <f>SUM(AA40:AA42)</f>
        <v>860882</v>
      </c>
      <c r="AC43" s="239">
        <f>SUM(AC40:AC42)</f>
        <v>860882</v>
      </c>
      <c r="AE43" s="239">
        <f>SUM(AE40:AE42)</f>
        <v>860882</v>
      </c>
      <c r="AG43" s="239">
        <f>SUM(AG40:AG42)</f>
        <v>860882</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859</v>
      </c>
      <c r="C45" s="240"/>
      <c r="E45" s="239">
        <f>E37-E43</f>
        <v>127868.47999999998</v>
      </c>
      <c r="G45" s="239">
        <f>G37-G43</f>
        <v>142925.42200000049</v>
      </c>
      <c r="I45" s="239">
        <f>I37-I43</f>
        <v>158000.91134999995</v>
      </c>
      <c r="K45" s="239">
        <f>K37-K43</f>
        <v>173082.86806675</v>
      </c>
      <c r="M45" s="239">
        <f>M37-M43</f>
        <v>188158.47077907319</v>
      </c>
      <c r="O45" s="239">
        <f>O37-O43</f>
        <v>203214.12280737818</v>
      </c>
      <c r="Q45" s="239">
        <f>Q37-Q43</f>
        <v>218235.41685650591</v>
      </c>
      <c r="S45" s="239">
        <f>S37-S43</f>
        <v>233207.09826840064</v>
      </c>
      <c r="U45" s="239">
        <f>U37-U43</f>
        <v>248113.02677908354</v>
      </c>
      <c r="W45" s="239">
        <f>W37-W43</f>
        <v>262936.13672232092</v>
      </c>
      <c r="Y45" s="239">
        <f>Y37-Y43</f>
        <v>277658.39562027901</v>
      </c>
      <c r="AA45" s="239">
        <f>AA37-AA43</f>
        <v>292260.76109916973</v>
      </c>
      <c r="AC45" s="239">
        <f>AC37-AC43</f>
        <v>306723.1360656484</v>
      </c>
      <c r="AE45" s="239">
        <f>AE37-AE43</f>
        <v>321024.32207727619</v>
      </c>
      <c r="AG45" s="239">
        <f>AG37-AG43</f>
        <v>335141.97083793045</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861</v>
      </c>
      <c r="C47" s="236"/>
      <c r="E47" s="243">
        <f>E45/(E4+E6+E8)</f>
        <v>5.8427666173785413E-2</v>
      </c>
      <c r="G47" s="243">
        <f>G45/(G4+G6+G8)</f>
        <v>6.371484844247155E-2</v>
      </c>
      <c r="I47" s="243">
        <f>I45/(I4+I6+I8)</f>
        <v>6.8717428272300402E-2</v>
      </c>
      <c r="K47" s="243">
        <f>K45/(K4+K6+K8)</f>
        <v>7.3440821043478641E-2</v>
      </c>
      <c r="M47" s="243">
        <f>M45/(M4+M6+M8)</f>
        <v>7.789029520182722E-2</v>
      </c>
      <c r="O47" s="243">
        <f>O45/(O4+O6+O8)</f>
        <v>8.2070975697470294E-2</v>
      </c>
      <c r="Q47" s="243">
        <f>Q45/(Q4+Q6+Q8)</f>
        <v>8.5987847338235349E-2</v>
      </c>
      <c r="S47" s="243">
        <f>S45/(S4+S6+S8)</f>
        <v>8.9645758059836697E-2</v>
      </c>
      <c r="U47" s="243">
        <f>U45/(U4+U6+U8)</f>
        <v>9.3049422114857935E-2</v>
      </c>
      <c r="W47" s="243">
        <f>W45/(W4+W6+W8)</f>
        <v>9.620342318249267E-2</v>
      </c>
      <c r="Y47" s="243">
        <f>Y45/(Y4+Y6+Y8)</f>
        <v>9.9112217400973646E-2</v>
      </c>
      <c r="AA47" s="243">
        <f>AA45/(AA4+AA6+AA8)</f>
        <v>0.10178013632454967</v>
      </c>
      <c r="AC47" s="243">
        <f>AC45/(AC4+AC6+AC8)</f>
        <v>0.10421138980684683</v>
      </c>
      <c r="AE47" s="243">
        <f>AE45/(AE4+AE6+AE8)</f>
        <v>0.10641006881238563</v>
      </c>
      <c r="AG47" s="243">
        <f>AG45/(AG4+AG6+AG8)</f>
        <v>0.10838014815799878</v>
      </c>
    </row>
    <row r="48" spans="1:33" s="243" customFormat="1" ht="14.25">
      <c r="A48" s="243" t="s">
        <v>862</v>
      </c>
      <c r="C48" s="236"/>
      <c r="E48" s="243">
        <f>E45/E43</f>
        <v>0.14853194746782949</v>
      </c>
      <c r="G48" s="243">
        <f>G45/G43</f>
        <v>0.1660220820042706</v>
      </c>
      <c r="I48" s="243">
        <f>I45/I43</f>
        <v>0.18353376113102604</v>
      </c>
      <c r="K48" s="243">
        <f>K45/K43</f>
        <v>0.2010529527470083</v>
      </c>
      <c r="M48" s="243">
        <f>M45/M43</f>
        <v>0.21856476355536902</v>
      </c>
      <c r="O48" s="243">
        <f>O45/O43</f>
        <v>0.23605339966148459</v>
      </c>
      <c r="Q48" s="243">
        <f>Q45/Q43</f>
        <v>0.25350212556018814</v>
      </c>
      <c r="S48" s="243">
        <f>S45/S43</f>
        <v>0.27089322145009498</v>
      </c>
      <c r="U48" s="243">
        <f>U45/U43</f>
        <v>0.28820793881052637</v>
      </c>
      <c r="W48" s="243">
        <f>W45/W43</f>
        <v>0.30542645417411551</v>
      </c>
      <c r="Y48" s="243">
        <f>Y45/Y43</f>
        <v>0.32252782102573757</v>
      </c>
      <c r="AA48" s="243">
        <f>AA45/AA43</f>
        <v>0.33948991975575016</v>
      </c>
      <c r="AC48" s="243">
        <f>AC45/AC43</f>
        <v>0.35628940559292493</v>
      </c>
      <c r="AE48" s="243">
        <f>AE45/AE43</f>
        <v>0.37290165443960516</v>
      </c>
      <c r="AG48" s="243">
        <f>AG45/AG43</f>
        <v>0.38930070652880472</v>
      </c>
    </row>
    <row r="49" spans="1:35" s="244" customFormat="1" ht="14.25">
      <c r="A49" s="244" t="s">
        <v>860</v>
      </c>
      <c r="C49" s="245"/>
      <c r="E49" s="1265">
        <f>E37/E43</f>
        <v>1.1485319474678295</v>
      </c>
      <c r="F49" s="1265"/>
      <c r="G49" s="1265">
        <f>G37/G43</f>
        <v>1.1660220820042706</v>
      </c>
      <c r="H49" s="1265"/>
      <c r="I49" s="1265">
        <f>I37/I43</f>
        <v>1.1835337611310259</v>
      </c>
      <c r="J49" s="1265"/>
      <c r="K49" s="1265">
        <f>K37/K43</f>
        <v>1.2010529527470084</v>
      </c>
      <c r="L49" s="1265"/>
      <c r="M49" s="1265">
        <f>M37/M43</f>
        <v>1.2185647635553689</v>
      </c>
      <c r="N49" s="1265"/>
      <c r="O49" s="1265">
        <f>O37/O43</f>
        <v>1.2360533996614846</v>
      </c>
      <c r="P49" s="1265"/>
      <c r="Q49" s="1265">
        <f>Q37/Q43</f>
        <v>1.2535021255601881</v>
      </c>
      <c r="R49" s="1265"/>
      <c r="S49" s="1265">
        <f>S37/S43</f>
        <v>1.270893221450095</v>
      </c>
      <c r="T49" s="1265"/>
      <c r="U49" s="1265">
        <f>U37/U43</f>
        <v>1.2882079388105263</v>
      </c>
      <c r="V49" s="1265"/>
      <c r="W49" s="1265">
        <f>W37/W43</f>
        <v>1.3054264541741156</v>
      </c>
      <c r="X49" s="1265"/>
      <c r="Y49" s="1265">
        <f>Y37/Y43</f>
        <v>1.3225278210257376</v>
      </c>
      <c r="Z49" s="1265"/>
      <c r="AA49" s="1265">
        <f>AA37/AA43</f>
        <v>1.3394899197557502</v>
      </c>
      <c r="AB49" s="1265"/>
      <c r="AC49" s="1265">
        <f>AC37/AC43</f>
        <v>1.3562894055929249</v>
      </c>
      <c r="AD49" s="1265"/>
      <c r="AE49" s="1265">
        <f>AE37/AE43</f>
        <v>1.3729016544396051</v>
      </c>
      <c r="AF49" s="1265"/>
      <c r="AG49" s="1265">
        <f>AG37/AG43</f>
        <v>1.3893007065288048</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872</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94" t="s">
        <v>1287</v>
      </c>
      <c r="B52" s="2694"/>
      <c r="C52" s="2694"/>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864</v>
      </c>
      <c r="C53" s="998">
        <v>1.03</v>
      </c>
      <c r="E53" s="999">
        <v>20000</v>
      </c>
      <c r="G53" s="995">
        <f>E53*$C$53</f>
        <v>20600</v>
      </c>
      <c r="I53" s="995">
        <f>G53*$C$53</f>
        <v>21218</v>
      </c>
      <c r="K53" s="995">
        <f>I53*$C$53</f>
        <v>21854.54</v>
      </c>
      <c r="M53" s="995">
        <f>K53*$C$53</f>
        <v>22510.176200000002</v>
      </c>
      <c r="O53" s="995">
        <f>M53*$C$53</f>
        <v>23185.481486000001</v>
      </c>
      <c r="Q53" s="995">
        <f>O53*$C$53</f>
        <v>23881.04593058</v>
      </c>
      <c r="S53" s="995">
        <f>Q53*$C$53</f>
        <v>24597.4773084974</v>
      </c>
      <c r="U53" s="995">
        <f>S53*$C$53</f>
        <v>25335.401627752322</v>
      </c>
      <c r="W53" s="995">
        <f>U53*$C$53</f>
        <v>26095.463676584892</v>
      </c>
      <c r="Y53" s="995">
        <f>W53*$C$53</f>
        <v>26878.327586882438</v>
      </c>
      <c r="AA53" s="995">
        <f>Y53*$C$53</f>
        <v>27684.677414488913</v>
      </c>
      <c r="AC53" s="995">
        <f>AA53*$C$53</f>
        <v>28515.21773692358</v>
      </c>
      <c r="AE53" s="995">
        <f>AC53*$C$53</f>
        <v>29370.674269031289</v>
      </c>
      <c r="AG53" s="995">
        <f>AE53*$C$53</f>
        <v>30251.79449710223</v>
      </c>
    </row>
    <row r="54" spans="1:35" s="3" customFormat="1">
      <c r="A54" s="3" t="s">
        <v>865</v>
      </c>
      <c r="C54" s="993">
        <v>1.03</v>
      </c>
      <c r="E54" s="1000">
        <v>5000</v>
      </c>
      <c r="F54" s="995"/>
      <c r="G54" s="995">
        <f t="shared" ref="G54:AG57" si="1">E54*$C$53</f>
        <v>5150</v>
      </c>
      <c r="H54" s="995"/>
      <c r="I54" s="995">
        <f t="shared" si="1"/>
        <v>5304.5</v>
      </c>
      <c r="J54" s="995"/>
      <c r="K54" s="995">
        <f t="shared" si="1"/>
        <v>5463.6350000000002</v>
      </c>
      <c r="L54" s="995"/>
      <c r="M54" s="995">
        <f t="shared" si="1"/>
        <v>5627.5440500000004</v>
      </c>
      <c r="N54" s="995"/>
      <c r="O54" s="995">
        <f t="shared" si="1"/>
        <v>5796.3703715000001</v>
      </c>
      <c r="P54" s="995"/>
      <c r="Q54" s="995">
        <f t="shared" si="1"/>
        <v>5970.2614826449999</v>
      </c>
      <c r="R54" s="995"/>
      <c r="S54" s="995">
        <f t="shared" si="1"/>
        <v>6149.3693271243501</v>
      </c>
      <c r="T54" s="995"/>
      <c r="U54" s="995">
        <f t="shared" si="1"/>
        <v>6333.8504069380806</v>
      </c>
      <c r="V54" s="995"/>
      <c r="W54" s="995">
        <f t="shared" si="1"/>
        <v>6523.865919146223</v>
      </c>
      <c r="X54" s="995"/>
      <c r="Y54" s="995">
        <f t="shared" si="1"/>
        <v>6719.5818967206096</v>
      </c>
      <c r="Z54" s="995"/>
      <c r="AA54" s="995">
        <f t="shared" si="1"/>
        <v>6921.1693536222283</v>
      </c>
      <c r="AB54" s="995"/>
      <c r="AC54" s="995">
        <f t="shared" si="1"/>
        <v>7128.8044342308949</v>
      </c>
      <c r="AD54" s="995"/>
      <c r="AE54" s="995">
        <f t="shared" si="1"/>
        <v>7342.6685672578224</v>
      </c>
      <c r="AF54" s="995"/>
      <c r="AG54" s="995">
        <f t="shared" si="1"/>
        <v>7562.9486242755574</v>
      </c>
      <c r="AH54" s="995"/>
      <c r="AI54" s="995"/>
    </row>
    <row r="55" spans="1:35" s="3" customFormat="1">
      <c r="A55" s="3" t="s">
        <v>866</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863</v>
      </c>
      <c r="C58" s="996"/>
      <c r="E58" s="995">
        <f>SUM(E53:E57)</f>
        <v>25000</v>
      </c>
      <c r="F58" s="995"/>
      <c r="G58" s="995">
        <f>SUM(G53:G57)</f>
        <v>25750</v>
      </c>
      <c r="H58" s="995"/>
      <c r="I58" s="995">
        <f>SUM(I53:I57)</f>
        <v>26522.5</v>
      </c>
      <c r="J58" s="995"/>
      <c r="K58" s="995">
        <f>SUM(K53:K57)</f>
        <v>27318.175000000003</v>
      </c>
      <c r="L58" s="995"/>
      <c r="M58" s="995">
        <f>SUM(M53:M57)</f>
        <v>28137.720250000002</v>
      </c>
      <c r="N58" s="995"/>
      <c r="O58" s="995">
        <f>SUM(O53:O57)</f>
        <v>28981.851857500002</v>
      </c>
      <c r="P58" s="995"/>
      <c r="Q58" s="995">
        <f>SUM(Q53:Q57)</f>
        <v>29851.307413225</v>
      </c>
      <c r="R58" s="995"/>
      <c r="S58" s="995">
        <f>SUM(S53:S57)</f>
        <v>30746.84663562175</v>
      </c>
      <c r="T58" s="995"/>
      <c r="U58" s="995">
        <f>SUM(U53:U57)</f>
        <v>31669.252034690402</v>
      </c>
      <c r="V58" s="995"/>
      <c r="W58" s="995">
        <f>SUM(W53:W57)</f>
        <v>32619.329595731113</v>
      </c>
      <c r="X58" s="995"/>
      <c r="Y58" s="995">
        <f>SUM(Y53:Y57)</f>
        <v>33597.909483603049</v>
      </c>
      <c r="Z58" s="995"/>
      <c r="AA58" s="995">
        <f>SUM(AA53:AA57)</f>
        <v>34605.846768111143</v>
      </c>
      <c r="AB58" s="995"/>
      <c r="AC58" s="995">
        <f>SUM(AC53:AC57)</f>
        <v>35644.022171154473</v>
      </c>
      <c r="AD58" s="995"/>
      <c r="AE58" s="995">
        <f>SUM(AE53:AE57)</f>
        <v>36713.342836289114</v>
      </c>
      <c r="AF58" s="995"/>
      <c r="AG58" s="995">
        <f>SUM(AG53:AG57)</f>
        <v>37814.743121377789</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868</v>
      </c>
      <c r="C60" s="1004"/>
      <c r="E60" s="997">
        <f>E45-E58</f>
        <v>102868.47999999998</v>
      </c>
      <c r="G60" s="997">
        <f>G45-G58</f>
        <v>117175.42200000049</v>
      </c>
      <c r="I60" s="997">
        <f>I45-I58</f>
        <v>131478.41134999995</v>
      </c>
      <c r="K60" s="997">
        <f>K45-K58</f>
        <v>145764.69306675001</v>
      </c>
      <c r="M60" s="997">
        <f>M45-M58</f>
        <v>160020.75052907318</v>
      </c>
      <c r="O60" s="997">
        <f>O45-O58</f>
        <v>174232.27094987818</v>
      </c>
      <c r="Q60" s="997">
        <f>Q45-Q58</f>
        <v>188384.1094432809</v>
      </c>
      <c r="S60" s="997">
        <f>S45-S58</f>
        <v>202460.25163277891</v>
      </c>
      <c r="U60" s="997">
        <f>U45-U58</f>
        <v>216443.77474439313</v>
      </c>
      <c r="W60" s="997">
        <f>W45-W58</f>
        <v>230316.80712658982</v>
      </c>
      <c r="Y60" s="997">
        <f>Y45-Y58</f>
        <v>244060.48613667596</v>
      </c>
      <c r="AA60" s="997">
        <f>AA45-AA58</f>
        <v>257654.91433105859</v>
      </c>
      <c r="AC60" s="997">
        <f>AC45-AC58</f>
        <v>271079.1138944939</v>
      </c>
      <c r="AE60" s="997">
        <f>AE45-AE58</f>
        <v>284310.9792409871</v>
      </c>
      <c r="AG60" s="997">
        <f>AG45-AG58</f>
        <v>297327.22771655268</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867</v>
      </c>
      <c r="C62" s="994">
        <v>0.5</v>
      </c>
      <c r="E62" s="999">
        <f>E60*$C$62</f>
        <v>51434.239999999991</v>
      </c>
      <c r="G62" s="997">
        <f>G60*$C$62</f>
        <v>58587.711000000243</v>
      </c>
      <c r="I62" s="997">
        <f>I60*$C$62</f>
        <v>65739.205674999976</v>
      </c>
      <c r="K62" s="997">
        <f>K60*$C$62</f>
        <v>72882.346533375006</v>
      </c>
      <c r="M62" s="997">
        <f>M60*$C$62</f>
        <v>80010.375264536589</v>
      </c>
      <c r="O62" s="997">
        <f>O60*$C$62</f>
        <v>87116.135474939088</v>
      </c>
      <c r="Q62" s="997">
        <f>Q60*$C$62</f>
        <v>94192.054721640452</v>
      </c>
      <c r="S62" s="997">
        <f>S60*$C$62</f>
        <v>101230.12581638945</v>
      </c>
      <c r="U62" s="997">
        <f>U60*$C$62</f>
        <v>108221.88737219656</v>
      </c>
      <c r="W62" s="997">
        <f>W60*$C$62</f>
        <v>115158.40356329491</v>
      </c>
      <c r="Y62" s="997">
        <f>Y60*$C$62</f>
        <v>122030.24306833798</v>
      </c>
      <c r="AA62" s="997">
        <f>AA60*$C$62</f>
        <v>128827.4571655293</v>
      </c>
      <c r="AC62" s="997">
        <f>AC60*$C$62</f>
        <v>135539.55694724695</v>
      </c>
      <c r="AE62" s="997">
        <f>AE60*$C$62</f>
        <v>142155.48962049355</v>
      </c>
      <c r="AG62" s="997">
        <f>AG60*$C$62</f>
        <v>148663.61385827634</v>
      </c>
    </row>
    <row r="63" spans="1:35" s="997" customFormat="1">
      <c r="A63" s="2694" t="s">
        <v>2764</v>
      </c>
      <c r="B63" s="2694"/>
      <c r="C63" s="2694"/>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871</v>
      </c>
      <c r="C65" s="994"/>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t="s">
        <v>2761</v>
      </c>
      <c r="C66" s="1264">
        <v>0.5</v>
      </c>
      <c r="E66" s="999">
        <f>E60*C66</f>
        <v>51434.239999999991</v>
      </c>
      <c r="G66" s="995">
        <f>G60*C66</f>
        <v>58587.711000000243</v>
      </c>
      <c r="I66" s="995">
        <f>I60*C66</f>
        <v>65739.205674999976</v>
      </c>
      <c r="K66" s="995">
        <f>K60*C66</f>
        <v>72882.346533375006</v>
      </c>
      <c r="M66" s="995">
        <f>M60*C66</f>
        <v>80010.375264536589</v>
      </c>
      <c r="O66" s="995">
        <f>O60*C66</f>
        <v>87116.135474939088</v>
      </c>
      <c r="Q66" s="995">
        <f>Q60*C66</f>
        <v>94192.054721640452</v>
      </c>
      <c r="S66" s="995">
        <f>S60*C66</f>
        <v>101230.12581638945</v>
      </c>
      <c r="U66" s="995">
        <f>U60*C66</f>
        <v>108221.88737219656</v>
      </c>
      <c r="W66" s="995">
        <f>W60*C66</f>
        <v>115158.40356329491</v>
      </c>
      <c r="Y66" s="995">
        <f>Y60*C66</f>
        <v>122030.24306833798</v>
      </c>
      <c r="AA66" s="995">
        <f>AA60*C66</f>
        <v>128827.4571655293</v>
      </c>
      <c r="AC66" s="995">
        <f>AC60*C66</f>
        <v>135539.55694724695</v>
      </c>
      <c r="AE66" s="995">
        <f>AE60*C66</f>
        <v>142155.48962049355</v>
      </c>
      <c r="AG66" s="995">
        <f>AG60*C66</f>
        <v>148663.61385827634</v>
      </c>
    </row>
    <row r="67" spans="1:35" s="995" customFormat="1">
      <c r="A67" s="1000"/>
      <c r="B67" s="1000"/>
      <c r="C67" s="1005"/>
      <c r="E67" s="999">
        <v>0</v>
      </c>
      <c r="G67" s="995">
        <f>G60*$C$65</f>
        <v>0</v>
      </c>
      <c r="I67" s="995">
        <f>I60*$C$65</f>
        <v>0</v>
      </c>
      <c r="K67" s="995">
        <f>K60*$C$65</f>
        <v>0</v>
      </c>
      <c r="M67" s="995">
        <f>M60*$C$65</f>
        <v>0</v>
      </c>
      <c r="O67" s="995">
        <f>O60*$C$65</f>
        <v>0</v>
      </c>
      <c r="Q67" s="995">
        <f>Q60*$C$65</f>
        <v>0</v>
      </c>
      <c r="S67" s="995">
        <f>S60*$C$65</f>
        <v>0</v>
      </c>
      <c r="U67" s="995">
        <f>U60*$C$65</f>
        <v>0</v>
      </c>
      <c r="W67" s="995">
        <f>W60*$C$65</f>
        <v>0</v>
      </c>
      <c r="Y67" s="995">
        <f>Y60*$C$65</f>
        <v>0</v>
      </c>
      <c r="AA67" s="995">
        <f>AA60*$C$65</f>
        <v>0</v>
      </c>
      <c r="AC67" s="995">
        <f>AC60*$C$65</f>
        <v>0</v>
      </c>
      <c r="AE67" s="995">
        <f>AE60*$C$65</f>
        <v>0</v>
      </c>
      <c r="AG67" s="995">
        <f>AG60*$C$65</f>
        <v>0</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863</v>
      </c>
      <c r="C70" s="1005"/>
      <c r="E70" s="995">
        <f>SUM(E66:E69)</f>
        <v>51434.239999999991</v>
      </c>
      <c r="G70" s="995">
        <f>SUM(G66:G69)</f>
        <v>58587.711000000243</v>
      </c>
      <c r="I70" s="995">
        <f>SUM(I66:I69)</f>
        <v>65739.205674999976</v>
      </c>
      <c r="K70" s="995">
        <f>SUM(K66:K69)</f>
        <v>72882.346533375006</v>
      </c>
      <c r="M70" s="995">
        <f>SUM(M66:M69)</f>
        <v>80010.375264536589</v>
      </c>
      <c r="O70" s="995">
        <f>SUM(O66:O69)</f>
        <v>87116.135474939088</v>
      </c>
      <c r="Q70" s="995">
        <f>SUM(Q66:Q69)</f>
        <v>94192.054721640452</v>
      </c>
      <c r="S70" s="995">
        <f>SUM(S66:S69)</f>
        <v>101230.12581638945</v>
      </c>
      <c r="U70" s="995">
        <f>SUM(U66:U69)</f>
        <v>108221.88737219656</v>
      </c>
      <c r="W70" s="995">
        <f>SUM(W66:W69)</f>
        <v>115158.40356329491</v>
      </c>
      <c r="Y70" s="995">
        <f>SUM(Y66:Y69)</f>
        <v>122030.24306833798</v>
      </c>
      <c r="AA70" s="995">
        <f>SUM(AA66:AA69)</f>
        <v>128827.4571655293</v>
      </c>
      <c r="AC70" s="995">
        <f>SUM(AC66:AC69)</f>
        <v>135539.55694724695</v>
      </c>
      <c r="AE70" s="995">
        <f>SUM(AE66:AE69)</f>
        <v>142155.48962049355</v>
      </c>
      <c r="AG70" s="995">
        <f>SUM(AG66:AG69)</f>
        <v>148663.61385827634</v>
      </c>
    </row>
    <row r="71" spans="1:35" s="995" customFormat="1">
      <c r="A71" s="997"/>
      <c r="C71" s="1005"/>
    </row>
    <row r="72" spans="1:35" s="995" customFormat="1">
      <c r="A72" s="997" t="s">
        <v>1908</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1907</v>
      </c>
      <c r="C75" s="192"/>
    </row>
    <row r="76" spans="1:35" s="233" customFormat="1">
      <c r="C76" s="192"/>
    </row>
    <row r="77" spans="1:35" s="250" customFormat="1" ht="30" customHeight="1">
      <c r="A77" s="2692" t="s">
        <v>1906</v>
      </c>
      <c r="B77" s="2693"/>
      <c r="C77" s="2693"/>
      <c r="D77" s="2693"/>
      <c r="E77" s="2693"/>
      <c r="F77" s="2693"/>
      <c r="G77" s="2693"/>
      <c r="H77" s="2693"/>
      <c r="I77" s="2693"/>
      <c r="J77" s="2693"/>
      <c r="K77" s="2693"/>
      <c r="L77" s="2693"/>
      <c r="M77" s="2693"/>
      <c r="N77" s="2693"/>
      <c r="O77" s="2693"/>
      <c r="P77" s="2693"/>
      <c r="Q77" s="2693"/>
      <c r="R77" s="2693"/>
      <c r="S77" s="2693"/>
      <c r="T77" s="2693"/>
      <c r="U77" s="2693"/>
      <c r="V77" s="2693"/>
      <c r="W77" s="2693"/>
      <c r="X77" s="2693"/>
      <c r="Y77" s="2693"/>
      <c r="Z77" s="2693"/>
      <c r="AA77" s="2693"/>
      <c r="AB77" s="2693"/>
      <c r="AC77" s="2693"/>
      <c r="AD77" s="2693"/>
      <c r="AE77" s="2693"/>
      <c r="AF77" s="2693"/>
      <c r="AG77" s="2693"/>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disablePrompts="1"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987</v>
      </c>
    </row>
    <row r="2" spans="1:1" ht="15.75">
      <c r="A2" s="338"/>
    </row>
    <row r="3" spans="1:1" ht="15.75">
      <c r="A3" s="339" t="s">
        <v>982</v>
      </c>
    </row>
    <row r="4" spans="1:1" ht="15.75">
      <c r="A4" s="339" t="s">
        <v>983</v>
      </c>
    </row>
    <row r="5" spans="1:1" ht="15.75">
      <c r="A5" s="339" t="s">
        <v>984</v>
      </c>
    </row>
    <row r="6" spans="1:1" ht="15.75">
      <c r="A6" s="339" t="s">
        <v>986</v>
      </c>
    </row>
    <row r="7" spans="1:1" ht="15.75">
      <c r="A7" s="339" t="s">
        <v>985</v>
      </c>
    </row>
    <row r="8" spans="1:1" ht="15.75">
      <c r="A8" s="374" t="s">
        <v>1045</v>
      </c>
    </row>
    <row r="9" spans="1:1" ht="15.75">
      <c r="A9" s="339" t="s">
        <v>1046</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1320</v>
      </c>
      <c r="D1" s="301"/>
    </row>
    <row r="2" spans="1:7" s="296" customFormat="1">
      <c r="A2" s="279" t="s">
        <v>902</v>
      </c>
      <c r="B2" s="281"/>
      <c r="C2" s="281"/>
      <c r="D2" s="278"/>
      <c r="E2" s="282"/>
      <c r="F2" s="281"/>
    </row>
    <row r="3" spans="1:7" s="379" customFormat="1" ht="80.25" customHeight="1">
      <c r="A3" s="298"/>
      <c r="B3" s="283" t="s">
        <v>903</v>
      </c>
      <c r="C3" s="283" t="s">
        <v>904</v>
      </c>
      <c r="D3" s="283" t="s">
        <v>905</v>
      </c>
      <c r="E3" s="280" t="s">
        <v>906</v>
      </c>
      <c r="F3" s="280"/>
      <c r="G3" s="382"/>
    </row>
    <row r="4" spans="1:7" s="380" customFormat="1">
      <c r="A4" s="284" t="s">
        <v>26</v>
      </c>
      <c r="B4" s="284"/>
      <c r="C4" s="284"/>
      <c r="D4" s="284"/>
      <c r="E4" s="303"/>
      <c r="F4" s="284"/>
      <c r="G4" s="383"/>
    </row>
    <row r="5" spans="1:7" s="380" customFormat="1">
      <c r="A5" s="395" t="s">
        <v>27</v>
      </c>
      <c r="B5" s="286">
        <f>'Sources and Uses Budget'!$C4</f>
        <v>6210000</v>
      </c>
      <c r="C5" s="286">
        <f>'Sources and Uses Budget'!$C4</f>
        <v>6210000</v>
      </c>
      <c r="D5" s="290">
        <f>C5-B5</f>
        <v>0</v>
      </c>
      <c r="E5" s="288"/>
      <c r="F5" s="287"/>
      <c r="G5" s="383"/>
    </row>
    <row r="6" spans="1:7" s="380" customFormat="1">
      <c r="A6" s="395" t="s">
        <v>28</v>
      </c>
      <c r="B6" s="286">
        <f>'Sources and Uses Budget'!$C5</f>
        <v>109745</v>
      </c>
      <c r="C6" s="286">
        <f>'Sources and Uses Budget'!$C5</f>
        <v>109745</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600</v>
      </c>
      <c r="B9" s="290">
        <f>SUM(B5:B8)</f>
        <v>6319745</v>
      </c>
      <c r="C9" s="290">
        <f>SUM(C5:C8)</f>
        <v>6319745</v>
      </c>
      <c r="D9" s="290">
        <f t="shared" si="0"/>
        <v>0</v>
      </c>
      <c r="E9" s="288"/>
      <c r="F9" s="287"/>
      <c r="G9" s="383"/>
    </row>
    <row r="10" spans="1:7" s="380" customFormat="1">
      <c r="A10" s="395" t="s">
        <v>601</v>
      </c>
      <c r="B10" s="286">
        <f>'Sources and Uses Budget'!$C9</f>
        <v>0</v>
      </c>
      <c r="C10" s="286">
        <f>'Sources and Uses Budget'!$C9</f>
        <v>0</v>
      </c>
      <c r="D10" s="290">
        <f t="shared" si="0"/>
        <v>0</v>
      </c>
      <c r="E10" s="288"/>
      <c r="F10" s="287"/>
      <c r="G10" s="383"/>
    </row>
    <row r="11" spans="1:7" s="380" customFormat="1">
      <c r="A11" s="395" t="s">
        <v>602</v>
      </c>
      <c r="B11" s="286">
        <f>'Sources and Uses Budget'!$C10</f>
        <v>0</v>
      </c>
      <c r="C11" s="286">
        <f>'Sources and Uses Budget'!$C10</f>
        <v>0</v>
      </c>
      <c r="D11" s="290">
        <f t="shared" si="0"/>
        <v>0</v>
      </c>
      <c r="E11" s="288"/>
      <c r="F11" s="287"/>
      <c r="G11" s="383"/>
    </row>
    <row r="12" spans="1:7" s="380" customFormat="1">
      <c r="A12" s="396" t="s">
        <v>603</v>
      </c>
      <c r="B12" s="290">
        <f>SUM(B10:B11)</f>
        <v>0</v>
      </c>
      <c r="C12" s="290">
        <f>SUM(C10:C11)</f>
        <v>0</v>
      </c>
      <c r="D12" s="290">
        <f t="shared" si="0"/>
        <v>0</v>
      </c>
      <c r="E12" s="288"/>
      <c r="F12" s="287"/>
      <c r="G12" s="383"/>
    </row>
    <row r="13" spans="1:7" s="380" customFormat="1">
      <c r="A13" s="396" t="s">
        <v>84</v>
      </c>
      <c r="B13" s="290">
        <f>SUM(B9+B12)</f>
        <v>6319745</v>
      </c>
      <c r="C13" s="290">
        <f>SUM(C9+C12)</f>
        <v>6319745</v>
      </c>
      <c r="D13" s="290">
        <f t="shared" si="0"/>
        <v>0</v>
      </c>
      <c r="E13" s="288"/>
      <c r="F13" s="287"/>
      <c r="G13" s="383"/>
    </row>
    <row r="14" spans="1:7" s="380" customFormat="1">
      <c r="A14" s="397" t="s">
        <v>916</v>
      </c>
      <c r="B14" s="286">
        <f>'Sources and Uses Budget'!$C13</f>
        <v>1691338</v>
      </c>
      <c r="C14" s="286">
        <f>'Sources and Uses Budget'!$C13</f>
        <v>1691338</v>
      </c>
      <c r="D14" s="290">
        <f t="shared" si="0"/>
        <v>0</v>
      </c>
      <c r="E14" s="288"/>
      <c r="F14" s="287"/>
      <c r="G14" s="383"/>
    </row>
    <row r="15" spans="1:7" s="380" customFormat="1" ht="24">
      <c r="A15" s="395" t="s">
        <v>917</v>
      </c>
      <c r="B15" s="286">
        <f>'Sources and Uses Budget'!$C14</f>
        <v>0</v>
      </c>
      <c r="C15" s="286">
        <f>'Sources and Uses Budget'!$C14</f>
        <v>0</v>
      </c>
      <c r="D15" s="290">
        <f t="shared" si="0"/>
        <v>0</v>
      </c>
      <c r="E15" s="288"/>
      <c r="F15" s="287"/>
      <c r="G15" s="383"/>
    </row>
    <row r="16" spans="1:7" s="380" customFormat="1">
      <c r="A16" s="395" t="s">
        <v>1263</v>
      </c>
      <c r="B16" s="286">
        <f>'Sources and Uses Budget'!$C15</f>
        <v>0</v>
      </c>
      <c r="C16" s="286">
        <f>'Sources and Uses Budget'!$C15</f>
        <v>0</v>
      </c>
      <c r="D16" s="290">
        <f t="shared" si="0"/>
        <v>0</v>
      </c>
      <c r="E16" s="288"/>
      <c r="F16" s="287"/>
      <c r="G16" s="383"/>
    </row>
    <row r="17" spans="1:7" s="380" customFormat="1">
      <c r="A17" s="284" t="s">
        <v>604</v>
      </c>
      <c r="B17" s="284"/>
      <c r="C17" s="284"/>
      <c r="D17" s="284"/>
      <c r="E17" s="303"/>
      <c r="F17" s="284"/>
      <c r="G17" s="383"/>
    </row>
    <row r="18" spans="1:7" s="380" customFormat="1">
      <c r="A18" s="145" t="s">
        <v>605</v>
      </c>
      <c r="B18" s="286">
        <f>'Sources and Uses Budget'!$C17</f>
        <v>0</v>
      </c>
      <c r="C18" s="286">
        <f>'Sources and Uses Budget'!$C17</f>
        <v>0</v>
      </c>
      <c r="D18" s="290">
        <f t="shared" si="0"/>
        <v>0</v>
      </c>
      <c r="E18" s="288"/>
      <c r="F18" s="287"/>
      <c r="G18" s="383"/>
    </row>
    <row r="19" spans="1:7" s="380" customFormat="1">
      <c r="A19" s="145" t="s">
        <v>606</v>
      </c>
      <c r="B19" s="286">
        <f>'Sources and Uses Budget'!$C18</f>
        <v>0</v>
      </c>
      <c r="C19" s="286">
        <f>'Sources and Uses Budget'!$C18</f>
        <v>0</v>
      </c>
      <c r="D19" s="290">
        <f t="shared" si="0"/>
        <v>0</v>
      </c>
      <c r="E19" s="288"/>
      <c r="F19" s="287"/>
      <c r="G19" s="383"/>
    </row>
    <row r="20" spans="1:7" s="380" customFormat="1">
      <c r="A20" s="145" t="s">
        <v>607</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1748</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100000</v>
      </c>
      <c r="C28" s="286">
        <f>'Sources and Uses Budget'!$C$27</f>
        <v>100000</v>
      </c>
      <c r="D28" s="290">
        <f t="shared" si="0"/>
        <v>0</v>
      </c>
      <c r="E28" s="288"/>
      <c r="F28" s="287"/>
      <c r="G28" s="383"/>
    </row>
    <row r="29" spans="1:7" s="380" customFormat="1">
      <c r="A29" s="284" t="s">
        <v>142</v>
      </c>
      <c r="B29" s="284"/>
      <c r="C29" s="284"/>
      <c r="D29" s="284"/>
      <c r="E29" s="303"/>
      <c r="F29" s="284"/>
      <c r="G29" s="383"/>
    </row>
    <row r="30" spans="1:7" s="380" customFormat="1">
      <c r="A30" s="145" t="s">
        <v>605</v>
      </c>
      <c r="B30" s="286">
        <f>'Sources and Uses Budget'!$C29</f>
        <v>2700000</v>
      </c>
      <c r="C30" s="286">
        <f>'Sources and Uses Budget'!$C29</f>
        <v>2700000</v>
      </c>
      <c r="D30" s="290">
        <f t="shared" si="0"/>
        <v>0</v>
      </c>
      <c r="E30" s="288"/>
      <c r="F30" s="287"/>
      <c r="G30" s="383"/>
    </row>
    <row r="31" spans="1:7" s="380" customFormat="1">
      <c r="A31" s="145" t="s">
        <v>606</v>
      </c>
      <c r="B31" s="286">
        <f>'Sources and Uses Budget'!$C30</f>
        <v>28500000</v>
      </c>
      <c r="C31" s="286">
        <f>'Sources and Uses Budget'!$C30</f>
        <v>28500000</v>
      </c>
      <c r="D31" s="290">
        <f t="shared" si="0"/>
        <v>0</v>
      </c>
      <c r="E31" s="288"/>
      <c r="F31" s="287"/>
      <c r="G31" s="383"/>
    </row>
    <row r="32" spans="1:7" s="380" customFormat="1">
      <c r="A32" s="145" t="s">
        <v>607</v>
      </c>
      <c r="B32" s="286">
        <f>'Sources and Uses Budget'!$C31</f>
        <v>1600000</v>
      </c>
      <c r="C32" s="286">
        <f>'Sources and Uses Budget'!$C31</f>
        <v>1600000</v>
      </c>
      <c r="D32" s="290">
        <f t="shared" si="0"/>
        <v>0</v>
      </c>
      <c r="E32" s="288"/>
      <c r="F32" s="287"/>
      <c r="G32" s="383"/>
    </row>
    <row r="33" spans="1:7" s="380" customFormat="1">
      <c r="A33" s="145" t="s">
        <v>137</v>
      </c>
      <c r="B33" s="286">
        <f>'Sources and Uses Budget'!$C32</f>
        <v>1500000</v>
      </c>
      <c r="C33" s="286">
        <f>'Sources and Uses Budget'!$C32</f>
        <v>1500000</v>
      </c>
      <c r="D33" s="290">
        <f t="shared" si="0"/>
        <v>0</v>
      </c>
      <c r="E33" s="288"/>
      <c r="F33" s="287"/>
      <c r="G33" s="383"/>
    </row>
    <row r="34" spans="1:7" s="380" customFormat="1">
      <c r="A34" s="145" t="s">
        <v>138</v>
      </c>
      <c r="B34" s="286">
        <f>'Sources and Uses Budget'!$C33</f>
        <v>1400000</v>
      </c>
      <c r="C34" s="286">
        <f>'Sources and Uses Budget'!$C33</f>
        <v>1400000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800000</v>
      </c>
      <c r="C36" s="286">
        <f>'Sources and Uses Budget'!$C35</f>
        <v>800000</v>
      </c>
      <c r="D36" s="290">
        <f t="shared" si="0"/>
        <v>0</v>
      </c>
      <c r="E36" s="288"/>
      <c r="F36" s="287"/>
      <c r="G36" s="383"/>
    </row>
    <row r="37" spans="1:7" s="380" customFormat="1">
      <c r="A37" s="304" t="s">
        <v>1748</v>
      </c>
      <c r="B37" s="286">
        <f>'Sources and Uses Budget'!$C36</f>
        <v>105000</v>
      </c>
      <c r="C37" s="286">
        <f>'Sources and Uses Budget'!$C36</f>
        <v>105000</v>
      </c>
      <c r="D37" s="290"/>
      <c r="E37" s="288"/>
      <c r="F37" s="287"/>
      <c r="G37" s="383"/>
    </row>
    <row r="38" spans="1:7" s="380" customFormat="1">
      <c r="A38" s="155" t="str">
        <f>'Sources and Uses Budget'!A37</f>
        <v>Solar</v>
      </c>
      <c r="B38" s="286">
        <f>'Sources and Uses Budget'!$C37</f>
        <v>382200</v>
      </c>
      <c r="C38" s="286">
        <f>'Sources and Uses Budget'!$C37</f>
        <v>382200</v>
      </c>
      <c r="D38" s="290">
        <f t="shared" si="0"/>
        <v>0</v>
      </c>
      <c r="E38" s="288"/>
      <c r="F38" s="287"/>
      <c r="G38" s="383"/>
    </row>
    <row r="39" spans="1:7" s="380" customFormat="1">
      <c r="A39" s="291" t="s">
        <v>143</v>
      </c>
      <c r="B39" s="290">
        <f>SUM(B30:B38)</f>
        <v>36987200</v>
      </c>
      <c r="C39" s="290">
        <f>SUM(C30:C38)</f>
        <v>36987200</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2650000</v>
      </c>
      <c r="C41" s="286">
        <f>'Sources and Uses Budget'!$C40</f>
        <v>2650000</v>
      </c>
      <c r="D41" s="290">
        <f t="shared" si="0"/>
        <v>0</v>
      </c>
      <c r="E41" s="288"/>
      <c r="F41" s="287"/>
      <c r="G41" s="383"/>
    </row>
    <row r="42" spans="1:7" s="380" customFormat="1">
      <c r="A42" s="289" t="s">
        <v>146</v>
      </c>
      <c r="B42" s="286">
        <f>'Sources and Uses Budget'!$C41</f>
        <v>0</v>
      </c>
      <c r="C42" s="286">
        <f>'Sources and Uses Budget'!$C41</f>
        <v>0</v>
      </c>
      <c r="D42" s="290">
        <f t="shared" si="0"/>
        <v>0</v>
      </c>
      <c r="E42" s="288"/>
      <c r="F42" s="287"/>
      <c r="G42" s="383"/>
    </row>
    <row r="43" spans="1:7" s="380" customFormat="1">
      <c r="A43" s="291" t="s">
        <v>147</v>
      </c>
      <c r="B43" s="290">
        <f>SUM(B41:B42)</f>
        <v>2650000</v>
      </c>
      <c r="C43" s="290">
        <f>SUM(C41:C42)</f>
        <v>2650000</v>
      </c>
      <c r="D43" s="290">
        <f t="shared" si="0"/>
        <v>0</v>
      </c>
      <c r="E43" s="288"/>
      <c r="F43" s="287"/>
      <c r="G43" s="383"/>
    </row>
    <row r="44" spans="1:7" s="380" customFormat="1">
      <c r="A44" s="291" t="s">
        <v>148</v>
      </c>
      <c r="B44" s="286">
        <f>'Sources and Uses Budget'!$C43</f>
        <v>650000</v>
      </c>
      <c r="C44" s="286">
        <f>'Sources and Uses Budget'!$C43</f>
        <v>650000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2075000</v>
      </c>
      <c r="C46" s="286">
        <f>'Sources and Uses Budget'!$C45</f>
        <v>2075000</v>
      </c>
      <c r="D46" s="290">
        <f t="shared" si="0"/>
        <v>0</v>
      </c>
      <c r="E46" s="288"/>
      <c r="F46" s="287"/>
      <c r="G46" s="383"/>
    </row>
    <row r="47" spans="1:7" s="380" customFormat="1">
      <c r="A47" s="145" t="s">
        <v>151</v>
      </c>
      <c r="B47" s="286">
        <f>'Sources and Uses Budget'!$C46</f>
        <v>300000</v>
      </c>
      <c r="C47" s="286">
        <f>'Sources and Uses Budget'!$C46</f>
        <v>300000</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450000</v>
      </c>
      <c r="C50" s="286">
        <f>'Sources and Uses Budget'!$C49</f>
        <v>450000</v>
      </c>
      <c r="D50" s="290">
        <f t="shared" si="0"/>
        <v>0</v>
      </c>
      <c r="E50" s="288"/>
      <c r="F50" s="287"/>
      <c r="G50" s="383"/>
    </row>
    <row r="51" spans="1:7" s="380" customFormat="1">
      <c r="A51" s="145" t="s">
        <v>156</v>
      </c>
      <c r="B51" s="286">
        <f>'Sources and Uses Budget'!$C50</f>
        <v>100000</v>
      </c>
      <c r="C51" s="286">
        <f>'Sources and Uses Budget'!$C50</f>
        <v>100000</v>
      </c>
      <c r="D51" s="290">
        <f t="shared" si="0"/>
        <v>0</v>
      </c>
      <c r="E51" s="288"/>
      <c r="F51" s="287"/>
      <c r="G51" s="383"/>
    </row>
    <row r="52" spans="1:7" s="380" customFormat="1">
      <c r="A52" s="304" t="s">
        <v>154</v>
      </c>
      <c r="B52" s="286">
        <f>'Sources and Uses Budget'!$C51</f>
        <v>125000</v>
      </c>
      <c r="C52" s="286">
        <f>'Sources and Uses Budget'!$C51</f>
        <v>125000</v>
      </c>
      <c r="D52" s="290">
        <f t="shared" si="0"/>
        <v>0</v>
      </c>
      <c r="E52" s="288"/>
      <c r="F52" s="287"/>
      <c r="G52" s="383"/>
    </row>
    <row r="53" spans="1:7" s="380" customFormat="1">
      <c r="A53" s="145" t="s">
        <v>155</v>
      </c>
      <c r="B53" s="286">
        <f>'Sources and Uses Budget'!$C52</f>
        <v>775000</v>
      </c>
      <c r="C53" s="286">
        <f>'Sources and Uses Budget'!$C52</f>
        <v>775000</v>
      </c>
      <c r="D53" s="290">
        <f t="shared" si="0"/>
        <v>0</v>
      </c>
      <c r="E53" s="288"/>
      <c r="F53" s="287"/>
      <c r="G53" s="383"/>
    </row>
    <row r="54" spans="1:7" s="380" customFormat="1">
      <c r="A54" s="155" t="str">
        <f>'Sources and Uses Budget'!A53</f>
        <v>Public Bond Interest</v>
      </c>
      <c r="B54" s="286">
        <f>'Sources and Uses Budget'!$C53</f>
        <v>2087222</v>
      </c>
      <c r="C54" s="286">
        <f>'Sources and Uses Budget'!$C53</f>
        <v>2087222</v>
      </c>
      <c r="D54" s="290">
        <f t="shared" si="0"/>
        <v>0</v>
      </c>
      <c r="E54" s="288"/>
      <c r="F54" s="287"/>
      <c r="G54" s="383"/>
    </row>
    <row r="55" spans="1:7" s="381" customFormat="1">
      <c r="A55" s="291" t="s">
        <v>157</v>
      </c>
      <c r="B55" s="293">
        <f>SUM(B46:B54)</f>
        <v>5912222</v>
      </c>
      <c r="C55" s="293">
        <f>SUM(C46:C54)</f>
        <v>5912222</v>
      </c>
      <c r="D55" s="290">
        <f t="shared" si="0"/>
        <v>0</v>
      </c>
      <c r="E55" s="288"/>
      <c r="F55" s="287"/>
      <c r="G55" s="384"/>
    </row>
    <row r="56" spans="1:7" s="380" customFormat="1">
      <c r="A56" s="284" t="s">
        <v>418</v>
      </c>
      <c r="B56" s="284"/>
      <c r="C56" s="284"/>
      <c r="D56" s="284"/>
      <c r="E56" s="303"/>
      <c r="F56" s="284"/>
      <c r="G56" s="383"/>
    </row>
    <row r="57" spans="1:7" s="380" customFormat="1">
      <c r="A57" s="289" t="s">
        <v>158</v>
      </c>
      <c r="B57" s="286">
        <f>'Sources and Uses Budget'!$C56</f>
        <v>148200</v>
      </c>
      <c r="C57" s="286">
        <f>'Sources and Uses Budget'!$C56</f>
        <v>148200</v>
      </c>
      <c r="D57" s="290">
        <f t="shared" si="0"/>
        <v>0</v>
      </c>
      <c r="E57" s="288"/>
      <c r="F57" s="287"/>
      <c r="G57" s="383"/>
    </row>
    <row r="58" spans="1:7" s="380" customFormat="1" ht="12" customHeight="1">
      <c r="A58" s="289" t="s">
        <v>152</v>
      </c>
      <c r="B58" s="286">
        <f>'Sources and Uses Budget'!$C57</f>
        <v>105575</v>
      </c>
      <c r="C58" s="286">
        <f>'Sources and Uses Budget'!$C57</f>
        <v>105575</v>
      </c>
      <c r="D58" s="290">
        <f t="shared" si="0"/>
        <v>0</v>
      </c>
      <c r="E58" s="288"/>
      <c r="F58" s="287"/>
      <c r="G58" s="383"/>
    </row>
    <row r="59" spans="1:7" s="380" customFormat="1">
      <c r="A59" s="289" t="s">
        <v>156</v>
      </c>
      <c r="B59" s="286">
        <f>'Sources and Uses Budget'!$C58</f>
        <v>0</v>
      </c>
      <c r="C59" s="286">
        <f>'Sources and Uses Budget'!$C58</f>
        <v>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Good Faith Deposit</v>
      </c>
      <c r="B62" s="286">
        <f>'Sources and Uses Budget'!$C61</f>
        <v>148200</v>
      </c>
      <c r="C62" s="286">
        <f>'Sources and Uses Budget'!$C61</f>
        <v>148200</v>
      </c>
      <c r="D62" s="290">
        <f t="shared" si="0"/>
        <v>0</v>
      </c>
      <c r="E62" s="288"/>
      <c r="F62" s="287"/>
      <c r="G62" s="383"/>
    </row>
    <row r="63" spans="1:7" s="380" customFormat="1" ht="13.7" customHeight="1">
      <c r="A63" s="291" t="s">
        <v>301</v>
      </c>
      <c r="B63" s="290">
        <f>SUM(B57:B62)</f>
        <v>401975</v>
      </c>
      <c r="C63" s="290">
        <f>SUM(C57:C62)</f>
        <v>401975</v>
      </c>
      <c r="D63" s="290">
        <f t="shared" si="0"/>
        <v>0</v>
      </c>
      <c r="E63" s="288"/>
      <c r="F63" s="287"/>
      <c r="G63" s="383"/>
    </row>
    <row r="64" spans="1:7" s="380" customFormat="1">
      <c r="A64" s="294" t="s">
        <v>302</v>
      </c>
      <c r="B64" s="290">
        <f>SUM(B9+B12+B14+B15+B17+B26+B28+B39+B43+B44+B55+B63)</f>
        <v>54712480</v>
      </c>
      <c r="C64" s="290">
        <f>SUM(C9+C12+C14+C15+C17+C26+C28+C39+C43+C44+C55+C63)</f>
        <v>54712480</v>
      </c>
      <c r="D64" s="290">
        <f t="shared" si="0"/>
        <v>0</v>
      </c>
      <c r="E64" s="288"/>
      <c r="F64" s="287"/>
      <c r="G64" s="383"/>
    </row>
    <row r="65" spans="1:7" s="380" customFormat="1" ht="24">
      <c r="A65" s="141" t="s">
        <v>1752</v>
      </c>
      <c r="B65" s="284"/>
      <c r="C65" s="284"/>
      <c r="D65" s="284"/>
      <c r="E65" s="303"/>
      <c r="F65" s="284"/>
      <c r="G65" s="383"/>
    </row>
    <row r="66" spans="1:7" s="380" customFormat="1">
      <c r="A66" s="145" t="s">
        <v>170</v>
      </c>
      <c r="B66" s="286">
        <f>'Sources and Uses Budget'!$C65</f>
        <v>83500</v>
      </c>
      <c r="C66" s="286">
        <f>'Sources and Uses Budget'!$C65</f>
        <v>83500</v>
      </c>
      <c r="D66" s="290">
        <f t="shared" si="0"/>
        <v>0</v>
      </c>
      <c r="E66" s="288"/>
      <c r="F66" s="287"/>
      <c r="G66" s="383"/>
    </row>
    <row r="67" spans="1:7" s="380" customFormat="1" ht="24">
      <c r="A67" s="304" t="s">
        <v>1749</v>
      </c>
      <c r="B67" s="286">
        <f>'Sources and Uses Budget'!$C66</f>
        <v>0</v>
      </c>
      <c r="C67" s="286">
        <f>'Sources and Uses Budget'!$C66</f>
        <v>0</v>
      </c>
      <c r="D67" s="290"/>
      <c r="E67" s="288"/>
      <c r="F67" s="287"/>
      <c r="G67" s="383"/>
    </row>
    <row r="68" spans="1:7" s="380" customFormat="1" ht="24">
      <c r="A68" s="304" t="s">
        <v>1750</v>
      </c>
      <c r="B68" s="286">
        <f>'Sources and Uses Budget'!$C67</f>
        <v>0</v>
      </c>
      <c r="C68" s="286">
        <f>'Sources and Uses Budget'!$C67</f>
        <v>0</v>
      </c>
      <c r="D68" s="290"/>
      <c r="E68" s="288"/>
      <c r="F68" s="287"/>
      <c r="G68" s="383"/>
    </row>
    <row r="69" spans="1:7" s="380" customFormat="1">
      <c r="A69" s="304" t="s">
        <v>1756</v>
      </c>
      <c r="B69" s="286">
        <f>'Sources and Uses Budget'!$C68</f>
        <v>0</v>
      </c>
      <c r="C69" s="286">
        <f>'Sources and Uses Budget'!$C68</f>
        <v>0</v>
      </c>
      <c r="D69" s="290"/>
      <c r="E69" s="288"/>
      <c r="F69" s="287"/>
      <c r="G69" s="383"/>
    </row>
    <row r="70" spans="1:7" s="380" customFormat="1">
      <c r="A70" s="155" t="str">
        <f>'Sources and Uses Budget'!A69</f>
        <v>Interest Prioir to Conversion</v>
      </c>
      <c r="B70" s="286">
        <f>'Sources and Uses Budget'!$C69</f>
        <v>1050000</v>
      </c>
      <c r="C70" s="286">
        <f>'Sources and Uses Budget'!$C69</f>
        <v>1050000</v>
      </c>
      <c r="D70" s="290">
        <f t="shared" si="0"/>
        <v>0</v>
      </c>
      <c r="E70" s="288"/>
      <c r="F70" s="287"/>
      <c r="G70" s="383"/>
    </row>
    <row r="71" spans="1:7" s="380" customFormat="1">
      <c r="A71" s="149" t="s">
        <v>1753</v>
      </c>
      <c r="B71" s="290">
        <f>SUM(B66:B70)</f>
        <v>1133500</v>
      </c>
      <c r="C71" s="290">
        <f>SUM(C66:C70)</f>
        <v>1133500</v>
      </c>
      <c r="D71" s="290">
        <f t="shared" si="0"/>
        <v>0</v>
      </c>
      <c r="E71" s="288"/>
      <c r="F71" s="287"/>
      <c r="G71" s="383"/>
    </row>
    <row r="72" spans="1:7" s="380" customFormat="1">
      <c r="A72" s="284" t="s">
        <v>609</v>
      </c>
      <c r="B72" s="284"/>
      <c r="C72" s="284"/>
      <c r="D72" s="284"/>
      <c r="E72" s="303"/>
      <c r="F72" s="284"/>
      <c r="G72" s="383"/>
    </row>
    <row r="73" spans="1:7" s="380" customFormat="1">
      <c r="A73" s="289" t="s">
        <v>610</v>
      </c>
      <c r="B73" s="286">
        <f>'Sources and Uses Budget'!$C72</f>
        <v>0</v>
      </c>
      <c r="C73" s="286">
        <f>'Sources and Uses Budget'!$C72</f>
        <v>0</v>
      </c>
      <c r="D73" s="290">
        <f t="shared" si="0"/>
        <v>0</v>
      </c>
      <c r="E73" s="288"/>
      <c r="F73" s="287"/>
      <c r="G73" s="383"/>
    </row>
    <row r="74" spans="1:7" s="380" customFormat="1">
      <c r="A74" s="289" t="s">
        <v>611</v>
      </c>
      <c r="B74" s="286">
        <f>'Sources and Uses Budget'!$C73</f>
        <v>0</v>
      </c>
      <c r="C74" s="286">
        <f>'Sources and Uses Budget'!$C73</f>
        <v>0</v>
      </c>
      <c r="D74" s="290">
        <f t="shared" si="0"/>
        <v>0</v>
      </c>
      <c r="E74" s="288"/>
      <c r="F74" s="287"/>
      <c r="G74" s="383"/>
    </row>
    <row r="75" spans="1:7" s="380" customFormat="1">
      <c r="A75" s="309" t="s">
        <v>1004</v>
      </c>
      <c r="B75" s="286">
        <f>'Sources and Uses Budget'!$C74</f>
        <v>0</v>
      </c>
      <c r="C75" s="286">
        <f>'Sources and Uses Budget'!$C74</f>
        <v>0</v>
      </c>
      <c r="D75" s="290">
        <f t="shared" si="0"/>
        <v>0</v>
      </c>
      <c r="E75" s="288"/>
      <c r="F75" s="287"/>
      <c r="G75" s="383"/>
    </row>
    <row r="76" spans="1:7" s="380" customFormat="1">
      <c r="A76" s="289" t="s">
        <v>612</v>
      </c>
      <c r="B76" s="286">
        <f>'Sources and Uses Budget'!$C75</f>
        <v>475000</v>
      </c>
      <c r="C76" s="286">
        <f>'Sources and Uses Budget'!$C75</f>
        <v>475000</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613</v>
      </c>
      <c r="B78" s="290">
        <f>SUM(B73:B77)</f>
        <v>475000</v>
      </c>
      <c r="C78" s="290">
        <f>SUM(C73:C77)</f>
        <v>475000</v>
      </c>
      <c r="D78" s="290">
        <f t="shared" ref="D78:D106" si="1">C78-B78</f>
        <v>0</v>
      </c>
      <c r="E78" s="288"/>
      <c r="F78" s="287"/>
      <c r="G78" s="383"/>
    </row>
    <row r="79" spans="1:7" s="380" customFormat="1">
      <c r="A79" s="284" t="s">
        <v>1313</v>
      </c>
      <c r="B79" s="284"/>
      <c r="C79" s="284"/>
      <c r="D79" s="284"/>
      <c r="E79" s="303"/>
      <c r="F79" s="284"/>
      <c r="G79" s="383"/>
    </row>
    <row r="80" spans="1:7" s="380" customFormat="1">
      <c r="A80" s="544" t="s">
        <v>1315</v>
      </c>
      <c r="B80" s="286">
        <f>'Sources and Uses Budget'!$C79</f>
        <v>2219516</v>
      </c>
      <c r="C80" s="286">
        <f>'Sources and Uses Budget'!$C79</f>
        <v>2219516</v>
      </c>
      <c r="D80" s="290">
        <f t="shared" si="1"/>
        <v>0</v>
      </c>
      <c r="E80" s="288"/>
      <c r="F80" s="287"/>
      <c r="G80" s="383"/>
    </row>
    <row r="81" spans="1:7" s="380" customFormat="1">
      <c r="A81" s="544" t="s">
        <v>58</v>
      </c>
      <c r="B81" s="286">
        <f>'Sources and Uses Budget'!$C80</f>
        <v>640591</v>
      </c>
      <c r="C81" s="286">
        <f>'Sources and Uses Budget'!$C80</f>
        <v>640591</v>
      </c>
      <c r="D81" s="290">
        <f>C81-B81</f>
        <v>0</v>
      </c>
      <c r="E81" s="288"/>
      <c r="F81" s="287"/>
      <c r="G81" s="383"/>
    </row>
    <row r="82" spans="1:7" s="380" customFormat="1">
      <c r="A82" s="291" t="s">
        <v>1312</v>
      </c>
      <c r="B82" s="290">
        <f>SUM(B80:B81)</f>
        <v>2860107</v>
      </c>
      <c r="C82" s="290">
        <f>SUM(C80:C81)</f>
        <v>2860107</v>
      </c>
      <c r="D82" s="290">
        <f t="shared" si="1"/>
        <v>0</v>
      </c>
      <c r="E82" s="288"/>
      <c r="F82" s="287"/>
      <c r="G82" s="383"/>
    </row>
    <row r="83" spans="1:7" s="380" customFormat="1">
      <c r="A83" s="284" t="s">
        <v>773</v>
      </c>
      <c r="B83" s="284"/>
      <c r="C83" s="284"/>
      <c r="D83" s="284"/>
      <c r="E83" s="303"/>
      <c r="F83" s="284"/>
      <c r="G83" s="383"/>
    </row>
    <row r="84" spans="1:7" s="380" customFormat="1" ht="13.7" customHeight="1">
      <c r="A84" s="289" t="s">
        <v>774</v>
      </c>
      <c r="B84" s="286">
        <f>'Sources and Uses Budget'!$C83</f>
        <v>185000</v>
      </c>
      <c r="C84" s="286">
        <f>'Sources and Uses Budget'!$C83</f>
        <v>185000</v>
      </c>
      <c r="D84" s="290">
        <f t="shared" si="1"/>
        <v>0</v>
      </c>
      <c r="E84" s="288"/>
      <c r="F84" s="287"/>
      <c r="G84" s="383"/>
    </row>
    <row r="85" spans="1:7" s="380" customFormat="1">
      <c r="A85" s="289" t="s">
        <v>775</v>
      </c>
      <c r="B85" s="286">
        <f>'Sources and Uses Budget'!$C84</f>
        <v>65000</v>
      </c>
      <c r="C85" s="286">
        <f>'Sources and Uses Budget'!$C84</f>
        <v>65000</v>
      </c>
      <c r="D85" s="290">
        <f t="shared" si="1"/>
        <v>0</v>
      </c>
      <c r="E85" s="288"/>
      <c r="F85" s="287"/>
      <c r="G85" s="383"/>
    </row>
    <row r="86" spans="1:7" s="380" customFormat="1">
      <c r="A86" s="289" t="s">
        <v>776</v>
      </c>
      <c r="B86" s="286">
        <f>'Sources and Uses Budget'!$C85</f>
        <v>551222</v>
      </c>
      <c r="C86" s="286">
        <f>'Sources and Uses Budget'!$C85</f>
        <v>551222</v>
      </c>
      <c r="D86" s="290">
        <f t="shared" si="1"/>
        <v>0</v>
      </c>
      <c r="E86" s="288"/>
      <c r="F86" s="287"/>
      <c r="G86" s="383"/>
    </row>
    <row r="87" spans="1:7" s="380" customFormat="1">
      <c r="A87" s="289" t="s">
        <v>777</v>
      </c>
      <c r="B87" s="286">
        <f>'Sources and Uses Budget'!$C86</f>
        <v>195778</v>
      </c>
      <c r="C87" s="286">
        <f>'Sources and Uses Budget'!$C86</f>
        <v>195778</v>
      </c>
      <c r="D87" s="290">
        <f t="shared" si="1"/>
        <v>0</v>
      </c>
      <c r="E87" s="288"/>
      <c r="F87" s="287"/>
      <c r="G87" s="383"/>
    </row>
    <row r="88" spans="1:7" s="380" customFormat="1">
      <c r="A88" s="289" t="s">
        <v>778</v>
      </c>
      <c r="B88" s="286">
        <f>'Sources and Uses Budget'!$C87</f>
        <v>0</v>
      </c>
      <c r="C88" s="286">
        <f>'Sources and Uses Budget'!$C87</f>
        <v>0</v>
      </c>
      <c r="D88" s="290">
        <f t="shared" si="1"/>
        <v>0</v>
      </c>
      <c r="E88" s="288"/>
      <c r="F88" s="287"/>
      <c r="G88" s="383"/>
    </row>
    <row r="89" spans="1:7" s="380" customFormat="1">
      <c r="A89" s="289" t="s">
        <v>779</v>
      </c>
      <c r="B89" s="286">
        <f>'Sources and Uses Budget'!$C88</f>
        <v>10000</v>
      </c>
      <c r="C89" s="286">
        <f>'Sources and Uses Budget'!$C88</f>
        <v>10000</v>
      </c>
      <c r="D89" s="290">
        <f t="shared" si="1"/>
        <v>0</v>
      </c>
      <c r="E89" s="288"/>
      <c r="F89" s="287"/>
      <c r="G89" s="383"/>
    </row>
    <row r="90" spans="1:7" s="380" customFormat="1">
      <c r="A90" s="289" t="s">
        <v>780</v>
      </c>
      <c r="B90" s="286">
        <f>'Sources and Uses Budget'!$C89</f>
        <v>550000</v>
      </c>
      <c r="C90" s="286">
        <f>'Sources and Uses Budget'!$C89</f>
        <v>550000</v>
      </c>
      <c r="D90" s="290">
        <f t="shared" si="1"/>
        <v>0</v>
      </c>
      <c r="E90" s="288"/>
      <c r="F90" s="287"/>
      <c r="G90" s="383"/>
    </row>
    <row r="91" spans="1:7" s="380" customFormat="1">
      <c r="A91" s="289" t="s">
        <v>781</v>
      </c>
      <c r="B91" s="286">
        <f>'Sources and Uses Budget'!$C90</f>
        <v>8000</v>
      </c>
      <c r="C91" s="286">
        <f>'Sources and Uses Budget'!$C90</f>
        <v>8000</v>
      </c>
      <c r="D91" s="290">
        <f t="shared" si="1"/>
        <v>0</v>
      </c>
      <c r="E91" s="288"/>
      <c r="F91" s="287"/>
      <c r="G91" s="383"/>
    </row>
    <row r="92" spans="1:7" s="380" customFormat="1">
      <c r="A92" s="289" t="s">
        <v>372</v>
      </c>
      <c r="B92" s="286">
        <f>'Sources and Uses Budget'!$C91</f>
        <v>25000</v>
      </c>
      <c r="C92" s="286">
        <f>'Sources and Uses Budget'!$C91</f>
        <v>25000</v>
      </c>
      <c r="D92" s="290">
        <f t="shared" si="1"/>
        <v>0</v>
      </c>
      <c r="E92" s="288"/>
      <c r="F92" s="287"/>
      <c r="G92" s="383"/>
    </row>
    <row r="93" spans="1:7" s="380" customFormat="1">
      <c r="A93" s="544" t="s">
        <v>1314</v>
      </c>
      <c r="B93" s="286">
        <f>'Sources and Uses Budget'!$C92</f>
        <v>15000</v>
      </c>
      <c r="C93" s="286">
        <f>'Sources and Uses Budget'!$C92</f>
        <v>15000</v>
      </c>
      <c r="D93" s="290">
        <f t="shared" si="1"/>
        <v>0</v>
      </c>
      <c r="E93" s="288"/>
      <c r="F93" s="287"/>
      <c r="G93" s="383"/>
    </row>
    <row r="94" spans="1:7" s="380" customFormat="1">
      <c r="A94" s="292" t="s">
        <v>34</v>
      </c>
      <c r="B94" s="286">
        <f>'Sources and Uses Budget'!$C93</f>
        <v>125000</v>
      </c>
      <c r="C94" s="286">
        <f>'Sources and Uses Budget'!$C93</f>
        <v>125000</v>
      </c>
      <c r="D94" s="290">
        <f t="shared" si="1"/>
        <v>0</v>
      </c>
      <c r="E94" s="288"/>
      <c r="F94" s="287"/>
      <c r="G94" s="383"/>
    </row>
    <row r="95" spans="1:7" s="380" customFormat="1">
      <c r="A95" s="292" t="s">
        <v>34</v>
      </c>
      <c r="B95" s="286">
        <f>'Sources and Uses Budget'!$C94</f>
        <v>100000</v>
      </c>
      <c r="C95" s="286">
        <f>'Sources and Uses Budget'!$C94</f>
        <v>100000</v>
      </c>
      <c r="D95" s="290">
        <f t="shared" si="1"/>
        <v>0</v>
      </c>
      <c r="E95" s="288"/>
      <c r="F95" s="287"/>
      <c r="G95" s="383"/>
    </row>
    <row r="96" spans="1:7" s="380" customFormat="1">
      <c r="A96" s="292" t="s">
        <v>34</v>
      </c>
      <c r="B96" s="286">
        <f>'Sources and Uses Budget'!$C95</f>
        <v>103010</v>
      </c>
      <c r="C96" s="286">
        <f>'Sources and Uses Budget'!$C95</f>
        <v>103010</v>
      </c>
      <c r="D96" s="290">
        <f t="shared" si="1"/>
        <v>0</v>
      </c>
      <c r="E96" s="288"/>
      <c r="F96" s="287"/>
      <c r="G96" s="383"/>
    </row>
    <row r="97" spans="1:7" s="380" customFormat="1">
      <c r="A97" s="291" t="s">
        <v>782</v>
      </c>
      <c r="B97" s="290">
        <f>SUM(B84:B96)</f>
        <v>1933010</v>
      </c>
      <c r="C97" s="290">
        <f>SUM(C84:C96)</f>
        <v>1933010</v>
      </c>
      <c r="D97" s="290">
        <f t="shared" si="1"/>
        <v>0</v>
      </c>
      <c r="E97" s="288"/>
      <c r="F97" s="287"/>
      <c r="G97" s="383"/>
    </row>
    <row r="98" spans="1:7" s="380" customFormat="1">
      <c r="A98" s="291" t="s">
        <v>783</v>
      </c>
      <c r="B98" s="290">
        <f>SUM(B64+B71+B78+B82+B97)</f>
        <v>61114097</v>
      </c>
      <c r="C98" s="290">
        <f>SUM(C64+C71+C78+C82+C97)</f>
        <v>61114097</v>
      </c>
      <c r="D98" s="290">
        <f t="shared" si="1"/>
        <v>0</v>
      </c>
      <c r="E98" s="288"/>
      <c r="F98" s="287"/>
      <c r="G98" s="383"/>
    </row>
    <row r="99" spans="1:7" s="380" customFormat="1">
      <c r="A99" s="284" t="s">
        <v>784</v>
      </c>
      <c r="B99" s="284"/>
      <c r="C99" s="284"/>
      <c r="D99" s="284"/>
      <c r="E99" s="303"/>
      <c r="F99" s="284"/>
      <c r="G99" s="383"/>
    </row>
    <row r="100" spans="1:7" s="380" customFormat="1">
      <c r="A100" s="145" t="s">
        <v>785</v>
      </c>
      <c r="B100" s="286">
        <f>'Sources and Uses Budget'!$C99</f>
        <v>7518679</v>
      </c>
      <c r="C100" s="286">
        <f>'Sources and Uses Budget'!$C99</f>
        <v>7518679</v>
      </c>
      <c r="D100" s="290">
        <f t="shared" si="1"/>
        <v>0</v>
      </c>
      <c r="E100" s="288"/>
      <c r="F100" s="287"/>
      <c r="G100" s="383"/>
    </row>
    <row r="101" spans="1:7" s="380" customFormat="1">
      <c r="A101" s="304" t="s">
        <v>1754</v>
      </c>
      <c r="B101" s="286">
        <f>'Sources and Uses Budget'!$C100</f>
        <v>0</v>
      </c>
      <c r="C101" s="286">
        <f>'Sources and Uses Budget'!$C100</f>
        <v>0</v>
      </c>
      <c r="D101" s="290">
        <f t="shared" si="1"/>
        <v>0</v>
      </c>
      <c r="E101" s="288"/>
      <c r="F101" s="287"/>
      <c r="G101" s="383"/>
    </row>
    <row r="102" spans="1:7" s="380" customFormat="1">
      <c r="A102" s="145" t="s">
        <v>786</v>
      </c>
      <c r="B102" s="286">
        <f>'Sources and Uses Budget'!$C101</f>
        <v>0</v>
      </c>
      <c r="C102" s="286">
        <f>'Sources and Uses Budget'!$C101</f>
        <v>0</v>
      </c>
      <c r="D102" s="290">
        <f t="shared" si="1"/>
        <v>0</v>
      </c>
      <c r="E102" s="288"/>
      <c r="F102" s="287"/>
      <c r="G102" s="383"/>
    </row>
    <row r="103" spans="1:7" s="380" customFormat="1" ht="12" customHeight="1">
      <c r="A103" s="304" t="s">
        <v>1755</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787</v>
      </c>
      <c r="B105" s="290">
        <f>SUM(B100:B104)</f>
        <v>7518679</v>
      </c>
      <c r="C105" s="290">
        <f>SUM(C100:C104)</f>
        <v>7518679</v>
      </c>
      <c r="D105" s="290">
        <f t="shared" si="1"/>
        <v>0</v>
      </c>
      <c r="E105" s="288"/>
      <c r="F105" s="287"/>
      <c r="G105" s="383"/>
    </row>
    <row r="106" spans="1:7" s="380" customFormat="1">
      <c r="A106" s="291" t="s">
        <v>788</v>
      </c>
      <c r="B106" s="293">
        <f>SUM(B98+B105)</f>
        <v>68632776</v>
      </c>
      <c r="C106" s="293">
        <f>SUM(C98+C105)</f>
        <v>68632776</v>
      </c>
      <c r="D106" s="290">
        <f t="shared" si="1"/>
        <v>0</v>
      </c>
      <c r="E106" s="288"/>
      <c r="F106" s="287"/>
      <c r="G106" s="383"/>
    </row>
    <row r="107" spans="1:7" s="380" customFormat="1">
      <c r="A107" s="298" t="s">
        <v>789</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5" t="s">
        <v>1065</v>
      </c>
      <c r="B2" s="1305"/>
      <c r="C2" s="1269"/>
      <c r="D2" s="1269"/>
      <c r="E2" s="1269"/>
      <c r="F2" s="1269"/>
      <c r="G2" s="1269"/>
    </row>
    <row r="3" spans="1:9" s="173" customFormat="1">
      <c r="A3" s="1305" t="s">
        <v>1006</v>
      </c>
      <c r="B3" s="1305"/>
      <c r="C3" s="1269"/>
      <c r="D3" s="1269"/>
      <c r="E3" s="1269"/>
      <c r="F3" s="1269"/>
      <c r="G3" s="1269"/>
      <c r="I3" t="s">
        <v>307</v>
      </c>
    </row>
    <row r="4" spans="1:9">
      <c r="I4" s="3" t="s">
        <v>1066</v>
      </c>
    </row>
    <row r="5" spans="1:9">
      <c r="A5" s="1307" t="s">
        <v>1007</v>
      </c>
      <c r="B5" s="1307"/>
      <c r="C5" s="1269"/>
      <c r="D5" s="1269"/>
      <c r="E5" s="1269"/>
      <c r="F5" s="1269"/>
      <c r="G5" s="1269"/>
      <c r="I5" s="3" t="s">
        <v>1067</v>
      </c>
    </row>
    <row r="6" spans="1:9">
      <c r="A6" s="1307" t="s">
        <v>827</v>
      </c>
      <c r="B6" s="1307"/>
      <c r="C6" s="1269"/>
      <c r="D6" s="1269"/>
      <c r="E6" s="1269"/>
      <c r="F6" s="1269"/>
      <c r="G6" s="1269"/>
      <c r="I6" t="s">
        <v>598</v>
      </c>
    </row>
    <row r="7" spans="1:9" ht="11.85" customHeight="1"/>
    <row r="8" spans="1:9">
      <c r="A8" s="1305" t="s">
        <v>1162</v>
      </c>
      <c r="B8" s="1305"/>
      <c r="C8" s="1306"/>
      <c r="D8" s="1306"/>
      <c r="E8" s="1306"/>
      <c r="F8" s="1306"/>
      <c r="G8" s="1306"/>
    </row>
    <row r="9" spans="1:9">
      <c r="A9" s="1305" t="s">
        <v>1163</v>
      </c>
      <c r="B9" s="1305"/>
      <c r="C9" s="1306"/>
      <c r="D9" s="1306"/>
      <c r="E9" s="1306"/>
      <c r="F9" s="1306"/>
      <c r="G9" s="1306"/>
    </row>
    <row r="10" spans="1:9">
      <c r="A10" s="174"/>
      <c r="B10" s="174"/>
      <c r="C10" s="172"/>
      <c r="D10" s="172"/>
      <c r="E10" s="172"/>
      <c r="F10" s="172"/>
    </row>
    <row r="11" spans="1:9">
      <c r="A11" s="1288" t="s">
        <v>1165</v>
      </c>
      <c r="B11" s="1288"/>
      <c r="C11" s="1288"/>
      <c r="D11" s="1288"/>
      <c r="E11" s="1288"/>
      <c r="F11" s="1288"/>
      <c r="G11" s="1288"/>
    </row>
    <row r="12" spans="1:9">
      <c r="A12" s="172"/>
      <c r="B12" s="172"/>
      <c r="E12" s="2"/>
    </row>
    <row r="13" spans="1:9" ht="13.15" customHeight="1">
      <c r="C13" s="172"/>
      <c r="D13" s="1290" t="s">
        <v>1164</v>
      </c>
      <c r="E13" s="1290"/>
      <c r="F13" s="1290"/>
    </row>
    <row r="14" spans="1:9">
      <c r="C14" s="172"/>
      <c r="D14" s="1290"/>
      <c r="E14" s="1290"/>
      <c r="F14" s="1290"/>
    </row>
    <row r="15" spans="1:9">
      <c r="A15" s="175"/>
      <c r="B15" s="175"/>
      <c r="C15" s="175"/>
      <c r="D15" s="1287" t="s">
        <v>1147</v>
      </c>
      <c r="E15" s="1287"/>
      <c r="F15" s="1287"/>
    </row>
    <row r="16" spans="1:9">
      <c r="A16" s="175"/>
      <c r="B16" s="175"/>
      <c r="C16" s="175"/>
      <c r="D16" s="218"/>
    </row>
    <row r="17" spans="1:6" ht="14.25">
      <c r="A17" s="176"/>
      <c r="B17" s="468" t="s">
        <v>307</v>
      </c>
      <c r="C17" s="175"/>
      <c r="D17" s="1267" t="s">
        <v>1148</v>
      </c>
      <c r="E17" s="1267"/>
      <c r="F17" s="1267"/>
    </row>
    <row r="18" spans="1:6">
      <c r="A18" s="175"/>
      <c r="B18" s="175"/>
      <c r="C18" s="175"/>
      <c r="D18" s="1267"/>
      <c r="E18" s="1267"/>
      <c r="F18" s="1267"/>
    </row>
    <row r="19" spans="1:6">
      <c r="A19" s="175"/>
      <c r="B19" s="175"/>
      <c r="C19" s="175"/>
      <c r="D19" s="1267"/>
      <c r="E19" s="1267"/>
      <c r="F19" s="1267"/>
    </row>
    <row r="20" spans="1:6">
      <c r="A20" s="175"/>
      <c r="B20" s="175"/>
      <c r="C20" s="175"/>
    </row>
    <row r="21" spans="1:6" ht="14.25">
      <c r="A21" s="176"/>
      <c r="B21" s="468" t="s">
        <v>307</v>
      </c>
      <c r="D21" s="1291" t="s">
        <v>1149</v>
      </c>
      <c r="E21" s="1291"/>
      <c r="F21" s="1291"/>
    </row>
    <row r="22" spans="1:6" ht="14.25">
      <c r="A22" s="176"/>
      <c r="B22" s="176"/>
      <c r="D22" s="35"/>
    </row>
    <row r="23" spans="1:6" ht="14.25">
      <c r="A23" s="176"/>
      <c r="B23" s="468" t="s">
        <v>307</v>
      </c>
      <c r="D23" s="1267" t="s">
        <v>1150</v>
      </c>
      <c r="E23" s="1267"/>
      <c r="F23" s="1267"/>
    </row>
    <row r="24" spans="1:6" ht="14.25">
      <c r="A24" s="176"/>
      <c r="B24" s="176"/>
      <c r="D24" s="1267"/>
      <c r="E24" s="1267"/>
      <c r="F24" s="1267"/>
    </row>
    <row r="25" spans="1:6"/>
    <row r="26" spans="1:6" ht="14.25">
      <c r="A26" s="176"/>
      <c r="B26" s="468" t="s">
        <v>307</v>
      </c>
      <c r="D26" s="1267" t="s">
        <v>1151</v>
      </c>
      <c r="E26" s="1267"/>
      <c r="F26" s="1267"/>
    </row>
    <row r="27" spans="1:6">
      <c r="D27" s="1267"/>
      <c r="E27" s="1267"/>
      <c r="F27" s="1267"/>
    </row>
    <row r="28" spans="1:6">
      <c r="D28" s="1267"/>
      <c r="E28" s="1267"/>
      <c r="F28" s="1267"/>
    </row>
    <row r="29" spans="1:6">
      <c r="D29" s="1267"/>
      <c r="E29" s="1267"/>
      <c r="F29" s="1267"/>
    </row>
    <row r="30" spans="1:6">
      <c r="D30" s="1267"/>
      <c r="E30" s="1267"/>
      <c r="F30" s="1267"/>
    </row>
    <row r="31" spans="1:6">
      <c r="D31" s="220"/>
    </row>
    <row r="32" spans="1:6">
      <c r="B32" s="468" t="s">
        <v>307</v>
      </c>
      <c r="D32" s="1267" t="s">
        <v>1152</v>
      </c>
      <c r="E32" s="1267"/>
      <c r="F32" s="1267"/>
    </row>
    <row r="33" spans="1:6">
      <c r="D33" s="1267"/>
      <c r="E33" s="1267"/>
      <c r="F33" s="1267"/>
    </row>
    <row r="34" spans="1:6" ht="14.25">
      <c r="A34" s="176"/>
      <c r="B34" s="176"/>
      <c r="D34" s="220"/>
    </row>
    <row r="35" spans="1:6" ht="14.45" customHeight="1">
      <c r="A35" s="176"/>
      <c r="B35" s="468" t="s">
        <v>307</v>
      </c>
      <c r="D35" s="1267" t="s">
        <v>1153</v>
      </c>
      <c r="E35" s="1267"/>
      <c r="F35" s="1267"/>
    </row>
    <row r="36" spans="1:6" ht="14.25">
      <c r="A36" s="176"/>
      <c r="B36" s="176"/>
      <c r="D36" s="1267"/>
      <c r="E36" s="1267"/>
      <c r="F36" s="1267"/>
    </row>
    <row r="37" spans="1:6" ht="14.25">
      <c r="A37" s="176"/>
      <c r="B37" s="176"/>
      <c r="D37" s="1267"/>
      <c r="E37" s="1267"/>
      <c r="F37" s="1267"/>
    </row>
    <row r="38" spans="1:6" ht="14.25">
      <c r="A38" s="176"/>
      <c r="B38" s="176"/>
      <c r="D38"/>
    </row>
    <row r="39" spans="1:6" ht="14.25">
      <c r="A39" s="176"/>
      <c r="B39" s="468" t="s">
        <v>307</v>
      </c>
      <c r="D39" s="1267" t="s">
        <v>1154</v>
      </c>
      <c r="E39" s="1267"/>
      <c r="F39" s="1267"/>
    </row>
    <row r="40" spans="1:6" ht="14.25">
      <c r="A40" s="176"/>
      <c r="B40" s="176"/>
      <c r="D40" s="1267"/>
      <c r="E40" s="1267"/>
      <c r="F40" s="1267"/>
    </row>
    <row r="41" spans="1:6" ht="14.25">
      <c r="A41" s="176"/>
      <c r="B41" s="176"/>
      <c r="D41" s="1267"/>
      <c r="E41" s="1267"/>
      <c r="F41" s="1267"/>
    </row>
    <row r="42" spans="1:6" ht="14.25">
      <c r="A42" s="176"/>
      <c r="B42" s="176"/>
      <c r="D42" s="1267"/>
      <c r="E42" s="1267"/>
      <c r="F42" s="1267"/>
    </row>
    <row r="43" spans="1:6" ht="14.25">
      <c r="A43" s="176"/>
      <c r="B43" s="176"/>
      <c r="D43" s="1267"/>
      <c r="E43" s="1267"/>
      <c r="F43" s="1267"/>
    </row>
    <row r="44" spans="1:6" ht="14.25">
      <c r="A44" s="176"/>
      <c r="B44" s="176"/>
      <c r="D44" s="474"/>
      <c r="E44" s="474"/>
      <c r="F44" s="474"/>
    </row>
    <row r="45" spans="1:6" ht="14.25">
      <c r="A45" s="176"/>
      <c r="B45" s="468" t="s">
        <v>307</v>
      </c>
      <c r="D45" s="1267" t="s">
        <v>1155</v>
      </c>
      <c r="E45" s="1267"/>
      <c r="F45" s="1267"/>
    </row>
    <row r="46" spans="1:6" ht="14.25">
      <c r="A46" s="176"/>
      <c r="B46" s="176"/>
      <c r="D46" s="1267"/>
      <c r="E46" s="1267"/>
      <c r="F46" s="1267"/>
    </row>
    <row r="47" spans="1:6" ht="14.25">
      <c r="A47" s="176"/>
      <c r="B47" s="176"/>
      <c r="D47" s="1267"/>
      <c r="E47" s="1267"/>
      <c r="F47" s="1267"/>
    </row>
    <row r="48" spans="1:6" ht="23.25" customHeight="1">
      <c r="A48" s="176"/>
      <c r="B48" s="176"/>
      <c r="D48" s="1267"/>
      <c r="E48" s="1267"/>
      <c r="F48" s="1267"/>
    </row>
    <row r="49" spans="1:7" ht="14.25">
      <c r="A49" s="176"/>
      <c r="B49" s="176"/>
      <c r="D49" s="35"/>
    </row>
    <row r="50" spans="1:7" ht="14.45" customHeight="1">
      <c r="A50" s="176"/>
      <c r="B50" s="468" t="s">
        <v>307</v>
      </c>
      <c r="D50" s="1267" t="s">
        <v>1156</v>
      </c>
      <c r="E50" s="1267"/>
      <c r="F50" s="1267"/>
    </row>
    <row r="51" spans="1:7" ht="14.25">
      <c r="A51" s="176"/>
      <c r="B51" s="176"/>
      <c r="D51" s="1267"/>
      <c r="E51" s="1267"/>
      <c r="F51" s="1267"/>
    </row>
    <row r="52" spans="1:7" ht="14.25">
      <c r="A52" s="176"/>
      <c r="B52" s="176"/>
      <c r="D52" s="1267"/>
      <c r="E52" s="1267"/>
      <c r="F52" s="1267"/>
    </row>
    <row r="53" spans="1:7" ht="14.25">
      <c r="A53" s="176"/>
      <c r="B53" s="176"/>
      <c r="C53" s="385"/>
      <c r="D53" s="3"/>
      <c r="E53" s="3"/>
      <c r="F53" s="3"/>
      <c r="G53" s="3"/>
    </row>
    <row r="54" spans="1:7" ht="14.25">
      <c r="A54" s="176"/>
      <c r="B54" s="468" t="s">
        <v>307</v>
      </c>
      <c r="C54" s="385"/>
      <c r="D54" s="1267" t="s">
        <v>1157</v>
      </c>
      <c r="E54" s="1267"/>
      <c r="F54" s="1267"/>
      <c r="G54" s="3"/>
    </row>
    <row r="55" spans="1:7" ht="14.25">
      <c r="A55" s="176"/>
      <c r="B55" s="176"/>
      <c r="C55" s="385"/>
      <c r="D55" s="1267"/>
      <c r="E55" s="1267"/>
      <c r="F55" s="1267"/>
      <c r="G55" s="3"/>
    </row>
    <row r="56" spans="1:7">
      <c r="D56" s="220"/>
    </row>
    <row r="57" spans="1:7" ht="14.25">
      <c r="A57" s="176"/>
      <c r="B57" s="468" t="s">
        <v>307</v>
      </c>
      <c r="D57" s="1267" t="s">
        <v>1158</v>
      </c>
      <c r="E57" s="1267"/>
      <c r="F57" s="1267"/>
    </row>
    <row r="58" spans="1:7">
      <c r="D58" s="1267"/>
      <c r="E58" s="1267"/>
      <c r="F58" s="1267"/>
    </row>
    <row r="59" spans="1:7">
      <c r="D59" s="1267"/>
      <c r="E59" s="1267"/>
      <c r="F59" s="1267"/>
    </row>
    <row r="60" spans="1:7">
      <c r="D60" s="3"/>
    </row>
    <row r="61" spans="1:7" ht="14.25">
      <c r="A61" s="176"/>
      <c r="B61" s="468" t="s">
        <v>307</v>
      </c>
      <c r="D61" s="1267" t="s">
        <v>1159</v>
      </c>
      <c r="E61" s="1267"/>
      <c r="F61" s="1267"/>
    </row>
    <row r="62" spans="1:7">
      <c r="D62" s="1267"/>
      <c r="E62" s="1267"/>
      <c r="F62" s="1267"/>
    </row>
    <row r="63" spans="1:7"/>
    <row r="64" spans="1:7" ht="14.25">
      <c r="A64" s="176"/>
      <c r="B64" s="468" t="s">
        <v>307</v>
      </c>
      <c r="D64" s="1267" t="s">
        <v>1160</v>
      </c>
      <c r="E64" s="1267"/>
      <c r="F64" s="1267"/>
    </row>
    <row r="65" spans="1:7">
      <c r="D65" s="1267"/>
      <c r="E65" s="1267"/>
      <c r="F65" s="1267"/>
    </row>
    <row r="66" spans="1:7">
      <c r="D66" s="1267"/>
      <c r="E66" s="1267"/>
      <c r="F66" s="1267"/>
    </row>
    <row r="67" spans="1:7">
      <c r="D67"/>
    </row>
    <row r="68" spans="1:7" ht="14.25">
      <c r="A68" s="176"/>
      <c r="B68" s="468" t="s">
        <v>307</v>
      </c>
      <c r="D68" s="1267" t="s">
        <v>1161</v>
      </c>
      <c r="E68" s="1267"/>
      <c r="F68" s="1267"/>
    </row>
    <row r="69" spans="1:7">
      <c r="D69" s="1267"/>
      <c r="E69" s="1267"/>
      <c r="F69" s="1267"/>
    </row>
    <row r="70" spans="1:7" ht="14.25">
      <c r="A70" s="176"/>
      <c r="B70" s="176"/>
      <c r="D70" s="35"/>
    </row>
    <row r="71" spans="1:7">
      <c r="A71" s="1288" t="s">
        <v>1068</v>
      </c>
      <c r="B71" s="1288"/>
      <c r="C71" s="1288"/>
      <c r="D71" s="1288"/>
      <c r="E71" s="1288"/>
      <c r="F71" s="1288"/>
      <c r="G71" s="1288"/>
    </row>
    <row r="72" spans="1:7"/>
    <row r="73" spans="1:7">
      <c r="C73" s="177"/>
      <c r="D73" s="1299" t="s">
        <v>1166</v>
      </c>
      <c r="E73" s="1299"/>
      <c r="F73" s="1299"/>
    </row>
    <row r="74" spans="1:7">
      <c r="A74" s="35"/>
      <c r="B74" s="35"/>
      <c r="D74" s="1267" t="s">
        <v>1193</v>
      </c>
      <c r="E74" s="1267"/>
      <c r="F74" s="1267"/>
    </row>
    <row r="75" spans="1:7">
      <c r="A75" s="35"/>
      <c r="B75" s="35"/>
    </row>
    <row r="76" spans="1:7" ht="14.25">
      <c r="A76" s="176"/>
      <c r="B76" s="468" t="s">
        <v>307</v>
      </c>
      <c r="D76" s="1267" t="s">
        <v>1167</v>
      </c>
      <c r="E76" s="1267"/>
      <c r="F76" s="1267"/>
    </row>
    <row r="77" spans="1:7" ht="14.25">
      <c r="A77" s="176"/>
      <c r="B77" s="176"/>
      <c r="D77" s="1267"/>
      <c r="E77" s="1267"/>
      <c r="F77" s="1267"/>
    </row>
    <row r="78" spans="1:7" ht="14.25">
      <c r="A78" s="176"/>
      <c r="B78" s="176"/>
      <c r="D78" s="1267"/>
      <c r="E78" s="1267"/>
      <c r="F78" s="1267"/>
    </row>
    <row r="79" spans="1:7" ht="14.25">
      <c r="A79" s="176"/>
      <c r="B79" s="176"/>
      <c r="D79" s="1267"/>
      <c r="E79" s="1267"/>
      <c r="F79" s="1267"/>
    </row>
    <row r="80" spans="1:7" ht="14.25">
      <c r="A80" s="176"/>
      <c r="B80" s="176"/>
      <c r="D80" s="1267"/>
      <c r="E80" s="1267"/>
      <c r="F80" s="1267"/>
    </row>
    <row r="81" spans="1:6" ht="14.25">
      <c r="A81" s="176"/>
      <c r="B81" s="176"/>
      <c r="D81" s="1267"/>
      <c r="E81" s="1267"/>
      <c r="F81" s="1267"/>
    </row>
    <row r="82" spans="1:6" ht="14.25">
      <c r="A82" s="176"/>
      <c r="B82" s="176"/>
      <c r="D82" s="474"/>
      <c r="E82" s="474"/>
      <c r="F82" s="474"/>
    </row>
    <row r="83" spans="1:6" ht="14.45" customHeight="1">
      <c r="A83" s="176"/>
      <c r="B83" s="468" t="s">
        <v>307</v>
      </c>
      <c r="D83" s="1270" t="s">
        <v>1266</v>
      </c>
      <c r="E83" s="1270"/>
      <c r="F83" s="1270"/>
    </row>
    <row r="84" spans="1:6" ht="14.25">
      <c r="A84" s="176"/>
      <c r="B84" s="176"/>
      <c r="D84" s="1270"/>
      <c r="E84" s="1270"/>
      <c r="F84" s="1270"/>
    </row>
    <row r="85" spans="1:6" ht="14.25">
      <c r="A85" s="176"/>
      <c r="B85" s="176"/>
      <c r="D85" s="1270"/>
      <c r="E85" s="1270"/>
      <c r="F85" s="1270"/>
    </row>
    <row r="86" spans="1:6" ht="14.25">
      <c r="A86" s="176"/>
      <c r="B86" s="176"/>
      <c r="D86" s="1270"/>
      <c r="E86" s="1270"/>
      <c r="F86" s="1270"/>
    </row>
    <row r="87" spans="1:6" ht="14.25">
      <c r="A87" s="176"/>
      <c r="B87" s="176"/>
      <c r="D87" s="1270"/>
      <c r="E87" s="1270"/>
      <c r="F87" s="1270"/>
    </row>
    <row r="88" spans="1:6" ht="14.25">
      <c r="A88" s="176"/>
      <c r="B88" s="176"/>
      <c r="D88" s="1270"/>
      <c r="E88" s="1270"/>
      <c r="F88" s="1270"/>
    </row>
    <row r="89" spans="1:6" ht="14.25">
      <c r="A89" s="176"/>
      <c r="B89" s="176"/>
      <c r="D89" s="1270"/>
      <c r="E89" s="1270"/>
      <c r="F89" s="1270"/>
    </row>
    <row r="90" spans="1:6" ht="14.25">
      <c r="A90" s="176"/>
      <c r="B90" s="176"/>
      <c r="D90" s="1270"/>
      <c r="E90" s="1270"/>
      <c r="F90" s="1270"/>
    </row>
    <row r="91" spans="1:6" ht="14.25">
      <c r="A91" s="176"/>
      <c r="B91" s="176"/>
      <c r="D91" s="1270"/>
      <c r="E91" s="1270"/>
      <c r="F91" s="1270"/>
    </row>
    <row r="92" spans="1:6" ht="14.25">
      <c r="A92" s="176"/>
      <c r="B92" s="176"/>
      <c r="D92" s="1270"/>
      <c r="E92" s="1270"/>
      <c r="F92" s="1270"/>
    </row>
    <row r="93" spans="1:6" ht="14.25">
      <c r="A93" s="176"/>
      <c r="B93" s="176"/>
      <c r="D93" s="1270"/>
      <c r="E93" s="1270"/>
      <c r="F93" s="1270"/>
    </row>
    <row r="94" spans="1:6" ht="14.25">
      <c r="A94" s="176"/>
      <c r="B94" s="176"/>
      <c r="D94" s="1270"/>
      <c r="E94" s="1270"/>
      <c r="F94" s="1270"/>
    </row>
    <row r="95" spans="1:6" ht="14.25">
      <c r="A95" s="176"/>
      <c r="B95" s="176"/>
      <c r="D95" s="1270"/>
      <c r="E95" s="1270"/>
      <c r="F95" s="1270"/>
    </row>
    <row r="96" spans="1:6" ht="14.25">
      <c r="A96" s="176"/>
      <c r="B96" s="176"/>
      <c r="D96" s="1270"/>
      <c r="E96" s="1270"/>
      <c r="F96" s="1270"/>
    </row>
    <row r="97" spans="1:11" ht="14.25">
      <c r="A97" s="176"/>
      <c r="B97" s="468" t="s">
        <v>307</v>
      </c>
      <c r="D97" s="1267" t="s">
        <v>1168</v>
      </c>
      <c r="E97" s="1267"/>
      <c r="F97" s="1267"/>
    </row>
    <row r="98" spans="1:11" ht="14.25">
      <c r="A98" s="176"/>
      <c r="B98" s="176"/>
      <c r="D98" s="1267"/>
      <c r="E98" s="1267"/>
      <c r="F98" s="1267"/>
    </row>
    <row r="99" spans="1:11" ht="14.25">
      <c r="A99" s="176"/>
      <c r="B99" s="176"/>
      <c r="D99" s="1267"/>
      <c r="E99" s="1267"/>
      <c r="F99" s="1267"/>
    </row>
    <row r="100" spans="1:11" ht="14.25">
      <c r="A100" s="176"/>
      <c r="B100" s="176"/>
      <c r="D100" s="1267"/>
      <c r="E100" s="1267"/>
      <c r="F100" s="1267"/>
    </row>
    <row r="101" spans="1:11" ht="14.25">
      <c r="A101" s="176"/>
      <c r="B101" s="176"/>
      <c r="D101" s="1267"/>
      <c r="E101" s="1267"/>
      <c r="F101" s="1267"/>
    </row>
    <row r="102" spans="1:11" ht="14.25">
      <c r="A102" s="176"/>
      <c r="B102" s="176"/>
      <c r="D102" s="1267"/>
      <c r="E102" s="1267"/>
      <c r="F102" s="1267"/>
    </row>
    <row r="103" spans="1:11" ht="14.25">
      <c r="A103" s="176"/>
      <c r="B103" s="176"/>
      <c r="D103" s="1267"/>
      <c r="E103" s="1267"/>
      <c r="F103" s="1267"/>
    </row>
    <row r="104" spans="1:11" ht="14.25">
      <c r="A104" s="176"/>
      <c r="B104" s="176"/>
      <c r="D104" s="1267"/>
      <c r="E104" s="1267"/>
      <c r="F104" s="1267"/>
    </row>
    <row r="105" spans="1:11" ht="14.25">
      <c r="A105" s="176"/>
      <c r="B105" s="176"/>
      <c r="D105" s="474"/>
      <c r="E105" s="474"/>
      <c r="F105" s="474"/>
    </row>
    <row r="106" spans="1:11" ht="14.25">
      <c r="A106" s="176"/>
      <c r="B106" s="468" t="s">
        <v>307</v>
      </c>
      <c r="C106" s="179"/>
      <c r="D106" s="1308" t="s">
        <v>1169</v>
      </c>
      <c r="E106" s="1308"/>
      <c r="F106" s="1308"/>
      <c r="G106" s="183"/>
      <c r="H106" s="181"/>
      <c r="I106" s="181"/>
      <c r="J106" s="181"/>
      <c r="K106" s="181"/>
    </row>
    <row r="107" spans="1:11" ht="14.25">
      <c r="A107" s="176"/>
      <c r="B107" s="176"/>
      <c r="C107" s="179"/>
      <c r="D107" s="1308"/>
      <c r="E107" s="1308"/>
      <c r="F107" s="1308"/>
      <c r="G107" s="183"/>
      <c r="H107" s="181"/>
      <c r="I107" s="181"/>
      <c r="J107" s="181"/>
      <c r="K107" s="181"/>
    </row>
    <row r="108" spans="1:11" ht="14.25">
      <c r="A108" s="176"/>
      <c r="B108" s="176"/>
      <c r="C108" s="179"/>
      <c r="D108" s="1308"/>
      <c r="E108" s="1308"/>
      <c r="F108" s="1308"/>
      <c r="G108" s="183"/>
      <c r="H108" s="181"/>
      <c r="I108" s="181"/>
      <c r="J108" s="181"/>
      <c r="K108" s="181"/>
    </row>
    <row r="109" spans="1:11" ht="14.25">
      <c r="A109" s="176"/>
      <c r="B109" s="176"/>
      <c r="C109" s="179"/>
      <c r="D109" s="1308"/>
      <c r="E109" s="1308"/>
      <c r="F109" s="1308"/>
      <c r="G109" s="183"/>
      <c r="H109" s="181"/>
      <c r="I109" s="181"/>
      <c r="J109" s="181"/>
      <c r="K109" s="181"/>
    </row>
    <row r="110" spans="1:11" ht="14.25">
      <c r="A110" s="176"/>
      <c r="B110" s="176"/>
      <c r="C110" s="179"/>
      <c r="D110" s="1308"/>
      <c r="E110" s="1308"/>
      <c r="F110" s="1308"/>
      <c r="G110" s="183"/>
      <c r="H110" s="181"/>
      <c r="I110" s="181"/>
      <c r="J110" s="181"/>
      <c r="K110" s="181"/>
    </row>
    <row r="111" spans="1:11">
      <c r="C111"/>
      <c r="D111" s="1308"/>
      <c r="E111" s="1308"/>
      <c r="F111" s="1308"/>
      <c r="G111"/>
    </row>
    <row r="112" spans="1:11">
      <c r="C112"/>
      <c r="D112" s="1308"/>
      <c r="E112" s="1308"/>
      <c r="F112" s="1308"/>
      <c r="G112"/>
    </row>
    <row r="113" spans="1:7">
      <c r="C113"/>
      <c r="D113" s="330"/>
      <c r="E113"/>
      <c r="F113"/>
      <c r="G113"/>
    </row>
    <row r="114" spans="1:7" ht="14.25">
      <c r="A114" s="176"/>
      <c r="B114" s="468" t="s">
        <v>307</v>
      </c>
      <c r="C114"/>
      <c r="D114" s="1309" t="s">
        <v>1170</v>
      </c>
      <c r="E114" s="1309"/>
      <c r="F114" s="1309"/>
      <c r="G114"/>
    </row>
    <row r="115" spans="1:7" ht="14.25">
      <c r="A115" s="176"/>
      <c r="B115" s="176"/>
      <c r="C115"/>
      <c r="D115" s="1309"/>
      <c r="E115" s="1309"/>
      <c r="F115" s="1309"/>
      <c r="G115"/>
    </row>
    <row r="116" spans="1:7"/>
    <row r="117" spans="1:7" ht="14.25">
      <c r="A117" s="176"/>
      <c r="B117" s="468" t="s">
        <v>307</v>
      </c>
      <c r="D117" s="1267" t="s">
        <v>1171</v>
      </c>
      <c r="E117" s="1267"/>
      <c r="F117" s="1267"/>
    </row>
    <row r="118" spans="1:7">
      <c r="D118" s="1267"/>
      <c r="E118" s="1267"/>
      <c r="F118" s="1267"/>
    </row>
    <row r="119" spans="1:7">
      <c r="D119" s="1267"/>
      <c r="E119" s="1267"/>
      <c r="F119" s="1267"/>
    </row>
    <row r="120" spans="1:7">
      <c r="D120" s="1267"/>
      <c r="E120" s="1267"/>
      <c r="F120" s="1267"/>
    </row>
    <row r="121" spans="1:7">
      <c r="D121" s="1267"/>
      <c r="E121" s="1267"/>
      <c r="F121" s="1267"/>
    </row>
    <row r="122" spans="1:7"/>
    <row r="123" spans="1:7" ht="14.25">
      <c r="A123" s="176"/>
      <c r="B123" s="468" t="s">
        <v>307</v>
      </c>
      <c r="D123" s="1267" t="s">
        <v>1172</v>
      </c>
      <c r="E123" s="1267"/>
      <c r="F123" s="1267"/>
    </row>
    <row r="124" spans="1:7" s="197" customFormat="1" ht="13.7" customHeight="1">
      <c r="A124" s="195"/>
      <c r="B124" s="195"/>
      <c r="C124" s="195"/>
      <c r="D124" s="1267"/>
      <c r="E124" s="1267"/>
      <c r="F124" s="1267"/>
      <c r="G124" s="196"/>
    </row>
    <row r="125" spans="1:7" ht="13.7" customHeight="1">
      <c r="D125" s="1267"/>
      <c r="E125" s="1267"/>
      <c r="F125" s="1267"/>
    </row>
    <row r="126" spans="1:7" ht="13.7" customHeight="1">
      <c r="D126" s="1267"/>
      <c r="E126" s="1267"/>
      <c r="F126" s="1267"/>
    </row>
    <row r="127" spans="1:7" ht="13.7" customHeight="1">
      <c r="D127" s="1267"/>
      <c r="E127" s="1267"/>
      <c r="F127" s="1267"/>
    </row>
    <row r="128" spans="1:7" ht="13.7" customHeight="1">
      <c r="A128" s="256"/>
      <c r="B128" s="256"/>
      <c r="D128" s="1267"/>
      <c r="E128" s="1267"/>
      <c r="F128" s="1267"/>
    </row>
    <row r="129" spans="2:6" ht="13.7" customHeight="1">
      <c r="D129" s="1267"/>
      <c r="E129" s="1267"/>
      <c r="F129" s="1267"/>
    </row>
    <row r="130" spans="2:6" ht="13.7" customHeight="1">
      <c r="D130" s="1267"/>
      <c r="E130" s="1267"/>
      <c r="F130" s="1267"/>
    </row>
    <row r="131" spans="2:6" ht="13.7" customHeight="1">
      <c r="D131" s="1267"/>
      <c r="E131" s="1267"/>
      <c r="F131" s="1267"/>
    </row>
    <row r="132" spans="2:6" ht="13.7" customHeight="1">
      <c r="D132" s="1267"/>
      <c r="E132" s="1267"/>
      <c r="F132" s="1267"/>
    </row>
    <row r="133" spans="2:6" ht="13.7" customHeight="1">
      <c r="D133" s="1267"/>
      <c r="E133" s="1267"/>
      <c r="F133" s="1267"/>
    </row>
    <row r="134" spans="2:6" ht="13.7" customHeight="1">
      <c r="D134" s="1267"/>
      <c r="E134" s="1267"/>
      <c r="F134" s="1267"/>
    </row>
    <row r="135" spans="2:6" ht="13.7" customHeight="1">
      <c r="D135" s="218"/>
      <c r="E135" s="35"/>
      <c r="F135" s="35"/>
    </row>
    <row r="136" spans="2:6" ht="13.7" customHeight="1">
      <c r="B136" s="468" t="s">
        <v>307</v>
      </c>
      <c r="D136" s="1267" t="s">
        <v>1280</v>
      </c>
      <c r="E136" s="1267"/>
      <c r="F136" s="1267"/>
    </row>
    <row r="137" spans="2:6" ht="13.7" customHeight="1">
      <c r="D137" s="1267"/>
      <c r="E137" s="1267"/>
      <c r="F137" s="1267"/>
    </row>
    <row r="138" spans="2:6" ht="13.7" customHeight="1">
      <c r="D138" s="1267"/>
      <c r="E138" s="1267"/>
      <c r="F138" s="1267"/>
    </row>
    <row r="139" spans="2:6" ht="13.7" customHeight="1">
      <c r="D139" s="1267"/>
      <c r="E139" s="1267"/>
      <c r="F139" s="1267"/>
    </row>
    <row r="140" spans="2:6" ht="13.7" customHeight="1">
      <c r="D140" s="1267"/>
      <c r="E140" s="1267"/>
      <c r="F140" s="1267"/>
    </row>
    <row r="141" spans="2:6" ht="13.7" customHeight="1">
      <c r="D141" s="1267"/>
      <c r="E141" s="1267"/>
      <c r="F141" s="1267"/>
    </row>
    <row r="142" spans="2:6" ht="13.7" customHeight="1">
      <c r="D142" s="1267"/>
      <c r="E142" s="1267"/>
      <c r="F142" s="1267"/>
    </row>
    <row r="143" spans="2:6" ht="13.7" customHeight="1">
      <c r="D143" s="1267"/>
      <c r="E143" s="1267"/>
      <c r="F143" s="1267"/>
    </row>
    <row r="144" spans="2:6" ht="13.7" customHeight="1">
      <c r="D144" s="1267"/>
      <c r="E144" s="1267"/>
      <c r="F144" s="1267"/>
    </row>
    <row r="145" spans="1:7" ht="13.7" customHeight="1">
      <c r="D145" s="1267"/>
      <c r="E145" s="1267"/>
      <c r="F145" s="1267"/>
    </row>
    <row r="146" spans="1:7" ht="13.7" customHeight="1">
      <c r="D146" s="1267"/>
      <c r="E146" s="1267"/>
      <c r="F146" s="1267"/>
    </row>
    <row r="147" spans="1:7" ht="13.7" customHeight="1">
      <c r="D147" s="1267"/>
      <c r="E147" s="1267"/>
      <c r="F147" s="1267"/>
    </row>
    <row r="148" spans="1:7" ht="13.7" customHeight="1">
      <c r="D148" s="1267"/>
      <c r="E148" s="1267"/>
      <c r="F148" s="1267"/>
    </row>
    <row r="149" spans="1:7" ht="13.7" customHeight="1">
      <c r="D149" s="1267"/>
      <c r="E149" s="1267"/>
      <c r="F149" s="1267"/>
    </row>
    <row r="150" spans="1:7" ht="13.7" customHeight="1">
      <c r="D150" s="1267"/>
      <c r="E150" s="1267"/>
      <c r="F150" s="1267"/>
    </row>
    <row r="151" spans="1:7" ht="13.7" customHeight="1">
      <c r="D151" s="1267"/>
      <c r="E151" s="1267"/>
      <c r="F151" s="1267"/>
    </row>
    <row r="152" spans="1:7" ht="13.7" customHeight="1">
      <c r="D152" s="1267"/>
      <c r="E152" s="1267"/>
      <c r="F152" s="1267"/>
    </row>
    <row r="153" spans="1:7" ht="13.7" customHeight="1">
      <c r="D153" s="1267"/>
      <c r="E153" s="1267"/>
      <c r="F153" s="1267"/>
    </row>
    <row r="154" spans="1:7" ht="13.7" customHeight="1">
      <c r="D154" s="1267"/>
      <c r="E154" s="1267"/>
      <c r="F154" s="1267"/>
    </row>
    <row r="155" spans="1:7" ht="13.7" customHeight="1">
      <c r="D155" s="218"/>
      <c r="E155" s="35"/>
      <c r="F155" s="35"/>
    </row>
    <row r="156" spans="1:7" ht="13.7" customHeight="1">
      <c r="A156" s="256"/>
      <c r="B156" s="468" t="s">
        <v>307</v>
      </c>
      <c r="C156" s="218"/>
      <c r="D156" s="1270" t="s">
        <v>1173</v>
      </c>
      <c r="E156" s="1270"/>
      <c r="F156" s="1270"/>
      <c r="G156" s="218"/>
    </row>
    <row r="157" spans="1:7" ht="13.7" customHeight="1">
      <c r="A157" s="256"/>
      <c r="B157" s="256"/>
      <c r="C157" s="218"/>
      <c r="D157" s="1270"/>
      <c r="E157" s="1270"/>
      <c r="F157" s="1270"/>
      <c r="G157" s="218"/>
    </row>
    <row r="158" spans="1:7" ht="13.7" customHeight="1">
      <c r="A158" s="256"/>
      <c r="B158" s="256"/>
      <c r="C158" s="218"/>
      <c r="D158" s="218"/>
      <c r="E158" s="218"/>
      <c r="F158" s="218"/>
      <c r="G158" s="218"/>
    </row>
    <row r="159" spans="1:7" ht="13.7" customHeight="1">
      <c r="A159" s="256"/>
      <c r="B159" s="468" t="s">
        <v>307</v>
      </c>
      <c r="C159" s="218"/>
      <c r="D159" s="1270" t="s">
        <v>1174</v>
      </c>
      <c r="E159" s="1270"/>
      <c r="F159" s="1270"/>
      <c r="G159" s="218"/>
    </row>
    <row r="160" spans="1:7" ht="13.7" customHeight="1">
      <c r="A160" s="256"/>
      <c r="B160" s="256"/>
      <c r="C160" s="218"/>
      <c r="D160" s="1270"/>
      <c r="E160" s="1270"/>
      <c r="F160" s="1270"/>
      <c r="G160" s="218"/>
    </row>
    <row r="161" spans="1:7" ht="13.7" customHeight="1">
      <c r="A161" s="256"/>
      <c r="B161" s="256"/>
      <c r="C161" s="218"/>
      <c r="D161" s="1270"/>
      <c r="E161" s="1270"/>
      <c r="F161" s="1270"/>
      <c r="G161" s="218"/>
    </row>
    <row r="162" spans="1:7" ht="13.7" customHeight="1">
      <c r="A162" s="256"/>
      <c r="B162" s="256"/>
      <c r="C162" s="218"/>
      <c r="D162" s="1270"/>
      <c r="E162" s="1270"/>
      <c r="F162" s="1270"/>
      <c r="G162" s="218"/>
    </row>
    <row r="163" spans="1:7" ht="13.7" customHeight="1">
      <c r="D163" s="35"/>
      <c r="E163" s="35"/>
      <c r="F163" s="35"/>
    </row>
    <row r="164" spans="1:7" ht="13.7" customHeight="1">
      <c r="B164" s="468" t="s">
        <v>307</v>
      </c>
      <c r="D164" s="1304" t="s">
        <v>1175</v>
      </c>
      <c r="E164" s="1304"/>
      <c r="F164" s="1304"/>
    </row>
    <row r="165" spans="1:7" ht="13.7" customHeight="1">
      <c r="D165" s="1304"/>
      <c r="E165" s="1304"/>
      <c r="F165" s="1304"/>
    </row>
    <row r="166" spans="1:7" ht="13.7" customHeight="1">
      <c r="D166" s="1304"/>
      <c r="E166" s="1304"/>
      <c r="F166" s="1304"/>
    </row>
    <row r="167" spans="1:7" ht="13.7" customHeight="1">
      <c r="A167" s="13"/>
      <c r="B167" s="13"/>
      <c r="E167" s="35"/>
      <c r="F167" s="35"/>
    </row>
    <row r="168" spans="1:7">
      <c r="A168" s="1288" t="s">
        <v>1069</v>
      </c>
      <c r="B168" s="1288"/>
      <c r="C168" s="1288"/>
      <c r="D168" s="1288"/>
      <c r="E168" s="1288"/>
      <c r="F168" s="1288"/>
      <c r="G168" s="1288"/>
    </row>
    <row r="169" spans="1:7" ht="12" customHeight="1">
      <c r="D169" s="35"/>
      <c r="E169" s="35"/>
      <c r="F169" s="35"/>
    </row>
    <row r="170" spans="1:7">
      <c r="B170" s="1285" t="s">
        <v>447</v>
      </c>
      <c r="C170" s="1285"/>
      <c r="D170" s="1285"/>
      <c r="E170" s="1285"/>
      <c r="F170" s="1285"/>
    </row>
    <row r="171" spans="1:7" ht="12" customHeight="1">
      <c r="A171" s="172"/>
      <c r="B171" s="172"/>
      <c r="C171" s="172"/>
    </row>
    <row r="172" spans="1:7">
      <c r="A172" s="1288" t="s">
        <v>1070</v>
      </c>
      <c r="B172" s="1288"/>
      <c r="C172" s="1288"/>
      <c r="D172" s="1288"/>
      <c r="E172" s="1288"/>
      <c r="F172" s="1288"/>
      <c r="G172" s="1288"/>
    </row>
    <row r="173" spans="1:7" ht="12" customHeight="1">
      <c r="A173" s="2"/>
      <c r="B173" s="2"/>
      <c r="E173" s="2"/>
    </row>
    <row r="174" spans="1:7" ht="13.15" customHeight="1">
      <c r="A174" s="2"/>
      <c r="B174" s="2"/>
      <c r="D174" s="1310" t="s">
        <v>1178</v>
      </c>
      <c r="E174" s="1310"/>
      <c r="F174" s="1310"/>
    </row>
    <row r="175" spans="1:7">
      <c r="A175" s="2"/>
      <c r="B175" s="2"/>
      <c r="D175" s="1310"/>
      <c r="E175" s="1310"/>
      <c r="F175" s="1310"/>
    </row>
    <row r="176" spans="1:7">
      <c r="A176" s="2"/>
      <c r="B176" s="2"/>
      <c r="D176" s="1297" t="s">
        <v>1179</v>
      </c>
      <c r="E176" s="1297"/>
      <c r="F176" s="1297"/>
    </row>
    <row r="177" spans="1:7" ht="12" customHeight="1">
      <c r="A177" s="2"/>
      <c r="B177" s="2"/>
      <c r="E177" s="2"/>
    </row>
    <row r="178" spans="1:7" ht="14.25">
      <c r="A178" s="176"/>
      <c r="B178" s="468" t="s">
        <v>307</v>
      </c>
      <c r="D178" s="1282" t="s">
        <v>1177</v>
      </c>
      <c r="E178" s="1282"/>
      <c r="F178" s="1282"/>
    </row>
    <row r="179" spans="1:7" ht="14.25">
      <c r="A179" s="176"/>
      <c r="B179" s="176"/>
      <c r="D179" s="1282"/>
      <c r="E179" s="1282"/>
      <c r="F179" s="1282"/>
    </row>
    <row r="180" spans="1:7" ht="14.25">
      <c r="A180" s="176"/>
      <c r="B180" s="176"/>
      <c r="D180" s="1282"/>
      <c r="E180" s="1282"/>
      <c r="F180" s="1282"/>
    </row>
    <row r="181" spans="1:7">
      <c r="D181" s="1282"/>
      <c r="E181" s="1282"/>
      <c r="F181" s="1282"/>
    </row>
    <row r="182" spans="1:7">
      <c r="D182" s="220"/>
    </row>
    <row r="183" spans="1:7">
      <c r="D183" s="1303" t="s">
        <v>1086</v>
      </c>
      <c r="E183" s="1303"/>
      <c r="F183" s="1303"/>
    </row>
    <row r="184" spans="1:7">
      <c r="D184" s="1303"/>
      <c r="E184" s="1303"/>
      <c r="F184" s="1303"/>
    </row>
    <row r="185" spans="1:7">
      <c r="D185" s="475"/>
      <c r="E185" s="475"/>
      <c r="F185" s="475"/>
    </row>
    <row r="186" spans="1:7" ht="14.25">
      <c r="A186" s="176"/>
      <c r="B186" s="468" t="s">
        <v>307</v>
      </c>
      <c r="C186" s="385"/>
      <c r="D186" s="1267" t="s">
        <v>1176</v>
      </c>
      <c r="E186" s="1267"/>
      <c r="F186" s="1267"/>
      <c r="G186" s="3"/>
    </row>
    <row r="187" spans="1:7" ht="14.45" customHeight="1">
      <c r="A187" s="176"/>
      <c r="B187"/>
      <c r="C187" s="385"/>
      <c r="D187" s="1267"/>
      <c r="E187" s="1267"/>
      <c r="F187" s="1267"/>
      <c r="G187" s="3"/>
    </row>
    <row r="188" spans="1:7" ht="14.25">
      <c r="A188" s="176"/>
      <c r="B188" s="385"/>
      <c r="C188" s="385"/>
      <c r="D188" s="1267"/>
      <c r="E188" s="1267"/>
      <c r="F188" s="1267"/>
      <c r="G188" s="3"/>
    </row>
    <row r="189" spans="1:7" ht="14.25">
      <c r="A189" s="176"/>
      <c r="B189" s="385"/>
      <c r="C189" s="385"/>
      <c r="D189" s="1267"/>
      <c r="E189" s="1267"/>
      <c r="F189" s="1267"/>
      <c r="G189" s="3"/>
    </row>
    <row r="190" spans="1:7">
      <c r="D190" s="475"/>
      <c r="E190" s="475"/>
      <c r="F190" s="475"/>
    </row>
    <row r="191" spans="1:7">
      <c r="A191" s="1288" t="s">
        <v>1071</v>
      </c>
      <c r="B191" s="1288"/>
      <c r="C191" s="1288"/>
      <c r="D191" s="1288"/>
      <c r="E191" s="1288"/>
      <c r="F191" s="1288"/>
      <c r="G191" s="1288"/>
    </row>
    <row r="192" spans="1:7" ht="12" customHeight="1">
      <c r="D192" s="35"/>
      <c r="E192" s="35"/>
      <c r="F192" s="35"/>
    </row>
    <row r="193" spans="1:6">
      <c r="C193" s="177"/>
      <c r="D193" s="1286" t="s">
        <v>208</v>
      </c>
      <c r="E193" s="1286"/>
      <c r="F193" s="1286"/>
    </row>
    <row r="194" spans="1:6">
      <c r="A194" s="172"/>
      <c r="B194" s="172"/>
      <c r="C194" s="172"/>
      <c r="D194" s="1287" t="s">
        <v>1200</v>
      </c>
      <c r="E194" s="1293"/>
      <c r="F194" s="1293"/>
    </row>
    <row r="195" spans="1:6" ht="12" customHeight="1">
      <c r="A195" s="13"/>
      <c r="B195" s="13"/>
      <c r="C195" s="13"/>
    </row>
    <row r="196" spans="1:6" ht="13.15" customHeight="1">
      <c r="A196" s="13"/>
      <c r="C196" s="13"/>
      <c r="D196" s="1286" t="s">
        <v>553</v>
      </c>
      <c r="E196" s="1286"/>
      <c r="F196" s="1286"/>
    </row>
    <row r="197" spans="1:6" ht="14.25">
      <c r="A197" s="176"/>
      <c r="B197" s="468" t="s">
        <v>307</v>
      </c>
      <c r="D197" s="1267" t="s">
        <v>1194</v>
      </c>
      <c r="E197" s="1267"/>
      <c r="F197" s="1267"/>
    </row>
    <row r="198" spans="1:6" ht="14.25">
      <c r="A198" s="176"/>
      <c r="B198" s="176"/>
      <c r="D198" s="1267"/>
      <c r="E198" s="1267"/>
      <c r="F198" s="1267"/>
    </row>
    <row r="199" spans="1:6"/>
    <row r="200" spans="1:6" ht="14.25">
      <c r="A200" s="176"/>
      <c r="B200" s="468" t="s">
        <v>307</v>
      </c>
      <c r="D200" s="1267" t="s">
        <v>1195</v>
      </c>
      <c r="E200" s="1267"/>
      <c r="F200" s="1267"/>
    </row>
    <row r="201" spans="1:6" ht="14.25">
      <c r="A201" s="176"/>
      <c r="B201" s="176"/>
      <c r="D201" s="1267"/>
      <c r="E201" s="1267"/>
      <c r="F201" s="1267"/>
    </row>
    <row r="202" spans="1:6" ht="14.25">
      <c r="A202" s="176"/>
      <c r="B202" s="176"/>
      <c r="D202" s="1267"/>
      <c r="E202" s="1267"/>
      <c r="F202" s="1267"/>
    </row>
    <row r="203" spans="1:6" ht="5.0999999999999996" customHeight="1">
      <c r="A203" s="176"/>
      <c r="B203" s="176"/>
      <c r="D203" s="35"/>
      <c r="E203" s="35"/>
      <c r="F203" s="35"/>
    </row>
    <row r="204" spans="1:6" ht="14.25">
      <c r="A204" s="176"/>
      <c r="B204" s="176"/>
      <c r="D204" s="1267" t="s">
        <v>1196</v>
      </c>
      <c r="E204" s="1267"/>
      <c r="F204" s="1267"/>
    </row>
    <row r="205" spans="1:6" ht="14.25">
      <c r="A205" s="176"/>
      <c r="B205" s="176"/>
      <c r="D205" s="1267"/>
      <c r="E205" s="1267"/>
      <c r="F205" s="1267"/>
    </row>
    <row r="206" spans="1:6" ht="14.25">
      <c r="A206" s="176"/>
      <c r="B206" s="176"/>
      <c r="D206" s="1267"/>
      <c r="E206" s="1267"/>
      <c r="F206" s="1267"/>
    </row>
    <row r="207" spans="1:6" ht="14.25">
      <c r="A207" s="176"/>
      <c r="B207" s="176"/>
      <c r="D207" s="1267"/>
      <c r="E207" s="1267"/>
      <c r="F207" s="1267"/>
    </row>
    <row r="208" spans="1:6" ht="14.25">
      <c r="A208" s="176"/>
      <c r="B208" s="176"/>
      <c r="D208" s="1267"/>
      <c r="E208" s="1267"/>
      <c r="F208" s="1267"/>
    </row>
    <row r="209" spans="1:7" ht="14.25">
      <c r="A209" s="176"/>
      <c r="B209" s="176"/>
      <c r="D209" s="35"/>
      <c r="E209" s="35"/>
      <c r="F209" s="35"/>
    </row>
    <row r="210" spans="1:7" ht="14.25">
      <c r="A210" s="176"/>
      <c r="B210" s="468" t="s">
        <v>307</v>
      </c>
      <c r="D210" s="1267" t="s">
        <v>1197</v>
      </c>
      <c r="E210" s="1267"/>
      <c r="F210" s="1267"/>
    </row>
    <row r="211" spans="1:7" ht="14.25">
      <c r="A211" s="176"/>
      <c r="B211" s="176"/>
      <c r="D211" s="1267"/>
      <c r="E211" s="1267"/>
      <c r="F211" s="1267"/>
    </row>
    <row r="212" spans="1:7" ht="14.25">
      <c r="A212" s="176"/>
      <c r="B212" s="176"/>
      <c r="D212" s="1285" t="s">
        <v>908</v>
      </c>
      <c r="E212" s="1285"/>
      <c r="F212" s="1285"/>
    </row>
    <row r="213" spans="1:7" ht="14.25">
      <c r="A213" s="176"/>
      <c r="B213" s="176"/>
      <c r="D213" s="35"/>
      <c r="E213" s="35"/>
      <c r="F213" s="35"/>
    </row>
    <row r="214" spans="1:7" ht="14.45" customHeight="1">
      <c r="A214" s="176"/>
      <c r="B214" s="468" t="s">
        <v>307</v>
      </c>
      <c r="D214" s="1267" t="s">
        <v>1199</v>
      </c>
      <c r="E214" s="1267"/>
      <c r="F214" s="1267"/>
    </row>
    <row r="215" spans="1:7" ht="14.25">
      <c r="A215" s="176"/>
      <c r="B215" s="176"/>
      <c r="D215" s="1267"/>
      <c r="E215" s="1267"/>
      <c r="F215" s="1267"/>
    </row>
    <row r="216" spans="1:7" ht="14.25">
      <c r="A216" s="176"/>
      <c r="B216" s="176"/>
      <c r="D216" s="1267"/>
      <c r="E216" s="1267"/>
      <c r="F216" s="1267"/>
    </row>
    <row r="217" spans="1:7" ht="14.25">
      <c r="A217" s="176"/>
      <c r="B217" s="176"/>
      <c r="D217" s="1267"/>
      <c r="E217" s="1267"/>
      <c r="F217" s="1267"/>
    </row>
    <row r="218" spans="1:7" ht="14.25">
      <c r="A218" s="176"/>
      <c r="B218" s="176"/>
      <c r="D218" s="1267"/>
      <c r="E218" s="1267"/>
      <c r="F218" s="1267"/>
    </row>
    <row r="219" spans="1:7">
      <c r="D219" s="35"/>
      <c r="E219" s="35"/>
      <c r="F219" s="35"/>
    </row>
    <row r="220" spans="1:7" ht="14.25">
      <c r="A220" s="176"/>
      <c r="B220" s="468" t="s">
        <v>307</v>
      </c>
      <c r="D220" s="1267" t="s">
        <v>1198</v>
      </c>
      <c r="E220" s="1267"/>
      <c r="F220" s="1267"/>
    </row>
    <row r="221" spans="1:7" ht="14.25">
      <c r="A221" s="176"/>
      <c r="B221" s="176"/>
      <c r="D221" s="1267"/>
      <c r="E221" s="1267"/>
      <c r="F221" s="1267"/>
    </row>
    <row r="222" spans="1:7">
      <c r="D222" s="19"/>
    </row>
    <row r="223" spans="1:7">
      <c r="A223" s="1288" t="s">
        <v>1072</v>
      </c>
      <c r="B223" s="1288"/>
      <c r="C223" s="1288"/>
      <c r="D223" s="1288"/>
      <c r="E223" s="1288"/>
      <c r="F223" s="1288"/>
      <c r="G223" s="1288"/>
    </row>
    <row r="224" spans="1:7">
      <c r="D224" s="19"/>
    </row>
    <row r="225" spans="1:6">
      <c r="C225" s="177"/>
      <c r="D225" s="1286" t="s">
        <v>1201</v>
      </c>
      <c r="E225" s="1286"/>
      <c r="F225" s="1286"/>
    </row>
    <row r="226" spans="1:6">
      <c r="A226" s="172"/>
      <c r="B226" s="172"/>
      <c r="C226" s="172"/>
      <c r="D226" s="35"/>
      <c r="E226" s="35"/>
      <c r="F226" s="35"/>
    </row>
    <row r="227" spans="1:6">
      <c r="A227" s="175"/>
      <c r="B227" s="175"/>
      <c r="C227" s="175"/>
      <c r="D227" s="1286" t="s">
        <v>269</v>
      </c>
      <c r="E227" s="1286"/>
      <c r="F227" s="1286"/>
    </row>
    <row r="228" spans="1:6" ht="14.25">
      <c r="A228" s="176"/>
      <c r="B228" s="468" t="s">
        <v>307</v>
      </c>
      <c r="D228" s="1316" t="s">
        <v>1202</v>
      </c>
      <c r="E228" s="1316"/>
      <c r="F228" s="1316"/>
    </row>
    <row r="229" spans="1:6" ht="14.25">
      <c r="A229" s="176"/>
      <c r="B229" s="176"/>
      <c r="D229" s="1316"/>
      <c r="E229" s="1316"/>
      <c r="F229" s="1316"/>
    </row>
    <row r="230" spans="1:6">
      <c r="D230" s="35"/>
      <c r="E230" s="35"/>
      <c r="F230" s="35"/>
    </row>
    <row r="231" spans="1:6" ht="14.45" customHeight="1">
      <c r="A231" s="176"/>
      <c r="B231" s="468" t="s">
        <v>307</v>
      </c>
      <c r="D231" s="1267" t="s">
        <v>1203</v>
      </c>
      <c r="E231" s="1267"/>
      <c r="F231" s="1267"/>
    </row>
    <row r="232" spans="1:6">
      <c r="D232" s="1267"/>
      <c r="E232" s="1267"/>
      <c r="F232" s="1267"/>
    </row>
    <row r="233" spans="1:6">
      <c r="D233" s="1293" t="s">
        <v>900</v>
      </c>
      <c r="E233" s="1293"/>
      <c r="F233" s="1293"/>
    </row>
    <row r="234" spans="1:6">
      <c r="D234" s="35"/>
      <c r="E234" s="35"/>
      <c r="F234" s="35"/>
    </row>
    <row r="235" spans="1:6" ht="14.45" customHeight="1">
      <c r="A235" s="176"/>
      <c r="B235" s="468" t="s">
        <v>307</v>
      </c>
      <c r="D235" s="1267" t="s">
        <v>1205</v>
      </c>
      <c r="E235" s="1267"/>
      <c r="F235" s="1267"/>
    </row>
    <row r="236" spans="1:6">
      <c r="D236" s="1267"/>
      <c r="E236" s="1267"/>
      <c r="F236" s="1267"/>
    </row>
    <row r="237" spans="1:6">
      <c r="D237" s="1267"/>
      <c r="E237" s="1267"/>
      <c r="F237" s="1267"/>
    </row>
    <row r="238" spans="1:6">
      <c r="D238" s="1267"/>
      <c r="E238" s="1267"/>
      <c r="F238" s="1267"/>
    </row>
    <row r="239" spans="1:6">
      <c r="D239" s="1267"/>
      <c r="E239" s="1267"/>
      <c r="F239" s="1267"/>
    </row>
    <row r="240" spans="1:6">
      <c r="D240" s="35"/>
      <c r="E240" s="35"/>
      <c r="F240" s="35"/>
    </row>
    <row r="241" spans="1:7" ht="14.25">
      <c r="A241" s="176"/>
      <c r="B241" s="468" t="s">
        <v>307</v>
      </c>
      <c r="D241" s="1267" t="s">
        <v>1204</v>
      </c>
      <c r="E241" s="1267"/>
      <c r="F241" s="1267"/>
    </row>
    <row r="242" spans="1:7">
      <c r="D242" s="1267"/>
      <c r="E242" s="1267"/>
      <c r="F242" s="1267"/>
    </row>
    <row r="243" spans="1:7">
      <c r="D243" s="1267"/>
      <c r="E243" s="1267"/>
      <c r="F243" s="1267"/>
    </row>
    <row r="244" spans="1:7">
      <c r="D244" s="178"/>
      <c r="E244" s="35"/>
      <c r="F244" s="35"/>
    </row>
    <row r="245" spans="1:7">
      <c r="A245" s="1288" t="s">
        <v>1073</v>
      </c>
      <c r="B245" s="1288"/>
      <c r="C245" s="1288"/>
      <c r="D245" s="1288"/>
      <c r="E245" s="1288"/>
      <c r="F245" s="1288"/>
      <c r="G245" s="1288"/>
    </row>
    <row r="246" spans="1:7">
      <c r="D246" s="178"/>
      <c r="E246" s="35"/>
      <c r="F246" s="35"/>
    </row>
    <row r="247" spans="1:7">
      <c r="C247" s="172"/>
      <c r="D247" s="1299" t="s">
        <v>1206</v>
      </c>
      <c r="E247" s="1299"/>
      <c r="F247" s="1299"/>
    </row>
    <row r="248" spans="1:7">
      <c r="C248" s="172"/>
      <c r="D248" s="1299"/>
      <c r="E248" s="1299"/>
      <c r="F248" s="1299"/>
    </row>
    <row r="249" spans="1:7">
      <c r="A249" s="175"/>
      <c r="B249" s="175"/>
      <c r="C249" s="175"/>
      <c r="D249" s="2"/>
      <c r="E249" s="3"/>
      <c r="F249" s="3"/>
    </row>
    <row r="250" spans="1:7">
      <c r="C250" s="175"/>
      <c r="D250" s="1286" t="s">
        <v>209</v>
      </c>
      <c r="E250" s="1286"/>
      <c r="F250" s="1286"/>
    </row>
    <row r="251" spans="1:7" ht="15.75" customHeight="1">
      <c r="A251" s="176"/>
      <c r="B251" s="176"/>
      <c r="D251" s="1292" t="s">
        <v>1207</v>
      </c>
      <c r="E251" s="1292"/>
      <c r="F251" s="1292"/>
    </row>
    <row r="252" spans="1:7">
      <c r="E252" s="35"/>
      <c r="F252" s="35"/>
    </row>
    <row r="253" spans="1:7" ht="14.25">
      <c r="A253" s="176"/>
      <c r="B253" s="468" t="s">
        <v>307</v>
      </c>
      <c r="D253" s="1267" t="s">
        <v>1208</v>
      </c>
      <c r="E253" s="1267"/>
      <c r="F253" s="1267"/>
    </row>
    <row r="254" spans="1:7" ht="14.25">
      <c r="A254" s="176"/>
      <c r="B254" s="176"/>
      <c r="D254" s="1267"/>
      <c r="E254" s="1267"/>
      <c r="F254" s="1267"/>
    </row>
    <row r="255" spans="1:7">
      <c r="D255" s="35"/>
      <c r="E255" s="35"/>
      <c r="F255" s="35"/>
    </row>
    <row r="256" spans="1:7" ht="14.25">
      <c r="A256" s="176"/>
      <c r="B256" s="468" t="s">
        <v>307</v>
      </c>
      <c r="D256" s="1267" t="s">
        <v>1209</v>
      </c>
      <c r="E256" s="1267"/>
      <c r="F256" s="1267"/>
    </row>
    <row r="257" spans="1:7" ht="14.25">
      <c r="A257" s="176"/>
      <c r="B257" s="176"/>
      <c r="D257" s="1267"/>
      <c r="E257" s="1267"/>
      <c r="F257" s="1267"/>
    </row>
    <row r="258" spans="1:7" ht="14.25">
      <c r="A258" s="176"/>
      <c r="B258" s="176"/>
      <c r="D258" s="1267"/>
      <c r="E258" s="1267"/>
      <c r="F258" s="1267"/>
    </row>
    <row r="259" spans="1:7">
      <c r="D259" s="35"/>
      <c r="E259" s="35"/>
      <c r="F259" s="35"/>
    </row>
    <row r="260" spans="1:7" ht="14.25">
      <c r="A260" s="176"/>
      <c r="B260" s="468" t="s">
        <v>307</v>
      </c>
      <c r="D260" s="1267" t="s">
        <v>1210</v>
      </c>
      <c r="E260" s="1267"/>
      <c r="F260" s="1267"/>
    </row>
    <row r="261" spans="1:7" ht="14.25">
      <c r="A261" s="176"/>
      <c r="B261" s="176"/>
      <c r="D261" s="1267"/>
      <c r="E261" s="1267"/>
      <c r="F261" s="1267"/>
    </row>
    <row r="262" spans="1:7">
      <c r="A262" s="13"/>
      <c r="B262" s="13"/>
      <c r="E262" s="35"/>
      <c r="F262" s="35"/>
    </row>
    <row r="263" spans="1:7">
      <c r="A263" s="1288" t="s">
        <v>1074</v>
      </c>
      <c r="B263" s="1288"/>
      <c r="C263" s="1288"/>
      <c r="D263" s="1288"/>
      <c r="E263" s="1288"/>
      <c r="F263" s="1288"/>
      <c r="G263" s="1288"/>
    </row>
    <row r="264" spans="1:7">
      <c r="A264" s="13"/>
      <c r="B264" s="13"/>
      <c r="D264" s="35"/>
      <c r="E264" s="35"/>
      <c r="F264" s="35"/>
    </row>
    <row r="265" spans="1:7">
      <c r="C265" s="13"/>
      <c r="D265" s="1286" t="s">
        <v>689</v>
      </c>
      <c r="E265" s="1286"/>
      <c r="F265" s="1286"/>
    </row>
    <row r="266" spans="1:7">
      <c r="C266" s="13"/>
      <c r="D266" s="1287" t="s">
        <v>1211</v>
      </c>
      <c r="E266" s="1287"/>
      <c r="F266" s="1287"/>
    </row>
    <row r="267" spans="1:7">
      <c r="C267" s="13"/>
      <c r="D267" s="173"/>
    </row>
    <row r="268" spans="1:7">
      <c r="B268" s="468" t="s">
        <v>307</v>
      </c>
      <c r="D268" s="1287" t="s">
        <v>1212</v>
      </c>
      <c r="E268" s="1287"/>
      <c r="F268" s="1287"/>
    </row>
    <row r="269" spans="1:7" ht="14.25">
      <c r="A269" s="176"/>
      <c r="B269" s="176"/>
      <c r="D269" s="341"/>
      <c r="E269" s="342"/>
      <c r="F269" s="342"/>
    </row>
    <row r="270" spans="1:7" ht="13.15" customHeight="1">
      <c r="B270" s="468" t="s">
        <v>307</v>
      </c>
      <c r="D270" s="1317" t="s">
        <v>1213</v>
      </c>
      <c r="E270" s="1317"/>
      <c r="F270" s="1317"/>
    </row>
    <row r="271" spans="1:7" ht="14.25">
      <c r="A271" s="176"/>
      <c r="B271" s="176"/>
      <c r="D271" s="1317"/>
      <c r="E271" s="1317"/>
      <c r="F271" s="1317"/>
    </row>
    <row r="272" spans="1:7" ht="14.25">
      <c r="A272" s="176"/>
      <c r="B272" s="176"/>
      <c r="D272" s="1317"/>
      <c r="E272" s="1317"/>
      <c r="F272" s="1317"/>
    </row>
    <row r="273" spans="1:6" ht="14.25">
      <c r="A273" s="176"/>
      <c r="B273" s="176"/>
      <c r="D273" s="1317"/>
      <c r="E273" s="1317"/>
      <c r="F273" s="1317"/>
    </row>
    <row r="274" spans="1:6" ht="14.25">
      <c r="A274" s="176"/>
      <c r="B274" s="176"/>
      <c r="D274" s="1317"/>
      <c r="E274" s="1317"/>
      <c r="F274" s="1317"/>
    </row>
    <row r="275" spans="1:6" ht="14.25">
      <c r="A275" s="176"/>
      <c r="B275" s="176"/>
      <c r="D275" s="341"/>
      <c r="E275" s="342"/>
      <c r="F275" s="342"/>
    </row>
    <row r="276" spans="1:6" ht="13.15" customHeight="1">
      <c r="B276" s="468" t="s">
        <v>307</v>
      </c>
      <c r="D276" s="1317" t="s">
        <v>1214</v>
      </c>
      <c r="E276" s="1317"/>
      <c r="F276" s="1317"/>
    </row>
    <row r="277" spans="1:6">
      <c r="D277" s="1317"/>
      <c r="E277" s="1317"/>
      <c r="F277" s="1317"/>
    </row>
    <row r="278" spans="1:6" ht="14.25">
      <c r="A278" s="176"/>
      <c r="B278" s="176"/>
      <c r="D278" s="341"/>
      <c r="E278" s="342"/>
      <c r="F278" s="342"/>
    </row>
    <row r="279" spans="1:6">
      <c r="B279" s="468" t="s">
        <v>307</v>
      </c>
      <c r="D279" s="1287" t="s">
        <v>1215</v>
      </c>
      <c r="E279" s="1287"/>
      <c r="F279" s="1287"/>
    </row>
    <row r="280" spans="1:6">
      <c r="E280" s="35"/>
      <c r="F280" s="35"/>
    </row>
    <row r="281" spans="1:6" ht="14.25">
      <c r="A281" s="176"/>
      <c r="B281" s="468" t="s">
        <v>307</v>
      </c>
      <c r="D281" s="1267" t="s">
        <v>1216</v>
      </c>
      <c r="E281" s="1267"/>
      <c r="F281" s="1267"/>
    </row>
    <row r="282" spans="1:6" ht="14.25">
      <c r="A282" s="176"/>
      <c r="B282" s="176"/>
      <c r="D282" s="1267"/>
      <c r="E282" s="1267"/>
      <c r="F282" s="1267"/>
    </row>
    <row r="283" spans="1:6" ht="14.25">
      <c r="A283" s="176"/>
      <c r="B283" s="176"/>
      <c r="D283" s="1267"/>
      <c r="E283" s="1267"/>
      <c r="F283" s="1267"/>
    </row>
    <row r="284" spans="1:6" ht="14.25">
      <c r="A284" s="176"/>
      <c r="B284" s="176"/>
      <c r="D284" s="1267"/>
      <c r="E284" s="1267"/>
      <c r="F284" s="1267"/>
    </row>
    <row r="285" spans="1:6" ht="14.25">
      <c r="A285" s="176"/>
      <c r="B285" s="176"/>
      <c r="D285" s="1267"/>
      <c r="E285" s="1267"/>
      <c r="F285" s="1267"/>
    </row>
    <row r="286" spans="1:6" ht="14.25">
      <c r="A286" s="176"/>
      <c r="B286" s="176"/>
      <c r="D286" s="1267"/>
      <c r="E286" s="1267"/>
      <c r="F286" s="1267"/>
    </row>
    <row r="287" spans="1:6" ht="14.25">
      <c r="A287" s="176"/>
      <c r="B287" s="176"/>
      <c r="D287" s="1267"/>
      <c r="E287" s="1267"/>
      <c r="F287" s="1267"/>
    </row>
    <row r="288" spans="1:6" ht="14.25">
      <c r="A288" s="176"/>
      <c r="B288" s="176"/>
      <c r="D288" s="1267"/>
      <c r="E288" s="1267"/>
      <c r="F288" s="1267"/>
    </row>
    <row r="289" spans="1:6" ht="14.25">
      <c r="A289" s="176"/>
      <c r="B289" s="176"/>
      <c r="D289" s="1267"/>
      <c r="E289" s="1267"/>
      <c r="F289" s="1267"/>
    </row>
    <row r="290" spans="1:6" ht="14.25">
      <c r="A290" s="176"/>
      <c r="B290" s="176"/>
      <c r="D290" s="1267"/>
      <c r="E290" s="1267"/>
      <c r="F290" s="1267"/>
    </row>
    <row r="291" spans="1:6" ht="14.25">
      <c r="A291" s="176"/>
      <c r="B291" s="176"/>
      <c r="D291" s="1267"/>
      <c r="E291" s="1267"/>
      <c r="F291" s="1267"/>
    </row>
    <row r="292" spans="1:6" ht="14.25">
      <c r="A292" s="176"/>
      <c r="B292" s="176"/>
      <c r="D292" s="1267"/>
      <c r="E292" s="1267"/>
      <c r="F292" s="1267"/>
    </row>
    <row r="293" spans="1:6" ht="14.25">
      <c r="A293" s="176"/>
      <c r="B293" s="176"/>
      <c r="D293" s="1267"/>
      <c r="E293" s="1267"/>
      <c r="F293" s="1267"/>
    </row>
    <row r="294" spans="1:6" ht="14.25">
      <c r="A294" s="176"/>
      <c r="B294" s="176"/>
      <c r="D294" s="1267"/>
      <c r="E294" s="1267"/>
      <c r="F294" s="1267"/>
    </row>
    <row r="295" spans="1:6" ht="14.25">
      <c r="A295" s="176"/>
      <c r="B295" s="176"/>
      <c r="D295" s="1267"/>
      <c r="E295" s="1267"/>
      <c r="F295" s="1267"/>
    </row>
    <row r="296" spans="1:6">
      <c r="D296" s="35"/>
      <c r="E296" s="35"/>
      <c r="F296" s="35"/>
    </row>
    <row r="297" spans="1:6" ht="14.25">
      <c r="A297" s="176"/>
      <c r="B297" s="468" t="s">
        <v>307</v>
      </c>
      <c r="D297" s="1267" t="s">
        <v>1217</v>
      </c>
      <c r="E297" s="1267"/>
      <c r="F297" s="1267"/>
    </row>
    <row r="298" spans="1:6">
      <c r="D298" s="1267"/>
      <c r="E298" s="1267"/>
      <c r="F298" s="1267"/>
    </row>
    <row r="299" spans="1:6">
      <c r="D299" s="1267"/>
      <c r="E299" s="1267"/>
      <c r="F299" s="1267"/>
    </row>
    <row r="300" spans="1:6">
      <c r="D300" s="1267"/>
      <c r="E300" s="1267"/>
      <c r="F300" s="1267"/>
    </row>
    <row r="301" spans="1:6">
      <c r="D301" s="1267"/>
      <c r="E301" s="1267"/>
      <c r="F301" s="1267"/>
    </row>
    <row r="302" spans="1:6">
      <c r="D302" s="1267"/>
      <c r="E302" s="1267"/>
      <c r="F302" s="1267"/>
    </row>
    <row r="303" spans="1:6">
      <c r="D303" s="1267"/>
      <c r="E303" s="1267"/>
      <c r="F303" s="1267"/>
    </row>
    <row r="304" spans="1:6">
      <c r="D304" s="1267"/>
      <c r="E304" s="1267"/>
      <c r="F304" s="1267"/>
    </row>
    <row r="305" spans="1:7">
      <c r="D305" s="1267"/>
      <c r="E305" s="1267"/>
      <c r="F305" s="1267"/>
    </row>
    <row r="306" spans="1:7">
      <c r="D306" s="35"/>
      <c r="E306" s="35"/>
      <c r="F306" s="35"/>
    </row>
    <row r="307" spans="1:7" ht="14.25">
      <c r="A307" s="176"/>
      <c r="B307" s="468" t="s">
        <v>307</v>
      </c>
      <c r="D307" s="1267" t="s">
        <v>1218</v>
      </c>
      <c r="E307" s="1267"/>
      <c r="F307" s="1267"/>
    </row>
    <row r="308" spans="1:7">
      <c r="D308" s="1267"/>
      <c r="E308" s="1267"/>
      <c r="F308" s="1267"/>
      <c r="G308"/>
    </row>
    <row r="309" spans="1:7">
      <c r="D309" s="1267"/>
      <c r="E309" s="1267"/>
      <c r="F309" s="1267"/>
      <c r="G309"/>
    </row>
    <row r="310" spans="1:7">
      <c r="D310" s="1267"/>
      <c r="E310" s="1267"/>
      <c r="F310" s="1267"/>
      <c r="G310"/>
    </row>
    <row r="311" spans="1:7">
      <c r="D311" s="1267"/>
      <c r="E311" s="1267"/>
      <c r="F311" s="1267"/>
      <c r="G311"/>
    </row>
    <row r="312" spans="1:7">
      <c r="D312" s="1267"/>
      <c r="E312" s="1267"/>
      <c r="F312" s="1267"/>
      <c r="G312"/>
    </row>
    <row r="313" spans="1:7">
      <c r="D313" s="474"/>
      <c r="E313" s="474"/>
      <c r="F313" s="474"/>
      <c r="G313"/>
    </row>
    <row r="314" spans="1:7" ht="13.5" thickBot="1">
      <c r="D314" s="1313" t="s">
        <v>995</v>
      </c>
      <c r="E314" s="1313"/>
      <c r="F314" s="1313"/>
      <c r="G314"/>
    </row>
    <row r="315" spans="1:7" ht="13.5" thickTop="1">
      <c r="D315" s="1314" t="s">
        <v>1219</v>
      </c>
      <c r="E315" s="1314"/>
      <c r="F315" s="1314"/>
      <c r="G315"/>
    </row>
    <row r="316" spans="1:7">
      <c r="A316" s="218"/>
      <c r="B316" s="218"/>
      <c r="C316" s="218"/>
      <c r="D316" s="220"/>
      <c r="E316" s="220"/>
      <c r="F316" s="35"/>
      <c r="G316"/>
    </row>
    <row r="317" spans="1:7" ht="14.25">
      <c r="A317" s="176"/>
      <c r="B317" s="468" t="s">
        <v>307</v>
      </c>
      <c r="C317" s="218"/>
      <c r="D317" s="1315" t="s">
        <v>1220</v>
      </c>
      <c r="E317" s="1315"/>
      <c r="F317" s="1315"/>
      <c r="G317"/>
    </row>
    <row r="318" spans="1:7">
      <c r="A318" s="218"/>
      <c r="B318" s="218"/>
      <c r="C318" s="218"/>
      <c r="D318" s="220"/>
      <c r="E318" s="220"/>
      <c r="F318" s="35"/>
      <c r="G318"/>
    </row>
    <row r="319" spans="1:7">
      <c r="A319" s="218"/>
      <c r="B319" s="468" t="s">
        <v>307</v>
      </c>
      <c r="C319" s="218"/>
      <c r="D319" s="1270" t="s">
        <v>1221</v>
      </c>
      <c r="E319" s="1270"/>
      <c r="F319" s="1270"/>
      <c r="G319"/>
    </row>
    <row r="320" spans="1:7">
      <c r="A320" s="218"/>
      <c r="B320" s="218"/>
      <c r="C320" s="218"/>
      <c r="D320" s="1270"/>
      <c r="E320" s="1270"/>
      <c r="F320" s="1270"/>
      <c r="G320"/>
    </row>
    <row r="321" spans="1:7">
      <c r="A321" s="218"/>
      <c r="B321" s="218"/>
      <c r="C321" s="218"/>
      <c r="D321" s="1270"/>
      <c r="E321" s="1270"/>
      <c r="F321" s="1270"/>
      <c r="G321"/>
    </row>
    <row r="322" spans="1:7">
      <c r="A322" s="218"/>
      <c r="B322" s="218"/>
      <c r="C322" s="218"/>
      <c r="D322" s="1270"/>
      <c r="E322" s="1270"/>
      <c r="F322" s="1270"/>
      <c r="G322"/>
    </row>
    <row r="323" spans="1:7">
      <c r="A323" s="218"/>
      <c r="B323" s="218"/>
      <c r="C323" s="218"/>
      <c r="D323" s="1270"/>
      <c r="E323" s="1270"/>
      <c r="F323" s="1270"/>
      <c r="G323"/>
    </row>
    <row r="324" spans="1:7">
      <c r="A324" s="218"/>
      <c r="B324" s="218"/>
      <c r="C324" s="218"/>
      <c r="D324" s="1270"/>
      <c r="E324" s="1270"/>
      <c r="F324" s="1270"/>
      <c r="G324"/>
    </row>
    <row r="325" spans="1:7">
      <c r="A325" s="218"/>
      <c r="B325" s="218"/>
      <c r="C325" s="218"/>
      <c r="D325" s="1270"/>
      <c r="E325" s="1270"/>
      <c r="F325" s="1270"/>
      <c r="G325"/>
    </row>
    <row r="326" spans="1:7">
      <c r="A326" s="218"/>
      <c r="B326" s="218"/>
      <c r="C326" s="218"/>
      <c r="D326" s="1270"/>
      <c r="E326" s="1270"/>
      <c r="F326" s="1270"/>
      <c r="G326"/>
    </row>
    <row r="327" spans="1:7">
      <c r="A327" s="218"/>
      <c r="B327" s="218"/>
      <c r="C327" s="218"/>
      <c r="D327" s="1270"/>
      <c r="E327" s="1270"/>
      <c r="F327" s="1270"/>
      <c r="G327"/>
    </row>
    <row r="328" spans="1:7">
      <c r="A328" s="218"/>
      <c r="B328" s="218"/>
      <c r="C328" s="218"/>
      <c r="D328" s="1270"/>
      <c r="E328" s="1270"/>
      <c r="F328" s="1270"/>
      <c r="G328"/>
    </row>
    <row r="329" spans="1:7">
      <c r="A329" s="218"/>
      <c r="B329" s="218"/>
      <c r="C329" s="218"/>
      <c r="D329" s="1270"/>
      <c r="E329" s="1270"/>
      <c r="F329" s="1270"/>
      <c r="G329"/>
    </row>
    <row r="330" spans="1:7">
      <c r="A330" s="218"/>
      <c r="B330" s="218"/>
      <c r="C330" s="218"/>
      <c r="D330"/>
      <c r="E330" s="220"/>
      <c r="F330" s="35"/>
      <c r="G330"/>
    </row>
    <row r="331" spans="1:7" ht="14.25">
      <c r="A331" s="176"/>
      <c r="B331" s="468" t="s">
        <v>307</v>
      </c>
      <c r="C331" s="218"/>
      <c r="D331" s="1270" t="s">
        <v>1222</v>
      </c>
      <c r="E331" s="1270"/>
      <c r="F331" s="1270"/>
      <c r="G331"/>
    </row>
    <row r="332" spans="1:7">
      <c r="A332" s="218"/>
      <c r="B332" s="218"/>
      <c r="C332" s="218"/>
      <c r="D332" s="1270"/>
      <c r="E332" s="1270"/>
      <c r="F332" s="1270"/>
      <c r="G332"/>
    </row>
    <row r="333" spans="1:7">
      <c r="A333" s="218"/>
      <c r="B333" s="218"/>
      <c r="C333" s="218"/>
      <c r="D333" s="1270"/>
      <c r="E333" s="1270"/>
      <c r="F333" s="1270"/>
      <c r="G333"/>
    </row>
    <row r="334" spans="1:7">
      <c r="A334" s="218"/>
      <c r="B334" s="218"/>
      <c r="C334" s="218"/>
      <c r="D334" s="1270"/>
      <c r="E334" s="1270"/>
      <c r="F334" s="1270"/>
      <c r="G334"/>
    </row>
    <row r="335" spans="1:7">
      <c r="A335" s="218"/>
      <c r="B335" s="218"/>
      <c r="C335" s="218"/>
      <c r="D335" s="220"/>
      <c r="E335" s="220"/>
      <c r="F335" s="35"/>
      <c r="G335"/>
    </row>
    <row r="336" spans="1:7">
      <c r="A336" s="218"/>
      <c r="B336" s="218"/>
      <c r="C336" s="218"/>
      <c r="D336" s="1270" t="s">
        <v>1223</v>
      </c>
      <c r="E336" s="1270"/>
      <c r="F336" s="1270"/>
      <c r="G336"/>
    </row>
    <row r="337" spans="1:7">
      <c r="A337" s="218"/>
      <c r="B337" s="218"/>
      <c r="C337" s="218"/>
      <c r="D337" s="1270"/>
      <c r="E337" s="1270"/>
      <c r="F337" s="1270"/>
      <c r="G337"/>
    </row>
    <row r="338" spans="1:7">
      <c r="A338" s="218"/>
      <c r="B338" s="218"/>
      <c r="C338" s="218"/>
      <c r="D338" s="1270"/>
      <c r="E338" s="1270"/>
      <c r="F338" s="1270"/>
      <c r="G338"/>
    </row>
    <row r="339" spans="1:7">
      <c r="A339" s="218"/>
      <c r="B339" s="218"/>
      <c r="C339" s="218"/>
      <c r="D339" s="1270"/>
      <c r="E339" s="1270"/>
      <c r="F339" s="1270"/>
      <c r="G339"/>
    </row>
    <row r="340" spans="1:7" ht="18" customHeight="1">
      <c r="A340" s="218"/>
      <c r="B340" s="218"/>
      <c r="C340" s="218"/>
      <c r="D340" s="1270"/>
      <c r="E340" s="1270"/>
      <c r="F340" s="1270"/>
      <c r="G340"/>
    </row>
    <row r="341" spans="1:7">
      <c r="A341" s="218"/>
      <c r="B341" s="218"/>
      <c r="C341" s="218"/>
      <c r="D341" s="1270"/>
      <c r="E341" s="1270"/>
      <c r="F341" s="1270"/>
      <c r="G341"/>
    </row>
    <row r="342" spans="1:7">
      <c r="A342" s="218"/>
      <c r="B342" s="218"/>
      <c r="C342" s="218"/>
      <c r="D342" s="1270"/>
      <c r="E342" s="1270"/>
      <c r="F342" s="1270"/>
      <c r="G342"/>
    </row>
    <row r="343" spans="1:7">
      <c r="A343" s="218"/>
      <c r="B343" s="218"/>
      <c r="C343" s="218"/>
      <c r="D343" s="1270"/>
      <c r="E343" s="1270"/>
      <c r="F343" s="1270"/>
      <c r="G343"/>
    </row>
    <row r="344" spans="1:7" ht="8.25" customHeight="1">
      <c r="A344" s="218"/>
      <c r="B344" s="218"/>
      <c r="C344" s="218"/>
      <c r="D344" s="1270"/>
      <c r="E344" s="1270"/>
      <c r="F344" s="1270"/>
      <c r="G344"/>
    </row>
    <row r="345" spans="1:7" ht="13.15" customHeight="1">
      <c r="A345" s="218"/>
      <c r="B345" s="218"/>
      <c r="C345" s="218"/>
      <c r="D345" s="1270" t="s">
        <v>1224</v>
      </c>
      <c r="E345" s="1270"/>
      <c r="F345" s="1270"/>
      <c r="G345"/>
    </row>
    <row r="346" spans="1:7">
      <c r="A346" s="218"/>
      <c r="B346" s="218"/>
      <c r="C346" s="218"/>
      <c r="D346" s="1270"/>
      <c r="E346" s="1270"/>
      <c r="F346" s="1270"/>
      <c r="G346"/>
    </row>
    <row r="347" spans="1:7">
      <c r="A347" s="218"/>
      <c r="B347" s="218"/>
      <c r="C347" s="218"/>
      <c r="D347" s="1270"/>
      <c r="E347" s="1270"/>
      <c r="F347" s="1270"/>
      <c r="G347"/>
    </row>
    <row r="348" spans="1:7">
      <c r="A348" s="218"/>
      <c r="B348" s="218"/>
      <c r="C348" s="218"/>
      <c r="D348" s="1270"/>
      <c r="E348" s="1270"/>
      <c r="F348" s="1270"/>
      <c r="G348"/>
    </row>
    <row r="349" spans="1:7">
      <c r="A349" s="218"/>
      <c r="B349" s="218"/>
      <c r="C349" s="218"/>
      <c r="D349" s="1270"/>
      <c r="E349" s="1270"/>
      <c r="F349" s="1270"/>
      <c r="G349"/>
    </row>
    <row r="350" spans="1:7">
      <c r="A350" s="218"/>
      <c r="B350" s="218"/>
      <c r="C350" s="218"/>
      <c r="D350" s="1270"/>
      <c r="E350" s="1270"/>
      <c r="F350" s="1270"/>
      <c r="G350"/>
    </row>
    <row r="351" spans="1:7">
      <c r="A351" s="218"/>
      <c r="B351" s="218"/>
      <c r="C351" s="218"/>
      <c r="D351" s="1270"/>
      <c r="E351" s="1270"/>
      <c r="F351" s="1270"/>
      <c r="G351"/>
    </row>
    <row r="352" spans="1:7">
      <c r="A352" s="218"/>
      <c r="B352" s="218"/>
      <c r="C352" s="218"/>
      <c r="D352" s="1270"/>
      <c r="E352" s="1270"/>
      <c r="F352" s="1270"/>
      <c r="G352"/>
    </row>
    <row r="353" spans="1:7">
      <c r="A353" s="218"/>
      <c r="B353" s="218"/>
      <c r="C353" s="218"/>
      <c r="D353" s="1270"/>
      <c r="E353" s="1270"/>
      <c r="F353" s="1270"/>
      <c r="G353"/>
    </row>
    <row r="354" spans="1:7">
      <c r="A354" s="218"/>
      <c r="B354" s="218"/>
      <c r="C354" s="218"/>
      <c r="D354" s="1270"/>
      <c r="E354" s="1270"/>
      <c r="F354" s="1270"/>
      <c r="G354"/>
    </row>
    <row r="355" spans="1:7">
      <c r="A355" s="218"/>
      <c r="B355" s="218"/>
      <c r="C355" s="218"/>
      <c r="D355" s="1270"/>
      <c r="E355" s="1270"/>
      <c r="F355" s="1270"/>
      <c r="G355"/>
    </row>
    <row r="356" spans="1:7">
      <c r="A356" s="218"/>
      <c r="B356" s="218"/>
      <c r="C356" s="218"/>
      <c r="D356" s="1270"/>
      <c r="E356" s="1270"/>
      <c r="F356" s="1270"/>
      <c r="G356"/>
    </row>
    <row r="357" spans="1:7">
      <c r="A357" s="218"/>
      <c r="B357" s="218"/>
      <c r="C357" s="347"/>
      <c r="D357" s="1270"/>
      <c r="E357" s="1270"/>
      <c r="F357" s="1270"/>
      <c r="G357"/>
    </row>
    <row r="358" spans="1:7">
      <c r="A358" s="218"/>
      <c r="B358" s="218"/>
      <c r="C358" s="347"/>
      <c r="D358" s="1270"/>
      <c r="E358" s="1270"/>
      <c r="F358" s="1270"/>
      <c r="G358"/>
    </row>
    <row r="359" spans="1:7">
      <c r="A359" s="218"/>
      <c r="B359" s="218"/>
      <c r="C359" s="218"/>
      <c r="D359" s="1270"/>
      <c r="E359" s="1270"/>
      <c r="F359" s="1270"/>
      <c r="G359"/>
    </row>
    <row r="360" spans="1:7">
      <c r="A360" s="218"/>
      <c r="B360" s="218"/>
      <c r="C360" s="347"/>
      <c r="D360" s="1270"/>
      <c r="E360" s="1270"/>
      <c r="F360" s="1270"/>
      <c r="G360"/>
    </row>
    <row r="361" spans="1:7">
      <c r="A361" s="218"/>
      <c r="B361" s="218"/>
      <c r="C361" s="347"/>
      <c r="D361" s="1270"/>
      <c r="E361" s="1270"/>
      <c r="F361" s="1270"/>
      <c r="G361"/>
    </row>
    <row r="362" spans="1:7">
      <c r="A362" s="218"/>
      <c r="B362" s="218"/>
      <c r="C362" s="347"/>
      <c r="D362" s="1270"/>
      <c r="E362" s="1270"/>
      <c r="F362" s="1270"/>
      <c r="G362"/>
    </row>
    <row r="363" spans="1:7">
      <c r="A363" s="218"/>
      <c r="B363" s="218"/>
      <c r="C363" s="218"/>
      <c r="D363" s="220"/>
      <c r="E363" s="220"/>
      <c r="F363" s="35"/>
      <c r="G363"/>
    </row>
    <row r="364" spans="1:7">
      <c r="A364" s="218"/>
      <c r="B364" s="468" t="s">
        <v>307</v>
      </c>
      <c r="C364" s="218"/>
      <c r="D364" s="1270" t="s">
        <v>1225</v>
      </c>
      <c r="E364" s="1270"/>
      <c r="F364" s="1270"/>
      <c r="G364"/>
    </row>
    <row r="365" spans="1:7">
      <c r="A365" s="218"/>
      <c r="B365" s="218"/>
      <c r="C365" s="218"/>
      <c r="D365" s="1270"/>
      <c r="E365" s="1270"/>
      <c r="F365" s="1270"/>
      <c r="G365"/>
    </row>
    <row r="366" spans="1:7">
      <c r="A366" s="218"/>
      <c r="B366" s="218"/>
      <c r="C366" s="218"/>
      <c r="D366" s="220"/>
      <c r="E366" s="220"/>
      <c r="F366" s="35"/>
      <c r="G366"/>
    </row>
    <row r="367" spans="1:7" ht="14.25">
      <c r="A367" s="176"/>
      <c r="B367" s="468" t="s">
        <v>307</v>
      </c>
      <c r="C367" s="218"/>
      <c r="D367" s="1270" t="s">
        <v>1226</v>
      </c>
      <c r="E367" s="1270"/>
      <c r="F367" s="1270"/>
      <c r="G367"/>
    </row>
    <row r="368" spans="1:7" ht="14.25">
      <c r="A368" s="346"/>
      <c r="B368" s="346"/>
      <c r="C368" s="218"/>
      <c r="D368" s="1270"/>
      <c r="E368" s="1270"/>
      <c r="F368" s="1270"/>
      <c r="G368"/>
    </row>
    <row r="369" spans="1:7" ht="14.25">
      <c r="A369" s="346"/>
      <c r="B369" s="346"/>
      <c r="C369" s="218"/>
      <c r="D369" s="1270"/>
      <c r="E369" s="1270"/>
      <c r="F369" s="1270"/>
      <c r="G369"/>
    </row>
    <row r="370" spans="1:7" ht="14.25">
      <c r="A370" s="346"/>
      <c r="B370" s="346"/>
      <c r="C370" s="218"/>
      <c r="D370" s="1270"/>
      <c r="E370" s="1270"/>
      <c r="F370" s="1270"/>
      <c r="G370"/>
    </row>
    <row r="371" spans="1:7" ht="14.25">
      <c r="A371" s="346"/>
      <c r="B371" s="346"/>
      <c r="C371" s="218"/>
      <c r="D371" s="1270"/>
      <c r="E371" s="1270"/>
      <c r="F371" s="1270"/>
      <c r="G371"/>
    </row>
    <row r="372" spans="1:7">
      <c r="D372" s="35"/>
      <c r="E372" s="35"/>
      <c r="F372" s="35"/>
      <c r="G372"/>
    </row>
    <row r="373" spans="1:7" ht="14.25">
      <c r="A373" s="176"/>
      <c r="B373" s="468" t="s">
        <v>307</v>
      </c>
      <c r="C373" s="179"/>
      <c r="D373" s="1267" t="s">
        <v>1227</v>
      </c>
      <c r="E373" s="1267"/>
      <c r="F373" s="1267"/>
      <c r="G373"/>
    </row>
    <row r="374" spans="1:7" ht="14.25">
      <c r="A374" s="176"/>
      <c r="B374" s="176"/>
      <c r="D374" s="1267"/>
      <c r="E374" s="1267"/>
      <c r="F374" s="1267"/>
      <c r="G374"/>
    </row>
    <row r="375" spans="1:7">
      <c r="D375" s="1267"/>
      <c r="E375" s="1267"/>
      <c r="F375" s="1267"/>
      <c r="G375"/>
    </row>
    <row r="376" spans="1:7">
      <c r="D376" s="1267"/>
      <c r="E376" s="1267"/>
      <c r="F376" s="1267"/>
      <c r="G376"/>
    </row>
    <row r="377" spans="1:7">
      <c r="D377" s="1267"/>
      <c r="E377" s="1267"/>
      <c r="F377" s="1267"/>
      <c r="G377"/>
    </row>
    <row r="378" spans="1:7">
      <c r="D378" s="1267"/>
      <c r="E378" s="1267"/>
      <c r="F378" s="1267"/>
      <c r="G378"/>
    </row>
    <row r="379" spans="1:7">
      <c r="D379" s="1267"/>
      <c r="E379" s="1267"/>
      <c r="F379" s="1267"/>
      <c r="G379"/>
    </row>
    <row r="380" spans="1:7">
      <c r="D380" s="1267"/>
      <c r="E380" s="1267"/>
      <c r="F380" s="1267"/>
      <c r="G380"/>
    </row>
    <row r="381" spans="1:7">
      <c r="D381" s="1267"/>
      <c r="E381" s="1267"/>
      <c r="F381" s="1267"/>
      <c r="G381"/>
    </row>
    <row r="382" spans="1:7">
      <c r="D382" s="1267"/>
      <c r="E382" s="1267"/>
      <c r="F382" s="1267"/>
      <c r="G382"/>
    </row>
    <row r="383" spans="1:7">
      <c r="D383" s="1267"/>
      <c r="E383" s="1267"/>
      <c r="F383" s="1267"/>
      <c r="G383"/>
    </row>
    <row r="384" spans="1:7">
      <c r="D384" s="1267"/>
      <c r="E384" s="1267"/>
      <c r="F384" s="1267"/>
      <c r="G384"/>
    </row>
    <row r="385" spans="1:7">
      <c r="D385" s="1267"/>
      <c r="E385" s="1267"/>
      <c r="F385" s="1267"/>
      <c r="G385"/>
    </row>
    <row r="386" spans="1:7">
      <c r="A386"/>
      <c r="B386"/>
      <c r="C386"/>
      <c r="D386" s="1267"/>
      <c r="E386" s="1267"/>
      <c r="F386" s="1267"/>
      <c r="G386"/>
    </row>
    <row r="387" spans="1:7">
      <c r="A387"/>
      <c r="B387"/>
      <c r="C387"/>
      <c r="D387" s="1267"/>
      <c r="E387" s="1267"/>
      <c r="F387" s="1267"/>
      <c r="G387"/>
    </row>
    <row r="388" spans="1:7">
      <c r="A388"/>
      <c r="B388"/>
      <c r="C388"/>
      <c r="D388" s="1267"/>
      <c r="E388" s="1267"/>
      <c r="F388" s="1267"/>
      <c r="G388"/>
    </row>
    <row r="389" spans="1:7">
      <c r="A389"/>
      <c r="B389"/>
      <c r="C389"/>
      <c r="D389" s="1267"/>
      <c r="E389" s="1267"/>
      <c r="F389" s="1267"/>
      <c r="G389"/>
    </row>
    <row r="390" spans="1:7">
      <c r="A390"/>
      <c r="B390"/>
      <c r="C390"/>
      <c r="D390" s="1267"/>
      <c r="E390" s="1267"/>
      <c r="F390" s="1267"/>
      <c r="G390"/>
    </row>
    <row r="391" spans="1:7">
      <c r="A391"/>
      <c r="B391"/>
      <c r="C391"/>
      <c r="D391" s="1267"/>
      <c r="E391" s="1267"/>
      <c r="F391" s="1267"/>
      <c r="G391"/>
    </row>
    <row r="392" spans="1:7">
      <c r="A392"/>
      <c r="B392"/>
      <c r="C392"/>
      <c r="D392" s="1267"/>
      <c r="E392" s="1267"/>
      <c r="F392" s="1267"/>
      <c r="G392"/>
    </row>
    <row r="393" spans="1:7">
      <c r="A393"/>
      <c r="B393"/>
      <c r="C393"/>
      <c r="D393" s="1267"/>
      <c r="E393" s="1267"/>
      <c r="F393" s="1267"/>
      <c r="G393"/>
    </row>
    <row r="394" spans="1:7">
      <c r="A394"/>
      <c r="B394"/>
      <c r="C394"/>
      <c r="D394" s="1267"/>
      <c r="E394" s="1267"/>
      <c r="F394" s="1267"/>
      <c r="G394"/>
    </row>
    <row r="395" spans="1:7">
      <c r="A395"/>
      <c r="B395"/>
      <c r="C395"/>
      <c r="D395" s="1267"/>
      <c r="E395" s="1267"/>
      <c r="F395" s="1267"/>
      <c r="G395"/>
    </row>
    <row r="396" spans="1:7">
      <c r="A396"/>
      <c r="B396"/>
      <c r="C396"/>
      <c r="D396" s="1267"/>
      <c r="E396" s="1267"/>
      <c r="F396" s="1267"/>
      <c r="G396"/>
    </row>
    <row r="397" spans="1:7">
      <c r="A397"/>
      <c r="B397"/>
      <c r="C397"/>
      <c r="D397" s="1267"/>
      <c r="E397" s="1267"/>
      <c r="F397" s="1267"/>
      <c r="G397"/>
    </row>
    <row r="398" spans="1:7">
      <c r="A398"/>
      <c r="B398"/>
      <c r="C398"/>
      <c r="D398" s="1267"/>
      <c r="E398" s="1267"/>
      <c r="F398" s="1267"/>
      <c r="G398"/>
    </row>
    <row r="399" spans="1:7">
      <c r="A399"/>
      <c r="B399"/>
      <c r="C399"/>
      <c r="D399" s="1267"/>
      <c r="E399" s="1267"/>
      <c r="F399" s="1267"/>
      <c r="G399"/>
    </row>
    <row r="400" spans="1:7">
      <c r="A400"/>
      <c r="B400"/>
      <c r="C400"/>
      <c r="D400" s="1267"/>
      <c r="E400" s="1267"/>
      <c r="F400" s="1267"/>
      <c r="G400"/>
    </row>
    <row r="401" spans="1:7">
      <c r="A401"/>
      <c r="B401"/>
      <c r="C401"/>
      <c r="D401" s="1267"/>
      <c r="E401" s="1267"/>
      <c r="F401" s="1267"/>
      <c r="G401"/>
    </row>
    <row r="402" spans="1:7">
      <c r="D402" s="1267"/>
      <c r="E402" s="1267"/>
      <c r="F402" s="1267"/>
    </row>
    <row r="403" spans="1:7" ht="40.700000000000003" customHeight="1">
      <c r="D403" s="1267"/>
      <c r="E403" s="1267"/>
      <c r="F403" s="1267"/>
    </row>
    <row r="404" spans="1:7">
      <c r="D404" s="35"/>
      <c r="E404" s="35"/>
      <c r="F404" s="35"/>
    </row>
    <row r="405" spans="1:7" ht="14.25">
      <c r="A405" s="176"/>
      <c r="B405" s="468" t="s">
        <v>307</v>
      </c>
      <c r="C405" s="179"/>
      <c r="D405" s="1287" t="s">
        <v>1228</v>
      </c>
      <c r="E405" s="1287"/>
      <c r="F405" s="1287"/>
    </row>
    <row r="406" spans="1:7">
      <c r="D406" s="1312" t="s">
        <v>1003</v>
      </c>
      <c r="E406" s="1312"/>
      <c r="F406" s="1312"/>
    </row>
    <row r="407" spans="1:7">
      <c r="D407" s="1267" t="s">
        <v>1229</v>
      </c>
      <c r="E407" s="1267"/>
      <c r="F407" s="1267"/>
    </row>
    <row r="408" spans="1:7">
      <c r="D408" s="1267"/>
      <c r="E408" s="1267"/>
      <c r="F408" s="1267"/>
    </row>
    <row r="409" spans="1:7">
      <c r="D409" s="1267"/>
      <c r="E409" s="1267"/>
      <c r="F409" s="1267"/>
    </row>
    <row r="410" spans="1:7">
      <c r="D410" s="1267"/>
      <c r="E410" s="1267"/>
      <c r="F410" s="1267"/>
    </row>
    <row r="411" spans="1:7">
      <c r="D411" s="35"/>
      <c r="E411" s="35"/>
      <c r="F411" s="35"/>
      <c r="G411"/>
    </row>
    <row r="412" spans="1:7" ht="14.25">
      <c r="A412" s="176"/>
      <c r="B412" s="468" t="s">
        <v>307</v>
      </c>
      <c r="C412" s="179"/>
      <c r="D412" s="1267" t="s">
        <v>1230</v>
      </c>
      <c r="E412" s="1267"/>
      <c r="F412" s="1267"/>
      <c r="G412"/>
    </row>
    <row r="413" spans="1:7">
      <c r="D413" s="1267"/>
      <c r="E413" s="1267"/>
      <c r="F413" s="1267"/>
      <c r="G413"/>
    </row>
    <row r="414" spans="1:7">
      <c r="D414" s="1267"/>
      <c r="E414" s="1267"/>
      <c r="F414" s="1267"/>
      <c r="G414"/>
    </row>
    <row r="415" spans="1:7">
      <c r="D415" s="474"/>
      <c r="E415" s="474"/>
      <c r="F415" s="474"/>
      <c r="G415"/>
    </row>
    <row r="416" spans="1:7" ht="14.25">
      <c r="B416" s="468" t="s">
        <v>307</v>
      </c>
      <c r="C416" s="176"/>
      <c r="D416" s="1267" t="s">
        <v>1231</v>
      </c>
      <c r="E416" s="1267"/>
      <c r="F416" s="1267"/>
      <c r="G416"/>
    </row>
    <row r="417" spans="1:7">
      <c r="D417" s="1267"/>
      <c r="E417" s="1267"/>
      <c r="F417" s="1267"/>
      <c r="G417"/>
    </row>
    <row r="418" spans="1:7">
      <c r="D418" s="35"/>
      <c r="E418" s="35"/>
      <c r="F418" s="35"/>
      <c r="G418"/>
    </row>
    <row r="419" spans="1:7" ht="14.25">
      <c r="B419" s="468" t="s">
        <v>307</v>
      </c>
      <c r="C419" s="176"/>
      <c r="D419" s="1267" t="s">
        <v>1232</v>
      </c>
      <c r="E419" s="1267"/>
      <c r="F419" s="1267"/>
      <c r="G419"/>
    </row>
    <row r="420" spans="1:7">
      <c r="D420" s="1267"/>
      <c r="E420" s="1267"/>
      <c r="F420" s="1267"/>
      <c r="G420"/>
    </row>
    <row r="421" spans="1:7">
      <c r="D421" s="1267"/>
      <c r="E421" s="1267"/>
      <c r="F421" s="1267"/>
      <c r="G421"/>
    </row>
    <row r="422" spans="1:7">
      <c r="D422" s="1267"/>
      <c r="E422" s="1267"/>
      <c r="F422" s="1267"/>
      <c r="G422"/>
    </row>
    <row r="423" spans="1:7">
      <c r="B423" s="468" t="s">
        <v>307</v>
      </c>
      <c r="D423" s="1267"/>
      <c r="E423" s="1267"/>
      <c r="F423" s="1267"/>
      <c r="G423"/>
    </row>
    <row r="424" spans="1:7">
      <c r="A424"/>
      <c r="B424"/>
      <c r="C424"/>
      <c r="D424" s="1267"/>
      <c r="E424" s="1267"/>
      <c r="F424" s="1267"/>
      <c r="G424"/>
    </row>
    <row r="425" spans="1:7">
      <c r="A425"/>
      <c r="C425"/>
      <c r="D425" s="1267"/>
      <c r="E425" s="1267"/>
      <c r="F425" s="1267"/>
      <c r="G425"/>
    </row>
    <row r="426" spans="1:7">
      <c r="A426"/>
      <c r="B426" s="468" t="s">
        <v>307</v>
      </c>
      <c r="C426"/>
      <c r="D426" s="1267"/>
      <c r="E426" s="1267"/>
      <c r="F426" s="1267"/>
      <c r="G426"/>
    </row>
    <row r="427" spans="1:7">
      <c r="A427"/>
      <c r="B427"/>
      <c r="C427"/>
      <c r="D427" s="1267"/>
      <c r="E427" s="1267"/>
      <c r="F427" s="1267"/>
      <c r="G427"/>
    </row>
    <row r="428" spans="1:7">
      <c r="A428"/>
      <c r="C428"/>
      <c r="D428" s="1267"/>
      <c r="E428" s="1267"/>
      <c r="F428" s="1267"/>
      <c r="G428"/>
    </row>
    <row r="429" spans="1:7">
      <c r="A429"/>
      <c r="C429"/>
      <c r="D429" s="1267"/>
      <c r="E429" s="1267"/>
      <c r="F429" s="1267"/>
      <c r="G429"/>
    </row>
    <row r="430" spans="1:7">
      <c r="A430"/>
      <c r="B430" s="468" t="s">
        <v>307</v>
      </c>
      <c r="C430"/>
      <c r="D430" s="1267"/>
      <c r="E430" s="1267"/>
      <c r="F430" s="1267"/>
      <c r="G430"/>
    </row>
    <row r="431" spans="1:7">
      <c r="A431"/>
      <c r="B431"/>
      <c r="C431"/>
      <c r="D431" s="1267"/>
      <c r="E431" s="1267"/>
      <c r="F431" s="1267"/>
      <c r="G431"/>
    </row>
    <row r="432" spans="1:7">
      <c r="A432"/>
      <c r="B432" s="468" t="s">
        <v>307</v>
      </c>
      <c r="C432"/>
      <c r="D432" s="1267"/>
      <c r="E432" s="1267"/>
      <c r="F432" s="1267"/>
      <c r="G432"/>
    </row>
    <row r="433" spans="1:7">
      <c r="A433"/>
      <c r="B433"/>
      <c r="C433"/>
      <c r="D433" s="474"/>
      <c r="E433" s="474"/>
      <c r="F433" s="474"/>
      <c r="G433"/>
    </row>
    <row r="434" spans="1:7">
      <c r="A434"/>
      <c r="B434" s="468" t="s">
        <v>307</v>
      </c>
      <c r="C434"/>
      <c r="D434" s="1267" t="s">
        <v>1233</v>
      </c>
      <c r="E434" s="1267"/>
      <c r="F434" s="1267"/>
      <c r="G434"/>
    </row>
    <row r="435" spans="1:7">
      <c r="A435"/>
      <c r="B435"/>
      <c r="C435"/>
      <c r="D435" s="1267"/>
      <c r="E435" s="1267"/>
      <c r="F435" s="1267"/>
      <c r="G435"/>
    </row>
    <row r="436" spans="1:7">
      <c r="A436"/>
      <c r="B436"/>
      <c r="C436"/>
      <c r="D436" s="1267"/>
      <c r="E436" s="1267"/>
      <c r="F436" s="1267"/>
      <c r="G436"/>
    </row>
    <row r="437" spans="1:7">
      <c r="A437"/>
      <c r="B437"/>
      <c r="C437"/>
      <c r="D437" s="1267"/>
      <c r="E437" s="1267"/>
      <c r="F437" s="1267"/>
      <c r="G437"/>
    </row>
    <row r="438" spans="1:7">
      <c r="D438" s="1267"/>
      <c r="E438" s="1267"/>
      <c r="F438" s="1267"/>
    </row>
    <row r="439" spans="1:7">
      <c r="D439" s="35"/>
      <c r="E439" s="35"/>
      <c r="F439" s="35"/>
    </row>
    <row r="440" spans="1:7">
      <c r="B440" s="468" t="s">
        <v>307</v>
      </c>
      <c r="D440" s="1287" t="s">
        <v>1234</v>
      </c>
      <c r="E440" s="1287"/>
      <c r="F440" s="1287"/>
    </row>
    <row r="441" spans="1:7">
      <c r="A441" s="35"/>
      <c r="B441" s="35"/>
    </row>
    <row r="442" spans="1:7">
      <c r="A442" s="1288" t="s">
        <v>1075</v>
      </c>
      <c r="B442" s="1288"/>
      <c r="C442" s="1288"/>
      <c r="D442" s="1288"/>
      <c r="E442" s="1288"/>
      <c r="F442" s="1288"/>
      <c r="G442" s="1288"/>
    </row>
    <row r="443" spans="1:7">
      <c r="A443" s="35"/>
      <c r="B443" s="35"/>
    </row>
    <row r="444" spans="1:7">
      <c r="D444" s="1318" t="s">
        <v>894</v>
      </c>
      <c r="E444" s="1318"/>
      <c r="F444" s="1318"/>
    </row>
    <row r="445" spans="1:7" ht="14.25">
      <c r="A445" s="176"/>
      <c r="B445" s="176"/>
      <c r="D445" s="1315" t="s">
        <v>1235</v>
      </c>
      <c r="E445" s="1315"/>
      <c r="F445" s="1315"/>
    </row>
    <row r="446" spans="1:7" ht="14.25">
      <c r="A446" s="176"/>
      <c r="B446" s="176"/>
      <c r="D446" s="481"/>
      <c r="E446" s="3"/>
      <c r="F446" s="3"/>
    </row>
    <row r="447" spans="1:7" ht="14.25">
      <c r="A447" s="176"/>
      <c r="B447" s="468" t="s">
        <v>307</v>
      </c>
      <c r="D447" s="1270" t="s">
        <v>1236</v>
      </c>
      <c r="E447" s="1270"/>
      <c r="F447" s="1270"/>
    </row>
    <row r="448" spans="1:7" ht="14.25">
      <c r="A448" s="176"/>
      <c r="B448" s="176"/>
      <c r="D448" s="1270"/>
      <c r="E448" s="1270"/>
      <c r="F448" s="1270"/>
    </row>
    <row r="449" spans="1:7" ht="14.25">
      <c r="A449" s="176"/>
      <c r="B449" s="176"/>
      <c r="D449" s="118"/>
      <c r="E449" s="3"/>
      <c r="F449" s="3"/>
    </row>
    <row r="450" spans="1:7">
      <c r="B450" s="468" t="s">
        <v>307</v>
      </c>
      <c r="D450" s="1304" t="s">
        <v>1237</v>
      </c>
      <c r="E450" s="1304"/>
      <c r="F450" s="1304"/>
    </row>
    <row r="451" spans="1:7" ht="14.25">
      <c r="A451" s="176"/>
      <c r="D451" s="1304"/>
      <c r="E451" s="1304"/>
      <c r="F451" s="1304"/>
    </row>
    <row r="452" spans="1:7" ht="14.25">
      <c r="A452" s="176"/>
      <c r="B452" s="176"/>
      <c r="D452" s="1304"/>
      <c r="E452" s="1304"/>
      <c r="F452" s="1304"/>
    </row>
    <row r="453" spans="1:7" ht="14.25">
      <c r="A453" s="176"/>
      <c r="B453" s="176"/>
      <c r="D453" s="1304"/>
      <c r="E453" s="1304"/>
      <c r="F453" s="1304"/>
    </row>
    <row r="454" spans="1:7">
      <c r="D454" s="3"/>
      <c r="E454" s="3"/>
      <c r="F454" s="3"/>
      <c r="G454"/>
    </row>
    <row r="455" spans="1:7" ht="14.25">
      <c r="A455" s="176"/>
      <c r="B455" s="468" t="s">
        <v>307</v>
      </c>
      <c r="D455" s="1267" t="s">
        <v>1238</v>
      </c>
      <c r="E455" s="1267"/>
      <c r="F455" s="1267"/>
      <c r="G455"/>
    </row>
    <row r="456" spans="1:7" ht="14.25">
      <c r="A456" s="176"/>
      <c r="B456" s="176"/>
      <c r="D456" s="1267"/>
      <c r="E456" s="1267"/>
      <c r="F456" s="1267"/>
      <c r="G456"/>
    </row>
    <row r="457" spans="1:7" ht="14.25">
      <c r="A457" s="176"/>
      <c r="D457" s="1267"/>
      <c r="E457" s="1267"/>
      <c r="F457" s="1267"/>
      <c r="G457"/>
    </row>
    <row r="458" spans="1:7" ht="14.25">
      <c r="A458" s="176"/>
      <c r="B458" s="176"/>
      <c r="D458" s="3"/>
      <c r="E458" s="3"/>
      <c r="F458" s="3"/>
      <c r="G458"/>
    </row>
    <row r="459" spans="1:7" ht="14.25">
      <c r="A459" s="176"/>
      <c r="B459" s="468" t="s">
        <v>307</v>
      </c>
      <c r="D459" s="1287" t="s">
        <v>1239</v>
      </c>
      <c r="E459" s="1287"/>
      <c r="F459" s="1287"/>
      <c r="G459"/>
    </row>
    <row r="460" spans="1:7" ht="14.25">
      <c r="A460" s="176"/>
      <c r="B460" s="176"/>
      <c r="D460" s="118"/>
      <c r="E460" s="3"/>
      <c r="F460" s="3"/>
      <c r="G460"/>
    </row>
    <row r="461" spans="1:7" ht="14.25">
      <c r="A461" s="176"/>
      <c r="B461" s="468" t="s">
        <v>307</v>
      </c>
      <c r="D461" s="1267" t="s">
        <v>1240</v>
      </c>
      <c r="E461" s="1267"/>
      <c r="F461" s="1267"/>
      <c r="G461"/>
    </row>
    <row r="462" spans="1:7" ht="14.25">
      <c r="A462" s="176"/>
      <c r="D462" s="1267"/>
      <c r="E462" s="1267"/>
      <c r="F462" s="1267"/>
      <c r="G462"/>
    </row>
    <row r="463" spans="1:7">
      <c r="A463" s="13"/>
      <c r="B463" s="13"/>
      <c r="D463" s="481"/>
      <c r="E463" s="3"/>
      <c r="F463" s="3"/>
      <c r="G463"/>
    </row>
    <row r="464" spans="1:7">
      <c r="A464" s="13"/>
      <c r="B464" s="468" t="s">
        <v>307</v>
      </c>
      <c r="D464" s="1287" t="s">
        <v>1241</v>
      </c>
      <c r="E464" s="1287"/>
      <c r="F464" s="1287"/>
      <c r="G464"/>
    </row>
    <row r="465" spans="1:7" ht="14.25">
      <c r="A465" s="176"/>
      <c r="B465" s="176"/>
      <c r="D465" s="35"/>
    </row>
    <row r="466" spans="1:7">
      <c r="A466" s="1288" t="s">
        <v>1076</v>
      </c>
      <c r="B466" s="1288"/>
      <c r="C466" s="1288"/>
      <c r="D466" s="1288"/>
      <c r="E466" s="1288"/>
      <c r="F466" s="1288"/>
      <c r="G466" s="1288"/>
    </row>
    <row r="467" spans="1:7" ht="12" customHeight="1">
      <c r="A467" s="176"/>
      <c r="B467" s="176"/>
      <c r="D467" s="35"/>
    </row>
    <row r="468" spans="1:7">
      <c r="C468" s="172"/>
      <c r="D468" s="1286" t="s">
        <v>801</v>
      </c>
      <c r="E468" s="1286"/>
      <c r="F468" s="1286"/>
    </row>
    <row r="469" spans="1:7" ht="13.15" customHeight="1">
      <c r="A469" s="175"/>
      <c r="B469" s="175"/>
      <c r="C469" s="175"/>
      <c r="D469" s="1319" t="s">
        <v>1119</v>
      </c>
      <c r="E469" s="1319"/>
      <c r="F469" s="1319"/>
    </row>
    <row r="470" spans="1:7">
      <c r="A470" s="175"/>
      <c r="B470" s="175"/>
      <c r="C470" s="175"/>
      <c r="D470" s="1319"/>
      <c r="E470" s="1319"/>
      <c r="F470" s="1319"/>
    </row>
    <row r="471" spans="1:7">
      <c r="A471" s="175"/>
      <c r="B471" s="175"/>
      <c r="C471" s="175"/>
      <c r="D471" s="1319"/>
      <c r="E471" s="1319"/>
      <c r="F471" s="1319"/>
    </row>
    <row r="472" spans="1:7">
      <c r="A472" s="175"/>
      <c r="B472" s="175"/>
      <c r="C472" s="175"/>
      <c r="D472" s="1319"/>
      <c r="E472" s="1319"/>
      <c r="F472" s="1319"/>
    </row>
    <row r="473" spans="1:7">
      <c r="A473" s="175"/>
      <c r="B473" s="175"/>
      <c r="C473" s="175"/>
      <c r="D473" s="1319"/>
      <c r="E473" s="1319"/>
      <c r="F473" s="1319"/>
    </row>
    <row r="474" spans="1:7">
      <c r="A474" s="175"/>
      <c r="B474" s="175"/>
      <c r="C474" s="175"/>
      <c r="D474" s="326"/>
      <c r="F474" s="35"/>
    </row>
    <row r="475" spans="1:7" ht="14.45" customHeight="1">
      <c r="A475" s="176"/>
      <c r="B475" s="468" t="s">
        <v>307</v>
      </c>
      <c r="C475" s="175"/>
      <c r="D475" s="1303" t="s">
        <v>1110</v>
      </c>
      <c r="E475" s="1303"/>
      <c r="F475" s="1303"/>
    </row>
    <row r="476" spans="1:7">
      <c r="A476" s="175"/>
      <c r="B476" s="175"/>
      <c r="C476" s="175"/>
      <c r="D476" s="1303"/>
      <c r="E476" s="1303"/>
      <c r="F476" s="1303"/>
    </row>
    <row r="477" spans="1:7">
      <c r="A477" s="175"/>
      <c r="B477" s="175"/>
      <c r="C477" s="175"/>
      <c r="D477" s="1303"/>
      <c r="E477" s="1303"/>
      <c r="F477" s="1303"/>
    </row>
    <row r="478" spans="1:7">
      <c r="A478" s="175"/>
      <c r="B478" s="175"/>
      <c r="C478" s="175"/>
      <c r="D478" s="1303"/>
      <c r="E478" s="1303"/>
      <c r="F478" s="1303"/>
    </row>
    <row r="479" spans="1:7">
      <c r="A479" s="175"/>
      <c r="B479" s="175"/>
      <c r="C479" s="175"/>
      <c r="D479" s="1303"/>
      <c r="E479" s="1303"/>
      <c r="F479" s="1303"/>
    </row>
    <row r="480" spans="1:7">
      <c r="A480" s="175"/>
      <c r="B480" s="175"/>
      <c r="C480" s="175"/>
      <c r="D480" s="220"/>
      <c r="F480" s="35"/>
    </row>
    <row r="481" spans="1:6" ht="14.45" customHeight="1">
      <c r="A481" s="176"/>
      <c r="B481" s="468" t="s">
        <v>307</v>
      </c>
      <c r="C481" s="175"/>
      <c r="D481" s="1303" t="s">
        <v>1113</v>
      </c>
      <c r="E481" s="1303"/>
      <c r="F481" s="1303"/>
    </row>
    <row r="482" spans="1:6">
      <c r="A482" s="175"/>
      <c r="B482" s="175"/>
      <c r="C482" s="175"/>
      <c r="D482" s="1303"/>
      <c r="E482" s="1303"/>
      <c r="F482" s="1303"/>
    </row>
    <row r="483" spans="1:6">
      <c r="A483" s="175"/>
      <c r="B483" s="175"/>
      <c r="C483" s="175"/>
      <c r="D483" s="1303"/>
      <c r="E483" s="1303"/>
      <c r="F483" s="1303"/>
    </row>
    <row r="484" spans="1:6">
      <c r="A484" s="175"/>
      <c r="B484" s="175"/>
      <c r="C484" s="175"/>
      <c r="D484" s="1303"/>
      <c r="E484" s="1303"/>
      <c r="F484" s="1303"/>
    </row>
    <row r="485" spans="1:6" ht="9.9499999999999993" customHeight="1">
      <c r="A485" s="175"/>
      <c r="B485" s="175"/>
      <c r="C485" s="175"/>
      <c r="D485" s="220"/>
      <c r="F485" s="35"/>
    </row>
    <row r="486" spans="1:6" ht="14.45" customHeight="1">
      <c r="A486" s="176"/>
      <c r="B486" s="468" t="s">
        <v>307</v>
      </c>
      <c r="C486" s="175"/>
      <c r="D486" s="1303" t="s">
        <v>1111</v>
      </c>
      <c r="E486" s="1303"/>
      <c r="F486" s="1303"/>
    </row>
    <row r="487" spans="1:6">
      <c r="A487" s="175"/>
      <c r="B487" s="175"/>
      <c r="C487" s="175"/>
      <c r="D487" s="1303"/>
      <c r="E487" s="1303"/>
      <c r="F487" s="1303"/>
    </row>
    <row r="488" spans="1:6">
      <c r="A488" s="175"/>
      <c r="B488" s="175"/>
      <c r="C488" s="175"/>
      <c r="D488" s="1303"/>
      <c r="E488" s="1303"/>
      <c r="F488" s="1303"/>
    </row>
    <row r="489" spans="1:6">
      <c r="A489" s="175"/>
      <c r="B489" s="175"/>
      <c r="C489" s="175"/>
      <c r="D489" s="475"/>
      <c r="E489" s="475"/>
      <c r="F489" s="475"/>
    </row>
    <row r="490" spans="1:6" ht="14.45" customHeight="1">
      <c r="A490" s="176"/>
      <c r="B490" s="468" t="s">
        <v>307</v>
      </c>
      <c r="C490" s="175"/>
      <c r="D490" s="1303" t="s">
        <v>1112</v>
      </c>
      <c r="E490" s="1303"/>
      <c r="F490" s="1303"/>
    </row>
    <row r="491" spans="1:6">
      <c r="A491" s="175"/>
      <c r="B491" s="175"/>
      <c r="C491" s="175"/>
      <c r="D491" s="1303"/>
      <c r="E491" s="1303"/>
      <c r="F491" s="1303"/>
    </row>
    <row r="492" spans="1:6">
      <c r="A492" s="175"/>
      <c r="B492" s="175"/>
      <c r="C492" s="175"/>
      <c r="D492" s="1303"/>
      <c r="E492" s="1303"/>
      <c r="F492" s="1303"/>
    </row>
    <row r="493" spans="1:6">
      <c r="A493" s="175"/>
      <c r="B493" s="175"/>
      <c r="C493" s="175"/>
      <c r="D493" s="1303"/>
      <c r="E493" s="1303"/>
      <c r="F493" s="1303"/>
    </row>
    <row r="494" spans="1:6">
      <c r="A494" s="175"/>
      <c r="B494" s="175"/>
      <c r="C494" s="175"/>
      <c r="D494" s="1303"/>
      <c r="E494" s="1303"/>
      <c r="F494" s="1303"/>
    </row>
    <row r="495" spans="1:6">
      <c r="A495" s="175"/>
      <c r="B495" s="175"/>
      <c r="C495" s="175"/>
      <c r="D495" s="1303"/>
      <c r="E495" s="1303"/>
      <c r="F495" s="1303"/>
    </row>
    <row r="496" spans="1:6">
      <c r="A496" s="175"/>
      <c r="B496" s="175"/>
      <c r="C496" s="175"/>
      <c r="D496" s="1303"/>
      <c r="E496" s="1303"/>
      <c r="F496" s="1303"/>
    </row>
    <row r="497" spans="1:7">
      <c r="A497" s="175"/>
      <c r="B497" s="175"/>
      <c r="C497" s="175"/>
      <c r="D497" s="1303"/>
      <c r="E497" s="1303"/>
      <c r="F497" s="1303"/>
    </row>
    <row r="498" spans="1:7">
      <c r="A498" s="175"/>
      <c r="B498" s="175"/>
      <c r="C498" s="175"/>
      <c r="D498" s="1303"/>
      <c r="E498" s="1303"/>
      <c r="F498" s="1303"/>
    </row>
    <row r="499" spans="1:7">
      <c r="A499" s="175"/>
      <c r="B499" s="175"/>
      <c r="C499" s="175"/>
      <c r="D499" s="220"/>
      <c r="F499" s="35"/>
    </row>
    <row r="500" spans="1:7" ht="13.15" customHeight="1">
      <c r="A500" s="175"/>
      <c r="B500" s="468" t="s">
        <v>307</v>
      </c>
      <c r="C500" s="175"/>
      <c r="D500" s="1270" t="s">
        <v>1256</v>
      </c>
      <c r="E500" s="1270"/>
      <c r="F500" s="1270"/>
    </row>
    <row r="501" spans="1:7">
      <c r="A501" s="175"/>
      <c r="B501" s="175"/>
      <c r="C501" s="175"/>
      <c r="D501" s="1270"/>
      <c r="E501" s="1270"/>
      <c r="F501" s="1270"/>
    </row>
    <row r="502" spans="1:7">
      <c r="A502" s="175"/>
      <c r="B502" s="175"/>
      <c r="C502" s="175"/>
      <c r="D502" s="1270"/>
      <c r="E502" s="1270"/>
      <c r="F502" s="1270"/>
    </row>
    <row r="503" spans="1:7">
      <c r="A503" s="175"/>
      <c r="B503" s="175"/>
      <c r="C503" s="175"/>
      <c r="D503" s="1270"/>
      <c r="E503" s="1270"/>
      <c r="F503" s="1270"/>
    </row>
    <row r="504" spans="1:7">
      <c r="A504" s="175"/>
      <c r="B504" s="175"/>
      <c r="C504" s="175"/>
      <c r="D504" s="1270"/>
      <c r="E504" s="1270"/>
      <c r="F504" s="1270"/>
    </row>
    <row r="505" spans="1:7">
      <c r="A505" s="175"/>
      <c r="B505" s="175"/>
      <c r="C505" s="175"/>
      <c r="D505" s="485"/>
      <c r="E505" s="485"/>
      <c r="F505" s="485"/>
    </row>
    <row r="506" spans="1:7" ht="14.45" customHeight="1">
      <c r="A506" s="176"/>
      <c r="B506" s="468" t="s">
        <v>307</v>
      </c>
      <c r="D506" s="1303" t="s">
        <v>1114</v>
      </c>
      <c r="E506" s="1303"/>
      <c r="F506" s="1303"/>
    </row>
    <row r="507" spans="1:7">
      <c r="D507" s="1303"/>
      <c r="E507" s="1303"/>
      <c r="F507" s="1303"/>
    </row>
    <row r="508" spans="1:7">
      <c r="D508" s="1303"/>
      <c r="E508" s="1303"/>
      <c r="F508" s="1303"/>
    </row>
    <row r="509" spans="1:7" ht="12" customHeight="1">
      <c r="A509" s="35"/>
      <c r="B509" s="35"/>
      <c r="C509" s="179"/>
      <c r="D509" s="35"/>
      <c r="F509" s="57"/>
    </row>
    <row r="510" spans="1:7">
      <c r="A510" s="1288" t="s">
        <v>1077</v>
      </c>
      <c r="B510" s="1288"/>
      <c r="C510" s="1288"/>
      <c r="D510" s="1288"/>
      <c r="E510" s="1288"/>
      <c r="F510" s="1288"/>
      <c r="G510" s="1288"/>
    </row>
    <row r="511" spans="1:7">
      <c r="A511" s="35"/>
      <c r="B511" s="35"/>
      <c r="C511" s="179"/>
      <c r="F511" s="57"/>
    </row>
    <row r="512" spans="1:7">
      <c r="B512" s="1285" t="s">
        <v>447</v>
      </c>
      <c r="C512" s="1285"/>
      <c r="D512" s="1285"/>
      <c r="E512" s="1285"/>
      <c r="F512" s="1285"/>
    </row>
    <row r="513" spans="1:7">
      <c r="A513" s="35"/>
      <c r="B513" s="35"/>
      <c r="C513" s="179"/>
      <c r="D513" s="35"/>
      <c r="F513" s="35"/>
    </row>
    <row r="514" spans="1:7">
      <c r="A514" s="1289" t="s">
        <v>1078</v>
      </c>
      <c r="B514" s="1289"/>
      <c r="C514" s="1289"/>
      <c r="D514" s="1289"/>
      <c r="E514" s="1289"/>
      <c r="F514" s="1289"/>
      <c r="G514" s="1289"/>
    </row>
    <row r="515" spans="1:7">
      <c r="A515" s="35"/>
      <c r="B515" s="35"/>
      <c r="C515" s="179"/>
      <c r="D515" s="35"/>
      <c r="F515" s="35"/>
    </row>
    <row r="516" spans="1:7">
      <c r="C516" s="179"/>
      <c r="D516" s="1286" t="s">
        <v>690</v>
      </c>
      <c r="E516" s="1286"/>
      <c r="F516" s="1286"/>
    </row>
    <row r="517" spans="1:7">
      <c r="C517" s="179"/>
      <c r="D517" s="1287" t="s">
        <v>1135</v>
      </c>
      <c r="E517" s="1287"/>
      <c r="F517" s="1287"/>
    </row>
    <row r="518" spans="1:7">
      <c r="C518" s="179"/>
      <c r="D518" s="118"/>
      <c r="E518" s="118"/>
      <c r="F518" s="118"/>
    </row>
    <row r="519" spans="1:7" ht="13.15" customHeight="1">
      <c r="A519" s="176"/>
      <c r="B519" s="468" t="s">
        <v>307</v>
      </c>
      <c r="C519" s="179"/>
      <c r="D519" s="1287" t="s">
        <v>895</v>
      </c>
      <c r="E519" s="1287"/>
      <c r="F519" s="1287"/>
      <c r="G519"/>
    </row>
    <row r="520" spans="1:7" ht="13.15" customHeight="1">
      <c r="A520" s="179"/>
      <c r="B520" s="179"/>
      <c r="C520" s="179"/>
      <c r="D520" s="118"/>
      <c r="E520"/>
      <c r="F520"/>
      <c r="G520"/>
    </row>
    <row r="521" spans="1:7" ht="14.25">
      <c r="A521" s="176"/>
      <c r="B521" s="468" t="s">
        <v>307</v>
      </c>
      <c r="C521" s="179"/>
      <c r="D521" s="1267" t="s">
        <v>1136</v>
      </c>
      <c r="E521" s="1267"/>
      <c r="F521" s="1267"/>
      <c r="G521"/>
    </row>
    <row r="522" spans="1:7">
      <c r="A522" s="179"/>
      <c r="B522" s="179"/>
      <c r="C522" s="179"/>
      <c r="D522" s="1267"/>
      <c r="E522" s="1267"/>
      <c r="F522" s="1267"/>
      <c r="G522"/>
    </row>
    <row r="523" spans="1:7">
      <c r="A523" s="179"/>
      <c r="B523" s="179"/>
      <c r="C523" s="179"/>
      <c r="D523" s="35"/>
      <c r="E523" s="35"/>
      <c r="F523" s="35"/>
      <c r="G523"/>
    </row>
    <row r="524" spans="1:7" ht="14.25">
      <c r="A524" s="176"/>
      <c r="B524" s="468" t="s">
        <v>307</v>
      </c>
      <c r="C524" s="179"/>
      <c r="D524" s="1267" t="s">
        <v>1137</v>
      </c>
      <c r="E524" s="1267"/>
      <c r="F524" s="1267"/>
      <c r="G524"/>
    </row>
    <row r="525" spans="1:7">
      <c r="A525" s="179"/>
      <c r="B525" s="179"/>
      <c r="C525" s="179"/>
      <c r="D525" s="1267"/>
      <c r="E525" s="1267"/>
      <c r="F525" s="1267"/>
      <c r="G525"/>
    </row>
    <row r="526" spans="1:7">
      <c r="A526" s="179"/>
      <c r="B526" s="179"/>
      <c r="C526" s="179"/>
      <c r="D526" s="35"/>
      <c r="E526" s="35"/>
      <c r="F526" s="35"/>
      <c r="G526"/>
    </row>
    <row r="527" spans="1:7" ht="14.25">
      <c r="A527" s="176"/>
      <c r="B527" s="468" t="s">
        <v>307</v>
      </c>
      <c r="C527" s="179"/>
      <c r="D527" s="1267" t="s">
        <v>1138</v>
      </c>
      <c r="E527" s="1267"/>
      <c r="F527" s="1267"/>
      <c r="G527"/>
    </row>
    <row r="528" spans="1:7">
      <c r="A528" s="179"/>
      <c r="B528" s="179"/>
      <c r="C528" s="179"/>
      <c r="D528" s="1267"/>
      <c r="E528" s="1267"/>
      <c r="F528" s="1267"/>
      <c r="G528"/>
    </row>
    <row r="529" spans="1:7">
      <c r="A529" s="179"/>
      <c r="B529" s="179"/>
      <c r="C529" s="179"/>
      <c r="D529" s="35"/>
      <c r="E529" s="35"/>
      <c r="F529" s="35"/>
      <c r="G529"/>
    </row>
    <row r="530" spans="1:7" ht="14.25">
      <c r="A530" s="176"/>
      <c r="B530" s="468" t="s">
        <v>307</v>
      </c>
      <c r="C530" s="179"/>
      <c r="D530" s="1267" t="s">
        <v>1139</v>
      </c>
      <c r="E530" s="1267"/>
      <c r="F530" s="1267"/>
      <c r="G530"/>
    </row>
    <row r="531" spans="1:7">
      <c r="A531" s="179"/>
      <c r="B531" s="179"/>
      <c r="C531" s="179"/>
      <c r="D531" s="1267"/>
      <c r="E531" s="1267"/>
      <c r="F531" s="1267"/>
      <c r="G531"/>
    </row>
    <row r="532" spans="1:7">
      <c r="A532" s="179"/>
      <c r="B532" s="179"/>
      <c r="C532" s="179"/>
      <c r="D532" s="1267"/>
      <c r="E532" s="1267"/>
      <c r="F532" s="1267"/>
      <c r="G532"/>
    </row>
    <row r="533" spans="1:7">
      <c r="A533" s="179"/>
      <c r="B533" s="179"/>
      <c r="C533" s="179"/>
      <c r="D533" s="35"/>
      <c r="E533" s="35"/>
      <c r="F533" s="35"/>
    </row>
    <row r="534" spans="1:7" ht="14.25">
      <c r="A534" s="176"/>
      <c r="B534" s="468" t="s">
        <v>307</v>
      </c>
      <c r="C534" s="179"/>
      <c r="D534" s="1267" t="s">
        <v>1257</v>
      </c>
      <c r="E534" s="1267"/>
      <c r="F534" s="1267"/>
    </row>
    <row r="535" spans="1:7">
      <c r="A535" s="179"/>
      <c r="B535" s="179"/>
      <c r="C535" s="179"/>
      <c r="D535" s="1267"/>
      <c r="E535" s="1267"/>
      <c r="F535" s="1267"/>
    </row>
    <row r="536" spans="1:7">
      <c r="A536" s="179"/>
      <c r="B536" s="179"/>
      <c r="C536" s="179"/>
      <c r="D536" s="35"/>
      <c r="E536" s="35"/>
      <c r="F536" s="35"/>
    </row>
    <row r="537" spans="1:7" ht="14.25">
      <c r="A537" s="176"/>
      <c r="B537" s="468" t="s">
        <v>307</v>
      </c>
      <c r="C537" s="179"/>
      <c r="D537" s="1267" t="s">
        <v>1140</v>
      </c>
      <c r="E537" s="1267"/>
      <c r="F537" s="1267"/>
    </row>
    <row r="538" spans="1:7">
      <c r="A538" s="179"/>
      <c r="B538" s="179"/>
      <c r="C538" s="179"/>
      <c r="D538" s="1267"/>
      <c r="E538" s="1267"/>
      <c r="F538" s="1267"/>
    </row>
    <row r="539" spans="1:7">
      <c r="A539" s="179"/>
      <c r="B539" s="179"/>
      <c r="C539" s="179"/>
      <c r="D539" s="35"/>
      <c r="E539" s="35"/>
      <c r="F539" s="35"/>
    </row>
    <row r="540" spans="1:7" ht="14.25">
      <c r="A540" s="176"/>
      <c r="B540" s="468" t="s">
        <v>307</v>
      </c>
      <c r="C540" s="179"/>
      <c r="D540" s="1267" t="s">
        <v>1141</v>
      </c>
      <c r="E540" s="1267"/>
      <c r="F540" s="1267"/>
    </row>
    <row r="541" spans="1:7">
      <c r="A541" s="179"/>
      <c r="B541" s="179"/>
      <c r="C541" s="179"/>
      <c r="D541" s="1267"/>
      <c r="E541" s="1267"/>
      <c r="F541" s="1267"/>
    </row>
    <row r="542" spans="1:7">
      <c r="A542" s="179"/>
      <c r="B542" s="179"/>
      <c r="C542" s="179"/>
      <c r="D542" s="35"/>
      <c r="E542" s="35"/>
      <c r="F542" s="35"/>
    </row>
    <row r="543" spans="1:7" ht="14.25">
      <c r="A543" s="176"/>
      <c r="B543" s="468" t="s">
        <v>307</v>
      </c>
      <c r="C543" s="179"/>
      <c r="D543" s="1287" t="s">
        <v>1142</v>
      </c>
      <c r="E543" s="1287"/>
      <c r="F543" s="1287"/>
    </row>
    <row r="544" spans="1:7">
      <c r="A544" s="13"/>
      <c r="B544" s="13"/>
      <c r="C544" s="179"/>
      <c r="D544" s="1287" t="s">
        <v>828</v>
      </c>
      <c r="E544" s="1287"/>
      <c r="F544" s="1287"/>
    </row>
    <row r="545" spans="1:7">
      <c r="A545" s="13"/>
      <c r="B545" s="13"/>
      <c r="C545" s="179"/>
      <c r="D545" s="3"/>
      <c r="E545" s="1292" t="s">
        <v>1143</v>
      </c>
      <c r="F545" s="1292"/>
    </row>
    <row r="546" spans="1:7" ht="14.25">
      <c r="A546" s="176"/>
      <c r="B546" s="176"/>
      <c r="C546" s="179"/>
      <c r="E546" s="35"/>
      <c r="F546" s="35"/>
    </row>
    <row r="547" spans="1:7" ht="14.25">
      <c r="A547" s="176"/>
      <c r="B547" s="468" t="s">
        <v>307</v>
      </c>
      <c r="C547" s="179"/>
      <c r="D547" s="1287" t="s">
        <v>1144</v>
      </c>
      <c r="E547" s="1287"/>
      <c r="F547" s="1287"/>
    </row>
    <row r="548" spans="1:7">
      <c r="C548" s="179"/>
      <c r="D548" s="1267" t="s">
        <v>1145</v>
      </c>
      <c r="E548" s="1267"/>
      <c r="F548" s="1267"/>
    </row>
    <row r="549" spans="1:7">
      <c r="A549" s="179"/>
      <c r="B549" s="179"/>
      <c r="C549" s="179"/>
      <c r="D549" s="1267"/>
      <c r="E549" s="1267"/>
      <c r="F549" s="1267"/>
    </row>
    <row r="550" spans="1:7">
      <c r="A550" s="179"/>
      <c r="B550" s="179"/>
      <c r="C550" s="179"/>
      <c r="D550" s="1267"/>
      <c r="E550" s="1267"/>
      <c r="F550" s="1267"/>
    </row>
    <row r="551" spans="1:7">
      <c r="A551" s="179"/>
      <c r="B551" s="179"/>
      <c r="C551" s="179"/>
      <c r="D551" s="35"/>
      <c r="E551" s="35"/>
      <c r="F551" s="35"/>
    </row>
    <row r="552" spans="1:7" ht="14.25">
      <c r="A552" s="176"/>
      <c r="B552" s="468" t="s">
        <v>307</v>
      </c>
      <c r="C552" s="179"/>
      <c r="D552" s="1267" t="s">
        <v>1146</v>
      </c>
      <c r="E552" s="1267"/>
      <c r="F552" s="1267"/>
    </row>
    <row r="553" spans="1:7" ht="14.25">
      <c r="A553" s="176"/>
      <c r="B553" s="176"/>
      <c r="C553" s="179"/>
      <c r="D553" s="1267"/>
      <c r="E553" s="1267"/>
      <c r="F553" s="1267"/>
    </row>
    <row r="554" spans="1:7" ht="14.25">
      <c r="A554" s="176"/>
      <c r="B554" s="176"/>
      <c r="C554" s="179"/>
      <c r="D554" s="1267"/>
      <c r="E554" s="1267"/>
      <c r="F554" s="1267"/>
    </row>
    <row r="555" spans="1:7" ht="14.25">
      <c r="A555" s="176"/>
      <c r="B555" s="176"/>
      <c r="C555" s="179"/>
      <c r="D555" s="1267"/>
      <c r="E555" s="1267"/>
      <c r="F555" s="1267"/>
    </row>
    <row r="556" spans="1:7" ht="14.25">
      <c r="A556" s="176"/>
      <c r="B556" s="176"/>
      <c r="C556" s="179"/>
      <c r="D556" s="35"/>
      <c r="E556" s="35"/>
      <c r="F556" s="35"/>
    </row>
    <row r="557" spans="1:7">
      <c r="A557" s="1288" t="s">
        <v>1079</v>
      </c>
      <c r="B557" s="1288"/>
      <c r="C557" s="1288"/>
      <c r="D557" s="1288"/>
      <c r="E557" s="1288"/>
      <c r="F557" s="1288"/>
      <c r="G557" s="1288"/>
    </row>
    <row r="558" spans="1:7">
      <c r="A558" s="179"/>
      <c r="B558" s="179"/>
      <c r="C558" s="179"/>
      <c r="E558" s="35"/>
      <c r="F558" s="35"/>
    </row>
    <row r="559" spans="1:7" ht="12.75" customHeight="1">
      <c r="C559" s="172"/>
      <c r="D559" s="1299" t="s">
        <v>210</v>
      </c>
      <c r="E559" s="1299"/>
      <c r="F559" s="1299"/>
    </row>
    <row r="560" spans="1:7">
      <c r="A560" s="175"/>
      <c r="B560" s="175"/>
      <c r="C560" s="175"/>
      <c r="D560" s="1304" t="s">
        <v>1095</v>
      </c>
      <c r="E560" s="1304"/>
      <c r="F560" s="1304"/>
    </row>
    <row r="561" spans="1:6">
      <c r="A561"/>
      <c r="B561"/>
      <c r="C561" s="175"/>
      <c r="D561" s="255"/>
    </row>
    <row r="562" spans="1:6">
      <c r="A562" s="175"/>
      <c r="B562" s="468" t="s">
        <v>307</v>
      </c>
      <c r="D562" s="1304" t="s">
        <v>901</v>
      </c>
      <c r="E562" s="1304"/>
      <c r="F562" s="1304"/>
    </row>
    <row r="563" spans="1:6">
      <c r="A563" s="13"/>
      <c r="B563" s="13"/>
      <c r="D563" s="218"/>
    </row>
    <row r="564" spans="1:6">
      <c r="A564" s="13"/>
      <c r="B564" s="468" t="s">
        <v>307</v>
      </c>
      <c r="D564" s="1304" t="s">
        <v>1096</v>
      </c>
      <c r="E564" s="1304"/>
      <c r="F564" s="1304"/>
    </row>
    <row r="565" spans="1:6">
      <c r="A565" s="13"/>
      <c r="B565" s="13"/>
      <c r="D565" s="1304"/>
      <c r="E565" s="1304"/>
      <c r="F565" s="1304"/>
    </row>
    <row r="566" spans="1:6">
      <c r="A566" s="13"/>
      <c r="B566" s="13"/>
      <c r="D566" s="1304"/>
      <c r="E566" s="1304"/>
      <c r="F566" s="1304"/>
    </row>
    <row r="567" spans="1:6">
      <c r="A567" s="13"/>
      <c r="B567" s="13"/>
      <c r="D567" s="255"/>
    </row>
    <row r="568" spans="1:6">
      <c r="A568" s="13"/>
      <c r="B568" s="468" t="s">
        <v>307</v>
      </c>
      <c r="D568" s="1304" t="s">
        <v>1097</v>
      </c>
      <c r="E568" s="1304"/>
      <c r="F568" s="1304"/>
    </row>
    <row r="569" spans="1:6">
      <c r="A569" s="13"/>
      <c r="B569" s="13"/>
      <c r="D569" s="1304"/>
      <c r="E569" s="1304"/>
      <c r="F569" s="1304"/>
    </row>
    <row r="570" spans="1:6">
      <c r="A570" s="13"/>
      <c r="B570" s="13"/>
      <c r="D570" s="1304"/>
      <c r="E570" s="1304"/>
      <c r="F570" s="1304"/>
    </row>
    <row r="571" spans="1:6">
      <c r="A571" s="13"/>
      <c r="B571" s="13"/>
      <c r="D571" s="1304"/>
      <c r="E571" s="1304"/>
      <c r="F571" s="1304"/>
    </row>
    <row r="572" spans="1:6">
      <c r="A572" s="13"/>
      <c r="B572" s="13"/>
      <c r="D572" s="473"/>
      <c r="E572" s="473"/>
      <c r="F572" s="473"/>
    </row>
    <row r="573" spans="1:6">
      <c r="A573" s="13"/>
      <c r="B573" s="468" t="s">
        <v>307</v>
      </c>
      <c r="D573" s="1304" t="s">
        <v>1098</v>
      </c>
      <c r="E573" s="1304"/>
      <c r="F573" s="1304"/>
    </row>
    <row r="574" spans="1:6">
      <c r="A574" s="13"/>
      <c r="B574" s="13"/>
      <c r="D574" s="1304"/>
      <c r="E574" s="1304"/>
      <c r="F574" s="1304"/>
    </row>
    <row r="575" spans="1:6">
      <c r="A575" s="13"/>
      <c r="B575" s="13"/>
      <c r="D575" s="255"/>
    </row>
    <row r="576" spans="1:6">
      <c r="A576" s="13"/>
      <c r="B576" s="468" t="s">
        <v>307</v>
      </c>
      <c r="D576" s="1304" t="s">
        <v>1099</v>
      </c>
      <c r="E576" s="1304"/>
      <c r="F576" s="1304"/>
    </row>
    <row r="577" spans="1:7">
      <c r="A577" s="13"/>
      <c r="B577" s="13"/>
      <c r="D577" s="1304"/>
      <c r="E577" s="1304"/>
      <c r="F577" s="1304"/>
    </row>
    <row r="578" spans="1:7">
      <c r="A578" s="13"/>
      <c r="B578" s="13"/>
      <c r="D578" s="255"/>
    </row>
    <row r="579" spans="1:7" ht="14.25">
      <c r="A579" s="176"/>
      <c r="B579" s="468" t="s">
        <v>307</v>
      </c>
      <c r="D579" s="1304" t="s">
        <v>896</v>
      </c>
      <c r="E579" s="1304"/>
      <c r="F579" s="1304"/>
    </row>
    <row r="580" spans="1:7" ht="14.25">
      <c r="A580" s="176"/>
      <c r="B580" s="176"/>
      <c r="D580" s="255"/>
    </row>
    <row r="581" spans="1:7" ht="14.25">
      <c r="A581" s="176"/>
      <c r="B581" s="468" t="s">
        <v>307</v>
      </c>
      <c r="D581" s="1304" t="s">
        <v>1100</v>
      </c>
      <c r="E581" s="1304"/>
      <c r="F581" s="1304"/>
    </row>
    <row r="582" spans="1:7" ht="14.25">
      <c r="A582" s="176"/>
      <c r="B582" s="176"/>
      <c r="D582" s="1304"/>
      <c r="E582" s="1304"/>
      <c r="F582" s="1304"/>
    </row>
    <row r="583" spans="1:7">
      <c r="D583" s="1304"/>
      <c r="E583" s="1304"/>
      <c r="F583" s="1304"/>
    </row>
    <row r="584" spans="1:7">
      <c r="D584" s="1304"/>
      <c r="E584" s="1304"/>
      <c r="F584" s="1304"/>
    </row>
    <row r="585" spans="1:7">
      <c r="D585" s="1304"/>
      <c r="E585" s="1304"/>
      <c r="F585" s="1304"/>
    </row>
    <row r="586" spans="1:7">
      <c r="D586" s="1304"/>
      <c r="E586" s="1304"/>
      <c r="F586" s="1304"/>
    </row>
    <row r="587" spans="1:7"/>
    <row r="588" spans="1:7">
      <c r="A588" s="1288" t="s">
        <v>1080</v>
      </c>
      <c r="B588" s="1288"/>
      <c r="C588" s="1288"/>
      <c r="D588" s="1288"/>
      <c r="E588" s="1288"/>
      <c r="F588" s="1288"/>
      <c r="G588" s="1288"/>
    </row>
    <row r="589" spans="1:7"/>
    <row r="590" spans="1:7">
      <c r="D590" s="1280" t="s">
        <v>1180</v>
      </c>
      <c r="E590" s="1280"/>
      <c r="F590" s="1280"/>
    </row>
    <row r="591" spans="1:7">
      <c r="D591" s="1281" t="s">
        <v>1181</v>
      </c>
      <c r="E591" s="1281"/>
      <c r="F591" s="1281"/>
    </row>
    <row r="592" spans="1:7">
      <c r="D592" s="478"/>
      <c r="E592" s="433"/>
      <c r="F592" s="433"/>
    </row>
    <row r="593" spans="1:7" ht="14.25">
      <c r="A593" s="176"/>
      <c r="B593" s="468" t="s">
        <v>307</v>
      </c>
      <c r="D593" s="1282" t="s">
        <v>1182</v>
      </c>
      <c r="E593" s="1282"/>
      <c r="F593" s="1282"/>
    </row>
    <row r="594" spans="1:7">
      <c r="D594" s="1282"/>
      <c r="E594" s="1282"/>
      <c r="F594" s="1282"/>
    </row>
    <row r="595" spans="1:7">
      <c r="D595" s="1282"/>
      <c r="E595" s="1282"/>
      <c r="F595" s="1282"/>
    </row>
    <row r="596" spans="1:7"/>
    <row r="597" spans="1:7">
      <c r="A597" s="1288" t="s">
        <v>1081</v>
      </c>
      <c r="B597" s="1288"/>
      <c r="C597" s="1288"/>
      <c r="D597" s="1288"/>
      <c r="E597" s="1288"/>
      <c r="F597" s="1288"/>
      <c r="G597" s="1288"/>
    </row>
    <row r="598" spans="1:7">
      <c r="A598" s="35"/>
      <c r="B598" s="35"/>
    </row>
    <row r="599" spans="1:7">
      <c r="A599" s="172"/>
      <c r="B599" s="172"/>
      <c r="C599" s="172"/>
      <c r="D599" s="1283" t="s">
        <v>1183</v>
      </c>
      <c r="E599" s="1283"/>
      <c r="F599" s="1283"/>
    </row>
    <row r="600" spans="1:7">
      <c r="A600" s="172"/>
      <c r="B600" s="172"/>
      <c r="C600" s="172"/>
      <c r="D600" s="1283"/>
      <c r="E600" s="1283"/>
      <c r="F600" s="1283"/>
    </row>
    <row r="601" spans="1:7">
      <c r="C601" s="175"/>
      <c r="D601" s="1281" t="s">
        <v>1184</v>
      </c>
      <c r="E601" s="1281"/>
      <c r="F601" s="1281"/>
    </row>
    <row r="602" spans="1:7">
      <c r="C602" s="175"/>
      <c r="D602" s="478"/>
      <c r="E602" s="478"/>
      <c r="F602" s="478"/>
    </row>
    <row r="603" spans="1:7">
      <c r="A603" s="13"/>
      <c r="B603" s="468" t="s">
        <v>307</v>
      </c>
      <c r="D603" s="1281" t="s">
        <v>432</v>
      </c>
      <c r="E603" s="1281"/>
      <c r="F603" s="1281"/>
    </row>
    <row r="604" spans="1:7">
      <c r="C604" s="180"/>
      <c r="E604"/>
    </row>
    <row r="605" spans="1:7">
      <c r="A605" s="13"/>
      <c r="B605" s="468" t="s">
        <v>307</v>
      </c>
      <c r="D605" s="1284" t="s">
        <v>1185</v>
      </c>
      <c r="E605" s="1284"/>
      <c r="F605" s="1284"/>
    </row>
    <row r="606" spans="1:7">
      <c r="D606" s="1284"/>
      <c r="E606" s="1284"/>
      <c r="F606" s="1284"/>
    </row>
    <row r="607" spans="1:7">
      <c r="D607"/>
    </row>
    <row r="608" spans="1:7">
      <c r="B608" s="468" t="s">
        <v>307</v>
      </c>
      <c r="D608" s="1284" t="s">
        <v>1186</v>
      </c>
      <c r="E608" s="1284"/>
      <c r="F608" s="1284"/>
    </row>
    <row r="609" spans="1:7">
      <c r="C609" s="180"/>
      <c r="D609" s="1284"/>
      <c r="E609" s="1284"/>
      <c r="F609" s="1284"/>
    </row>
    <row r="610" spans="1:7">
      <c r="C610" s="180"/>
    </row>
    <row r="611" spans="1:7">
      <c r="B611" s="468" t="s">
        <v>307</v>
      </c>
      <c r="C611" s="180"/>
      <c r="D611" s="1284" t="s">
        <v>1187</v>
      </c>
      <c r="E611" s="1284"/>
      <c r="F611" s="1284"/>
    </row>
    <row r="612" spans="1:7">
      <c r="C612" s="180"/>
      <c r="D612" s="1284"/>
      <c r="E612" s="1284"/>
      <c r="F612" s="1284"/>
    </row>
    <row r="613" spans="1:7">
      <c r="C613" s="180"/>
    </row>
    <row r="614" spans="1:7">
      <c r="A614" s="1288" t="s">
        <v>1082</v>
      </c>
      <c r="B614" s="1288"/>
      <c r="C614" s="1288"/>
      <c r="D614" s="1288"/>
      <c r="E614" s="1288"/>
      <c r="F614" s="1288"/>
      <c r="G614" s="1288"/>
    </row>
    <row r="615" spans="1:7">
      <c r="A615" s="172"/>
      <c r="B615" s="172"/>
      <c r="C615" s="172"/>
    </row>
    <row r="616" spans="1:7">
      <c r="C616" s="13"/>
      <c r="D616" s="1280" t="s">
        <v>1188</v>
      </c>
      <c r="E616" s="1280"/>
      <c r="F616" s="1280"/>
    </row>
    <row r="617" spans="1:7">
      <c r="A617" s="13"/>
      <c r="B617" s="13"/>
      <c r="D617" s="2"/>
    </row>
    <row r="618" spans="1:7" ht="14.25">
      <c r="A618" s="176"/>
      <c r="B618" s="468" t="s">
        <v>307</v>
      </c>
      <c r="D618" s="1282" t="s">
        <v>1189</v>
      </c>
      <c r="E618" s="1282"/>
      <c r="F618" s="1282"/>
    </row>
    <row r="619" spans="1:7">
      <c r="D619" s="1282"/>
      <c r="E619" s="1282"/>
      <c r="F619" s="1282"/>
    </row>
    <row r="620" spans="1:7">
      <c r="D620" s="1282"/>
      <c r="E620" s="1282"/>
      <c r="F620" s="1282"/>
    </row>
    <row r="621" spans="1:7">
      <c r="D621" s="1282"/>
      <c r="E621" s="1282"/>
      <c r="F621" s="1282"/>
    </row>
    <row r="622" spans="1:7">
      <c r="D622" s="1282"/>
      <c r="E622" s="1282"/>
      <c r="F622" s="1282"/>
    </row>
    <row r="623" spans="1:7">
      <c r="D623" s="1282"/>
      <c r="E623" s="1282"/>
      <c r="F623" s="1282"/>
    </row>
    <row r="624" spans="1:7">
      <c r="D624" s="479"/>
      <c r="E624" s="479"/>
      <c r="F624" s="479"/>
    </row>
    <row r="625" spans="1:7" ht="14.25">
      <c r="A625" s="176"/>
      <c r="B625" s="468" t="s">
        <v>307</v>
      </c>
      <c r="D625" s="1282" t="s">
        <v>1190</v>
      </c>
      <c r="E625" s="1282"/>
      <c r="F625" s="1282"/>
    </row>
    <row r="626" spans="1:7">
      <c r="A626" s="179"/>
      <c r="B626" s="179"/>
      <c r="C626" s="179"/>
      <c r="D626" s="1282"/>
      <c r="E626" s="1282"/>
      <c r="F626" s="1282"/>
    </row>
    <row r="627" spans="1:7">
      <c r="A627" s="179"/>
      <c r="B627" s="179"/>
      <c r="C627" s="179"/>
      <c r="D627" s="35"/>
      <c r="E627" s="35"/>
      <c r="F627" s="35"/>
    </row>
    <row r="628" spans="1:7" ht="14.25">
      <c r="A628" s="176"/>
      <c r="B628" s="468" t="s">
        <v>307</v>
      </c>
      <c r="C628" s="179"/>
      <c r="D628" s="1282" t="s">
        <v>1191</v>
      </c>
      <c r="E628" s="1282"/>
      <c r="F628" s="1282"/>
    </row>
    <row r="629" spans="1:7" ht="14.25">
      <c r="A629" s="176"/>
      <c r="B629" s="176"/>
      <c r="C629" s="179"/>
      <c r="D629" s="1282"/>
      <c r="E629" s="1282"/>
      <c r="F629" s="1282"/>
    </row>
    <row r="630" spans="1:7" ht="14.25">
      <c r="A630" s="176"/>
      <c r="B630" s="176"/>
      <c r="C630" s="179"/>
      <c r="D630" s="1282"/>
      <c r="E630" s="1282"/>
      <c r="F630" s="1282"/>
    </row>
    <row r="631" spans="1:7">
      <c r="A631" s="179"/>
      <c r="B631" s="179"/>
      <c r="C631" s="179"/>
      <c r="D631" s="1282"/>
      <c r="E631" s="1282"/>
      <c r="F631" s="1282"/>
    </row>
    <row r="632" spans="1:7">
      <c r="A632" s="179"/>
      <c r="B632" s="179"/>
      <c r="C632" s="179"/>
      <c r="D632" s="479"/>
      <c r="E632" s="479"/>
      <c r="F632" s="479"/>
    </row>
    <row r="633" spans="1:7">
      <c r="A633" s="179"/>
      <c r="B633" s="468" t="s">
        <v>307</v>
      </c>
      <c r="C633" s="179"/>
      <c r="D633" s="1311" t="s">
        <v>1192</v>
      </c>
      <c r="E633" s="1311"/>
      <c r="F633" s="1311"/>
    </row>
    <row r="634" spans="1:7">
      <c r="A634" s="179"/>
      <c r="B634" s="179"/>
      <c r="C634" s="179"/>
      <c r="D634" s="480"/>
      <c r="E634" s="480"/>
      <c r="F634" s="480"/>
    </row>
    <row r="635" spans="1:7">
      <c r="A635" s="1288" t="s">
        <v>1083</v>
      </c>
      <c r="B635" s="1288"/>
      <c r="C635" s="1288"/>
      <c r="D635" s="1288"/>
      <c r="E635" s="1288"/>
      <c r="F635" s="1288"/>
      <c r="G635" s="1288"/>
    </row>
    <row r="636" spans="1:7">
      <c r="A636" s="35"/>
      <c r="B636" s="35"/>
      <c r="C636" s="179"/>
      <c r="D636" s="35"/>
      <c r="E636" s="35"/>
      <c r="F636" s="35"/>
    </row>
    <row r="637" spans="1:7">
      <c r="C637" s="172"/>
      <c r="D637" s="1286" t="s">
        <v>1242</v>
      </c>
      <c r="E637" s="1286"/>
      <c r="F637" s="1286"/>
    </row>
    <row r="638" spans="1:7">
      <c r="A638" s="175"/>
      <c r="B638" s="175"/>
      <c r="C638" s="175"/>
      <c r="D638" s="1287" t="s">
        <v>1243</v>
      </c>
      <c r="E638" s="1287"/>
      <c r="F638" s="1287"/>
    </row>
    <row r="639" spans="1:7">
      <c r="A639" s="175"/>
      <c r="B639" s="175"/>
      <c r="C639" s="175"/>
      <c r="D639" s="118"/>
      <c r="E639" s="118"/>
      <c r="F639" s="118"/>
    </row>
    <row r="640" spans="1:7" ht="14.45" customHeight="1">
      <c r="A640" s="176"/>
      <c r="B640" s="468" t="s">
        <v>307</v>
      </c>
      <c r="C640" s="179"/>
      <c r="D640" s="1267" t="s">
        <v>1244</v>
      </c>
      <c r="E640" s="1267"/>
      <c r="F640" s="1267"/>
    </row>
    <row r="641" spans="1:11" ht="14.25">
      <c r="A641" s="176"/>
      <c r="B641" s="176"/>
      <c r="C641" s="179"/>
      <c r="D641" s="1267"/>
      <c r="E641" s="1267"/>
      <c r="F641" s="1267"/>
    </row>
    <row r="642" spans="1:11" ht="14.25">
      <c r="A642" s="176"/>
      <c r="B642" s="176"/>
      <c r="C642" s="179"/>
      <c r="D642" s="1267"/>
      <c r="E642" s="1267"/>
      <c r="F642" s="1267"/>
    </row>
    <row r="643" spans="1:11" ht="14.25">
      <c r="A643" s="176"/>
      <c r="B643" s="176"/>
      <c r="C643" s="179"/>
      <c r="D643" s="1267"/>
      <c r="E643" s="1267"/>
      <c r="F643" s="1267"/>
    </row>
    <row r="644" spans="1:11" ht="14.25">
      <c r="A644" s="176"/>
      <c r="B644" s="176"/>
      <c r="C644" s="179"/>
      <c r="D644" s="1267"/>
      <c r="E644" s="1267"/>
      <c r="F644" s="1267"/>
    </row>
    <row r="645" spans="1:11" ht="14.25">
      <c r="A645" s="176"/>
      <c r="B645" s="176"/>
      <c r="C645" s="179"/>
      <c r="D645" s="474"/>
      <c r="E645" s="474"/>
      <c r="F645" s="474"/>
    </row>
    <row r="646" spans="1:11" ht="14.25">
      <c r="A646" s="176"/>
      <c r="B646" s="468" t="s">
        <v>307</v>
      </c>
      <c r="C646" s="179"/>
      <c r="D646" s="1301" t="s">
        <v>1094</v>
      </c>
      <c r="E646" s="1301"/>
      <c r="F646" s="1301"/>
    </row>
    <row r="647" spans="1:11" ht="14.25">
      <c r="A647" s="176"/>
      <c r="B647" s="176"/>
      <c r="C647" s="179"/>
      <c r="D647" s="1300" t="s">
        <v>1245</v>
      </c>
      <c r="E647" s="1300"/>
      <c r="F647" s="1300"/>
    </row>
    <row r="648" spans="1:11" ht="14.25">
      <c r="A648" s="176"/>
      <c r="B648" s="176"/>
      <c r="C648" s="179"/>
      <c r="D648" s="1300"/>
      <c r="E648" s="1300"/>
      <c r="F648" s="1300"/>
    </row>
    <row r="649" spans="1:11" ht="14.25">
      <c r="A649" s="176"/>
      <c r="B649" s="176"/>
      <c r="C649" s="179"/>
      <c r="D649" s="1300"/>
      <c r="E649" s="1300"/>
      <c r="F649" s="1300"/>
    </row>
    <row r="650" spans="1:11" ht="14.25">
      <c r="A650" s="176"/>
      <c r="B650" s="176"/>
      <c r="C650" s="179"/>
      <c r="D650" s="1300"/>
      <c r="E650" s="1300"/>
      <c r="F650" s="1300"/>
    </row>
    <row r="651" spans="1:11" ht="14.25">
      <c r="A651" s="176"/>
      <c r="B651" s="176"/>
      <c r="C651" s="179"/>
      <c r="D651" s="1300"/>
      <c r="E651" s="1300"/>
      <c r="F651" s="1300"/>
    </row>
    <row r="652" spans="1:11" ht="14.25">
      <c r="A652" s="176"/>
      <c r="B652" s="176"/>
      <c r="C652" s="179"/>
      <c r="D652" s="1302" t="s">
        <v>1246</v>
      </c>
      <c r="E652" s="1302"/>
      <c r="F652" s="1302"/>
    </row>
    <row r="653" spans="1:11">
      <c r="A653" s="179"/>
      <c r="B653" s="179"/>
      <c r="C653" s="179"/>
      <c r="D653" s="35"/>
      <c r="E653" s="35"/>
      <c r="F653" s="35"/>
    </row>
    <row r="654" spans="1:11">
      <c r="A654" s="1288" t="s">
        <v>1084</v>
      </c>
      <c r="B654" s="1288"/>
      <c r="C654" s="1288"/>
      <c r="D654" s="1288"/>
      <c r="E654" s="1288"/>
      <c r="F654" s="1288"/>
      <c r="G654" s="1288"/>
      <c r="H654" s="181"/>
      <c r="I654" s="181"/>
      <c r="J654" s="181"/>
      <c r="K654" s="181"/>
    </row>
    <row r="655" spans="1:11">
      <c r="A655" s="482"/>
      <c r="B655" s="482"/>
      <c r="C655" s="482"/>
      <c r="D655" s="482"/>
      <c r="E655" s="482"/>
      <c r="F655" s="482"/>
      <c r="G655" s="482"/>
      <c r="H655" s="181"/>
      <c r="I655" s="181"/>
      <c r="J655" s="181"/>
      <c r="K655" s="181"/>
    </row>
    <row r="656" spans="1:11">
      <c r="C656" s="172"/>
      <c r="D656" s="1286" t="s">
        <v>99</v>
      </c>
      <c r="E656" s="1286"/>
      <c r="F656" s="1286"/>
      <c r="H656" s="181"/>
      <c r="I656" s="181"/>
      <c r="J656" s="181"/>
      <c r="K656" s="181"/>
    </row>
    <row r="657" spans="1:11">
      <c r="A657" s="172"/>
      <c r="B657" s="172"/>
      <c r="C657" s="172"/>
      <c r="D657" s="1286" t="s">
        <v>123</v>
      </c>
      <c r="E657" s="1286"/>
      <c r="F657" s="1286"/>
      <c r="H657" s="181"/>
      <c r="I657" s="181"/>
      <c r="J657" s="181"/>
      <c r="K657" s="181"/>
    </row>
    <row r="658" spans="1:11">
      <c r="A658" s="175"/>
      <c r="B658" s="175"/>
      <c r="C658" s="175"/>
      <c r="D658" s="1287" t="s">
        <v>1120</v>
      </c>
      <c r="E658" s="1287"/>
      <c r="F658" s="1287"/>
      <c r="H658" s="181"/>
      <c r="I658" s="181"/>
      <c r="J658" s="181"/>
      <c r="K658" s="181"/>
    </row>
    <row r="659" spans="1:11">
      <c r="A659" s="175"/>
      <c r="B659" s="175"/>
      <c r="C659" s="175"/>
      <c r="H659" s="181"/>
      <c r="I659" s="181"/>
      <c r="J659" s="181"/>
      <c r="K659" s="181"/>
    </row>
    <row r="660" spans="1:11" ht="14.25">
      <c r="A660" s="176"/>
      <c r="B660" s="468" t="s">
        <v>307</v>
      </c>
      <c r="C660" s="175"/>
      <c r="D660" s="1287" t="s">
        <v>897</v>
      </c>
      <c r="E660" s="1287"/>
      <c r="F660" s="1287"/>
      <c r="H660" s="181"/>
      <c r="I660" s="181"/>
      <c r="J660" s="181"/>
      <c r="K660" s="181"/>
    </row>
    <row r="661" spans="1:11">
      <c r="A661" s="175"/>
      <c r="B661" s="175"/>
      <c r="C661" s="175"/>
      <c r="D661" s="1287" t="s">
        <v>907</v>
      </c>
      <c r="E661" s="1287"/>
      <c r="F661" s="1287"/>
      <c r="H661" s="181"/>
      <c r="I661" s="181"/>
      <c r="J661" s="181"/>
      <c r="K661" s="181"/>
    </row>
    <row r="662" spans="1:11">
      <c r="A662" s="175"/>
      <c r="B662" s="175"/>
      <c r="C662" s="175"/>
      <c r="D662" s="3"/>
      <c r="E662" s="1271" t="s">
        <v>1121</v>
      </c>
      <c r="F662" s="1271"/>
      <c r="H662" s="181"/>
      <c r="I662" s="181"/>
      <c r="J662" s="181"/>
      <c r="K662" s="181"/>
    </row>
    <row r="663" spans="1:11">
      <c r="A663" s="175"/>
      <c r="B663" s="175"/>
      <c r="C663" s="175"/>
      <c r="D663" s="3"/>
      <c r="E663" s="1271"/>
      <c r="F663" s="1271"/>
      <c r="H663" s="181"/>
      <c r="I663" s="181"/>
      <c r="J663" s="181"/>
      <c r="K663" s="181"/>
    </row>
    <row r="664" spans="1:11">
      <c r="A664" s="175"/>
      <c r="B664" s="175"/>
      <c r="C664" s="175"/>
      <c r="D664" s="182"/>
      <c r="E664" s="35"/>
      <c r="H664" s="181"/>
      <c r="I664" s="181"/>
      <c r="J664" s="181"/>
      <c r="K664" s="181"/>
    </row>
    <row r="665" spans="1:11" ht="14.25">
      <c r="A665" s="176"/>
      <c r="B665" s="468" t="s">
        <v>307</v>
      </c>
      <c r="C665" s="175"/>
      <c r="D665" s="1267" t="s">
        <v>1122</v>
      </c>
      <c r="E665" s="1267"/>
      <c r="F665" s="1267"/>
      <c r="H665" s="181"/>
      <c r="I665" s="181"/>
      <c r="J665" s="181"/>
      <c r="K665" s="181"/>
    </row>
    <row r="666" spans="1:11">
      <c r="A666" s="13"/>
      <c r="B666" s="13"/>
      <c r="C666" s="175"/>
      <c r="D666" s="1267"/>
      <c r="E666" s="1267"/>
      <c r="F666" s="1267"/>
      <c r="H666" s="181"/>
      <c r="I666" s="181"/>
      <c r="J666" s="181"/>
      <c r="K666" s="181"/>
    </row>
    <row r="667" spans="1:11">
      <c r="A667" s="175"/>
      <c r="B667" s="175"/>
      <c r="C667" s="175"/>
      <c r="D667" s="1267"/>
      <c r="E667" s="1267"/>
      <c r="F667" s="1267"/>
      <c r="H667" s="181"/>
      <c r="I667" s="181"/>
      <c r="J667" s="181"/>
      <c r="K667" s="181"/>
    </row>
    <row r="668" spans="1:11">
      <c r="A668" s="175"/>
      <c r="B668" s="175"/>
      <c r="C668" s="175"/>
      <c r="H668" s="181"/>
      <c r="I668" s="181"/>
      <c r="J668" s="181"/>
      <c r="K668" s="181"/>
    </row>
    <row r="669" spans="1:11" ht="14.25">
      <c r="A669" s="176"/>
      <c r="B669" s="468" t="s">
        <v>307</v>
      </c>
      <c r="C669" s="175"/>
      <c r="D669" s="1287" t="s">
        <v>933</v>
      </c>
      <c r="E669" s="1287"/>
      <c r="F669" s="1287"/>
      <c r="H669" s="181"/>
      <c r="I669" s="181"/>
      <c r="J669" s="181"/>
      <c r="K669" s="181"/>
    </row>
    <row r="670" spans="1:11" ht="14.25">
      <c r="A670" s="176"/>
      <c r="B670" s="176"/>
      <c r="C670" s="175"/>
      <c r="D670" s="1287" t="s">
        <v>907</v>
      </c>
      <c r="E670" s="1287"/>
      <c r="F670" s="1287"/>
      <c r="H670" s="181"/>
      <c r="I670" s="181"/>
      <c r="J670" s="181"/>
      <c r="K670" s="181"/>
    </row>
    <row r="671" spans="1:11">
      <c r="A671" s="175"/>
      <c r="B671" s="175"/>
      <c r="C671" s="175"/>
      <c r="D671" s="3"/>
      <c r="E671" s="1292" t="s">
        <v>1123</v>
      </c>
      <c r="F671" s="1292"/>
      <c r="H671" s="181"/>
      <c r="I671" s="181"/>
      <c r="J671" s="181"/>
      <c r="K671" s="181"/>
    </row>
    <row r="672" spans="1:11">
      <c r="A672" s="175"/>
      <c r="B672" s="175"/>
      <c r="C672" s="175"/>
      <c r="D672" s="2"/>
      <c r="H672" s="181"/>
      <c r="I672" s="181"/>
      <c r="J672" s="181"/>
      <c r="K672" s="181"/>
    </row>
    <row r="673" spans="1:11" ht="14.25">
      <c r="A673" s="176"/>
      <c r="B673" s="468" t="s">
        <v>307</v>
      </c>
      <c r="C673" s="175"/>
      <c r="D673" s="1267" t="s">
        <v>1133</v>
      </c>
      <c r="E673" s="1267"/>
      <c r="F673" s="1267"/>
      <c r="H673" s="181"/>
      <c r="I673" s="181"/>
      <c r="J673" s="181"/>
      <c r="K673" s="181"/>
    </row>
    <row r="674" spans="1:11">
      <c r="A674" s="175"/>
      <c r="B674" s="175"/>
      <c r="C674" s="175"/>
      <c r="D674" s="1267"/>
      <c r="E674" s="1267"/>
      <c r="F674" s="1267"/>
      <c r="H674" s="181"/>
      <c r="I674" s="181"/>
      <c r="J674" s="181"/>
      <c r="K674" s="181"/>
    </row>
    <row r="675" spans="1:11">
      <c r="A675" s="175"/>
      <c r="B675" s="175"/>
      <c r="C675" s="175"/>
      <c r="D675" s="1267"/>
      <c r="E675" s="1267"/>
      <c r="F675" s="1267"/>
      <c r="H675" s="181"/>
      <c r="I675" s="181"/>
      <c r="J675" s="181"/>
      <c r="K675" s="181"/>
    </row>
    <row r="676" spans="1:11">
      <c r="A676" s="175"/>
      <c r="B676" s="175"/>
      <c r="C676" s="175"/>
      <c r="D676" s="1267"/>
      <c r="E676" s="1267"/>
      <c r="F676" s="1267"/>
      <c r="H676" s="181"/>
      <c r="I676" s="181"/>
      <c r="J676" s="181"/>
      <c r="K676" s="181"/>
    </row>
    <row r="677" spans="1:11">
      <c r="A677" s="175"/>
      <c r="B677" s="175"/>
      <c r="C677" s="175"/>
      <c r="D677" s="1267"/>
      <c r="E677" s="1267"/>
      <c r="F677" s="1267"/>
      <c r="H677" s="181"/>
      <c r="I677" s="181"/>
      <c r="J677" s="181"/>
      <c r="K677" s="181"/>
    </row>
    <row r="678" spans="1:11">
      <c r="A678" s="175"/>
      <c r="B678" s="175"/>
      <c r="C678" s="175"/>
      <c r="D678" s="1267"/>
      <c r="E678" s="1267"/>
      <c r="F678" s="1267"/>
      <c r="H678" s="181"/>
      <c r="I678" s="181"/>
      <c r="J678" s="181"/>
      <c r="K678" s="181"/>
    </row>
    <row r="679" spans="1:11">
      <c r="A679" s="175"/>
      <c r="B679" s="175"/>
      <c r="C679" s="175"/>
      <c r="D679" s="474"/>
      <c r="E679" s="474"/>
      <c r="F679" s="474"/>
      <c r="H679" s="181"/>
      <c r="I679" s="181"/>
      <c r="J679" s="181"/>
      <c r="K679" s="181"/>
    </row>
    <row r="680" spans="1:11" ht="14.25">
      <c r="A680" s="176"/>
      <c r="B680" s="468" t="s">
        <v>307</v>
      </c>
      <c r="C680" s="175"/>
      <c r="D680" s="1267" t="s">
        <v>1124</v>
      </c>
      <c r="E680" s="1267"/>
      <c r="F680" s="1267"/>
      <c r="H680" s="181"/>
      <c r="I680" s="181"/>
      <c r="J680" s="181"/>
      <c r="K680" s="181"/>
    </row>
    <row r="681" spans="1:11">
      <c r="A681" s="175"/>
      <c r="B681" s="175"/>
      <c r="C681" s="175"/>
      <c r="D681" s="1267"/>
      <c r="E681" s="1267"/>
      <c r="F681" s="1267"/>
      <c r="H681" s="181"/>
      <c r="I681" s="181"/>
      <c r="J681" s="181"/>
      <c r="K681" s="181"/>
    </row>
    <row r="682" spans="1:11">
      <c r="A682" s="175"/>
      <c r="B682" s="175"/>
      <c r="C682" s="175"/>
      <c r="D682" s="1267"/>
      <c r="E682" s="1267"/>
      <c r="F682" s="1267"/>
      <c r="H682" s="181"/>
      <c r="I682" s="181"/>
      <c r="J682" s="181"/>
      <c r="K682" s="181"/>
    </row>
    <row r="683" spans="1:11" ht="15" customHeight="1">
      <c r="A683" s="175"/>
      <c r="B683" s="175"/>
      <c r="C683" s="175"/>
      <c r="D683" s="1267"/>
      <c r="E683" s="1267"/>
      <c r="F683" s="1267"/>
      <c r="H683" s="181"/>
      <c r="I683" s="181"/>
      <c r="J683" s="181"/>
      <c r="K683" s="181"/>
    </row>
    <row r="684" spans="1:11" ht="15" customHeight="1">
      <c r="A684" s="175"/>
      <c r="B684" s="175"/>
      <c r="C684" s="175"/>
      <c r="D684" s="1267"/>
      <c r="E684" s="1267"/>
      <c r="F684" s="1267"/>
      <c r="H684" s="181"/>
      <c r="I684" s="181"/>
      <c r="J684" s="181"/>
      <c r="K684" s="181"/>
    </row>
    <row r="685" spans="1:11">
      <c r="A685" s="175"/>
      <c r="B685" s="175"/>
      <c r="C685" s="175"/>
      <c r="D685" s="1267"/>
      <c r="E685" s="1267"/>
      <c r="F685" s="1267"/>
      <c r="H685" s="181"/>
      <c r="I685" s="181"/>
      <c r="J685" s="181"/>
      <c r="K685" s="181"/>
    </row>
    <row r="686" spans="1:11">
      <c r="A686" s="175"/>
      <c r="B686" s="175"/>
      <c r="C686" s="175"/>
      <c r="D686" s="1267"/>
      <c r="E686" s="1267"/>
      <c r="F686" s="1267"/>
      <c r="H686" s="181"/>
      <c r="I686" s="181"/>
      <c r="J686" s="181"/>
      <c r="K686" s="181"/>
    </row>
    <row r="687" spans="1:11">
      <c r="A687" s="175"/>
      <c r="B687" s="175"/>
      <c r="C687" s="175"/>
      <c r="D687" s="1267"/>
      <c r="E687" s="1267"/>
      <c r="F687" s="1267"/>
      <c r="H687" s="181"/>
      <c r="I687" s="181"/>
      <c r="J687" s="181"/>
      <c r="K687" s="181"/>
    </row>
    <row r="688" spans="1:11" ht="15" customHeight="1">
      <c r="A688" s="175"/>
      <c r="B688" s="175"/>
      <c r="C688" s="175"/>
      <c r="D688" s="1267"/>
      <c r="E688" s="1267"/>
      <c r="F688" s="1267"/>
      <c r="H688" s="181"/>
      <c r="I688" s="181"/>
      <c r="J688" s="181"/>
      <c r="K688" s="181"/>
    </row>
    <row r="689" spans="1:11">
      <c r="A689" s="175"/>
      <c r="B689" s="175"/>
      <c r="C689" s="175"/>
      <c r="D689" s="1267"/>
      <c r="E689" s="1267"/>
      <c r="F689" s="1267"/>
      <c r="H689" s="181"/>
      <c r="I689" s="181"/>
      <c r="J689" s="181"/>
      <c r="K689" s="181"/>
    </row>
    <row r="690" spans="1:11">
      <c r="A690" s="175"/>
      <c r="B690" s="175"/>
      <c r="C690" s="175"/>
      <c r="D690" s="1267"/>
      <c r="E690" s="1267"/>
      <c r="F690" s="1267"/>
      <c r="H690" s="181"/>
      <c r="I690" s="181"/>
      <c r="J690" s="181"/>
      <c r="K690" s="181"/>
    </row>
    <row r="691" spans="1:11">
      <c r="A691" s="175"/>
      <c r="B691" s="175"/>
      <c r="C691" s="175"/>
      <c r="D691" s="1267"/>
      <c r="E691" s="1267"/>
      <c r="F691" s="1267"/>
      <c r="H691" s="181"/>
      <c r="I691" s="181"/>
      <c r="J691" s="181"/>
      <c r="K691" s="181"/>
    </row>
    <row r="692" spans="1:11">
      <c r="A692" s="175"/>
      <c r="B692" s="175"/>
      <c r="C692" s="175"/>
      <c r="D692" s="474"/>
      <c r="E692" s="474"/>
      <c r="F692" s="474"/>
      <c r="H692" s="181"/>
      <c r="I692" s="181"/>
      <c r="J692" s="181"/>
      <c r="K692" s="181"/>
    </row>
    <row r="693" spans="1:11" ht="14.25">
      <c r="A693" s="176"/>
      <c r="B693" s="468" t="s">
        <v>307</v>
      </c>
      <c r="C693" s="175"/>
      <c r="D693" s="1267" t="s">
        <v>1134</v>
      </c>
      <c r="E693" s="1267"/>
      <c r="F693" s="1267"/>
      <c r="H693" s="181"/>
      <c r="I693" s="181"/>
      <c r="J693" s="181"/>
      <c r="K693" s="181"/>
    </row>
    <row r="694" spans="1:11">
      <c r="A694" s="175"/>
      <c r="B694" s="175"/>
      <c r="C694" s="175"/>
      <c r="D694" s="1267"/>
      <c r="E694" s="1267"/>
      <c r="F694" s="1267"/>
      <c r="H694" s="181"/>
      <c r="I694" s="181"/>
      <c r="J694" s="181"/>
      <c r="K694" s="181"/>
    </row>
    <row r="695" spans="1:11">
      <c r="A695" s="175"/>
      <c r="B695" s="175"/>
      <c r="C695" s="175"/>
      <c r="D695" s="1267"/>
      <c r="E695" s="1267"/>
      <c r="F695" s="1267"/>
      <c r="H695" s="181"/>
      <c r="I695" s="181"/>
      <c r="J695" s="181"/>
      <c r="K695" s="181"/>
    </row>
    <row r="696" spans="1:11">
      <c r="A696" s="175"/>
      <c r="B696" s="175"/>
      <c r="C696" s="175"/>
      <c r="D696" s="474"/>
      <c r="E696" s="474"/>
      <c r="F696" s="474"/>
      <c r="H696" s="181"/>
      <c r="I696" s="181"/>
      <c r="J696" s="181"/>
      <c r="K696" s="181"/>
    </row>
    <row r="697" spans="1:11">
      <c r="A697" s="175"/>
      <c r="B697" s="468" t="s">
        <v>307</v>
      </c>
      <c r="C697" s="175"/>
      <c r="D697" s="1267" t="s">
        <v>1131</v>
      </c>
      <c r="E697" s="1267"/>
      <c r="F697" s="1267"/>
      <c r="H697" s="181"/>
      <c r="I697" s="181"/>
      <c r="J697" s="181"/>
      <c r="K697" s="181"/>
    </row>
    <row r="698" spans="1:11">
      <c r="A698" s="175"/>
      <c r="B698" s="175"/>
      <c r="C698" s="175"/>
      <c r="D698" s="1267"/>
      <c r="E698" s="1267"/>
      <c r="F698" s="1267"/>
      <c r="H698" s="181"/>
      <c r="I698" s="181"/>
      <c r="J698" s="181"/>
      <c r="K698" s="181"/>
    </row>
    <row r="699" spans="1:11">
      <c r="A699" s="175"/>
      <c r="B699" s="175"/>
      <c r="C699" s="175"/>
      <c r="D699" s="474"/>
      <c r="E699" s="474"/>
      <c r="F699" s="474"/>
      <c r="H699" s="181"/>
      <c r="I699" s="181"/>
      <c r="J699" s="181"/>
      <c r="K699" s="181"/>
    </row>
    <row r="700" spans="1:11">
      <c r="A700" s="175"/>
      <c r="B700" s="468" t="s">
        <v>307</v>
      </c>
      <c r="C700" s="175"/>
      <c r="D700" s="1267" t="s">
        <v>1132</v>
      </c>
      <c r="E700" s="1267"/>
      <c r="F700" s="1267"/>
      <c r="H700" s="181"/>
      <c r="I700" s="181"/>
      <c r="J700" s="181"/>
      <c r="K700" s="181"/>
    </row>
    <row r="701" spans="1:11">
      <c r="A701" s="175"/>
      <c r="B701" s="175"/>
      <c r="C701" s="175"/>
      <c r="D701" s="1267"/>
      <c r="E701" s="1267"/>
      <c r="F701" s="1267"/>
      <c r="H701" s="181"/>
      <c r="I701" s="181"/>
      <c r="J701" s="181"/>
      <c r="K701" s="181"/>
    </row>
    <row r="702" spans="1:11">
      <c r="A702" s="175"/>
      <c r="B702" s="175"/>
      <c r="C702" s="175"/>
      <c r="D702" s="1267"/>
      <c r="E702" s="1267"/>
      <c r="F702" s="1267"/>
      <c r="H702" s="181"/>
      <c r="I702" s="181"/>
      <c r="J702" s="181"/>
      <c r="K702" s="181"/>
    </row>
    <row r="703" spans="1:11">
      <c r="A703" s="175"/>
      <c r="B703" s="175"/>
      <c r="C703" s="175"/>
      <c r="D703" s="474"/>
      <c r="E703" s="474"/>
      <c r="F703" s="474"/>
      <c r="H703" s="181"/>
      <c r="I703" s="181"/>
      <c r="J703" s="181"/>
      <c r="K703" s="181"/>
    </row>
    <row r="704" spans="1:11">
      <c r="A704" s="175"/>
      <c r="B704" s="468" t="s">
        <v>307</v>
      </c>
      <c r="C704" s="175"/>
      <c r="D704" s="1267" t="s">
        <v>1125</v>
      </c>
      <c r="E704" s="1267"/>
      <c r="F704" s="1267"/>
      <c r="H704" s="181"/>
      <c r="I704" s="181"/>
      <c r="J704" s="181"/>
      <c r="K704" s="181"/>
    </row>
    <row r="705" spans="1:11">
      <c r="A705" s="175"/>
      <c r="B705" s="175"/>
      <c r="C705" s="175"/>
      <c r="D705" s="1267"/>
      <c r="E705" s="1267"/>
      <c r="F705" s="1267"/>
      <c r="H705" s="181"/>
      <c r="I705" s="181"/>
      <c r="J705" s="181"/>
      <c r="K705" s="181"/>
    </row>
    <row r="706" spans="1:11">
      <c r="A706" s="175"/>
      <c r="B706" s="175"/>
      <c r="C706" s="175"/>
      <c r="D706" s="1267"/>
      <c r="E706" s="1267"/>
      <c r="F706" s="1267"/>
      <c r="H706" s="181"/>
      <c r="I706" s="181"/>
      <c r="J706" s="181"/>
      <c r="K706" s="181"/>
    </row>
    <row r="707" spans="1:11">
      <c r="A707" s="175"/>
      <c r="B707" s="175"/>
      <c r="C707" s="175"/>
      <c r="H707" s="181"/>
      <c r="I707" s="181"/>
      <c r="J707" s="181"/>
      <c r="K707" s="181"/>
    </row>
    <row r="708" spans="1:11">
      <c r="A708" s="175"/>
      <c r="B708" s="468" t="s">
        <v>307</v>
      </c>
      <c r="C708" s="175"/>
      <c r="D708" s="1267" t="s">
        <v>1126</v>
      </c>
      <c r="E708" s="1267"/>
      <c r="F708" s="1267"/>
      <c r="H708" s="181"/>
      <c r="I708" s="181"/>
      <c r="J708" s="181"/>
      <c r="K708" s="181"/>
    </row>
    <row r="709" spans="1:11">
      <c r="A709" s="175"/>
      <c r="B709" s="175"/>
      <c r="C709" s="175"/>
      <c r="D709" s="1267"/>
      <c r="E709" s="1267"/>
      <c r="F709" s="1267"/>
      <c r="H709" s="181"/>
      <c r="I709" s="181"/>
      <c r="J709" s="181"/>
      <c r="K709" s="181"/>
    </row>
    <row r="710" spans="1:11">
      <c r="A710" s="175"/>
      <c r="B710" s="175"/>
      <c r="C710" s="175"/>
      <c r="D710" s="1267"/>
      <c r="E710" s="1267"/>
      <c r="F710" s="1267"/>
      <c r="H710" s="181"/>
      <c r="I710" s="181"/>
      <c r="J710" s="181"/>
      <c r="K710" s="181"/>
    </row>
    <row r="711" spans="1:11">
      <c r="A711" s="175"/>
      <c r="B711" s="175"/>
      <c r="C711" s="175"/>
      <c r="D711"/>
      <c r="H711" s="181"/>
      <c r="I711" s="181"/>
      <c r="J711" s="181"/>
      <c r="K711" s="181"/>
    </row>
    <row r="712" spans="1:11" ht="14.25">
      <c r="A712" s="176"/>
      <c r="B712" s="468" t="s">
        <v>307</v>
      </c>
      <c r="C712" s="175"/>
      <c r="D712" s="1267" t="s">
        <v>1127</v>
      </c>
      <c r="E712" s="1267"/>
      <c r="F712" s="1267"/>
      <c r="H712" s="181"/>
      <c r="I712" s="181"/>
      <c r="J712" s="181"/>
      <c r="K712" s="181"/>
    </row>
    <row r="713" spans="1:11">
      <c r="A713" s="175"/>
      <c r="B713" s="175"/>
      <c r="C713" s="175"/>
      <c r="D713" s="1267"/>
      <c r="E713" s="1267"/>
      <c r="F713" s="1267"/>
      <c r="H713" s="181"/>
      <c r="I713" s="181"/>
      <c r="J713" s="181"/>
      <c r="K713" s="181"/>
    </row>
    <row r="714" spans="1:11">
      <c r="A714" s="175"/>
      <c r="B714" s="175"/>
      <c r="C714" s="175"/>
      <c r="D714" s="1267"/>
      <c r="E714" s="1267"/>
      <c r="F714" s="1267"/>
      <c r="H714" s="181"/>
      <c r="I714" s="181"/>
      <c r="J714" s="181"/>
      <c r="K714" s="181"/>
    </row>
    <row r="715" spans="1:11">
      <c r="A715" s="175"/>
      <c r="B715" s="175"/>
      <c r="C715" s="175"/>
      <c r="D715" s="1267"/>
      <c r="E715" s="1267"/>
      <c r="F715" s="1267"/>
      <c r="H715" s="181"/>
      <c r="I715" s="181"/>
      <c r="J715" s="181"/>
      <c r="K715" s="181"/>
    </row>
    <row r="716" spans="1:11">
      <c r="A716" s="175"/>
      <c r="B716" s="175"/>
      <c r="C716" s="175"/>
      <c r="D716" s="178"/>
      <c r="H716" s="181"/>
      <c r="I716" s="181"/>
      <c r="J716" s="181"/>
      <c r="K716" s="181"/>
    </row>
    <row r="717" spans="1:11" ht="14.25">
      <c r="A717" s="176"/>
      <c r="B717" s="468" t="s">
        <v>307</v>
      </c>
      <c r="C717" s="175"/>
      <c r="D717" s="1267" t="s">
        <v>1260</v>
      </c>
      <c r="E717" s="1267"/>
      <c r="F717" s="1267"/>
      <c r="H717" s="181"/>
      <c r="I717" s="181"/>
      <c r="J717" s="181"/>
      <c r="K717" s="181"/>
    </row>
    <row r="718" spans="1:11">
      <c r="A718" s="175"/>
      <c r="B718" s="175"/>
      <c r="C718" s="175"/>
      <c r="D718" s="1267"/>
      <c r="E718" s="1267"/>
      <c r="F718" s="1267"/>
      <c r="H718" s="181"/>
      <c r="I718" s="181"/>
      <c r="J718" s="181"/>
      <c r="K718" s="181"/>
    </row>
    <row r="719" spans="1:11">
      <c r="A719" s="175"/>
      <c r="B719" s="175"/>
      <c r="C719" s="175"/>
      <c r="D719" s="1267"/>
      <c r="E719" s="1267"/>
      <c r="F719" s="1267"/>
      <c r="H719" s="181"/>
      <c r="I719" s="181"/>
      <c r="J719" s="181"/>
      <c r="K719" s="181"/>
    </row>
    <row r="720" spans="1:11">
      <c r="A720" s="175"/>
      <c r="B720" s="175"/>
      <c r="C720" s="175"/>
      <c r="D720" s="1267"/>
      <c r="E720" s="1267"/>
      <c r="F720" s="1267"/>
      <c r="H720" s="181"/>
      <c r="I720" s="181"/>
      <c r="J720" s="181"/>
      <c r="K720" s="181"/>
    </row>
    <row r="721" spans="1:11">
      <c r="A721" s="175"/>
      <c r="B721" s="175"/>
      <c r="C721" s="175"/>
      <c r="D721" s="1267"/>
      <c r="E721" s="1267"/>
      <c r="F721" s="1267"/>
      <c r="H721" s="181"/>
      <c r="I721" s="181"/>
      <c r="J721" s="181"/>
      <c r="K721" s="181"/>
    </row>
    <row r="722" spans="1:11">
      <c r="A722" s="175"/>
      <c r="B722" s="175"/>
      <c r="C722" s="175"/>
      <c r="D722" s="1267"/>
      <c r="E722" s="1267"/>
      <c r="F722" s="1267"/>
      <c r="H722" s="181"/>
      <c r="I722" s="181"/>
      <c r="J722" s="181"/>
      <c r="K722" s="181"/>
    </row>
    <row r="723" spans="1:11">
      <c r="A723" s="175"/>
      <c r="B723" s="175"/>
      <c r="C723" s="175"/>
      <c r="D723" s="1267"/>
      <c r="E723" s="1267"/>
      <c r="F723" s="1267"/>
      <c r="H723" s="181"/>
      <c r="I723" s="181"/>
      <c r="J723" s="181"/>
      <c r="K723" s="181"/>
    </row>
    <row r="724" spans="1:11">
      <c r="A724" s="175"/>
      <c r="B724" s="175"/>
      <c r="C724" s="175"/>
      <c r="D724" s="1294" t="s">
        <v>1128</v>
      </c>
      <c r="E724" s="1294"/>
      <c r="F724" s="1294"/>
      <c r="H724" s="181"/>
      <c r="I724" s="181"/>
      <c r="J724" s="181"/>
      <c r="K724" s="181"/>
    </row>
    <row r="725" spans="1:11">
      <c r="A725" s="175"/>
      <c r="B725" s="175"/>
      <c r="C725" s="175"/>
      <c r="D725" s="369"/>
      <c r="H725" s="181"/>
      <c r="I725" s="181"/>
      <c r="J725" s="181"/>
      <c r="K725" s="181"/>
    </row>
    <row r="726" spans="1:11">
      <c r="A726" s="1289" t="s">
        <v>1085</v>
      </c>
      <c r="B726" s="1289"/>
      <c r="C726" s="1289"/>
      <c r="D726" s="1289"/>
      <c r="E726" s="1289"/>
      <c r="F726" s="1289"/>
      <c r="G726" s="1289"/>
      <c r="H726" s="181"/>
      <c r="I726" s="181"/>
      <c r="J726" s="181"/>
      <c r="K726" s="181"/>
    </row>
    <row r="727" spans="1:11">
      <c r="A727" s="175"/>
      <c r="B727" s="175"/>
      <c r="C727" s="175"/>
      <c r="D727" s="178"/>
      <c r="G727" s="183"/>
      <c r="H727" s="181"/>
      <c r="I727" s="181"/>
      <c r="J727" s="181"/>
      <c r="K727" s="181"/>
    </row>
    <row r="728" spans="1:11" ht="13.15" customHeight="1">
      <c r="C728" s="175"/>
      <c r="D728" s="1299" t="s">
        <v>1101</v>
      </c>
      <c r="E728" s="1299"/>
      <c r="F728" s="1299"/>
      <c r="G728" s="183"/>
      <c r="H728" s="181"/>
      <c r="I728" s="181"/>
      <c r="J728" s="181"/>
      <c r="K728" s="181"/>
    </row>
    <row r="729" spans="1:11">
      <c r="A729" s="175"/>
      <c r="B729" s="175"/>
      <c r="C729" s="175"/>
      <c r="D729" s="1291" t="s">
        <v>1102</v>
      </c>
      <c r="E729" s="1291"/>
      <c r="F729" s="1291"/>
      <c r="G729" s="183"/>
      <c r="H729" s="181"/>
      <c r="I729" s="181"/>
      <c r="J729" s="181"/>
      <c r="K729" s="181"/>
    </row>
    <row r="730" spans="1:11">
      <c r="A730" s="175"/>
      <c r="B730" s="175"/>
      <c r="C730" s="175"/>
      <c r="G730" s="183"/>
      <c r="H730" s="181"/>
      <c r="I730" s="181"/>
      <c r="J730" s="181"/>
      <c r="K730" s="181"/>
    </row>
    <row r="731" spans="1:11" ht="14.25">
      <c r="A731" s="176"/>
      <c r="B731" s="468" t="s">
        <v>307</v>
      </c>
      <c r="D731" s="1267" t="s">
        <v>1103</v>
      </c>
      <c r="E731" s="1267"/>
      <c r="F731" s="1267"/>
      <c r="G731" s="183"/>
      <c r="H731" s="181"/>
      <c r="I731" s="181"/>
      <c r="J731" s="181"/>
      <c r="K731" s="181"/>
    </row>
    <row r="732" spans="1:11" ht="10.5" customHeight="1">
      <c r="D732" s="1267"/>
      <c r="E732" s="1267"/>
      <c r="F732" s="1267"/>
      <c r="G732" s="183"/>
      <c r="H732" s="181"/>
      <c r="I732" s="181"/>
      <c r="J732" s="181"/>
      <c r="K732" s="181"/>
    </row>
    <row r="733" spans="1:11">
      <c r="D733" s="1267"/>
      <c r="E733" s="1267"/>
      <c r="F733" s="1267"/>
      <c r="G733" s="183"/>
      <c r="H733" s="181"/>
      <c r="I733" s="181"/>
      <c r="J733" s="181"/>
      <c r="K733" s="181"/>
    </row>
    <row r="734" spans="1:11">
      <c r="D734" s="1267"/>
      <c r="E734" s="1267"/>
      <c r="F734" s="1267"/>
      <c r="G734" s="183"/>
      <c r="H734" s="181"/>
      <c r="I734" s="181"/>
      <c r="J734" s="181"/>
      <c r="K734" s="181"/>
    </row>
    <row r="735" spans="1:11">
      <c r="D735" s="1267"/>
      <c r="E735" s="1267"/>
      <c r="F735" s="1267"/>
      <c r="G735" s="183"/>
      <c r="H735" s="181"/>
      <c r="I735" s="181"/>
      <c r="J735" s="181"/>
      <c r="K735" s="181"/>
    </row>
    <row r="736" spans="1:11" ht="15.6" customHeight="1">
      <c r="D736" s="1267"/>
      <c r="E736" s="1267"/>
      <c r="F736" s="1267"/>
      <c r="G736" s="183"/>
      <c r="H736" s="181"/>
      <c r="I736" s="181"/>
      <c r="J736" s="181"/>
      <c r="K736" s="181"/>
    </row>
    <row r="737" spans="1:11">
      <c r="D737" s="255"/>
      <c r="E737" s="35"/>
      <c r="F737" s="35"/>
      <c r="G737" s="183"/>
      <c r="H737" s="181"/>
      <c r="I737" s="181"/>
      <c r="J737" s="181"/>
      <c r="K737" s="181"/>
    </row>
    <row r="738" spans="1:11" s="274" customFormat="1" ht="14.25">
      <c r="A738" s="272"/>
      <c r="B738" s="468" t="s">
        <v>307</v>
      </c>
      <c r="C738" s="273"/>
      <c r="D738" s="1267" t="s">
        <v>1104</v>
      </c>
      <c r="E738" s="1267"/>
      <c r="F738" s="1267"/>
      <c r="G738" s="210"/>
    </row>
    <row r="739" spans="1:11" s="274" customFormat="1">
      <c r="A739" s="273"/>
      <c r="B739" s="273"/>
      <c r="C739" s="273"/>
      <c r="D739" s="1267"/>
      <c r="E739" s="1267"/>
      <c r="F739" s="1267"/>
      <c r="G739" s="210"/>
    </row>
    <row r="740" spans="1:11" s="274" customFormat="1">
      <c r="A740" s="273"/>
      <c r="B740" s="273"/>
      <c r="C740" s="273"/>
      <c r="D740" s="1267"/>
      <c r="E740" s="1267"/>
      <c r="F740" s="1267"/>
      <c r="G740" s="210"/>
    </row>
    <row r="741" spans="1:11" s="274" customFormat="1">
      <c r="A741" s="273"/>
      <c r="B741" s="273"/>
      <c r="C741" s="273"/>
      <c r="D741" s="1267"/>
      <c r="E741" s="1267"/>
      <c r="F741" s="1267"/>
      <c r="G741" s="210"/>
    </row>
    <row r="742" spans="1:11" s="274" customFormat="1">
      <c r="A742" s="273"/>
      <c r="B742" s="273"/>
      <c r="C742" s="273"/>
      <c r="D742" s="255"/>
      <c r="E742" s="210"/>
      <c r="F742" s="210"/>
      <c r="G742" s="210"/>
    </row>
    <row r="743" spans="1:11" s="274" customFormat="1" ht="14.25">
      <c r="A743" s="176"/>
      <c r="B743" s="468" t="s">
        <v>307</v>
      </c>
      <c r="C743" s="273"/>
      <c r="D743" s="1300" t="s">
        <v>1105</v>
      </c>
      <c r="E743" s="1300"/>
      <c r="F743" s="1300"/>
      <c r="G743" s="210"/>
    </row>
    <row r="744" spans="1:11" s="274" customFormat="1">
      <c r="A744" s="273"/>
      <c r="B744" s="273"/>
      <c r="C744" s="273"/>
      <c r="D744" s="1300"/>
      <c r="E744" s="1300"/>
      <c r="F744" s="1300"/>
      <c r="G744" s="210"/>
    </row>
    <row r="745" spans="1:11" s="274" customFormat="1">
      <c r="A745" s="273"/>
      <c r="B745" s="273"/>
      <c r="C745" s="273"/>
      <c r="D745" s="1300"/>
      <c r="E745" s="1300"/>
      <c r="F745" s="1300"/>
      <c r="G745" s="210"/>
    </row>
    <row r="746" spans="1:11">
      <c r="D746" s="255"/>
      <c r="E746" s="35"/>
      <c r="F746" s="35"/>
      <c r="G746" s="183"/>
      <c r="H746" s="181"/>
      <c r="I746" s="181"/>
      <c r="J746" s="181"/>
      <c r="K746" s="181"/>
    </row>
    <row r="747" spans="1:11" ht="14.25">
      <c r="A747" s="176"/>
      <c r="B747" s="468" t="s">
        <v>307</v>
      </c>
      <c r="D747" s="1267" t="s">
        <v>1106</v>
      </c>
      <c r="E747" s="1267"/>
      <c r="F747" s="1267"/>
      <c r="G747" s="183"/>
      <c r="H747" s="181"/>
      <c r="I747" s="181"/>
      <c r="J747" s="181"/>
      <c r="K747" s="181"/>
    </row>
    <row r="748" spans="1:11">
      <c r="D748" s="1267"/>
      <c r="E748" s="1267"/>
      <c r="F748" s="1267"/>
      <c r="G748" s="183"/>
      <c r="H748" s="181"/>
      <c r="I748" s="181"/>
      <c r="J748" s="181"/>
      <c r="K748" s="181"/>
    </row>
    <row r="749" spans="1:11">
      <c r="D749" s="474"/>
      <c r="E749" s="474"/>
      <c r="F749" s="474"/>
      <c r="G749" s="183"/>
      <c r="H749" s="181"/>
      <c r="I749" s="181"/>
      <c r="J749" s="181"/>
      <c r="K749" s="181"/>
    </row>
    <row r="750" spans="1:11">
      <c r="B750" s="468" t="s">
        <v>307</v>
      </c>
      <c r="D750" s="1267" t="s">
        <v>1107</v>
      </c>
      <c r="E750" s="1267"/>
      <c r="F750" s="1267"/>
      <c r="G750" s="183"/>
      <c r="H750" s="181"/>
      <c r="I750" s="181"/>
      <c r="J750" s="181"/>
      <c r="K750" s="181"/>
    </row>
    <row r="751" spans="1:11">
      <c r="D751" s="1267"/>
      <c r="E751" s="1267"/>
      <c r="F751" s="1267"/>
      <c r="G751" s="183"/>
      <c r="H751" s="181"/>
      <c r="I751" s="181"/>
      <c r="J751" s="181"/>
      <c r="K751" s="181"/>
    </row>
    <row r="752" spans="1:11">
      <c r="D752" s="1267"/>
      <c r="E752" s="1267"/>
      <c r="F752" s="1267"/>
      <c r="G752" s="183"/>
      <c r="H752" s="181"/>
      <c r="I752" s="181"/>
      <c r="J752" s="181"/>
      <c r="K752" s="181"/>
    </row>
    <row r="753" spans="1:11">
      <c r="D753" s="474"/>
      <c r="E753" s="474"/>
      <c r="F753" s="474"/>
      <c r="G753" s="183"/>
      <c r="H753" s="181"/>
      <c r="I753" s="181"/>
      <c r="J753" s="181"/>
      <c r="K753" s="181"/>
    </row>
    <row r="754" spans="1:11">
      <c r="A754" s="1288" t="s">
        <v>1108</v>
      </c>
      <c r="B754" s="1288"/>
      <c r="C754" s="1288"/>
      <c r="D754" s="1288"/>
      <c r="E754" s="1288"/>
      <c r="F754" s="1288"/>
      <c r="G754" s="1288"/>
    </row>
    <row r="755" spans="1:11">
      <c r="A755" s="175"/>
      <c r="B755" s="175"/>
      <c r="C755" s="175"/>
      <c r="D755" s="184"/>
      <c r="F755" s="35"/>
      <c r="G755" s="183"/>
    </row>
    <row r="756" spans="1:11">
      <c r="D756" s="1296" t="s">
        <v>1092</v>
      </c>
      <c r="E756" s="1296"/>
      <c r="F756" s="1296"/>
      <c r="G756" s="183"/>
    </row>
    <row r="757" spans="1:11">
      <c r="A757" s="345"/>
      <c r="B757" s="345"/>
      <c r="C757" s="345"/>
      <c r="D757" s="1297" t="s">
        <v>1109</v>
      </c>
      <c r="E757" s="1297"/>
      <c r="F757" s="1297"/>
      <c r="G757" s="183"/>
    </row>
    <row r="758" spans="1:11">
      <c r="D758" s="433"/>
      <c r="E758" s="433"/>
      <c r="F758" s="433"/>
      <c r="G758" s="183"/>
    </row>
    <row r="759" spans="1:11" ht="14.25">
      <c r="A759" s="176"/>
      <c r="B759" s="468" t="s">
        <v>307</v>
      </c>
      <c r="D759" s="1297" t="s">
        <v>1002</v>
      </c>
      <c r="E759" s="1297"/>
      <c r="F759" s="1297"/>
      <c r="G759" s="183"/>
    </row>
    <row r="760" spans="1:11">
      <c r="D760" s="433"/>
      <c r="E760" s="1298" t="s">
        <v>1093</v>
      </c>
      <c r="F760" s="1298"/>
      <c r="G760" s="183"/>
    </row>
    <row r="761" spans="1:11">
      <c r="A761" s="172"/>
      <c r="B761" s="172"/>
      <c r="C761" s="172"/>
      <c r="D761" s="35"/>
      <c r="G761" s="183"/>
    </row>
    <row r="762" spans="1:11">
      <c r="A762" s="1295" t="s">
        <v>448</v>
      </c>
      <c r="B762" s="1295"/>
      <c r="C762" s="1295"/>
      <c r="D762" s="1295"/>
      <c r="E762" s="1295"/>
      <c r="F762" s="1295"/>
      <c r="G762" s="1295"/>
    </row>
    <row r="763" spans="1:11">
      <c r="A763" s="172"/>
      <c r="B763" s="172"/>
      <c r="C763" s="179"/>
      <c r="D763" s="183"/>
      <c r="E763" s="183"/>
      <c r="F763" s="183"/>
      <c r="G763" s="183"/>
    </row>
    <row r="764" spans="1:11">
      <c r="A764" s="35"/>
      <c r="B764" s="1291" t="s">
        <v>1001</v>
      </c>
      <c r="C764" s="1291"/>
      <c r="D764" s="1291"/>
      <c r="E764" s="1291"/>
      <c r="F764" s="1291"/>
      <c r="G764" s="183"/>
    </row>
    <row r="765" spans="1:11">
      <c r="A765" s="13"/>
      <c r="B765" s="13"/>
      <c r="G765" s="183"/>
    </row>
    <row r="766" spans="1:11">
      <c r="A766" s="1295" t="s">
        <v>449</v>
      </c>
      <c r="B766" s="1295"/>
      <c r="C766" s="1295"/>
      <c r="D766" s="1295"/>
      <c r="E766" s="1295"/>
      <c r="F766" s="1295"/>
      <c r="G766" s="1295"/>
    </row>
    <row r="767" spans="1:11">
      <c r="A767" s="172"/>
      <c r="B767" s="172"/>
      <c r="C767" s="172"/>
      <c r="D767" s="178"/>
      <c r="G767" s="183"/>
    </row>
    <row r="768" spans="1:11">
      <c r="A768" s="35"/>
      <c r="B768" s="1287" t="s">
        <v>447</v>
      </c>
      <c r="C768" s="1287"/>
      <c r="D768" s="1287"/>
      <c r="E768" s="1287"/>
      <c r="F768" s="1287"/>
      <c r="G768" s="183"/>
    </row>
    <row r="769" spans="1:7" ht="14.25">
      <c r="A769" s="176"/>
      <c r="B769" s="176"/>
      <c r="D769" s="35"/>
      <c r="E769" s="35"/>
      <c r="F769" s="183"/>
      <c r="G769" s="183"/>
    </row>
    <row r="770" spans="1:7">
      <c r="A770" s="1295" t="s">
        <v>450</v>
      </c>
      <c r="B770" s="1295"/>
      <c r="C770" s="1295"/>
      <c r="D770" s="1295"/>
      <c r="E770" s="1295"/>
      <c r="F770" s="1295"/>
      <c r="G770" s="1295"/>
    </row>
    <row r="771" spans="1:7">
      <c r="C771" s="175"/>
      <c r="D771" s="173"/>
      <c r="E771" s="35"/>
      <c r="F771" s="183"/>
      <c r="G771" s="183"/>
    </row>
    <row r="772" spans="1:7">
      <c r="A772" s="35"/>
      <c r="B772" s="1287" t="s">
        <v>447</v>
      </c>
      <c r="C772" s="1287"/>
      <c r="D772" s="1287"/>
      <c r="E772" s="1287"/>
      <c r="F772" s="1287"/>
      <c r="G772" s="183"/>
    </row>
    <row r="773" spans="1:7">
      <c r="A773" s="35"/>
      <c r="B773" s="35"/>
      <c r="C773" s="179"/>
      <c r="D773" s="183"/>
      <c r="E773" s="183"/>
      <c r="F773" s="183"/>
      <c r="G773" s="183"/>
    </row>
    <row r="774" spans="1:7">
      <c r="A774" s="1295" t="s">
        <v>451</v>
      </c>
      <c r="B774" s="1295"/>
      <c r="C774" s="1295"/>
      <c r="D774" s="1295"/>
      <c r="E774" s="1295"/>
      <c r="F774" s="1295"/>
      <c r="G774" s="1295"/>
    </row>
    <row r="775" spans="1:7">
      <c r="A775" s="35"/>
      <c r="B775" s="35"/>
    </row>
    <row r="776" spans="1:7">
      <c r="A776" s="35"/>
      <c r="B776" s="1287" t="s">
        <v>447</v>
      </c>
      <c r="C776" s="1287"/>
      <c r="D776" s="1287"/>
      <c r="E776" s="1287"/>
      <c r="F776" s="1287"/>
    </row>
    <row r="777" spans="1:7">
      <c r="A777" s="179"/>
      <c r="B777" s="179"/>
      <c r="C777" s="179"/>
      <c r="D777" s="174"/>
      <c r="F777" s="183"/>
    </row>
    <row r="778" spans="1:7">
      <c r="A778" s="1295" t="s">
        <v>452</v>
      </c>
      <c r="B778" s="1295"/>
      <c r="C778" s="1295"/>
      <c r="D778" s="1295"/>
      <c r="E778" s="1295"/>
      <c r="F778" s="1295"/>
      <c r="G778" s="1295"/>
    </row>
    <row r="779" spans="1:7">
      <c r="A779" s="35"/>
      <c r="B779" s="35"/>
    </row>
    <row r="780" spans="1:7">
      <c r="A780" s="35"/>
      <c r="B780" s="1287" t="s">
        <v>447</v>
      </c>
      <c r="C780" s="1287"/>
      <c r="D780" s="1287"/>
      <c r="E780" s="1287"/>
      <c r="F780" s="1287"/>
    </row>
    <row r="781" spans="1:7">
      <c r="A781" s="179"/>
      <c r="B781" s="179"/>
      <c r="C781" s="179"/>
      <c r="D781" s="174"/>
      <c r="F781" s="183"/>
    </row>
    <row r="782" spans="1:7">
      <c r="A782" s="1295" t="s">
        <v>453</v>
      </c>
      <c r="B782" s="1295"/>
      <c r="C782" s="1295"/>
      <c r="D782" s="1295"/>
      <c r="E782" s="1295"/>
      <c r="F782" s="1295"/>
      <c r="G782" s="1295"/>
    </row>
    <row r="783" spans="1:7">
      <c r="A783" s="35"/>
      <c r="B783" s="35"/>
    </row>
    <row r="784" spans="1:7">
      <c r="A784" s="35"/>
      <c r="B784" s="1287" t="s">
        <v>447</v>
      </c>
      <c r="C784" s="1287"/>
      <c r="D784" s="1287"/>
      <c r="E784" s="1287"/>
      <c r="F784" s="1287"/>
    </row>
    <row r="785" spans="1:7">
      <c r="D785" s="174"/>
    </row>
    <row r="786" spans="1:7">
      <c r="A786" s="1295" t="s">
        <v>186</v>
      </c>
      <c r="B786" s="1295"/>
      <c r="C786" s="1295"/>
      <c r="D786" s="1295"/>
      <c r="E786" s="1295"/>
      <c r="F786" s="1295"/>
      <c r="G786" s="1295"/>
    </row>
    <row r="787" spans="1:7">
      <c r="A787" s="35"/>
      <c r="B787" s="35"/>
    </row>
    <row r="788" spans="1:7">
      <c r="A788" s="35"/>
      <c r="B788" s="1287" t="s">
        <v>447</v>
      </c>
      <c r="C788" s="1287"/>
      <c r="D788" s="1287"/>
      <c r="E788" s="1287"/>
      <c r="F788" s="1287"/>
    </row>
    <row r="789" spans="1:7">
      <c r="A789" s="35"/>
      <c r="B789" s="35"/>
      <c r="D789" s="174"/>
    </row>
    <row r="790" spans="1:7">
      <c r="A790" s="1295" t="s">
        <v>884</v>
      </c>
      <c r="B790" s="1295"/>
      <c r="C790" s="1295"/>
      <c r="D790" s="1295"/>
      <c r="E790" s="1295"/>
      <c r="F790" s="1295"/>
      <c r="G790" s="1295"/>
    </row>
    <row r="791" spans="1:7">
      <c r="A791" s="35"/>
      <c r="B791" s="35"/>
    </row>
    <row r="792" spans="1:7">
      <c r="A792" s="35"/>
      <c r="B792" s="1287" t="s">
        <v>447</v>
      </c>
      <c r="C792" s="1287"/>
      <c r="D792" s="1287"/>
      <c r="E792" s="1287"/>
      <c r="F792" s="1287"/>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3"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20" t="s">
        <v>2055</v>
      </c>
      <c r="B2" s="1321"/>
      <c r="C2" s="1321"/>
      <c r="D2" s="1321"/>
      <c r="E2" s="1321"/>
      <c r="F2" s="1321"/>
      <c r="G2" s="1321"/>
      <c r="H2" s="1321"/>
      <c r="I2" s="1321"/>
      <c r="J2" s="1321"/>
    </row>
    <row r="3" spans="1:10" ht="15">
      <c r="A3" s="1324" t="s">
        <v>1373</v>
      </c>
      <c r="B3" s="1325"/>
      <c r="C3" s="1325"/>
      <c r="D3" s="1325"/>
      <c r="E3" s="1325"/>
      <c r="F3" s="1325"/>
      <c r="G3" s="1325"/>
      <c r="H3" s="1325"/>
      <c r="I3" s="1325"/>
      <c r="J3" s="1325"/>
    </row>
    <row r="4" spans="1:10" ht="12.75"/>
    <row r="5" spans="1:10" ht="12.75" customHeight="1">
      <c r="A5" s="1322" t="s">
        <v>2356</v>
      </c>
      <c r="B5" s="1322"/>
      <c r="C5" s="1322"/>
      <c r="D5" s="1322"/>
      <c r="E5" s="1322"/>
      <c r="F5" s="1322"/>
      <c r="G5" s="1322"/>
      <c r="H5" s="1322"/>
      <c r="I5" s="1322"/>
      <c r="J5" s="1322"/>
    </row>
    <row r="6" spans="1:10" ht="12.75">
      <c r="A6" s="1322"/>
      <c r="B6" s="1322"/>
      <c r="C6" s="1322"/>
      <c r="D6" s="1322"/>
      <c r="E6" s="1322"/>
      <c r="F6" s="1322"/>
      <c r="G6" s="1322"/>
      <c r="H6" s="1322"/>
      <c r="I6" s="1322"/>
      <c r="J6" s="1322"/>
    </row>
    <row r="7" spans="1:10" ht="30" customHeight="1">
      <c r="A7" s="1322"/>
      <c r="B7" s="1322"/>
      <c r="C7" s="1322"/>
      <c r="D7" s="1322"/>
      <c r="E7" s="1322"/>
      <c r="F7" s="1322"/>
      <c r="G7" s="1322"/>
      <c r="H7" s="1322"/>
      <c r="I7" s="1322"/>
      <c r="J7" s="1322"/>
    </row>
    <row r="8" spans="1:10" ht="12.75">
      <c r="A8" s="447"/>
      <c r="B8" s="447"/>
      <c r="C8" s="447"/>
      <c r="D8" s="447"/>
      <c r="E8" s="447"/>
      <c r="F8" s="447"/>
      <c r="G8" s="447"/>
      <c r="H8" s="447"/>
      <c r="I8" s="447"/>
      <c r="J8" s="447"/>
    </row>
    <row r="9" spans="1:10" ht="12.75" customHeight="1">
      <c r="A9" s="433" t="s">
        <v>2058</v>
      </c>
      <c r="B9" s="447"/>
      <c r="C9" s="447"/>
      <c r="D9" s="447"/>
      <c r="E9" s="447"/>
      <c r="F9" s="447"/>
      <c r="G9" s="447"/>
      <c r="H9" s="447"/>
      <c r="I9" s="447"/>
      <c r="J9" s="447"/>
    </row>
    <row r="10" spans="1:10" ht="12.75"/>
    <row r="11" spans="1:10" ht="12.75" customHeight="1">
      <c r="A11" s="1326" t="s">
        <v>2060</v>
      </c>
      <c r="B11" s="1326"/>
      <c r="C11" s="1326"/>
      <c r="D11" s="1326"/>
      <c r="E11" s="1326"/>
      <c r="F11" s="1326"/>
      <c r="G11" s="1326"/>
      <c r="H11" s="1326"/>
      <c r="I11" s="1326"/>
      <c r="J11" s="1326"/>
    </row>
    <row r="12" spans="1:10" ht="12.75">
      <c r="A12" s="1326"/>
      <c r="B12" s="1326"/>
      <c r="C12" s="1326"/>
      <c r="D12" s="1326"/>
      <c r="E12" s="1326"/>
      <c r="F12" s="1326"/>
      <c r="G12" s="1326"/>
      <c r="H12" s="1326"/>
      <c r="I12" s="1326"/>
      <c r="J12" s="1326"/>
    </row>
    <row r="13" spans="1:10" ht="12.75">
      <c r="A13" s="1326"/>
      <c r="B13" s="1326"/>
      <c r="C13" s="1326"/>
      <c r="D13" s="1326"/>
      <c r="E13" s="1326"/>
      <c r="F13" s="1326"/>
      <c r="G13" s="1326"/>
      <c r="H13" s="1326"/>
      <c r="I13" s="1326"/>
      <c r="J13" s="1326"/>
    </row>
    <row r="14" spans="1:10" ht="12.75">
      <c r="A14" s="1326"/>
      <c r="B14" s="1326"/>
      <c r="C14" s="1326"/>
      <c r="D14" s="1326"/>
      <c r="E14" s="1326"/>
      <c r="F14" s="1326"/>
      <c r="G14" s="1326"/>
      <c r="H14" s="1326"/>
      <c r="I14" s="1326"/>
      <c r="J14" s="1326"/>
    </row>
    <row r="15" spans="1:10" ht="12.75">
      <c r="A15" s="1326"/>
      <c r="B15" s="1326"/>
      <c r="C15" s="1326"/>
      <c r="D15" s="1326"/>
      <c r="E15" s="1326"/>
      <c r="F15" s="1326"/>
      <c r="G15" s="1326"/>
      <c r="H15" s="1326"/>
      <c r="I15" s="1326"/>
      <c r="J15" s="1326"/>
    </row>
    <row r="16" spans="1:10" ht="12.75">
      <c r="A16" s="1326"/>
      <c r="B16" s="1326"/>
      <c r="C16" s="1326"/>
      <c r="D16" s="1326"/>
      <c r="E16" s="1326"/>
      <c r="F16" s="1326"/>
      <c r="G16" s="1326"/>
      <c r="H16" s="1326"/>
      <c r="I16" s="1326"/>
      <c r="J16" s="1326"/>
    </row>
    <row r="17" spans="1:10" ht="12.75">
      <c r="A17" s="558"/>
      <c r="B17" s="558"/>
      <c r="C17" s="558"/>
      <c r="D17" s="558"/>
      <c r="E17" s="558"/>
      <c r="F17" s="558"/>
      <c r="G17" s="558"/>
      <c r="H17" s="558"/>
      <c r="I17" s="558"/>
      <c r="J17" s="558"/>
    </row>
    <row r="18" spans="1:10" ht="12.75">
      <c r="A18" s="510" t="s">
        <v>2059</v>
      </c>
      <c r="B18" s="447"/>
      <c r="C18" s="447"/>
      <c r="D18" s="447"/>
      <c r="E18" s="447"/>
      <c r="F18" s="447"/>
      <c r="G18" s="447"/>
      <c r="H18" s="447"/>
      <c r="I18" s="447"/>
      <c r="J18" s="447"/>
    </row>
    <row r="19" spans="1:10" ht="12.75">
      <c r="A19" s="447" t="s">
        <v>250</v>
      </c>
      <c r="B19" s="447"/>
      <c r="C19" s="447"/>
      <c r="D19" s="447"/>
      <c r="E19" s="447"/>
      <c r="F19" s="447"/>
      <c r="G19" s="447"/>
      <c r="H19" s="447"/>
      <c r="I19" s="447"/>
      <c r="J19" s="447"/>
    </row>
    <row r="20" spans="1:10" ht="12.75">
      <c r="A20" s="1325" t="s">
        <v>1292</v>
      </c>
      <c r="B20" s="1325"/>
      <c r="C20" s="1325"/>
      <c r="D20" s="1325"/>
      <c r="E20" s="1325"/>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22" t="s">
        <v>1293</v>
      </c>
      <c r="B57" s="1322"/>
      <c r="C57" s="1322"/>
      <c r="D57" s="1322"/>
      <c r="E57" s="1322"/>
      <c r="F57" s="1322"/>
      <c r="G57" s="1322"/>
      <c r="H57" s="1322"/>
      <c r="I57" s="1322"/>
      <c r="J57" s="1322"/>
    </row>
    <row r="58" spans="1:10" ht="12.75">
      <c r="A58" s="1322"/>
      <c r="B58" s="1322"/>
      <c r="C58" s="1322"/>
      <c r="D58" s="1322"/>
      <c r="E58" s="1322"/>
      <c r="F58" s="1322"/>
      <c r="G58" s="1322"/>
      <c r="H58" s="1322"/>
      <c r="I58" s="1322"/>
      <c r="J58" s="1322"/>
    </row>
    <row r="59" spans="1:10" ht="12.75">
      <c r="A59" s="1322"/>
      <c r="B59" s="1322"/>
      <c r="C59" s="1322"/>
      <c r="D59" s="1322"/>
      <c r="E59" s="1322"/>
      <c r="F59" s="1322"/>
      <c r="G59" s="1322"/>
      <c r="H59" s="1322"/>
      <c r="I59" s="1322"/>
      <c r="J59" s="1322"/>
    </row>
    <row r="60" spans="1:10" ht="12.75"/>
    <row r="61" spans="1:10" ht="12.75">
      <c r="A61" s="433" t="s">
        <v>1292</v>
      </c>
    </row>
    <row r="62" spans="1:10" ht="12.75"/>
    <row r="63" spans="1:10" ht="12.75"/>
    <row r="64" spans="1:10" ht="12.75"/>
    <row r="65" spans="1:9" ht="12.75"/>
    <row r="66" spans="1:9" ht="12.75"/>
    <row r="67" spans="1:9" ht="12.75"/>
    <row r="68" spans="1:9" ht="12.75"/>
    <row r="69" spans="1:9" ht="12.75"/>
    <row r="70" spans="1:9" ht="12.75"/>
    <row r="71" spans="1:9" ht="12.75"/>
    <row r="72" spans="1:9" ht="12.75">
      <c r="A72" s="1323" t="s">
        <v>2056</v>
      </c>
      <c r="B72" s="1323"/>
      <c r="C72" s="1323"/>
      <c r="D72" s="1323"/>
      <c r="E72" s="1323"/>
      <c r="F72" s="1323"/>
      <c r="G72" s="1323"/>
      <c r="H72" s="1323"/>
      <c r="I72" s="1323"/>
    </row>
    <row r="73" spans="1:9" ht="12.75">
      <c r="A73" s="1274" t="s">
        <v>2354</v>
      </c>
      <c r="B73" s="1274"/>
      <c r="C73" s="1274"/>
      <c r="D73" s="1274"/>
      <c r="E73" s="1274"/>
    </row>
    <row r="74" spans="1:9" ht="12.75">
      <c r="A74" s="1274" t="s">
        <v>2355</v>
      </c>
      <c r="B74" s="1274"/>
      <c r="C74" s="1274"/>
      <c r="D74" s="1274"/>
      <c r="E74" s="1274"/>
    </row>
    <row r="75" spans="1:9" ht="12.75">
      <c r="A75" s="1274" t="s">
        <v>2057</v>
      </c>
      <c r="B75" s="1274"/>
      <c r="C75" s="1274"/>
      <c r="D75" s="1274"/>
      <c r="E75" s="1274"/>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abSelected="1" topLeftCell="A1094" workbookViewId="0">
      <selection activeCell="D1023" sqref="D1023:F1023"/>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327" t="s">
        <v>2576</v>
      </c>
      <c r="B2" s="1327"/>
      <c r="C2" s="1327"/>
      <c r="D2" s="1327"/>
      <c r="E2" s="1327"/>
      <c r="F2" s="1327"/>
      <c r="G2" s="1327"/>
      <c r="H2" s="1327"/>
      <c r="I2" s="1327"/>
    </row>
    <row r="3" spans="1:13">
      <c r="A3" s="1328" t="s">
        <v>2622</v>
      </c>
      <c r="B3" s="1328"/>
      <c r="C3" s="1328"/>
      <c r="D3" s="1328"/>
      <c r="E3" s="1328"/>
      <c r="F3" s="1328"/>
      <c r="G3" s="1328"/>
      <c r="H3" s="1328"/>
      <c r="I3" s="1328"/>
    </row>
    <row r="4" spans="1:13">
      <c r="A4" s="1328"/>
      <c r="B4" s="1328"/>
      <c r="C4" s="1325"/>
      <c r="D4" s="1325"/>
      <c r="E4" s="1325"/>
      <c r="F4" s="1325"/>
      <c r="G4" s="1325"/>
    </row>
    <row r="5" spans="1:13">
      <c r="A5" s="1328"/>
      <c r="B5" s="1328"/>
      <c r="C5" s="1325"/>
      <c r="D5" s="1325"/>
      <c r="E5" s="1325"/>
      <c r="F5" s="1325"/>
      <c r="G5" s="1325"/>
    </row>
    <row r="6" spans="1:13" ht="12.75" customHeight="1">
      <c r="A6" s="1342" t="s">
        <v>2621</v>
      </c>
      <c r="B6" s="1342"/>
      <c r="C6" s="1342"/>
      <c r="D6" s="1342"/>
      <c r="E6" s="1342"/>
      <c r="F6" s="1342"/>
      <c r="G6" s="1342"/>
      <c r="I6" s="524" t="s">
        <v>2066</v>
      </c>
    </row>
    <row r="7" spans="1:13">
      <c r="A7" s="1342"/>
      <c r="B7" s="1342"/>
      <c r="C7" s="1342"/>
      <c r="D7" s="1342"/>
      <c r="E7" s="1342"/>
      <c r="F7" s="1342"/>
      <c r="G7" s="1342"/>
      <c r="I7" s="524" t="s">
        <v>2067</v>
      </c>
    </row>
    <row r="8" spans="1:13">
      <c r="A8" s="515"/>
      <c r="B8" s="515"/>
      <c r="C8" s="516"/>
      <c r="D8" s="516"/>
      <c r="E8" s="516"/>
      <c r="F8" s="516"/>
    </row>
    <row r="9" spans="1:13">
      <c r="A9" s="1288" t="s">
        <v>1165</v>
      </c>
      <c r="B9" s="1288"/>
      <c r="C9" s="1288"/>
      <c r="D9" s="1288"/>
      <c r="E9" s="1288"/>
      <c r="F9" s="1288"/>
      <c r="G9" s="1288"/>
      <c r="H9" s="1063"/>
      <c r="I9" s="1064"/>
    </row>
    <row r="10" spans="1:13">
      <c r="A10" s="516"/>
      <c r="B10" s="516"/>
      <c r="E10" s="435"/>
    </row>
    <row r="11" spans="1:13" ht="13.7" customHeight="1">
      <c r="C11" s="516"/>
      <c r="D11" s="1341" t="s">
        <v>1164</v>
      </c>
      <c r="E11" s="1341"/>
      <c r="F11" s="1341"/>
    </row>
    <row r="12" spans="1:13">
      <c r="C12" s="516"/>
      <c r="D12" s="1341"/>
      <c r="E12" s="1341"/>
      <c r="F12" s="1341"/>
    </row>
    <row r="13" spans="1:13">
      <c r="A13" s="517"/>
      <c r="B13" s="517"/>
      <c r="C13" s="517"/>
      <c r="D13" s="1311" t="s">
        <v>1147</v>
      </c>
      <c r="E13" s="1311"/>
      <c r="F13" s="1311"/>
      <c r="M13" s="96"/>
    </row>
    <row r="14" spans="1:13">
      <c r="A14" s="517"/>
      <c r="B14" s="517"/>
      <c r="C14" s="517"/>
      <c r="D14" s="510"/>
      <c r="L14" s="336"/>
    </row>
    <row r="15" spans="1:13" ht="14.25">
      <c r="A15" s="518"/>
      <c r="B15" s="519" t="s">
        <v>2767</v>
      </c>
      <c r="C15" s="517"/>
      <c r="D15" s="1282" t="s">
        <v>2217</v>
      </c>
      <c r="E15" s="1282"/>
      <c r="F15" s="1282"/>
      <c r="I15" s="524" t="s">
        <v>2068</v>
      </c>
    </row>
    <row r="16" spans="1:13">
      <c r="A16" s="517"/>
      <c r="B16" s="517"/>
      <c r="C16" s="517"/>
      <c r="D16" s="1282"/>
      <c r="E16" s="1282"/>
      <c r="F16" s="1282"/>
      <c r="I16" s="524"/>
    </row>
    <row r="17" spans="1:9">
      <c r="A17" s="517"/>
      <c r="B17" s="517"/>
      <c r="C17" s="517"/>
      <c r="D17" s="1282"/>
      <c r="E17" s="1282"/>
      <c r="F17" s="1282"/>
      <c r="I17" s="524"/>
    </row>
    <row r="18" spans="1:9">
      <c r="A18" s="517"/>
      <c r="B18" s="517"/>
      <c r="C18" s="517"/>
      <c r="D18" s="479"/>
      <c r="E18" s="336" t="s">
        <v>2215</v>
      </c>
      <c r="F18" s="479"/>
      <c r="I18" s="524"/>
    </row>
    <row r="19" spans="1:9">
      <c r="A19" s="517"/>
      <c r="B19" s="517"/>
      <c r="C19" s="517"/>
      <c r="I19" s="524"/>
    </row>
    <row r="20" spans="1:9" ht="14.25">
      <c r="A20" s="518"/>
      <c r="B20" s="519" t="s">
        <v>2767</v>
      </c>
      <c r="D20" s="1282" t="s">
        <v>2218</v>
      </c>
      <c r="E20" s="1282"/>
      <c r="F20" s="1282"/>
      <c r="I20" s="524" t="s">
        <v>2069</v>
      </c>
    </row>
    <row r="21" spans="1:9" ht="14.25">
      <c r="A21" s="518"/>
      <c r="D21" s="1282"/>
      <c r="E21" s="1282"/>
      <c r="F21" s="1282"/>
      <c r="I21" s="524"/>
    </row>
    <row r="22" spans="1:9" ht="14.25">
      <c r="A22" s="518"/>
      <c r="D22" s="423"/>
      <c r="E22" s="96" t="s">
        <v>2214</v>
      </c>
      <c r="F22" s="423"/>
      <c r="I22" s="524"/>
    </row>
    <row r="23" spans="1:9" ht="14.25">
      <c r="A23" s="518"/>
      <c r="B23" s="518"/>
      <c r="D23" s="480"/>
      <c r="I23" s="524"/>
    </row>
    <row r="24" spans="1:9" ht="14.25">
      <c r="A24" s="518"/>
      <c r="B24" s="519" t="s">
        <v>2768</v>
      </c>
      <c r="D24" s="1282" t="s">
        <v>1150</v>
      </c>
      <c r="E24" s="1282"/>
      <c r="F24" s="1282"/>
      <c r="I24" s="524" t="s">
        <v>2069</v>
      </c>
    </row>
    <row r="25" spans="1:9" ht="14.25">
      <c r="A25" s="518"/>
      <c r="B25" s="518"/>
      <c r="D25" s="1282"/>
      <c r="E25" s="1282"/>
      <c r="F25" s="1282"/>
      <c r="I25" s="524"/>
    </row>
    <row r="26" spans="1:9">
      <c r="I26" s="524"/>
    </row>
    <row r="27" spans="1:9" ht="14.25">
      <c r="A27" s="518"/>
      <c r="B27" s="519" t="s">
        <v>2767</v>
      </c>
      <c r="D27" s="1282" t="s">
        <v>2357</v>
      </c>
      <c r="E27" s="1282"/>
      <c r="F27" s="1282"/>
      <c r="I27" s="524" t="s">
        <v>2072</v>
      </c>
    </row>
    <row r="28" spans="1:9">
      <c r="D28" s="1282"/>
      <c r="E28" s="1282"/>
      <c r="F28" s="1282"/>
      <c r="I28" s="524"/>
    </row>
    <row r="29" spans="1:9">
      <c r="D29" s="1282"/>
      <c r="E29" s="1282"/>
      <c r="F29" s="1282"/>
      <c r="I29" s="524"/>
    </row>
    <row r="30" spans="1:9">
      <c r="D30" s="1282"/>
      <c r="E30" s="1282"/>
      <c r="F30" s="1282"/>
      <c r="I30" s="524"/>
    </row>
    <row r="31" spans="1:9">
      <c r="D31" s="1282"/>
      <c r="E31" s="1282"/>
      <c r="F31" s="1282"/>
      <c r="I31" s="524"/>
    </row>
    <row r="32" spans="1:9">
      <c r="D32" s="481"/>
      <c r="I32" s="524"/>
    </row>
    <row r="33" spans="1:9">
      <c r="B33" s="519" t="s">
        <v>2768</v>
      </c>
      <c r="D33" s="1282" t="s">
        <v>2358</v>
      </c>
      <c r="E33" s="1282"/>
      <c r="F33" s="1282"/>
      <c r="I33" s="524" t="s">
        <v>2068</v>
      </c>
    </row>
    <row r="34" spans="1:9">
      <c r="D34" s="1282"/>
      <c r="E34" s="1282"/>
      <c r="F34" s="1282"/>
      <c r="I34" s="524"/>
    </row>
    <row r="35" spans="1:9" ht="14.25">
      <c r="A35" s="518"/>
      <c r="B35" s="518"/>
      <c r="D35" s="481"/>
      <c r="I35" s="524"/>
    </row>
    <row r="36" spans="1:9" ht="14.45" customHeight="1">
      <c r="A36" s="518"/>
      <c r="B36" s="519" t="s">
        <v>2768</v>
      </c>
      <c r="D36" s="1282" t="s">
        <v>1317</v>
      </c>
      <c r="E36" s="1282"/>
      <c r="F36" s="1282"/>
      <c r="I36" s="524" t="s">
        <v>2139</v>
      </c>
    </row>
    <row r="37" spans="1:9" ht="14.25">
      <c r="A37" s="518"/>
      <c r="B37" s="518"/>
      <c r="D37" s="1282"/>
      <c r="E37" s="1282"/>
      <c r="F37" s="1282"/>
      <c r="I37" s="524"/>
    </row>
    <row r="38" spans="1:9" ht="14.25">
      <c r="A38" s="518"/>
      <c r="B38" s="518"/>
      <c r="D38" s="1282"/>
      <c r="E38" s="1282"/>
      <c r="F38" s="1282"/>
      <c r="I38" s="524"/>
    </row>
    <row r="39" spans="1:9" ht="14.25">
      <c r="A39" s="518"/>
      <c r="B39" s="518"/>
      <c r="D39" s="1282"/>
      <c r="E39" s="1282"/>
      <c r="F39" s="1282"/>
      <c r="I39" s="524"/>
    </row>
    <row r="40" spans="1:9" ht="14.25">
      <c r="A40" s="518"/>
      <c r="B40" s="518"/>
      <c r="I40" s="524"/>
    </row>
    <row r="41" spans="1:9" ht="14.25">
      <c r="A41" s="518"/>
      <c r="B41" s="519" t="s">
        <v>2768</v>
      </c>
      <c r="D41" s="1282" t="s">
        <v>1154</v>
      </c>
      <c r="E41" s="1282"/>
      <c r="F41" s="1282"/>
      <c r="I41" s="524"/>
    </row>
    <row r="42" spans="1:9" ht="14.25">
      <c r="A42" s="518"/>
      <c r="B42" s="518"/>
      <c r="D42" s="1282"/>
      <c r="E42" s="1282"/>
      <c r="F42" s="1282"/>
      <c r="I42" s="524"/>
    </row>
    <row r="43" spans="1:9" ht="14.25">
      <c r="A43" s="518"/>
      <c r="B43" s="518"/>
      <c r="D43" s="1282"/>
      <c r="E43" s="1282"/>
      <c r="F43" s="1282"/>
      <c r="I43" s="524"/>
    </row>
    <row r="44" spans="1:9" ht="14.25">
      <c r="A44" s="518"/>
      <c r="B44" s="518"/>
      <c r="D44" s="1282"/>
      <c r="E44" s="1282"/>
      <c r="F44" s="1282"/>
      <c r="I44" s="524"/>
    </row>
    <row r="45" spans="1:9" ht="14.25">
      <c r="A45" s="518"/>
      <c r="B45" s="518"/>
      <c r="D45" s="1282"/>
      <c r="E45" s="1282"/>
      <c r="F45" s="1282"/>
      <c r="I45" s="524"/>
    </row>
    <row r="46" spans="1:9" ht="14.25">
      <c r="A46" s="518"/>
      <c r="B46" s="518"/>
      <c r="D46" s="479"/>
      <c r="E46" s="479"/>
      <c r="F46" s="479"/>
      <c r="I46" s="524"/>
    </row>
    <row r="47" spans="1:9" ht="14.25">
      <c r="A47" s="518"/>
      <c r="B47" s="519" t="s">
        <v>2768</v>
      </c>
      <c r="D47" s="1282" t="s">
        <v>1155</v>
      </c>
      <c r="E47" s="1282"/>
      <c r="F47" s="1282"/>
      <c r="I47" s="524" t="s">
        <v>2139</v>
      </c>
    </row>
    <row r="48" spans="1:9" ht="14.25">
      <c r="A48" s="518"/>
      <c r="B48" s="518"/>
      <c r="D48" s="1282"/>
      <c r="E48" s="1282"/>
      <c r="F48" s="1282"/>
      <c r="I48" s="524"/>
    </row>
    <row r="49" spans="1:9" ht="14.25">
      <c r="A49" s="518"/>
      <c r="B49" s="518"/>
      <c r="D49" s="1282"/>
      <c r="E49" s="1282"/>
      <c r="F49" s="1282"/>
      <c r="I49" s="524"/>
    </row>
    <row r="50" spans="1:9" ht="23.25" customHeight="1">
      <c r="A50" s="518"/>
      <c r="B50" s="518"/>
      <c r="D50" s="1282"/>
      <c r="E50" s="1282"/>
      <c r="F50" s="1282"/>
      <c r="I50" s="524"/>
    </row>
    <row r="51" spans="1:9" ht="14.25">
      <c r="A51" s="518"/>
      <c r="B51" s="518"/>
      <c r="D51" s="480"/>
      <c r="I51" s="524"/>
    </row>
    <row r="52" spans="1:9" ht="14.45" customHeight="1">
      <c r="A52" s="518"/>
      <c r="B52" s="519" t="s">
        <v>2768</v>
      </c>
      <c r="D52" s="1282" t="s">
        <v>1156</v>
      </c>
      <c r="E52" s="1282"/>
      <c r="F52" s="1282"/>
      <c r="I52" s="524" t="s">
        <v>2139</v>
      </c>
    </row>
    <row r="53" spans="1:9" ht="14.25">
      <c r="A53" s="518"/>
      <c r="B53" s="518"/>
      <c r="D53" s="1282"/>
      <c r="E53" s="1282"/>
      <c r="F53" s="1282"/>
      <c r="I53" s="524"/>
    </row>
    <row r="54" spans="1:9" ht="14.25">
      <c r="A54" s="518"/>
      <c r="B54" s="518"/>
      <c r="D54" s="1282"/>
      <c r="E54" s="1282"/>
      <c r="F54" s="1282"/>
      <c r="I54" s="524"/>
    </row>
    <row r="55" spans="1:9" ht="14.25">
      <c r="A55" s="518"/>
      <c r="B55" s="518"/>
      <c r="I55" s="524"/>
    </row>
    <row r="56" spans="1:9" ht="14.25">
      <c r="A56" s="518"/>
      <c r="B56" s="519" t="s">
        <v>2767</v>
      </c>
      <c r="D56" s="1338" t="s">
        <v>1157</v>
      </c>
      <c r="E56" s="1338"/>
      <c r="F56" s="1338"/>
      <c r="I56" s="524"/>
    </row>
    <row r="57" spans="1:9" ht="14.25">
      <c r="A57" s="518"/>
      <c r="B57" s="518"/>
      <c r="D57" s="1338"/>
      <c r="E57" s="1338"/>
      <c r="F57" s="1338"/>
      <c r="I57" s="524"/>
    </row>
    <row r="58" spans="1:9" ht="14.25">
      <c r="A58" s="518"/>
      <c r="B58" s="518"/>
      <c r="D58" s="423" t="s">
        <v>2216</v>
      </c>
      <c r="E58" s="479"/>
      <c r="F58" s="479"/>
      <c r="I58" s="524"/>
    </row>
    <row r="59" spans="1:9" ht="14.25">
      <c r="A59" s="518"/>
      <c r="B59" s="518"/>
      <c r="D59" s="479"/>
      <c r="E59" s="336" t="s">
        <v>2215</v>
      </c>
      <c r="F59" s="479"/>
      <c r="I59" s="524"/>
    </row>
    <row r="60" spans="1:9">
      <c r="D60" s="481"/>
      <c r="I60" s="524"/>
    </row>
    <row r="61" spans="1:9" ht="14.25">
      <c r="A61" s="518"/>
      <c r="B61" s="519" t="s">
        <v>2768</v>
      </c>
      <c r="D61" s="1282" t="s">
        <v>1158</v>
      </c>
      <c r="E61" s="1282"/>
      <c r="F61" s="1282"/>
      <c r="I61" s="524" t="s">
        <v>2070</v>
      </c>
    </row>
    <row r="62" spans="1:9">
      <c r="D62" s="1282"/>
      <c r="E62" s="1282"/>
      <c r="F62" s="1282"/>
      <c r="I62" s="524"/>
    </row>
    <row r="63" spans="1:9">
      <c r="D63" s="1282"/>
      <c r="E63" s="1282"/>
      <c r="F63" s="1282"/>
      <c r="I63" s="524"/>
    </row>
    <row r="64" spans="1:9">
      <c r="I64" s="524"/>
    </row>
    <row r="65" spans="1:9" ht="14.25">
      <c r="A65" s="518"/>
      <c r="B65" s="519" t="s">
        <v>2768</v>
      </c>
      <c r="D65" s="1282" t="s">
        <v>1159</v>
      </c>
      <c r="E65" s="1282"/>
      <c r="F65" s="1282"/>
      <c r="I65" s="524" t="s">
        <v>2071</v>
      </c>
    </row>
    <row r="66" spans="1:9">
      <c r="D66" s="1282"/>
      <c r="E66" s="1282"/>
      <c r="F66" s="1282"/>
      <c r="I66" s="524"/>
    </row>
    <row r="67" spans="1:9">
      <c r="I67" s="524"/>
    </row>
    <row r="68" spans="1:9" ht="14.25">
      <c r="A68" s="518"/>
      <c r="B68" s="519" t="s">
        <v>2768</v>
      </c>
      <c r="D68" s="1282" t="s">
        <v>1160</v>
      </c>
      <c r="E68" s="1282"/>
      <c r="F68" s="1282"/>
      <c r="I68" s="524"/>
    </row>
    <row r="69" spans="1:9">
      <c r="D69" s="1282"/>
      <c r="E69" s="1282"/>
      <c r="F69" s="1282"/>
      <c r="I69" s="524" t="s">
        <v>2072</v>
      </c>
    </row>
    <row r="70" spans="1:9">
      <c r="D70" s="1282"/>
      <c r="E70" s="1282"/>
      <c r="F70" s="1282"/>
      <c r="I70" s="524"/>
    </row>
    <row r="71" spans="1:9">
      <c r="I71" s="524"/>
    </row>
    <row r="72" spans="1:9" ht="14.25">
      <c r="A72" s="518"/>
      <c r="B72" s="519" t="s">
        <v>2768</v>
      </c>
      <c r="D72" s="1282" t="s">
        <v>1161</v>
      </c>
      <c r="E72" s="1282"/>
      <c r="F72" s="1282"/>
      <c r="I72" s="524" t="s">
        <v>2072</v>
      </c>
    </row>
    <row r="73" spans="1:9">
      <c r="D73" s="1282"/>
      <c r="E73" s="1282"/>
      <c r="F73" s="1282"/>
      <c r="I73" s="524"/>
    </row>
    <row r="74" spans="1:9" ht="14.25">
      <c r="A74" s="518"/>
      <c r="B74" s="518"/>
      <c r="D74" s="480"/>
      <c r="I74" s="524"/>
    </row>
    <row r="75" spans="1:9">
      <c r="A75" s="1288" t="s">
        <v>1068</v>
      </c>
      <c r="B75" s="1288"/>
      <c r="C75" s="1288"/>
      <c r="D75" s="1288"/>
      <c r="E75" s="1288"/>
      <c r="F75" s="1288"/>
      <c r="G75" s="1288"/>
      <c r="H75" s="1063"/>
      <c r="I75" s="1256"/>
    </row>
    <row r="76" spans="1:9">
      <c r="I76" s="524"/>
    </row>
    <row r="77" spans="1:9">
      <c r="C77" s="520"/>
      <c r="D77" s="1310" t="s">
        <v>1166</v>
      </c>
      <c r="E77" s="1310"/>
      <c r="F77" s="1310"/>
      <c r="I77" s="524"/>
    </row>
    <row r="78" spans="1:9">
      <c r="A78" s="480"/>
      <c r="B78" s="480"/>
      <c r="D78" s="1282" t="s">
        <v>1193</v>
      </c>
      <c r="E78" s="1282"/>
      <c r="F78" s="1282"/>
      <c r="I78" s="524"/>
    </row>
    <row r="79" spans="1:9">
      <c r="A79" s="480"/>
      <c r="B79" s="480"/>
      <c r="I79" s="524"/>
    </row>
    <row r="80" spans="1:9" ht="13.7" customHeight="1">
      <c r="A80" s="518"/>
      <c r="B80" s="519" t="s">
        <v>2767</v>
      </c>
      <c r="D80" s="1282" t="s">
        <v>1350</v>
      </c>
      <c r="E80" s="1282"/>
      <c r="F80" s="1282"/>
      <c r="I80" s="524" t="s">
        <v>2073</v>
      </c>
    </row>
    <row r="81" spans="1:9" ht="14.25">
      <c r="A81" s="518"/>
      <c r="B81" s="518"/>
      <c r="D81" s="1282"/>
      <c r="E81" s="1282"/>
      <c r="F81" s="1282"/>
      <c r="I81" s="524"/>
    </row>
    <row r="82" spans="1:9" ht="14.25">
      <c r="A82" s="518"/>
      <c r="B82" s="518"/>
      <c r="D82" s="1282"/>
      <c r="E82" s="1282"/>
      <c r="F82" s="1282"/>
      <c r="I82" s="524"/>
    </row>
    <row r="83" spans="1:9" ht="14.25">
      <c r="A83" s="518"/>
      <c r="B83" s="518"/>
      <c r="D83" s="1282"/>
      <c r="E83" s="1282"/>
      <c r="F83" s="1282"/>
      <c r="I83" s="524"/>
    </row>
    <row r="84" spans="1:9" ht="14.25">
      <c r="A84" s="518"/>
      <c r="B84" s="518"/>
      <c r="D84" s="1282"/>
      <c r="E84" s="1282"/>
      <c r="F84" s="1282"/>
      <c r="I84" s="524"/>
    </row>
    <row r="85" spans="1:9" ht="14.25">
      <c r="A85" s="518"/>
      <c r="B85" s="518"/>
      <c r="D85" s="1282"/>
      <c r="E85" s="1282"/>
      <c r="F85" s="1282"/>
      <c r="I85" s="524"/>
    </row>
    <row r="86" spans="1:9" ht="14.25">
      <c r="A86" s="518"/>
      <c r="B86" s="518"/>
      <c r="D86" s="1282"/>
      <c r="E86" s="1282"/>
      <c r="F86" s="1282"/>
      <c r="I86" s="524"/>
    </row>
    <row r="87" spans="1:9" ht="14.25">
      <c r="A87" s="518"/>
      <c r="B87" s="518"/>
      <c r="D87" s="1282"/>
      <c r="E87" s="1282"/>
      <c r="F87" s="1282"/>
      <c r="I87" s="524"/>
    </row>
    <row r="88" spans="1:9" ht="14.25">
      <c r="A88" s="518"/>
      <c r="B88" s="518"/>
      <c r="D88" s="416"/>
      <c r="E88" s="416"/>
      <c r="F88" s="416"/>
      <c r="I88" s="524"/>
    </row>
    <row r="89" spans="1:9" ht="15" customHeight="1">
      <c r="A89" s="518"/>
      <c r="B89" s="519" t="s">
        <v>2767</v>
      </c>
      <c r="D89" s="1282" t="s">
        <v>1927</v>
      </c>
      <c r="E89" s="1282"/>
      <c r="F89" s="1282"/>
      <c r="I89" s="524" t="s">
        <v>2074</v>
      </c>
    </row>
    <row r="90" spans="1:9" ht="14.25">
      <c r="A90" s="518"/>
      <c r="B90" s="518"/>
      <c r="D90" s="1282"/>
      <c r="E90" s="1282"/>
      <c r="F90" s="1282"/>
      <c r="I90" s="524"/>
    </row>
    <row r="91" spans="1:9" ht="14.25">
      <c r="A91" s="518"/>
      <c r="B91" s="518"/>
      <c r="D91" s="479"/>
      <c r="E91" s="479"/>
      <c r="F91" s="479"/>
      <c r="I91" s="524"/>
    </row>
    <row r="92" spans="1:9" ht="14.25">
      <c r="A92" s="518"/>
      <c r="B92" s="519" t="s">
        <v>2767</v>
      </c>
      <c r="D92" s="1282" t="s">
        <v>1930</v>
      </c>
      <c r="E92" s="1282"/>
      <c r="F92" s="1282"/>
      <c r="I92" s="524" t="s">
        <v>2075</v>
      </c>
    </row>
    <row r="93" spans="1:9" ht="14.25">
      <c r="A93" s="518"/>
      <c r="B93" s="518"/>
      <c r="D93" s="1282"/>
      <c r="E93" s="1282"/>
      <c r="F93" s="1282"/>
      <c r="I93" s="524"/>
    </row>
    <row r="94" spans="1:9" ht="14.25">
      <c r="A94" s="518"/>
      <c r="B94" s="518"/>
      <c r="D94" s="1282"/>
      <c r="E94" s="1282"/>
      <c r="F94" s="1282"/>
      <c r="I94" s="524"/>
    </row>
    <row r="95" spans="1:9" ht="14.25">
      <c r="A95" s="518"/>
      <c r="B95" s="518"/>
      <c r="D95" s="479"/>
      <c r="E95" s="479"/>
      <c r="F95" s="479"/>
      <c r="I95" s="524"/>
    </row>
    <row r="96" spans="1:9" ht="14.25">
      <c r="A96" s="518"/>
      <c r="B96" s="519" t="s">
        <v>2767</v>
      </c>
      <c r="D96" s="1282" t="s">
        <v>1929</v>
      </c>
      <c r="E96" s="1282"/>
      <c r="F96" s="1282"/>
      <c r="I96" s="524" t="s">
        <v>2120</v>
      </c>
    </row>
    <row r="97" spans="1:9" s="1022" customFormat="1" ht="14.25">
      <c r="A97" s="1020"/>
      <c r="B97" s="1020"/>
      <c r="C97" s="1021"/>
      <c r="D97" s="1282"/>
      <c r="E97" s="1282"/>
      <c r="F97" s="1282"/>
      <c r="I97" s="1257"/>
    </row>
    <row r="98" spans="1:9" ht="14.25">
      <c r="A98" s="518"/>
      <c r="B98" s="518"/>
      <c r="D98" s="423"/>
      <c r="E98" s="336" t="s">
        <v>2219</v>
      </c>
      <c r="F98" s="479"/>
      <c r="I98" s="524"/>
    </row>
    <row r="99" spans="1:9" ht="14.25">
      <c r="A99" s="518"/>
      <c r="B99" s="518"/>
      <c r="D99" s="416"/>
      <c r="E99" s="416"/>
      <c r="F99" s="416"/>
      <c r="I99" s="524"/>
    </row>
    <row r="100" spans="1:9" ht="14.25">
      <c r="A100" s="518"/>
      <c r="B100" s="519" t="s">
        <v>2768</v>
      </c>
      <c r="D100" s="1282" t="s">
        <v>1928</v>
      </c>
      <c r="E100" s="1282"/>
      <c r="F100" s="1282"/>
      <c r="I100" s="524" t="s">
        <v>2076</v>
      </c>
    </row>
    <row r="101" spans="1:9" ht="14.25">
      <c r="A101" s="518"/>
      <c r="B101" s="518"/>
      <c r="D101" s="1282"/>
      <c r="E101" s="1282"/>
      <c r="F101" s="1282"/>
      <c r="I101" s="524"/>
    </row>
    <row r="102" spans="1:9" ht="14.25">
      <c r="A102" s="518"/>
      <c r="B102" s="518"/>
      <c r="D102" s="479"/>
      <c r="E102" s="479"/>
      <c r="F102" s="479"/>
      <c r="I102" s="524"/>
    </row>
    <row r="103" spans="1:9" ht="14.45" customHeight="1">
      <c r="A103" s="518"/>
      <c r="B103" s="519" t="s">
        <v>2768</v>
      </c>
      <c r="D103" s="1282" t="s">
        <v>1297</v>
      </c>
      <c r="E103" s="1282"/>
      <c r="F103" s="1282"/>
      <c r="I103" s="524" t="s">
        <v>2077</v>
      </c>
    </row>
    <row r="104" spans="1:9" ht="14.25">
      <c r="A104" s="518"/>
      <c r="B104" s="518"/>
      <c r="D104" s="1282"/>
      <c r="E104" s="1282"/>
      <c r="F104" s="1282"/>
      <c r="I104" s="524"/>
    </row>
    <row r="105" spans="1:9" ht="14.25">
      <c r="A105" s="518"/>
      <c r="B105" s="518"/>
      <c r="D105" s="1282"/>
      <c r="E105" s="1282"/>
      <c r="F105" s="1282"/>
      <c r="I105" s="524"/>
    </row>
    <row r="106" spans="1:9" ht="14.25">
      <c r="A106" s="518"/>
      <c r="B106" s="518"/>
      <c r="D106" s="1282"/>
      <c r="E106" s="1282"/>
      <c r="F106" s="1282"/>
      <c r="I106" s="524"/>
    </row>
    <row r="107" spans="1:9" ht="14.25">
      <c r="A107" s="518"/>
      <c r="B107" s="518"/>
      <c r="D107" s="1282"/>
      <c r="E107" s="1282"/>
      <c r="F107" s="1282"/>
      <c r="I107" s="524"/>
    </row>
    <row r="108" spans="1:9" ht="14.25">
      <c r="A108" s="518"/>
      <c r="B108" s="518"/>
      <c r="D108" s="1282"/>
      <c r="E108" s="1282"/>
      <c r="F108" s="1282"/>
      <c r="I108" s="524"/>
    </row>
    <row r="109" spans="1:9" ht="14.25">
      <c r="A109" s="518"/>
      <c r="B109" s="518"/>
      <c r="D109" s="1282"/>
      <c r="E109" s="1282"/>
      <c r="F109" s="1282"/>
      <c r="I109" s="524"/>
    </row>
    <row r="110" spans="1:9" ht="14.25">
      <c r="A110" s="518"/>
      <c r="B110" s="518"/>
      <c r="D110" s="1282"/>
      <c r="E110" s="1282"/>
      <c r="F110" s="1282"/>
      <c r="I110" s="524"/>
    </row>
    <row r="111" spans="1:9" ht="14.25">
      <c r="A111" s="518"/>
      <c r="B111" s="518"/>
      <c r="D111" s="1282"/>
      <c r="E111" s="1282"/>
      <c r="F111" s="1282"/>
      <c r="I111" s="524"/>
    </row>
    <row r="112" spans="1:9" ht="14.25">
      <c r="A112" s="518"/>
      <c r="B112" s="518"/>
      <c r="D112" s="1282"/>
      <c r="E112" s="1282"/>
      <c r="F112" s="1282"/>
      <c r="I112" s="524"/>
    </row>
    <row r="113" spans="1:9" ht="14.25">
      <c r="A113" s="518"/>
      <c r="B113" s="518"/>
      <c r="D113" s="1282"/>
      <c r="E113" s="1282"/>
      <c r="F113" s="1282"/>
      <c r="I113" s="524"/>
    </row>
    <row r="114" spans="1:9" ht="14.25">
      <c r="A114" s="518"/>
      <c r="B114" s="518"/>
      <c r="D114" s="1282"/>
      <c r="E114" s="1282"/>
      <c r="F114" s="1282"/>
      <c r="I114" s="524"/>
    </row>
    <row r="115" spans="1:9" ht="14.25">
      <c r="A115" s="518"/>
      <c r="B115" s="518"/>
      <c r="D115" s="1282"/>
      <c r="E115" s="1282"/>
      <c r="F115" s="1282"/>
      <c r="I115" s="524"/>
    </row>
    <row r="116" spans="1:9" ht="14.25">
      <c r="A116" s="518"/>
      <c r="B116" s="518"/>
      <c r="D116" s="1282"/>
      <c r="E116" s="1282"/>
      <c r="F116" s="1282"/>
      <c r="I116" s="524"/>
    </row>
    <row r="117" spans="1:9" ht="14.25">
      <c r="A117" s="518"/>
      <c r="B117" s="518"/>
      <c r="D117" s="1282"/>
      <c r="E117" s="1282"/>
      <c r="F117" s="1282"/>
      <c r="I117" s="524"/>
    </row>
    <row r="118" spans="1:9" ht="14.25">
      <c r="A118" s="518"/>
      <c r="B118" s="518"/>
      <c r="D118" s="558"/>
      <c r="E118" s="558"/>
      <c r="F118" s="558"/>
      <c r="I118" s="524"/>
    </row>
    <row r="119" spans="1:9" ht="14.25" customHeight="1">
      <c r="A119" s="518"/>
      <c r="B119" s="519" t="s">
        <v>2768</v>
      </c>
      <c r="D119" s="1309" t="s">
        <v>1168</v>
      </c>
      <c r="E119" s="1309"/>
      <c r="F119" s="1309"/>
      <c r="I119" s="524"/>
    </row>
    <row r="120" spans="1:9" ht="14.25">
      <c r="A120" s="518"/>
      <c r="B120" s="518"/>
      <c r="D120" s="1309"/>
      <c r="E120" s="1309"/>
      <c r="F120" s="1309"/>
      <c r="I120" s="524"/>
    </row>
    <row r="121" spans="1:9" ht="14.25">
      <c r="A121" s="518"/>
      <c r="B121" s="518"/>
      <c r="D121" s="1309"/>
      <c r="E121" s="1309"/>
      <c r="F121" s="1309"/>
      <c r="I121" s="524"/>
    </row>
    <row r="122" spans="1:9" ht="14.25">
      <c r="A122" s="518"/>
      <c r="B122" s="518"/>
      <c r="D122" s="1309"/>
      <c r="E122" s="1309"/>
      <c r="F122" s="1309"/>
      <c r="I122" s="524"/>
    </row>
    <row r="123" spans="1:9" ht="14.25">
      <c r="A123" s="518"/>
      <c r="B123" s="518"/>
      <c r="D123" s="1309"/>
      <c r="E123" s="1309"/>
      <c r="F123" s="1309"/>
      <c r="I123" s="524"/>
    </row>
    <row r="124" spans="1:9" ht="14.25">
      <c r="A124" s="518"/>
      <c r="B124" s="518"/>
      <c r="D124" s="1309"/>
      <c r="E124" s="1309"/>
      <c r="F124" s="1309"/>
      <c r="I124" s="524"/>
    </row>
    <row r="125" spans="1:9" ht="14.25">
      <c r="A125" s="518"/>
      <c r="B125" s="518"/>
      <c r="D125" s="1309"/>
      <c r="E125" s="1309"/>
      <c r="F125" s="1309"/>
      <c r="I125" s="524"/>
    </row>
    <row r="126" spans="1:9" ht="14.25">
      <c r="A126" s="518"/>
      <c r="B126" s="518"/>
      <c r="D126" s="1309"/>
      <c r="E126" s="1309"/>
      <c r="F126" s="1309"/>
      <c r="I126" s="524"/>
    </row>
    <row r="127" spans="1:9">
      <c r="C127" s="433"/>
      <c r="D127" s="559"/>
      <c r="E127" s="559"/>
      <c r="F127" s="559"/>
      <c r="I127" s="524"/>
    </row>
    <row r="128" spans="1:9" ht="14.25">
      <c r="A128" s="518"/>
      <c r="B128" s="519" t="s">
        <v>2767</v>
      </c>
      <c r="C128" s="433"/>
      <c r="D128" s="1309" t="s">
        <v>2359</v>
      </c>
      <c r="E128" s="1309"/>
      <c r="F128" s="1309"/>
      <c r="I128" s="524" t="s">
        <v>2078</v>
      </c>
    </row>
    <row r="129" spans="1:9" ht="14.25">
      <c r="A129" s="518"/>
      <c r="B129" s="518"/>
      <c r="C129" s="433"/>
      <c r="D129" s="1309"/>
      <c r="E129" s="1309"/>
      <c r="F129" s="1309"/>
      <c r="I129" s="524"/>
    </row>
    <row r="130" spans="1:9">
      <c r="I130" s="524"/>
    </row>
    <row r="131" spans="1:9" ht="14.25">
      <c r="A131" s="518"/>
      <c r="B131" s="519" t="s">
        <v>2767</v>
      </c>
      <c r="D131" s="1282" t="s">
        <v>1171</v>
      </c>
      <c r="E131" s="1282"/>
      <c r="F131" s="1282"/>
      <c r="I131" s="524" t="s">
        <v>2078</v>
      </c>
    </row>
    <row r="132" spans="1:9">
      <c r="D132" s="1282"/>
      <c r="E132" s="1282"/>
      <c r="F132" s="1282"/>
      <c r="I132" s="524"/>
    </row>
    <row r="133" spans="1:9">
      <c r="D133" s="1282"/>
      <c r="E133" s="1282"/>
      <c r="F133" s="1282"/>
      <c r="I133" s="524"/>
    </row>
    <row r="134" spans="1:9">
      <c r="D134" s="1282"/>
      <c r="E134" s="1282"/>
      <c r="F134" s="1282"/>
      <c r="I134" s="524"/>
    </row>
    <row r="135" spans="1:9">
      <c r="D135" s="1282"/>
      <c r="E135" s="1282"/>
      <c r="F135" s="1282"/>
      <c r="I135" s="524"/>
    </row>
    <row r="136" spans="1:9">
      <c r="I136" s="524"/>
    </row>
    <row r="137" spans="1:9" ht="14.25">
      <c r="A137" s="518"/>
      <c r="B137" s="519" t="s">
        <v>2768</v>
      </c>
      <c r="D137" s="1282" t="s">
        <v>1172</v>
      </c>
      <c r="E137" s="1282"/>
      <c r="F137" s="1282"/>
      <c r="I137" s="524" t="s">
        <v>2079</v>
      </c>
    </row>
    <row r="138" spans="1:9" s="448" customFormat="1" ht="13.7" customHeight="1">
      <c r="A138" s="522"/>
      <c r="B138" s="522"/>
      <c r="C138" s="522"/>
      <c r="D138" s="1282"/>
      <c r="E138" s="1282"/>
      <c r="F138" s="1282"/>
      <c r="I138" s="1258"/>
    </row>
    <row r="139" spans="1:9" ht="13.7" customHeight="1">
      <c r="D139" s="1282"/>
      <c r="E139" s="1282"/>
      <c r="F139" s="1282"/>
      <c r="I139" s="524"/>
    </row>
    <row r="140" spans="1:9" ht="13.7" customHeight="1">
      <c r="D140" s="1282"/>
      <c r="E140" s="1282"/>
      <c r="F140" s="1282"/>
      <c r="I140" s="524"/>
    </row>
    <row r="141" spans="1:9" ht="13.7" customHeight="1">
      <c r="D141" s="1282"/>
      <c r="E141" s="1282"/>
      <c r="F141" s="1282"/>
      <c r="I141" s="524"/>
    </row>
    <row r="142" spans="1:9" ht="13.7" customHeight="1">
      <c r="A142" s="523"/>
      <c r="B142" s="523"/>
      <c r="D142" s="1282"/>
      <c r="E142" s="1282"/>
      <c r="F142" s="1282"/>
      <c r="I142" s="524"/>
    </row>
    <row r="143" spans="1:9" ht="13.7" customHeight="1">
      <c r="D143" s="1282"/>
      <c r="E143" s="1282"/>
      <c r="F143" s="1282"/>
      <c r="I143" s="524"/>
    </row>
    <row r="144" spans="1:9" ht="13.7" customHeight="1">
      <c r="D144" s="1282"/>
      <c r="E144" s="1282"/>
      <c r="F144" s="1282"/>
      <c r="I144" s="524"/>
    </row>
    <row r="145" spans="2:9" ht="13.7" customHeight="1">
      <c r="D145" s="1282"/>
      <c r="E145" s="1282"/>
      <c r="F145" s="1282"/>
      <c r="I145" s="524"/>
    </row>
    <row r="146" spans="2:9" ht="13.7" customHeight="1">
      <c r="D146" s="1282"/>
      <c r="E146" s="1282"/>
      <c r="F146" s="1282"/>
      <c r="I146" s="524"/>
    </row>
    <row r="147" spans="2:9" ht="13.7" customHeight="1">
      <c r="D147" s="1282"/>
      <c r="E147" s="1282"/>
      <c r="F147" s="1282"/>
      <c r="I147" s="524"/>
    </row>
    <row r="148" spans="2:9" ht="13.7" customHeight="1">
      <c r="D148" s="1282"/>
      <c r="E148" s="1282"/>
      <c r="F148" s="1282"/>
      <c r="I148" s="524"/>
    </row>
    <row r="149" spans="2:9" ht="13.7" customHeight="1">
      <c r="D149" s="1282"/>
      <c r="E149" s="1282"/>
      <c r="F149" s="1282"/>
      <c r="I149" s="524"/>
    </row>
    <row r="150" spans="2:9" ht="13.7" customHeight="1">
      <c r="D150" s="510"/>
      <c r="E150" s="480"/>
      <c r="F150" s="480"/>
      <c r="I150" s="524"/>
    </row>
    <row r="151" spans="2:9" ht="13.7" customHeight="1">
      <c r="B151" s="519" t="s">
        <v>2767</v>
      </c>
      <c r="D151" s="1282" t="s">
        <v>1280</v>
      </c>
      <c r="E151" s="1282"/>
      <c r="F151" s="1282"/>
      <c r="I151" s="524" t="s">
        <v>2080</v>
      </c>
    </row>
    <row r="152" spans="2:9" ht="13.7" customHeight="1">
      <c r="D152" s="1282"/>
      <c r="E152" s="1282"/>
      <c r="F152" s="1282"/>
      <c r="I152" s="524"/>
    </row>
    <row r="153" spans="2:9" ht="13.7" customHeight="1">
      <c r="D153" s="1282"/>
      <c r="E153" s="1282"/>
      <c r="F153" s="1282"/>
      <c r="I153" s="524"/>
    </row>
    <row r="154" spans="2:9" ht="13.7" customHeight="1">
      <c r="D154" s="1282"/>
      <c r="E154" s="1282"/>
      <c r="F154" s="1282"/>
      <c r="I154" s="524"/>
    </row>
    <row r="155" spans="2:9" ht="13.7" customHeight="1">
      <c r="D155" s="1282"/>
      <c r="E155" s="1282"/>
      <c r="F155" s="1282"/>
      <c r="I155" s="524"/>
    </row>
    <row r="156" spans="2:9" ht="13.7" customHeight="1">
      <c r="D156" s="1282"/>
      <c r="E156" s="1282"/>
      <c r="F156" s="1282"/>
      <c r="I156" s="524"/>
    </row>
    <row r="157" spans="2:9" ht="13.7" customHeight="1">
      <c r="D157" s="1282"/>
      <c r="E157" s="1282"/>
      <c r="F157" s="1282"/>
      <c r="I157" s="524"/>
    </row>
    <row r="158" spans="2:9" ht="13.7" customHeight="1">
      <c r="D158" s="1282"/>
      <c r="E158" s="1282"/>
      <c r="F158" s="1282"/>
      <c r="I158" s="524"/>
    </row>
    <row r="159" spans="2:9" ht="13.7" customHeight="1">
      <c r="D159" s="1282"/>
      <c r="E159" s="1282"/>
      <c r="F159" s="1282"/>
      <c r="I159" s="524"/>
    </row>
    <row r="160" spans="2:9" ht="13.7" customHeight="1">
      <c r="D160" s="1282"/>
      <c r="E160" s="1282"/>
      <c r="F160" s="1282"/>
      <c r="I160" s="524"/>
    </row>
    <row r="161" spans="1:9" ht="13.7" customHeight="1">
      <c r="D161" s="1282"/>
      <c r="E161" s="1282"/>
      <c r="F161" s="1282"/>
      <c r="I161" s="524"/>
    </row>
    <row r="162" spans="1:9" ht="13.7" customHeight="1">
      <c r="D162" s="1282"/>
      <c r="E162" s="1282"/>
      <c r="F162" s="1282"/>
      <c r="I162" s="524"/>
    </row>
    <row r="163" spans="1:9" ht="13.7" customHeight="1">
      <c r="D163" s="1282"/>
      <c r="E163" s="1282"/>
      <c r="F163" s="1282"/>
      <c r="I163" s="524"/>
    </row>
    <row r="164" spans="1:9" ht="13.7" customHeight="1">
      <c r="D164" s="1282"/>
      <c r="E164" s="1282"/>
      <c r="F164" s="1282"/>
      <c r="I164" s="524"/>
    </row>
    <row r="165" spans="1:9" ht="13.7" customHeight="1">
      <c r="D165" s="1282"/>
      <c r="E165" s="1282"/>
      <c r="F165" s="1282"/>
      <c r="I165" s="524"/>
    </row>
    <row r="166" spans="1:9" ht="13.7" customHeight="1">
      <c r="D166" s="1282"/>
      <c r="E166" s="1282"/>
      <c r="F166" s="1282"/>
      <c r="I166" s="524"/>
    </row>
    <row r="167" spans="1:9" ht="13.7" customHeight="1">
      <c r="D167" s="1282"/>
      <c r="E167" s="1282"/>
      <c r="F167" s="1282"/>
      <c r="I167" s="524"/>
    </row>
    <row r="168" spans="1:9" ht="13.7" customHeight="1">
      <c r="D168" s="1282"/>
      <c r="E168" s="1282"/>
      <c r="F168" s="1282"/>
      <c r="I168" s="524"/>
    </row>
    <row r="169" spans="1:9" ht="13.7" customHeight="1">
      <c r="D169" s="1340" t="s">
        <v>2383</v>
      </c>
      <c r="E169" s="1340"/>
      <c r="F169" s="1340"/>
      <c r="G169" s="541"/>
      <c r="I169" s="524"/>
    </row>
    <row r="170" spans="1:9" ht="13.7" customHeight="1">
      <c r="D170" s="1315"/>
      <c r="E170" s="1315"/>
      <c r="F170" s="1315"/>
      <c r="G170" s="1315"/>
      <c r="I170" s="524"/>
    </row>
    <row r="171" spans="1:9" ht="14.45" customHeight="1">
      <c r="A171" s="523"/>
      <c r="B171" s="519" t="s">
        <v>2768</v>
      </c>
      <c r="C171" s="510"/>
      <c r="D171" s="1270" t="s">
        <v>2571</v>
      </c>
      <c r="E171" s="1270"/>
      <c r="F171" s="1270"/>
      <c r="G171" s="510"/>
      <c r="I171" s="524" t="s">
        <v>2075</v>
      </c>
    </row>
    <row r="172" spans="1:9" ht="14.45" customHeight="1">
      <c r="A172" s="523"/>
      <c r="B172" s="523"/>
      <c r="C172" s="510"/>
      <c r="D172" s="1270"/>
      <c r="E172" s="1270"/>
      <c r="F172" s="1270"/>
      <c r="G172" s="510"/>
      <c r="I172" s="524"/>
    </row>
    <row r="173" spans="1:9" ht="14.45" customHeight="1">
      <c r="A173" s="523"/>
      <c r="B173" s="523"/>
      <c r="C173" s="510"/>
      <c r="D173" s="1270"/>
      <c r="E173" s="1270"/>
      <c r="F173" s="1270"/>
      <c r="G173" s="510"/>
      <c r="I173" s="524"/>
    </row>
    <row r="174" spans="1:9" ht="14.45" customHeight="1">
      <c r="A174" s="523"/>
      <c r="B174" s="523"/>
      <c r="C174" s="510"/>
      <c r="D174" s="1270"/>
      <c r="E174" s="1270"/>
      <c r="F174" s="1270"/>
      <c r="G174" s="510"/>
      <c r="I174" s="524"/>
    </row>
    <row r="175" spans="1:9" ht="13.7" customHeight="1">
      <c r="A175" s="523"/>
      <c r="B175" s="523"/>
      <c r="C175" s="510"/>
      <c r="D175" s="1270"/>
      <c r="E175" s="1270"/>
      <c r="F175" s="1270"/>
      <c r="G175" s="510"/>
      <c r="I175" s="524"/>
    </row>
    <row r="176" spans="1:9" ht="13.7" customHeight="1">
      <c r="A176" s="523"/>
      <c r="B176" s="523"/>
      <c r="C176" s="510"/>
      <c r="D176" s="510"/>
      <c r="E176" s="510"/>
      <c r="F176" s="510"/>
      <c r="G176" s="510"/>
      <c r="I176" s="524"/>
    </row>
    <row r="177" spans="1:9" ht="13.7" customHeight="1">
      <c r="A177" s="523"/>
      <c r="B177" s="519" t="s">
        <v>2767</v>
      </c>
      <c r="C177" s="510"/>
      <c r="D177" s="1270" t="s">
        <v>1174</v>
      </c>
      <c r="E177" s="1270"/>
      <c r="F177" s="1270"/>
      <c r="G177" s="510"/>
      <c r="I177" s="524" t="s">
        <v>2081</v>
      </c>
    </row>
    <row r="178" spans="1:9" ht="13.7" customHeight="1">
      <c r="A178" s="523"/>
      <c r="B178" s="523"/>
      <c r="C178" s="510"/>
      <c r="D178" s="1270"/>
      <c r="E178" s="1270"/>
      <c r="F178" s="1270"/>
      <c r="G178" s="510"/>
      <c r="I178" s="524"/>
    </row>
    <row r="179" spans="1:9" ht="13.7" customHeight="1">
      <c r="A179" s="523"/>
      <c r="B179" s="523"/>
      <c r="C179" s="510"/>
      <c r="D179" s="1270"/>
      <c r="E179" s="1270"/>
      <c r="F179" s="1270"/>
      <c r="G179" s="510"/>
      <c r="I179" s="524"/>
    </row>
    <row r="180" spans="1:9" ht="13.7" customHeight="1">
      <c r="A180" s="523"/>
      <c r="B180" s="523"/>
      <c r="C180" s="510"/>
      <c r="D180" s="1270"/>
      <c r="E180" s="1270"/>
      <c r="F180" s="1270"/>
      <c r="G180" s="510"/>
      <c r="I180" s="524"/>
    </row>
    <row r="181" spans="1:9" ht="13.7" customHeight="1">
      <c r="D181" s="480"/>
      <c r="E181" s="480"/>
      <c r="F181" s="480"/>
      <c r="I181" s="524"/>
    </row>
    <row r="182" spans="1:9" ht="13.7" customHeight="1">
      <c r="B182" s="519" t="s">
        <v>2768</v>
      </c>
      <c r="D182" s="1304" t="s">
        <v>2360</v>
      </c>
      <c r="E182" s="1304"/>
      <c r="F182" s="1304"/>
      <c r="I182" s="524" t="s">
        <v>2082</v>
      </c>
    </row>
    <row r="183" spans="1:9" ht="13.7" customHeight="1">
      <c r="D183" s="1304"/>
      <c r="E183" s="1304"/>
      <c r="F183" s="1304"/>
      <c r="I183" s="524"/>
    </row>
    <row r="184" spans="1:9" ht="13.7" customHeight="1">
      <c r="D184" s="1304"/>
      <c r="E184" s="1304"/>
      <c r="F184" s="1304"/>
      <c r="I184" s="524"/>
    </row>
    <row r="185" spans="1:9" ht="13.7" customHeight="1">
      <c r="A185" s="524"/>
      <c r="B185" s="524"/>
      <c r="E185" s="480"/>
      <c r="F185" s="480"/>
      <c r="I185" s="524"/>
    </row>
    <row r="186" spans="1:9">
      <c r="A186" s="1288" t="s">
        <v>2361</v>
      </c>
      <c r="B186" s="1288"/>
      <c r="C186" s="1288"/>
      <c r="D186" s="1288"/>
      <c r="E186" s="1288"/>
      <c r="F186" s="1288"/>
      <c r="G186" s="1288"/>
      <c r="H186" s="1063"/>
      <c r="I186" s="1256"/>
    </row>
    <row r="187" spans="1:9" ht="12" customHeight="1">
      <c r="D187" s="480"/>
      <c r="E187" s="480"/>
      <c r="F187" s="480"/>
      <c r="I187" s="524"/>
    </row>
    <row r="188" spans="1:9">
      <c r="B188" s="1297" t="s">
        <v>447</v>
      </c>
      <c r="C188" s="1297"/>
      <c r="D188" s="1297"/>
      <c r="E188" s="1297"/>
      <c r="F188" s="1297"/>
      <c r="I188" s="524"/>
    </row>
    <row r="189" spans="1:9">
      <c r="B189" s="423" t="s">
        <v>2061</v>
      </c>
      <c r="C189" s="423"/>
      <c r="D189" s="423"/>
      <c r="E189" s="423"/>
      <c r="F189" s="423"/>
      <c r="I189" s="524"/>
    </row>
    <row r="190" spans="1:9" ht="12" customHeight="1">
      <c r="A190" s="516"/>
      <c r="B190" s="516"/>
      <c r="C190" s="516"/>
      <c r="I190" s="524"/>
    </row>
    <row r="191" spans="1:9">
      <c r="A191" s="1288" t="s">
        <v>1070</v>
      </c>
      <c r="B191" s="1288"/>
      <c r="C191" s="1288"/>
      <c r="D191" s="1288"/>
      <c r="E191" s="1288"/>
      <c r="F191" s="1288"/>
      <c r="G191" s="1288"/>
      <c r="H191" s="1063"/>
      <c r="I191" s="1256"/>
    </row>
    <row r="192" spans="1:9" ht="12" customHeight="1">
      <c r="A192" s="435"/>
      <c r="B192" s="435"/>
      <c r="E192" s="435"/>
      <c r="I192" s="524"/>
    </row>
    <row r="193" spans="1:9" ht="13.7" customHeight="1">
      <c r="A193" s="435"/>
      <c r="B193" s="435"/>
      <c r="D193" s="1310" t="s">
        <v>1931</v>
      </c>
      <c r="E193" s="1310"/>
      <c r="F193" s="1310"/>
      <c r="I193" s="524"/>
    </row>
    <row r="194" spans="1:9">
      <c r="A194" s="435"/>
      <c r="B194" s="435"/>
      <c r="D194" s="1310"/>
      <c r="E194" s="1310"/>
      <c r="F194" s="1310"/>
      <c r="I194" s="524"/>
    </row>
    <row r="195" spans="1:9">
      <c r="A195" s="435"/>
      <c r="B195" s="435"/>
      <c r="D195" s="1297" t="s">
        <v>1298</v>
      </c>
      <c r="E195" s="1297"/>
      <c r="F195" s="1297"/>
      <c r="I195" s="524"/>
    </row>
    <row r="196" spans="1:9">
      <c r="A196" s="435"/>
      <c r="B196" s="435"/>
      <c r="D196" s="423"/>
      <c r="E196" s="423"/>
      <c r="F196" s="423"/>
      <c r="I196" s="524"/>
    </row>
    <row r="197" spans="1:9">
      <c r="A197" s="435"/>
      <c r="B197" s="519" t="s">
        <v>2768</v>
      </c>
      <c r="D197" s="1287" t="s">
        <v>1932</v>
      </c>
      <c r="E197" s="1287"/>
      <c r="F197" s="1287"/>
      <c r="I197" s="524" t="s">
        <v>2131</v>
      </c>
    </row>
    <row r="198" spans="1:9">
      <c r="A198" s="435"/>
      <c r="B198" s="435"/>
      <c r="D198" s="1291" t="s">
        <v>2197</v>
      </c>
      <c r="E198" s="1291"/>
      <c r="F198" s="1291"/>
      <c r="I198" s="524"/>
    </row>
    <row r="199" spans="1:9">
      <c r="A199" s="435"/>
      <c r="B199" s="435"/>
      <c r="D199" s="96" t="s">
        <v>1933</v>
      </c>
      <c r="E199" s="1339" t="s">
        <v>2220</v>
      </c>
      <c r="F199" s="1339"/>
      <c r="I199" s="524"/>
    </row>
    <row r="200" spans="1:9">
      <c r="A200" s="435"/>
      <c r="B200" s="435"/>
      <c r="D200" s="3"/>
      <c r="E200" s="3"/>
      <c r="F200" s="3"/>
      <c r="I200" s="524"/>
    </row>
    <row r="201" spans="1:9">
      <c r="A201" s="435"/>
      <c r="B201" s="519" t="s">
        <v>2768</v>
      </c>
      <c r="D201" s="1291" t="s">
        <v>1934</v>
      </c>
      <c r="E201" s="1291"/>
      <c r="F201" s="1291"/>
      <c r="I201" s="524" t="s">
        <v>2132</v>
      </c>
    </row>
    <row r="202" spans="1:9">
      <c r="A202" s="435"/>
      <c r="B202" s="435"/>
      <c r="D202" s="1287" t="s">
        <v>2197</v>
      </c>
      <c r="E202" s="1287"/>
      <c r="F202" s="1287"/>
      <c r="I202" s="524"/>
    </row>
    <row r="203" spans="1:9">
      <c r="A203" s="435"/>
      <c r="B203" s="435"/>
      <c r="D203" s="57" t="s">
        <v>1935</v>
      </c>
      <c r="E203" s="1339" t="s">
        <v>2221</v>
      </c>
      <c r="F203" s="1339"/>
      <c r="I203" s="524"/>
    </row>
    <row r="204" spans="1:9">
      <c r="A204" s="435"/>
      <c r="B204" s="435"/>
      <c r="D204" s="3"/>
      <c r="E204" s="3"/>
      <c r="F204" s="3"/>
      <c r="I204" s="524"/>
    </row>
    <row r="205" spans="1:9">
      <c r="A205" s="435"/>
      <c r="B205" s="519" t="s">
        <v>2767</v>
      </c>
      <c r="D205" s="1291" t="s">
        <v>1936</v>
      </c>
      <c r="E205" s="1291"/>
      <c r="F205" s="1291"/>
      <c r="I205" s="524" t="s">
        <v>2133</v>
      </c>
    </row>
    <row r="206" spans="1:9">
      <c r="A206" s="435"/>
      <c r="B206" s="435"/>
      <c r="D206" s="1287" t="s">
        <v>2197</v>
      </c>
      <c r="E206" s="1287"/>
      <c r="F206" s="1287"/>
      <c r="I206" s="524"/>
    </row>
    <row r="207" spans="1:9">
      <c r="A207" s="435"/>
      <c r="B207" s="435"/>
      <c r="D207" s="57" t="s">
        <v>1933</v>
      </c>
      <c r="E207" s="1339" t="s">
        <v>2222</v>
      </c>
      <c r="F207" s="1339"/>
      <c r="I207" s="524"/>
    </row>
    <row r="208" spans="1:9">
      <c r="A208" s="435"/>
      <c r="B208" s="435"/>
      <c r="D208" s="423"/>
      <c r="E208" s="423"/>
      <c r="F208" s="423"/>
      <c r="I208" s="524"/>
    </row>
    <row r="209" spans="1:9" ht="14.25" customHeight="1">
      <c r="A209" s="518"/>
      <c r="B209" s="519" t="s">
        <v>2768</v>
      </c>
      <c r="D209" s="417" t="s">
        <v>2190</v>
      </c>
      <c r="E209" s="416"/>
      <c r="F209" s="416"/>
      <c r="I209" s="524" t="s">
        <v>2134</v>
      </c>
    </row>
    <row r="210" spans="1:9" ht="14.25">
      <c r="A210" s="518"/>
      <c r="B210" s="518"/>
      <c r="D210" s="1287" t="s">
        <v>2197</v>
      </c>
      <c r="E210" s="1287"/>
      <c r="F210" s="1287"/>
      <c r="I210" s="524"/>
    </row>
    <row r="211" spans="1:9">
      <c r="D211" s="416"/>
      <c r="E211" s="1339" t="s">
        <v>2223</v>
      </c>
      <c r="F211" s="1339"/>
      <c r="I211" s="524"/>
    </row>
    <row r="212" spans="1:9">
      <c r="D212" s="481"/>
      <c r="I212" s="524"/>
    </row>
    <row r="213" spans="1:9">
      <c r="B213" s="519" t="s">
        <v>2768</v>
      </c>
      <c r="D213" s="1291" t="s">
        <v>1937</v>
      </c>
      <c r="E213" s="1291"/>
      <c r="F213" s="1291"/>
      <c r="I213" s="524" t="s">
        <v>2135</v>
      </c>
    </row>
    <row r="214" spans="1:9">
      <c r="D214" s="1287" t="s">
        <v>2197</v>
      </c>
      <c r="E214" s="1287"/>
      <c r="F214" s="1287"/>
      <c r="I214" s="524"/>
    </row>
    <row r="215" spans="1:9">
      <c r="D215" s="57" t="s">
        <v>1933</v>
      </c>
      <c r="E215" s="1339" t="s">
        <v>2224</v>
      </c>
      <c r="F215" s="1339"/>
      <c r="I215" s="524"/>
    </row>
    <row r="216" spans="1:9">
      <c r="D216" s="485"/>
      <c r="E216" s="485"/>
      <c r="F216" s="485"/>
      <c r="I216" s="524"/>
    </row>
    <row r="217" spans="1:9" ht="14.25">
      <c r="A217" s="518"/>
      <c r="B217" s="519" t="s">
        <v>2768</v>
      </c>
      <c r="D217" s="1282" t="s">
        <v>1319</v>
      </c>
      <c r="E217" s="1282"/>
      <c r="F217" s="1282"/>
      <c r="I217" s="524"/>
    </row>
    <row r="218" spans="1:9" ht="14.45" customHeight="1">
      <c r="A218" s="518"/>
      <c r="B218" s="433"/>
      <c r="D218" s="1282"/>
      <c r="E218" s="1282"/>
      <c r="F218" s="1282"/>
      <c r="I218" s="524"/>
    </row>
    <row r="219" spans="1:9" ht="14.25">
      <c r="A219" s="518"/>
      <c r="D219" s="1282"/>
      <c r="E219" s="1282"/>
      <c r="F219" s="1282"/>
      <c r="I219" s="524"/>
    </row>
    <row r="220" spans="1:9" ht="14.25">
      <c r="A220" s="518"/>
      <c r="D220" s="1282"/>
      <c r="E220" s="1282"/>
      <c r="F220" s="1282"/>
      <c r="I220" s="524"/>
    </row>
    <row r="221" spans="1:9">
      <c r="D221" s="485"/>
      <c r="E221" s="485"/>
      <c r="F221" s="485"/>
      <c r="I221" s="524"/>
    </row>
    <row r="222" spans="1:9">
      <c r="A222" s="1288" t="s">
        <v>1071</v>
      </c>
      <c r="B222" s="1288"/>
      <c r="C222" s="1288"/>
      <c r="D222" s="1288"/>
      <c r="E222" s="1288"/>
      <c r="F222" s="1288"/>
      <c r="G222" s="1288"/>
      <c r="H222" s="1063"/>
      <c r="I222" s="1256"/>
    </row>
    <row r="223" spans="1:9" ht="12" customHeight="1">
      <c r="D223" s="480"/>
      <c r="E223" s="480"/>
      <c r="F223" s="480"/>
      <c r="I223" s="524"/>
    </row>
    <row r="224" spans="1:9">
      <c r="C224" s="520"/>
      <c r="D224" s="1280" t="s">
        <v>208</v>
      </c>
      <c r="E224" s="1280"/>
      <c r="F224" s="1280"/>
      <c r="I224" s="524"/>
    </row>
    <row r="225" spans="1:9">
      <c r="A225" s="516"/>
      <c r="B225" s="516"/>
      <c r="C225" s="516"/>
      <c r="D225" s="1311" t="s">
        <v>1200</v>
      </c>
      <c r="E225" s="1311"/>
      <c r="F225" s="1311"/>
      <c r="I225" s="524"/>
    </row>
    <row r="226" spans="1:9" ht="12" customHeight="1">
      <c r="A226" s="524"/>
      <c r="B226" s="524"/>
      <c r="C226" s="524"/>
      <c r="I226" s="524"/>
    </row>
    <row r="227" spans="1:9" ht="13.7" customHeight="1">
      <c r="A227" s="524"/>
      <c r="C227" s="524"/>
      <c r="D227" s="1280" t="s">
        <v>553</v>
      </c>
      <c r="E227" s="1280"/>
      <c r="F227" s="1280"/>
      <c r="I227" s="524" t="s">
        <v>2083</v>
      </c>
    </row>
    <row r="228" spans="1:9" ht="14.25">
      <c r="A228" s="518"/>
      <c r="B228" s="519" t="s">
        <v>2767</v>
      </c>
      <c r="D228" s="1282" t="s">
        <v>1938</v>
      </c>
      <c r="E228" s="1282"/>
      <c r="F228" s="1282"/>
      <c r="I228" s="524"/>
    </row>
    <row r="229" spans="1:9" ht="14.25" customHeight="1">
      <c r="A229" s="518"/>
      <c r="B229" s="518"/>
      <c r="D229" s="1282"/>
      <c r="E229" s="1282"/>
      <c r="F229" s="1282"/>
      <c r="I229" s="524"/>
    </row>
    <row r="230" spans="1:9" ht="14.25" customHeight="1">
      <c r="A230" s="518"/>
      <c r="B230" s="518"/>
      <c r="D230" s="1282"/>
      <c r="E230" s="1282"/>
      <c r="F230" s="1282"/>
      <c r="I230" s="524"/>
    </row>
    <row r="231" spans="1:9" ht="14.25">
      <c r="A231" s="518"/>
      <c r="B231" s="518"/>
      <c r="D231" s="1282"/>
      <c r="E231" s="1282"/>
      <c r="F231" s="1282"/>
      <c r="I231" s="524"/>
    </row>
    <row r="232" spans="1:9" ht="14.25">
      <c r="A232" s="518"/>
      <c r="B232" s="518"/>
      <c r="D232" s="479"/>
      <c r="E232" s="479"/>
      <c r="F232" s="479"/>
      <c r="I232" s="524"/>
    </row>
    <row r="233" spans="1:9" ht="14.25">
      <c r="A233" s="518"/>
      <c r="B233" s="519" t="s">
        <v>2767</v>
      </c>
      <c r="D233" s="1282" t="s">
        <v>1939</v>
      </c>
      <c r="E233" s="1282"/>
      <c r="F233" s="1282"/>
      <c r="I233" s="524" t="s">
        <v>2084</v>
      </c>
    </row>
    <row r="234" spans="1:9" ht="14.25">
      <c r="A234" s="518"/>
      <c r="B234" s="518"/>
      <c r="D234" s="1282"/>
      <c r="E234" s="1282"/>
      <c r="F234" s="1282"/>
      <c r="I234" s="524"/>
    </row>
    <row r="235" spans="1:9" ht="14.25">
      <c r="A235" s="518"/>
      <c r="B235" s="518"/>
      <c r="D235" s="1282"/>
      <c r="E235" s="1282"/>
      <c r="F235" s="1282"/>
      <c r="I235" s="524"/>
    </row>
    <row r="236" spans="1:9" ht="14.25">
      <c r="A236" s="518"/>
      <c r="B236" s="518"/>
      <c r="D236" s="1282"/>
      <c r="E236" s="1282"/>
      <c r="F236" s="1282"/>
      <c r="I236" s="524"/>
    </row>
    <row r="237" spans="1:9" ht="14.25" customHeight="1">
      <c r="A237" s="518"/>
      <c r="B237" s="518"/>
      <c r="D237" s="1282"/>
      <c r="E237" s="1282"/>
      <c r="F237" s="1282"/>
      <c r="I237" s="524"/>
    </row>
    <row r="238" spans="1:9" ht="14.25" customHeight="1">
      <c r="A238" s="518"/>
      <c r="B238" s="518"/>
      <c r="D238" s="479"/>
      <c r="E238" s="479"/>
      <c r="F238" s="479"/>
      <c r="I238" s="524"/>
    </row>
    <row r="239" spans="1:9" ht="14.25">
      <c r="A239" s="518"/>
      <c r="B239" s="518"/>
      <c r="D239" s="1282" t="s">
        <v>1196</v>
      </c>
      <c r="E239" s="1282"/>
      <c r="F239" s="1282"/>
      <c r="I239" s="524" t="s">
        <v>2083</v>
      </c>
    </row>
    <row r="240" spans="1:9" ht="14.25">
      <c r="A240" s="518"/>
      <c r="B240" s="518"/>
      <c r="D240" s="1282"/>
      <c r="E240" s="1282"/>
      <c r="F240" s="1282"/>
      <c r="I240" s="524"/>
    </row>
    <row r="241" spans="1:9" ht="14.25">
      <c r="A241" s="518"/>
      <c r="B241" s="518"/>
      <c r="D241" s="1282"/>
      <c r="E241" s="1282"/>
      <c r="F241" s="1282"/>
      <c r="I241" s="524"/>
    </row>
    <row r="242" spans="1:9" ht="14.25">
      <c r="A242" s="518"/>
      <c r="B242" s="518"/>
      <c r="D242" s="1282"/>
      <c r="E242" s="1282"/>
      <c r="F242" s="1282"/>
      <c r="I242" s="524"/>
    </row>
    <row r="243" spans="1:9" ht="14.25">
      <c r="A243" s="518"/>
      <c r="B243" s="518"/>
      <c r="D243" s="1282"/>
      <c r="E243" s="1282"/>
      <c r="F243" s="1282"/>
      <c r="I243" s="524"/>
    </row>
    <row r="244" spans="1:9" ht="14.25">
      <c r="A244" s="518"/>
      <c r="B244" s="518"/>
      <c r="D244" s="480"/>
      <c r="E244" s="480"/>
      <c r="F244" s="480"/>
      <c r="I244" s="524"/>
    </row>
    <row r="245" spans="1:9" ht="14.25">
      <c r="A245" s="518"/>
      <c r="B245" s="519" t="s">
        <v>2768</v>
      </c>
      <c r="D245" s="1282" t="s">
        <v>2362</v>
      </c>
      <c r="E245" s="1282"/>
      <c r="F245" s="1282"/>
      <c r="I245" s="524" t="s">
        <v>2122</v>
      </c>
    </row>
    <row r="246" spans="1:9" ht="14.25">
      <c r="A246" s="518"/>
      <c r="B246" s="518"/>
      <c r="D246" s="1282"/>
      <c r="E246" s="1282"/>
      <c r="F246" s="1282"/>
      <c r="I246" s="524"/>
    </row>
    <row r="247" spans="1:9" ht="14.25">
      <c r="A247" s="518"/>
      <c r="B247" s="518"/>
      <c r="D247" s="1282"/>
      <c r="E247" s="1282"/>
      <c r="F247" s="1282"/>
      <c r="I247" s="524"/>
    </row>
    <row r="248" spans="1:9" ht="14.25">
      <c r="A248" s="518"/>
      <c r="B248" s="518"/>
      <c r="E248" s="1071" t="s">
        <v>2191</v>
      </c>
      <c r="I248" s="524"/>
    </row>
    <row r="249" spans="1:9" ht="14.25">
      <c r="A249" s="518"/>
      <c r="B249" s="518"/>
      <c r="D249" s="480"/>
      <c r="E249" s="480"/>
      <c r="F249" s="480"/>
      <c r="I249" s="524"/>
    </row>
    <row r="250" spans="1:9" ht="14.45" customHeight="1">
      <c r="A250" s="518"/>
      <c r="B250" s="519" t="s">
        <v>2768</v>
      </c>
      <c r="D250" s="1282" t="s">
        <v>2363</v>
      </c>
      <c r="E250" s="1282"/>
      <c r="F250" s="1282"/>
      <c r="I250" s="524" t="s">
        <v>2140</v>
      </c>
    </row>
    <row r="251" spans="1:9" ht="14.25">
      <c r="A251" s="518"/>
      <c r="B251" s="518"/>
      <c r="D251" s="1282"/>
      <c r="E251" s="1282"/>
      <c r="F251" s="1282"/>
      <c r="I251" s="524"/>
    </row>
    <row r="252" spans="1:9" ht="14.25">
      <c r="A252" s="518"/>
      <c r="B252" s="518"/>
      <c r="D252" s="1282"/>
      <c r="E252" s="1282"/>
      <c r="F252" s="1282"/>
      <c r="I252" s="524"/>
    </row>
    <row r="253" spans="1:9" ht="14.25">
      <c r="A253" s="518"/>
      <c r="B253" s="518"/>
      <c r="D253" s="1282"/>
      <c r="E253" s="1282"/>
      <c r="F253" s="1282"/>
      <c r="I253" s="524"/>
    </row>
    <row r="254" spans="1:9" ht="14.25">
      <c r="A254" s="518"/>
      <c r="B254" s="518"/>
      <c r="D254" s="1282"/>
      <c r="E254" s="1282"/>
      <c r="F254" s="1282"/>
      <c r="I254" s="524"/>
    </row>
    <row r="255" spans="1:9" ht="14.25">
      <c r="A255" s="518"/>
      <c r="B255" s="518"/>
      <c r="D255" s="479"/>
      <c r="E255" s="479"/>
      <c r="F255" s="479"/>
      <c r="I255" s="524"/>
    </row>
    <row r="256" spans="1:9" ht="14.25">
      <c r="A256" s="518"/>
      <c r="B256" s="519" t="s">
        <v>2767</v>
      </c>
      <c r="D256" s="423" t="s">
        <v>2364</v>
      </c>
      <c r="E256" s="479"/>
      <c r="F256" s="479"/>
      <c r="I256" s="524" t="s">
        <v>2121</v>
      </c>
    </row>
    <row r="257" spans="1:9" ht="14.25">
      <c r="A257" s="518"/>
      <c r="B257" s="518"/>
      <c r="E257" s="1071" t="s">
        <v>2192</v>
      </c>
      <c r="I257" s="524"/>
    </row>
    <row r="258" spans="1:9">
      <c r="D258" s="480"/>
      <c r="E258" s="480"/>
      <c r="F258" s="480"/>
      <c r="I258" s="524"/>
    </row>
    <row r="259" spans="1:9" ht="14.25">
      <c r="A259" s="518"/>
      <c r="B259" s="519" t="s">
        <v>2767</v>
      </c>
      <c r="D259" s="1282" t="s">
        <v>1198</v>
      </c>
      <c r="E259" s="1282"/>
      <c r="F259" s="1282"/>
      <c r="I259" s="524"/>
    </row>
    <row r="260" spans="1:9" ht="14.25">
      <c r="A260" s="518"/>
      <c r="B260" s="518"/>
      <c r="D260" s="1282"/>
      <c r="E260" s="1282"/>
      <c r="F260" s="1282"/>
      <c r="I260" s="524"/>
    </row>
    <row r="261" spans="1:9">
      <c r="D261" s="525"/>
      <c r="I261" s="524"/>
    </row>
    <row r="262" spans="1:9">
      <c r="A262" s="1288" t="s">
        <v>1072</v>
      </c>
      <c r="B262" s="1288"/>
      <c r="C262" s="1288"/>
      <c r="D262" s="1288"/>
      <c r="E262" s="1288"/>
      <c r="F262" s="1288"/>
      <c r="G262" s="1288"/>
      <c r="H262" s="1063"/>
      <c r="I262" s="1256"/>
    </row>
    <row r="263" spans="1:9">
      <c r="D263" s="525"/>
      <c r="I263" s="524"/>
    </row>
    <row r="264" spans="1:9">
      <c r="C264" s="520"/>
      <c r="D264" s="1280" t="s">
        <v>1201</v>
      </c>
      <c r="E264" s="1280"/>
      <c r="F264" s="1280"/>
      <c r="I264" s="524"/>
    </row>
    <row r="265" spans="1:9">
      <c r="A265" s="516"/>
      <c r="B265" s="516"/>
      <c r="C265" s="516"/>
      <c r="D265" s="480"/>
      <c r="E265" s="480"/>
      <c r="F265" s="480"/>
      <c r="I265" s="524"/>
    </row>
    <row r="266" spans="1:9">
      <c r="A266" s="517"/>
      <c r="B266" s="517"/>
      <c r="C266" s="517"/>
      <c r="D266" s="1280" t="s">
        <v>269</v>
      </c>
      <c r="E266" s="1280"/>
      <c r="F266" s="1280"/>
      <c r="I266" s="524" t="s">
        <v>2123</v>
      </c>
    </row>
    <row r="267" spans="1:9" ht="14.45" customHeight="1">
      <c r="A267" s="518"/>
      <c r="B267" s="519" t="s">
        <v>2767</v>
      </c>
      <c r="D267" s="1282" t="s">
        <v>1299</v>
      </c>
      <c r="E267" s="1282"/>
      <c r="F267" s="1282"/>
      <c r="I267" s="524"/>
    </row>
    <row r="268" spans="1:9">
      <c r="D268" s="1282"/>
      <c r="E268" s="1282"/>
      <c r="F268" s="1282"/>
      <c r="I268" s="524"/>
    </row>
    <row r="269" spans="1:9">
      <c r="E269" s="1071" t="s">
        <v>2193</v>
      </c>
      <c r="I269" s="524"/>
    </row>
    <row r="270" spans="1:9">
      <c r="D270" s="480"/>
      <c r="E270" s="480"/>
      <c r="F270" s="480"/>
      <c r="I270" s="524"/>
    </row>
    <row r="271" spans="1:9" ht="14.45" customHeight="1">
      <c r="A271" s="518"/>
      <c r="B271" s="519" t="s">
        <v>2768</v>
      </c>
      <c r="D271" s="1282" t="s">
        <v>2365</v>
      </c>
      <c r="E271" s="1282"/>
      <c r="F271" s="1282"/>
      <c r="I271" s="524" t="s">
        <v>2141</v>
      </c>
    </row>
    <row r="272" spans="1:9">
      <c r="D272" s="1282"/>
      <c r="E272" s="1282"/>
      <c r="F272" s="1282"/>
      <c r="I272" s="524"/>
    </row>
    <row r="273" spans="1:9">
      <c r="D273" s="1282"/>
      <c r="E273" s="1282"/>
      <c r="F273" s="1282"/>
      <c r="I273" s="524"/>
    </row>
    <row r="274" spans="1:9">
      <c r="D274" s="1282"/>
      <c r="E274" s="1282"/>
      <c r="F274" s="1282"/>
      <c r="I274" s="524"/>
    </row>
    <row r="275" spans="1:9">
      <c r="D275" s="1282"/>
      <c r="E275" s="1282"/>
      <c r="F275" s="1282"/>
      <c r="I275" s="524"/>
    </row>
    <row r="276" spans="1:9">
      <c r="D276" s="1282"/>
      <c r="E276" s="1282"/>
      <c r="F276" s="1282"/>
      <c r="I276" s="524"/>
    </row>
    <row r="277" spans="1:9">
      <c r="D277" s="480"/>
      <c r="E277" s="480"/>
      <c r="F277" s="480"/>
      <c r="I277" s="524"/>
    </row>
    <row r="278" spans="1:9" ht="14.25">
      <c r="A278" s="518"/>
      <c r="B278" s="519" t="s">
        <v>2768</v>
      </c>
      <c r="D278" s="1282" t="s">
        <v>1204</v>
      </c>
      <c r="E278" s="1282"/>
      <c r="F278" s="1282"/>
      <c r="I278" s="524"/>
    </row>
    <row r="279" spans="1:9">
      <c r="D279" s="1282"/>
      <c r="E279" s="1282"/>
      <c r="F279" s="1282"/>
      <c r="I279" s="524"/>
    </row>
    <row r="280" spans="1:9">
      <c r="D280" s="1282"/>
      <c r="E280" s="1282"/>
      <c r="F280" s="1282"/>
      <c r="I280" s="524"/>
    </row>
    <row r="281" spans="1:9">
      <c r="D281" s="526"/>
      <c r="E281" s="480"/>
      <c r="F281" s="480"/>
      <c r="I281" s="524"/>
    </row>
    <row r="282" spans="1:9">
      <c r="A282" s="1288" t="s">
        <v>1073</v>
      </c>
      <c r="B282" s="1288"/>
      <c r="C282" s="1288"/>
      <c r="D282" s="1288"/>
      <c r="E282" s="1288"/>
      <c r="F282" s="1288"/>
      <c r="G282" s="1288"/>
      <c r="H282" s="1063"/>
      <c r="I282" s="1256"/>
    </row>
    <row r="283" spans="1:9">
      <c r="D283" s="526"/>
      <c r="E283" s="480"/>
      <c r="F283" s="480"/>
      <c r="I283" s="524"/>
    </row>
    <row r="284" spans="1:9">
      <c r="C284" s="516"/>
      <c r="D284" s="1310" t="s">
        <v>1206</v>
      </c>
      <c r="E284" s="1310"/>
      <c r="F284" s="1310"/>
      <c r="I284" s="524"/>
    </row>
    <row r="285" spans="1:9">
      <c r="C285" s="516"/>
      <c r="D285" s="1310"/>
      <c r="E285" s="1310"/>
      <c r="F285" s="1310"/>
      <c r="I285" s="524"/>
    </row>
    <row r="286" spans="1:9">
      <c r="A286" s="517"/>
      <c r="B286" s="517"/>
      <c r="C286" s="517"/>
      <c r="D286" s="435"/>
      <c r="I286" s="524"/>
    </row>
    <row r="287" spans="1:9">
      <c r="C287" s="517"/>
      <c r="D287" s="1280" t="s">
        <v>209</v>
      </c>
      <c r="E287" s="1280"/>
      <c r="F287" s="1280"/>
      <c r="I287" s="524"/>
    </row>
    <row r="288" spans="1:9" ht="15.75" customHeight="1">
      <c r="A288" s="518"/>
      <c r="B288" s="518"/>
      <c r="D288" s="1335" t="s">
        <v>1207</v>
      </c>
      <c r="E288" s="1335"/>
      <c r="F288" s="1335"/>
      <c r="I288" s="524"/>
    </row>
    <row r="289" spans="1:9">
      <c r="E289" s="480"/>
      <c r="F289" s="480"/>
      <c r="I289" s="524"/>
    </row>
    <row r="290" spans="1:9" ht="14.25">
      <c r="A290" s="518"/>
      <c r="B290" s="519" t="s">
        <v>2768</v>
      </c>
      <c r="D290" s="1282" t="s">
        <v>1208</v>
      </c>
      <c r="E290" s="1282"/>
      <c r="F290" s="1282"/>
      <c r="I290" s="524" t="s">
        <v>2085</v>
      </c>
    </row>
    <row r="291" spans="1:9" ht="14.25">
      <c r="A291" s="518"/>
      <c r="B291" s="518"/>
      <c r="D291" s="1282"/>
      <c r="E291" s="1282"/>
      <c r="F291" s="1282"/>
      <c r="I291" s="524"/>
    </row>
    <row r="292" spans="1:9">
      <c r="D292" s="480"/>
      <c r="E292" s="480"/>
      <c r="F292" s="480"/>
      <c r="I292" s="524"/>
    </row>
    <row r="293" spans="1:9" ht="14.25">
      <c r="A293" s="518"/>
      <c r="B293" s="519" t="s">
        <v>2768</v>
      </c>
      <c r="D293" s="1282" t="s">
        <v>1209</v>
      </c>
      <c r="E293" s="1282"/>
      <c r="F293" s="1282"/>
      <c r="I293" s="524" t="s">
        <v>2085</v>
      </c>
    </row>
    <row r="294" spans="1:9" ht="14.25">
      <c r="A294" s="518"/>
      <c r="B294" s="518"/>
      <c r="D294" s="1282"/>
      <c r="E294" s="1282"/>
      <c r="F294" s="1282"/>
      <c r="I294" s="524"/>
    </row>
    <row r="295" spans="1:9" ht="14.25">
      <c r="A295" s="518"/>
      <c r="B295" s="518"/>
      <c r="D295" s="1282"/>
      <c r="E295" s="1282"/>
      <c r="F295" s="1282"/>
      <c r="I295" s="524"/>
    </row>
    <row r="296" spans="1:9">
      <c r="D296" s="480"/>
      <c r="E296" s="480"/>
      <c r="F296" s="480"/>
      <c r="I296" s="524"/>
    </row>
    <row r="297" spans="1:9" ht="14.25">
      <c r="A297" s="518"/>
      <c r="B297" s="519" t="s">
        <v>2768</v>
      </c>
      <c r="D297" s="1282" t="s">
        <v>1210</v>
      </c>
      <c r="E297" s="1282"/>
      <c r="F297" s="1282"/>
      <c r="I297" s="524" t="s">
        <v>2085</v>
      </c>
    </row>
    <row r="298" spans="1:9" ht="14.25">
      <c r="A298" s="518"/>
      <c r="B298" s="518"/>
      <c r="D298" s="1282"/>
      <c r="E298" s="1282"/>
      <c r="F298" s="1282"/>
      <c r="I298" s="524"/>
    </row>
    <row r="299" spans="1:9">
      <c r="A299" s="524"/>
      <c r="B299" s="524"/>
      <c r="E299" s="480"/>
      <c r="F299" s="480"/>
      <c r="I299" s="524"/>
    </row>
    <row r="300" spans="1:9">
      <c r="A300" s="1288" t="s">
        <v>1074</v>
      </c>
      <c r="B300" s="1288"/>
      <c r="C300" s="1288"/>
      <c r="D300" s="1288"/>
      <c r="E300" s="1288"/>
      <c r="F300" s="1288"/>
      <c r="G300" s="1288"/>
      <c r="H300" s="1063"/>
      <c r="I300" s="1256"/>
    </row>
    <row r="301" spans="1:9">
      <c r="A301" s="524"/>
      <c r="B301" s="524"/>
      <c r="D301" s="480"/>
      <c r="E301" s="480"/>
      <c r="F301" s="480"/>
      <c r="I301" s="524"/>
    </row>
    <row r="302" spans="1:9">
      <c r="C302" s="524"/>
      <c r="D302" s="1280" t="s">
        <v>689</v>
      </c>
      <c r="E302" s="1280"/>
      <c r="F302" s="1280"/>
      <c r="I302" s="524"/>
    </row>
    <row r="303" spans="1:9">
      <c r="C303" s="524"/>
      <c r="D303" s="1311" t="s">
        <v>1211</v>
      </c>
      <c r="E303" s="1311"/>
      <c r="F303" s="1311"/>
      <c r="I303" s="524"/>
    </row>
    <row r="304" spans="1:9">
      <c r="C304" s="524"/>
      <c r="D304" s="527"/>
      <c r="I304" s="524"/>
    </row>
    <row r="305" spans="1:9">
      <c r="B305" s="519" t="s">
        <v>2768</v>
      </c>
      <c r="D305" s="1311" t="s">
        <v>1212</v>
      </c>
      <c r="E305" s="1311"/>
      <c r="F305" s="1311"/>
      <c r="I305" s="524" t="s">
        <v>2086</v>
      </c>
    </row>
    <row r="306" spans="1:9" ht="14.25">
      <c r="A306" s="518"/>
      <c r="B306" s="518"/>
      <c r="D306" s="528"/>
      <c r="E306" s="529"/>
      <c r="F306" s="529"/>
      <c r="I306" s="524"/>
    </row>
    <row r="307" spans="1:9" ht="13.7" customHeight="1">
      <c r="B307" s="519" t="s">
        <v>2768</v>
      </c>
      <c r="D307" s="1332" t="s">
        <v>1322</v>
      </c>
      <c r="E307" s="1332"/>
      <c r="F307" s="1332"/>
      <c r="I307" s="524" t="s">
        <v>2086</v>
      </c>
    </row>
    <row r="308" spans="1:9" ht="14.25">
      <c r="A308" s="518"/>
      <c r="B308" s="518"/>
      <c r="D308" s="1332"/>
      <c r="E308" s="1332"/>
      <c r="F308" s="1332"/>
      <c r="I308" s="524"/>
    </row>
    <row r="309" spans="1:9" ht="14.25">
      <c r="A309" s="518"/>
      <c r="B309" s="518"/>
      <c r="D309" s="1332"/>
      <c r="E309" s="1332"/>
      <c r="F309" s="1332"/>
      <c r="I309" s="524"/>
    </row>
    <row r="310" spans="1:9" ht="14.25">
      <c r="A310" s="518"/>
      <c r="B310" s="518"/>
      <c r="D310" s="1332"/>
      <c r="E310" s="1332"/>
      <c r="F310" s="1332"/>
      <c r="I310" s="524"/>
    </row>
    <row r="311" spans="1:9" ht="14.25">
      <c r="A311" s="518"/>
      <c r="B311" s="518"/>
      <c r="D311" s="1332"/>
      <c r="E311" s="1332"/>
      <c r="F311" s="1332"/>
      <c r="I311" s="524"/>
    </row>
    <row r="312" spans="1:9" ht="14.25">
      <c r="A312" s="518"/>
      <c r="B312" s="518"/>
      <c r="D312" s="528"/>
      <c r="E312" s="529"/>
      <c r="F312" s="529"/>
      <c r="I312" s="524"/>
    </row>
    <row r="313" spans="1:9" ht="13.7" customHeight="1">
      <c r="B313" s="519" t="s">
        <v>2768</v>
      </c>
      <c r="D313" s="1332" t="s">
        <v>1214</v>
      </c>
      <c r="E313" s="1332"/>
      <c r="F313" s="1332"/>
      <c r="I313" s="524" t="s">
        <v>2086</v>
      </c>
    </row>
    <row r="314" spans="1:9">
      <c r="D314" s="1332"/>
      <c r="E314" s="1332"/>
      <c r="F314" s="1332"/>
      <c r="I314" s="524"/>
    </row>
    <row r="315" spans="1:9" ht="14.25">
      <c r="A315" s="518"/>
      <c r="B315" s="518"/>
      <c r="D315" s="528"/>
      <c r="E315" s="529"/>
      <c r="F315" s="529"/>
      <c r="I315" s="524"/>
    </row>
    <row r="316" spans="1:9">
      <c r="B316" s="519" t="s">
        <v>2768</v>
      </c>
      <c r="D316" s="1311" t="s">
        <v>1215</v>
      </c>
      <c r="E316" s="1311"/>
      <c r="F316" s="1311"/>
      <c r="I316" s="524" t="s">
        <v>2072</v>
      </c>
    </row>
    <row r="317" spans="1:9">
      <c r="E317" s="480"/>
      <c r="F317" s="480"/>
      <c r="I317" s="524"/>
    </row>
    <row r="318" spans="1:9" ht="14.25">
      <c r="A318" s="518"/>
      <c r="B318" s="519" t="s">
        <v>2768</v>
      </c>
      <c r="D318" s="1282" t="s">
        <v>2384</v>
      </c>
      <c r="E318" s="1282"/>
      <c r="F318" s="1282"/>
      <c r="I318" s="524" t="s">
        <v>2087</v>
      </c>
    </row>
    <row r="319" spans="1:9" ht="14.25">
      <c r="A319" s="518"/>
      <c r="B319" s="518"/>
      <c r="D319" s="1282"/>
      <c r="E319" s="1282"/>
      <c r="F319" s="1282"/>
      <c r="I319" s="524"/>
    </row>
    <row r="320" spans="1:9" ht="14.25">
      <c r="A320" s="518"/>
      <c r="B320" s="518"/>
      <c r="D320" s="1282"/>
      <c r="E320" s="1282"/>
      <c r="F320" s="1282"/>
      <c r="I320" s="524"/>
    </row>
    <row r="321" spans="1:9" ht="14.25">
      <c r="A321" s="518"/>
      <c r="B321" s="518"/>
      <c r="D321" s="1282"/>
      <c r="E321" s="1282"/>
      <c r="F321" s="1282"/>
      <c r="I321" s="524"/>
    </row>
    <row r="322" spans="1:9" ht="14.25">
      <c r="A322" s="518"/>
      <c r="B322" s="518"/>
      <c r="D322" s="1282"/>
      <c r="E322" s="1282"/>
      <c r="F322" s="1282"/>
      <c r="I322" s="524"/>
    </row>
    <row r="323" spans="1:9" ht="14.25">
      <c r="A323" s="518"/>
      <c r="B323" s="518"/>
      <c r="D323" s="1282"/>
      <c r="E323" s="1282"/>
      <c r="F323" s="1282"/>
      <c r="I323" s="524"/>
    </row>
    <row r="324" spans="1:9" ht="14.25">
      <c r="A324" s="518"/>
      <c r="B324" s="518"/>
      <c r="D324" s="1282"/>
      <c r="E324" s="1282"/>
      <c r="F324" s="1282"/>
      <c r="I324" s="524"/>
    </row>
    <row r="325" spans="1:9" ht="14.25">
      <c r="A325" s="518"/>
      <c r="B325" s="518"/>
      <c r="D325" s="1282"/>
      <c r="E325" s="1282"/>
      <c r="F325" s="1282"/>
      <c r="I325" s="524"/>
    </row>
    <row r="326" spans="1:9" ht="14.25">
      <c r="A326" s="518"/>
      <c r="B326" s="518"/>
      <c r="D326" s="1282"/>
      <c r="E326" s="1282"/>
      <c r="F326" s="1282"/>
      <c r="I326" s="524"/>
    </row>
    <row r="327" spans="1:9" ht="14.25">
      <c r="A327" s="518"/>
      <c r="B327" s="518"/>
      <c r="D327" s="1282"/>
      <c r="E327" s="1282"/>
      <c r="F327" s="1282"/>
      <c r="I327" s="524"/>
    </row>
    <row r="328" spans="1:9" ht="14.25">
      <c r="A328" s="518"/>
      <c r="B328" s="518"/>
      <c r="D328" s="1282"/>
      <c r="E328" s="1282"/>
      <c r="F328" s="1282"/>
      <c r="I328" s="524"/>
    </row>
    <row r="329" spans="1:9" ht="14.25">
      <c r="A329" s="518"/>
      <c r="B329" s="518"/>
      <c r="D329" s="1282"/>
      <c r="E329" s="1282"/>
      <c r="F329" s="1282"/>
      <c r="I329" s="524"/>
    </row>
    <row r="330" spans="1:9" ht="14.25">
      <c r="A330" s="518"/>
      <c r="B330" s="518"/>
      <c r="D330" s="1282"/>
      <c r="E330" s="1282"/>
      <c r="F330" s="1282"/>
      <c r="I330" s="524"/>
    </row>
    <row r="331" spans="1:9" ht="14.25">
      <c r="A331" s="518"/>
      <c r="B331" s="518"/>
      <c r="D331" s="1282"/>
      <c r="E331" s="1282"/>
      <c r="F331" s="1282"/>
      <c r="I331" s="524"/>
    </row>
    <row r="332" spans="1:9" ht="14.25">
      <c r="A332" s="518"/>
      <c r="B332" s="518"/>
      <c r="D332" s="1282"/>
      <c r="E332" s="1282"/>
      <c r="F332" s="1282"/>
      <c r="I332" s="524"/>
    </row>
    <row r="333" spans="1:9">
      <c r="D333" s="480"/>
      <c r="E333" s="480"/>
      <c r="F333" s="480"/>
      <c r="I333" s="524"/>
    </row>
    <row r="334" spans="1:9" ht="14.25">
      <c r="A334" s="518"/>
      <c r="B334" s="519" t="s">
        <v>2768</v>
      </c>
      <c r="D334" s="1282" t="s">
        <v>1217</v>
      </c>
      <c r="E334" s="1282"/>
      <c r="F334" s="1282"/>
      <c r="I334" s="524" t="s">
        <v>2087</v>
      </c>
    </row>
    <row r="335" spans="1:9">
      <c r="D335" s="1282"/>
      <c r="E335" s="1282"/>
      <c r="F335" s="1282"/>
      <c r="I335" s="524"/>
    </row>
    <row r="336" spans="1:9">
      <c r="D336" s="1282"/>
      <c r="E336" s="1282"/>
      <c r="F336" s="1282"/>
      <c r="I336" s="524"/>
    </row>
    <row r="337" spans="1:9">
      <c r="D337" s="1282"/>
      <c r="E337" s="1282"/>
      <c r="F337" s="1282"/>
      <c r="I337" s="524"/>
    </row>
    <row r="338" spans="1:9">
      <c r="D338" s="1282"/>
      <c r="E338" s="1282"/>
      <c r="F338" s="1282"/>
      <c r="I338" s="524"/>
    </row>
    <row r="339" spans="1:9">
      <c r="D339" s="1282"/>
      <c r="E339" s="1282"/>
      <c r="F339" s="1282"/>
      <c r="I339" s="524"/>
    </row>
    <row r="340" spans="1:9">
      <c r="D340" s="1282"/>
      <c r="E340" s="1282"/>
      <c r="F340" s="1282"/>
      <c r="I340" s="524"/>
    </row>
    <row r="341" spans="1:9">
      <c r="D341" s="1282"/>
      <c r="E341" s="1282"/>
      <c r="F341" s="1282"/>
      <c r="I341" s="524"/>
    </row>
    <row r="342" spans="1:9">
      <c r="D342" s="1282"/>
      <c r="E342" s="1282"/>
      <c r="F342" s="1282"/>
      <c r="I342" s="524"/>
    </row>
    <row r="343" spans="1:9">
      <c r="D343" s="480"/>
      <c r="E343" s="480"/>
      <c r="F343" s="480"/>
      <c r="I343" s="524"/>
    </row>
    <row r="344" spans="1:9" ht="14.25" customHeight="1">
      <c r="A344" s="518"/>
      <c r="B344" s="519" t="s">
        <v>2768</v>
      </c>
      <c r="D344" s="1282" t="s">
        <v>2198</v>
      </c>
      <c r="E344" s="1282"/>
      <c r="F344" s="1282"/>
      <c r="I344" s="524" t="s">
        <v>2124</v>
      </c>
    </row>
    <row r="345" spans="1:9">
      <c r="D345" s="1282"/>
      <c r="E345" s="1282"/>
      <c r="F345" s="1282"/>
      <c r="I345" s="524"/>
    </row>
    <row r="346" spans="1:9">
      <c r="D346" s="1282"/>
      <c r="E346" s="1282"/>
      <c r="F346" s="1282"/>
      <c r="I346" s="524"/>
    </row>
    <row r="347" spans="1:9">
      <c r="D347" s="1282"/>
      <c r="E347" s="1282"/>
      <c r="F347" s="1282"/>
      <c r="I347" s="524"/>
    </row>
    <row r="348" spans="1:9">
      <c r="D348" s="417" t="s">
        <v>2197</v>
      </c>
      <c r="E348" s="416"/>
      <c r="F348" s="416"/>
      <c r="I348" s="524"/>
    </row>
    <row r="349" spans="1:9">
      <c r="D349" s="416"/>
      <c r="E349" s="96" t="s">
        <v>2194</v>
      </c>
      <c r="G349" s="96"/>
      <c r="I349" s="524"/>
    </row>
    <row r="350" spans="1:9">
      <c r="D350" s="479"/>
      <c r="E350" s="479"/>
      <c r="F350" s="479"/>
      <c r="I350" s="524"/>
    </row>
    <row r="351" spans="1:9" ht="13.5" thickBot="1">
      <c r="A351" s="1057"/>
      <c r="B351" s="1057"/>
      <c r="C351" s="1057"/>
      <c r="D351" s="1337" t="s">
        <v>995</v>
      </c>
      <c r="E351" s="1337"/>
      <c r="F351" s="1337"/>
      <c r="G351" s="1062"/>
      <c r="H351" s="1062"/>
      <c r="I351" s="1259"/>
    </row>
    <row r="352" spans="1:9" ht="13.5" thickTop="1">
      <c r="D352" s="1333" t="s">
        <v>1219</v>
      </c>
      <c r="E352" s="1333"/>
      <c r="F352" s="1333"/>
      <c r="I352" s="524"/>
    </row>
    <row r="353" spans="1:9">
      <c r="D353" s="480"/>
      <c r="E353" s="480"/>
      <c r="F353" s="480"/>
      <c r="I353" s="524"/>
    </row>
    <row r="354" spans="1:9">
      <c r="A354" s="510"/>
      <c r="B354" s="510"/>
      <c r="C354" s="510"/>
      <c r="D354" s="481"/>
      <c r="E354" s="481"/>
      <c r="F354" s="480"/>
      <c r="I354" s="524" t="s">
        <v>2088</v>
      </c>
    </row>
    <row r="355" spans="1:9" ht="14.25">
      <c r="A355" s="518"/>
      <c r="B355" s="519" t="s">
        <v>2768</v>
      </c>
      <c r="C355" s="521"/>
      <c r="D355" s="1311" t="s">
        <v>2196</v>
      </c>
      <c r="E355" s="1311"/>
      <c r="F355" s="1311"/>
      <c r="I355" s="1329" t="s">
        <v>2138</v>
      </c>
    </row>
    <row r="356" spans="1:9" ht="12.75" customHeight="1">
      <c r="D356" s="1072"/>
      <c r="E356" s="96" t="s">
        <v>2195</v>
      </c>
      <c r="F356" s="1072"/>
      <c r="I356" s="1330"/>
    </row>
    <row r="357" spans="1:9">
      <c r="D357" s="1282" t="s">
        <v>1343</v>
      </c>
      <c r="E357" s="1282"/>
      <c r="F357" s="1282"/>
      <c r="I357" s="1330"/>
    </row>
    <row r="358" spans="1:9">
      <c r="D358" s="1282"/>
      <c r="E358" s="1282"/>
      <c r="F358" s="1282"/>
      <c r="I358" s="1330"/>
    </row>
    <row r="359" spans="1:9">
      <c r="D359" s="1282"/>
      <c r="E359" s="1282"/>
      <c r="F359" s="1282"/>
      <c r="I359" s="1331"/>
    </row>
    <row r="360" spans="1:9" ht="14.25">
      <c r="A360" s="518"/>
      <c r="B360" s="519" t="s">
        <v>2768</v>
      </c>
      <c r="C360" s="510"/>
      <c r="D360" s="1315" t="s">
        <v>2366</v>
      </c>
      <c r="E360" s="1315"/>
      <c r="F360" s="1315"/>
      <c r="I360" s="514"/>
    </row>
    <row r="361" spans="1:9">
      <c r="A361" s="510"/>
      <c r="B361" s="510"/>
      <c r="C361" s="510"/>
      <c r="D361" s="481"/>
      <c r="E361" s="481"/>
      <c r="F361" s="480"/>
      <c r="I361" s="524"/>
    </row>
    <row r="362" spans="1:9">
      <c r="A362" s="510"/>
      <c r="B362" s="519" t="s">
        <v>2768</v>
      </c>
      <c r="C362" s="510"/>
      <c r="D362" s="1270" t="s">
        <v>2367</v>
      </c>
      <c r="E362" s="1270"/>
      <c r="F362" s="1270"/>
      <c r="I362" s="524"/>
    </row>
    <row r="363" spans="1:9">
      <c r="A363" s="510"/>
      <c r="B363" s="510"/>
      <c r="C363" s="510"/>
      <c r="D363" s="1270"/>
      <c r="E363" s="1270"/>
      <c r="F363" s="1270"/>
      <c r="I363" s="524"/>
    </row>
    <row r="364" spans="1:9">
      <c r="A364" s="510"/>
      <c r="B364" s="510"/>
      <c r="C364" s="510"/>
      <c r="D364" s="1270"/>
      <c r="E364" s="1270"/>
      <c r="F364" s="1270"/>
      <c r="I364" s="524"/>
    </row>
    <row r="365" spans="1:9">
      <c r="A365" s="510"/>
      <c r="B365" s="510"/>
      <c r="C365" s="510"/>
      <c r="D365" s="1270"/>
      <c r="E365" s="1270"/>
      <c r="F365" s="1270"/>
      <c r="I365" s="524"/>
    </row>
    <row r="366" spans="1:9">
      <c r="A366" s="510"/>
      <c r="B366" s="510"/>
      <c r="C366" s="510"/>
      <c r="D366" s="1270"/>
      <c r="E366" s="1270"/>
      <c r="F366" s="1270"/>
      <c r="I366" s="524"/>
    </row>
    <row r="367" spans="1:9">
      <c r="A367" s="510"/>
      <c r="B367" s="510"/>
      <c r="C367" s="510"/>
      <c r="D367" s="1270"/>
      <c r="E367" s="1270"/>
      <c r="F367" s="1270"/>
      <c r="I367" s="524"/>
    </row>
    <row r="368" spans="1:9">
      <c r="A368" s="510"/>
      <c r="B368" s="510"/>
      <c r="C368" s="510"/>
      <c r="D368" s="1270"/>
      <c r="E368" s="1270"/>
      <c r="F368" s="1270"/>
      <c r="I368" s="524"/>
    </row>
    <row r="369" spans="1:9">
      <c r="A369" s="510"/>
      <c r="B369" s="510"/>
      <c r="C369" s="510"/>
      <c r="D369" s="1270"/>
      <c r="E369" s="1270"/>
      <c r="F369" s="1270"/>
      <c r="I369" s="524"/>
    </row>
    <row r="370" spans="1:9">
      <c r="A370" s="510"/>
      <c r="B370" s="510"/>
      <c r="C370" s="510"/>
      <c r="D370" s="1270"/>
      <c r="E370" s="1270"/>
      <c r="F370" s="1270"/>
      <c r="I370" s="524"/>
    </row>
    <row r="371" spans="1:9">
      <c r="A371" s="510"/>
      <c r="B371" s="510"/>
      <c r="C371" s="510"/>
      <c r="D371" s="1270"/>
      <c r="E371" s="1270"/>
      <c r="F371" s="1270"/>
      <c r="I371" s="524"/>
    </row>
    <row r="372" spans="1:9">
      <c r="A372" s="510"/>
      <c r="B372" s="510"/>
      <c r="C372" s="510"/>
      <c r="D372" s="1270"/>
      <c r="E372" s="1270"/>
      <c r="F372" s="1270"/>
      <c r="I372" s="524"/>
    </row>
    <row r="373" spans="1:9">
      <c r="A373" s="510"/>
      <c r="B373" s="510"/>
      <c r="C373" s="510"/>
      <c r="D373" s="1270"/>
      <c r="E373" s="1270"/>
      <c r="F373" s="1270"/>
      <c r="I373" s="524"/>
    </row>
    <row r="374" spans="1:9">
      <c r="A374" s="510"/>
      <c r="B374" s="510"/>
      <c r="C374" s="510"/>
      <c r="D374" s="485"/>
      <c r="E374" s="485"/>
      <c r="F374" s="485"/>
      <c r="I374" s="524"/>
    </row>
    <row r="375" spans="1:9" ht="12.4" customHeight="1">
      <c r="A375" s="510"/>
      <c r="B375" s="519" t="s">
        <v>2768</v>
      </c>
      <c r="C375" s="510"/>
      <c r="D375" s="1326" t="s">
        <v>1324</v>
      </c>
      <c r="E375" s="1326"/>
      <c r="F375" s="1326"/>
      <c r="I375" s="524"/>
    </row>
    <row r="376" spans="1:9">
      <c r="A376" s="510"/>
      <c r="B376" s="510"/>
      <c r="C376" s="510"/>
      <c r="D376" s="1326"/>
      <c r="E376" s="1326"/>
      <c r="F376" s="1326"/>
      <c r="I376" s="524"/>
    </row>
    <row r="377" spans="1:9">
      <c r="A377" s="510"/>
      <c r="B377" s="510"/>
      <c r="C377" s="510"/>
      <c r="D377" s="1326"/>
      <c r="E377" s="1326"/>
      <c r="F377" s="1326"/>
      <c r="I377" s="524"/>
    </row>
    <row r="378" spans="1:9">
      <c r="A378" s="510"/>
      <c r="B378" s="510"/>
      <c r="C378" s="510"/>
      <c r="D378" s="1326"/>
      <c r="E378" s="1326"/>
      <c r="F378" s="1326"/>
      <c r="I378" s="524"/>
    </row>
    <row r="379" spans="1:9">
      <c r="A379" s="510"/>
      <c r="B379" s="510"/>
      <c r="C379" s="510"/>
      <c r="D379" s="558"/>
      <c r="E379" s="558"/>
      <c r="F379" s="558"/>
      <c r="I379" s="524"/>
    </row>
    <row r="380" spans="1:9">
      <c r="A380" s="510"/>
      <c r="B380" s="519" t="s">
        <v>2768</v>
      </c>
      <c r="C380" s="510"/>
      <c r="D380" s="433" t="s">
        <v>2020</v>
      </c>
      <c r="E380" s="558"/>
      <c r="F380" s="558"/>
      <c r="I380" s="524"/>
    </row>
    <row r="381" spans="1:9">
      <c r="A381" s="510"/>
      <c r="B381" s="510"/>
      <c r="C381" s="510"/>
      <c r="D381" s="433" t="s">
        <v>2021</v>
      </c>
      <c r="E381" s="558"/>
      <c r="F381" s="558"/>
      <c r="I381" s="524"/>
    </row>
    <row r="382" spans="1:9">
      <c r="A382" s="510"/>
      <c r="B382" s="510"/>
      <c r="C382" s="510"/>
      <c r="D382" s="433" t="s">
        <v>2022</v>
      </c>
      <c r="E382" s="558"/>
      <c r="F382" s="558"/>
      <c r="I382" s="524"/>
    </row>
    <row r="383" spans="1:9">
      <c r="A383" s="510"/>
      <c r="B383" s="510"/>
      <c r="C383" s="510"/>
      <c r="D383" s="433" t="s">
        <v>2023</v>
      </c>
      <c r="E383" s="558"/>
      <c r="F383" s="558"/>
      <c r="I383" s="524"/>
    </row>
    <row r="384" spans="1:9">
      <c r="A384" s="510"/>
      <c r="B384" s="510"/>
      <c r="C384" s="510"/>
      <c r="D384" s="433" t="s">
        <v>2024</v>
      </c>
      <c r="E384" s="558"/>
      <c r="F384" s="558"/>
      <c r="I384" s="524"/>
    </row>
    <row r="385" spans="1:9">
      <c r="A385" s="510"/>
      <c r="B385" s="510"/>
      <c r="C385" s="510"/>
      <c r="D385" s="433" t="s">
        <v>2025</v>
      </c>
      <c r="E385" s="558"/>
      <c r="F385" s="558"/>
      <c r="I385" s="524"/>
    </row>
    <row r="386" spans="1:9">
      <c r="A386" s="510"/>
      <c r="B386" s="510"/>
      <c r="C386" s="510"/>
      <c r="E386" s="481"/>
      <c r="F386" s="480"/>
      <c r="I386" s="524"/>
    </row>
    <row r="387" spans="1:9" ht="14.25">
      <c r="A387" s="518"/>
      <c r="B387" s="519" t="s">
        <v>2768</v>
      </c>
      <c r="C387" s="510"/>
      <c r="D387" s="1270" t="s">
        <v>1222</v>
      </c>
      <c r="E387" s="1270"/>
      <c r="F387" s="1270"/>
      <c r="I387" s="524"/>
    </row>
    <row r="388" spans="1:9">
      <c r="A388" s="510"/>
      <c r="B388" s="510"/>
      <c r="C388" s="510"/>
      <c r="D388" s="1270"/>
      <c r="E388" s="1270"/>
      <c r="F388" s="1270"/>
      <c r="I388" s="524"/>
    </row>
    <row r="389" spans="1:9">
      <c r="A389" s="510"/>
      <c r="B389" s="510"/>
      <c r="C389" s="510"/>
      <c r="D389" s="1270"/>
      <c r="E389" s="1270"/>
      <c r="F389" s="1270"/>
      <c r="I389" s="524"/>
    </row>
    <row r="390" spans="1:9">
      <c r="A390" s="510"/>
      <c r="B390" s="510"/>
      <c r="C390" s="510"/>
      <c r="D390" s="1270"/>
      <c r="E390" s="1270"/>
      <c r="F390" s="1270"/>
      <c r="I390" s="524"/>
    </row>
    <row r="391" spans="1:9">
      <c r="A391" s="510"/>
      <c r="B391" s="510"/>
      <c r="C391" s="510"/>
      <c r="D391" s="481"/>
      <c r="E391" s="481"/>
      <c r="F391" s="480"/>
      <c r="I391" s="524"/>
    </row>
    <row r="392" spans="1:9">
      <c r="A392" s="510"/>
      <c r="B392" s="510"/>
      <c r="C392" s="510"/>
      <c r="D392" s="1270" t="s">
        <v>1223</v>
      </c>
      <c r="E392" s="1270"/>
      <c r="F392" s="1270"/>
      <c r="I392" s="524"/>
    </row>
    <row r="393" spans="1:9">
      <c r="A393" s="510"/>
      <c r="B393" s="510"/>
      <c r="C393" s="510"/>
      <c r="D393" s="1270"/>
      <c r="E393" s="1270"/>
      <c r="F393" s="1270"/>
      <c r="I393" s="524"/>
    </row>
    <row r="394" spans="1:9">
      <c r="A394" s="510"/>
      <c r="B394" s="510"/>
      <c r="C394" s="510"/>
      <c r="D394" s="1270"/>
      <c r="E394" s="1270"/>
      <c r="F394" s="1270"/>
      <c r="I394" s="524"/>
    </row>
    <row r="395" spans="1:9">
      <c r="A395" s="510"/>
      <c r="B395" s="510"/>
      <c r="C395" s="510"/>
      <c r="D395" s="1270"/>
      <c r="E395" s="1270"/>
      <c r="F395" s="1270"/>
      <c r="I395" s="524"/>
    </row>
    <row r="396" spans="1:9" ht="18" customHeight="1">
      <c r="A396" s="510"/>
      <c r="B396" s="510"/>
      <c r="C396" s="510"/>
      <c r="D396" s="1270"/>
      <c r="E396" s="1270"/>
      <c r="F396" s="1270"/>
      <c r="I396" s="524"/>
    </row>
    <row r="397" spans="1:9">
      <c r="A397" s="510"/>
      <c r="B397" s="510"/>
      <c r="C397" s="510"/>
      <c r="D397" s="1270"/>
      <c r="E397" s="1270"/>
      <c r="F397" s="1270"/>
      <c r="I397" s="524"/>
    </row>
    <row r="398" spans="1:9">
      <c r="A398" s="510"/>
      <c r="B398" s="510"/>
      <c r="C398" s="510"/>
      <c r="D398" s="1270"/>
      <c r="E398" s="1270"/>
      <c r="F398" s="1270"/>
      <c r="I398" s="524"/>
    </row>
    <row r="399" spans="1:9">
      <c r="A399" s="510"/>
      <c r="B399" s="510"/>
      <c r="C399" s="510"/>
      <c r="D399" s="1270"/>
      <c r="E399" s="1270"/>
      <c r="F399" s="1270"/>
      <c r="I399" s="524"/>
    </row>
    <row r="400" spans="1:9" ht="8.25" customHeight="1">
      <c r="A400" s="510"/>
      <c r="B400" s="510"/>
      <c r="C400" s="510"/>
      <c r="D400" s="1270"/>
      <c r="E400" s="1270"/>
      <c r="F400" s="1270"/>
      <c r="I400" s="524"/>
    </row>
    <row r="401" spans="1:9" ht="13.7" customHeight="1">
      <c r="A401" s="510"/>
      <c r="B401" s="510"/>
      <c r="C401" s="510"/>
      <c r="D401" s="1270" t="s">
        <v>1224</v>
      </c>
      <c r="E401" s="1270"/>
      <c r="F401" s="1270"/>
      <c r="I401" s="524"/>
    </row>
    <row r="402" spans="1:9">
      <c r="A402" s="510"/>
      <c r="B402" s="510"/>
      <c r="C402" s="510"/>
      <c r="D402" s="1270"/>
      <c r="E402" s="1270"/>
      <c r="F402" s="1270"/>
      <c r="I402" s="524"/>
    </row>
    <row r="403" spans="1:9">
      <c r="A403" s="510"/>
      <c r="B403" s="510"/>
      <c r="C403" s="510"/>
      <c r="D403" s="1270"/>
      <c r="E403" s="1270"/>
      <c r="F403" s="1270"/>
      <c r="I403" s="524"/>
    </row>
    <row r="404" spans="1:9">
      <c r="A404" s="510"/>
      <c r="B404" s="510"/>
      <c r="C404" s="510"/>
      <c r="D404" s="1270"/>
      <c r="E404" s="1270"/>
      <c r="F404" s="1270"/>
      <c r="I404" s="524"/>
    </row>
    <row r="405" spans="1:9">
      <c r="A405" s="510"/>
      <c r="B405" s="510"/>
      <c r="C405" s="510"/>
      <c r="D405" s="1270"/>
      <c r="E405" s="1270"/>
      <c r="F405" s="1270"/>
      <c r="I405" s="524"/>
    </row>
    <row r="406" spans="1:9">
      <c r="A406" s="510"/>
      <c r="B406" s="510"/>
      <c r="C406" s="510"/>
      <c r="D406" s="1270"/>
      <c r="E406" s="1270"/>
      <c r="F406" s="1270"/>
      <c r="I406" s="524"/>
    </row>
    <row r="407" spans="1:9">
      <c r="A407" s="510"/>
      <c r="B407" s="510"/>
      <c r="C407" s="510"/>
      <c r="D407" s="1270"/>
      <c r="E407" s="1270"/>
      <c r="F407" s="1270"/>
      <c r="I407" s="524"/>
    </row>
    <row r="408" spans="1:9">
      <c r="A408" s="510"/>
      <c r="B408" s="510"/>
      <c r="C408" s="510"/>
      <c r="D408" s="1270"/>
      <c r="E408" s="1270"/>
      <c r="F408" s="1270"/>
      <c r="I408" s="524"/>
    </row>
    <row r="409" spans="1:9">
      <c r="A409" s="510"/>
      <c r="B409" s="510"/>
      <c r="C409" s="510"/>
      <c r="D409" s="1270"/>
      <c r="E409" s="1270"/>
      <c r="F409" s="1270"/>
      <c r="I409" s="524"/>
    </row>
    <row r="410" spans="1:9">
      <c r="A410" s="510"/>
      <c r="B410" s="510"/>
      <c r="C410" s="510"/>
      <c r="D410" s="1270"/>
      <c r="E410" s="1270"/>
      <c r="F410" s="1270"/>
      <c r="I410" s="524"/>
    </row>
    <row r="411" spans="1:9">
      <c r="A411" s="510"/>
      <c r="B411" s="510"/>
      <c r="C411" s="510"/>
      <c r="D411" s="1270"/>
      <c r="E411" s="1270"/>
      <c r="F411" s="1270"/>
      <c r="I411" s="524"/>
    </row>
    <row r="412" spans="1:9">
      <c r="A412" s="510"/>
      <c r="B412" s="510"/>
      <c r="C412" s="510"/>
      <c r="D412" s="1270"/>
      <c r="E412" s="1270"/>
      <c r="F412" s="1270"/>
      <c r="I412" s="524"/>
    </row>
    <row r="413" spans="1:9">
      <c r="A413" s="510"/>
      <c r="B413" s="510"/>
      <c r="C413" s="530"/>
      <c r="D413" s="1270"/>
      <c r="E413" s="1270"/>
      <c r="F413" s="1270"/>
      <c r="I413" s="524"/>
    </row>
    <row r="414" spans="1:9">
      <c r="A414" s="510"/>
      <c r="B414" s="510"/>
      <c r="C414" s="530"/>
      <c r="D414" s="1270"/>
      <c r="E414" s="1270"/>
      <c r="F414" s="1270"/>
      <c r="I414" s="524"/>
    </row>
    <row r="415" spans="1:9">
      <c r="A415" s="510"/>
      <c r="B415" s="510"/>
      <c r="C415" s="510"/>
      <c r="D415" s="1270"/>
      <c r="E415" s="1270"/>
      <c r="F415" s="1270"/>
      <c r="I415" s="524"/>
    </row>
    <row r="416" spans="1:9">
      <c r="A416" s="510"/>
      <c r="B416" s="510"/>
      <c r="C416" s="530"/>
      <c r="D416" s="1270"/>
      <c r="E416" s="1270"/>
      <c r="F416" s="1270"/>
      <c r="I416" s="524"/>
    </row>
    <row r="417" spans="1:9">
      <c r="A417" s="510"/>
      <c r="B417" s="510"/>
      <c r="C417" s="530"/>
      <c r="D417" s="1270"/>
      <c r="E417" s="1270"/>
      <c r="F417" s="1270"/>
      <c r="I417" s="524"/>
    </row>
    <row r="418" spans="1:9">
      <c r="A418" s="510"/>
      <c r="B418" s="510"/>
      <c r="C418" s="530"/>
      <c r="D418" s="1270"/>
      <c r="E418" s="1270"/>
      <c r="F418" s="1270"/>
      <c r="I418" s="524"/>
    </row>
    <row r="419" spans="1:9">
      <c r="A419" s="510"/>
      <c r="B419" s="510"/>
      <c r="C419" s="510"/>
      <c r="D419" s="481"/>
      <c r="E419" s="481"/>
      <c r="F419" s="480"/>
      <c r="I419" s="524"/>
    </row>
    <row r="420" spans="1:9">
      <c r="A420" s="510"/>
      <c r="B420" s="519" t="s">
        <v>2768</v>
      </c>
      <c r="C420" s="510"/>
      <c r="D420" s="1270" t="s">
        <v>1225</v>
      </c>
      <c r="E420" s="1270"/>
      <c r="F420" s="1270"/>
      <c r="I420" s="524"/>
    </row>
    <row r="421" spans="1:9">
      <c r="A421" s="510"/>
      <c r="B421" s="510"/>
      <c r="C421" s="510"/>
      <c r="D421" s="1270"/>
      <c r="E421" s="1270"/>
      <c r="F421" s="1270"/>
      <c r="I421" s="524"/>
    </row>
    <row r="422" spans="1:9">
      <c r="A422" s="510"/>
      <c r="B422" s="510"/>
      <c r="C422" s="510"/>
      <c r="D422" s="485"/>
      <c r="E422" s="485"/>
      <c r="F422" s="485"/>
      <c r="I422" s="524"/>
    </row>
    <row r="423" spans="1:9" ht="14.45" customHeight="1">
      <c r="A423" s="518"/>
      <c r="B423" s="519" t="s">
        <v>2768</v>
      </c>
      <c r="D423" s="1270" t="s">
        <v>2125</v>
      </c>
      <c r="E423" s="1270"/>
      <c r="F423" s="1270"/>
      <c r="I423" s="524"/>
    </row>
    <row r="424" spans="1:9" ht="14.45" customHeight="1">
      <c r="A424" s="518"/>
      <c r="D424" s="1270"/>
      <c r="E424" s="1270"/>
      <c r="F424" s="1270"/>
      <c r="I424" s="524"/>
    </row>
    <row r="425" spans="1:9" ht="14.45" customHeight="1">
      <c r="A425" s="518"/>
      <c r="D425" s="1270"/>
      <c r="E425" s="1270"/>
      <c r="F425" s="1270"/>
      <c r="I425" s="524"/>
    </row>
    <row r="426" spans="1:9" ht="14.45" customHeight="1">
      <c r="A426" s="518"/>
      <c r="D426" s="1270"/>
      <c r="E426" s="1270"/>
      <c r="F426" s="1270"/>
      <c r="I426" s="524"/>
    </row>
    <row r="427" spans="1:9" ht="14.45" customHeight="1">
      <c r="A427" s="518"/>
      <c r="D427" s="1270"/>
      <c r="E427" s="1270"/>
      <c r="F427" s="1270"/>
      <c r="I427" s="524"/>
    </row>
    <row r="428" spans="1:9" ht="14.45" customHeight="1">
      <c r="A428" s="518"/>
      <c r="D428" s="416"/>
      <c r="E428" s="416"/>
      <c r="F428" s="416"/>
      <c r="I428" s="524"/>
    </row>
    <row r="429" spans="1:9" ht="13.7" customHeight="1">
      <c r="A429" s="518"/>
      <c r="B429" s="519" t="s">
        <v>2768</v>
      </c>
      <c r="C429" s="510"/>
      <c r="D429" s="1270" t="s">
        <v>1344</v>
      </c>
      <c r="E429" s="1270"/>
      <c r="F429" s="1270"/>
      <c r="I429" s="524"/>
    </row>
    <row r="430" spans="1:9" ht="14.25">
      <c r="A430" s="531"/>
      <c r="B430" s="531"/>
      <c r="C430" s="510"/>
      <c r="D430" s="1270"/>
      <c r="E430" s="1270"/>
      <c r="F430" s="1270"/>
      <c r="I430" s="524"/>
    </row>
    <row r="431" spans="1:9" ht="14.25">
      <c r="A431" s="531"/>
      <c r="B431" s="531"/>
      <c r="C431" s="510"/>
      <c r="D431" s="1270"/>
      <c r="E431" s="1270"/>
      <c r="F431" s="1270"/>
      <c r="I431" s="524"/>
    </row>
    <row r="432" spans="1:9" ht="14.25">
      <c r="A432" s="531"/>
      <c r="B432" s="531"/>
      <c r="C432" s="510"/>
      <c r="D432" s="1270"/>
      <c r="E432" s="1270"/>
      <c r="F432" s="1270"/>
      <c r="I432" s="524"/>
    </row>
    <row r="433" spans="1:9" ht="15.75" customHeight="1">
      <c r="A433" s="531"/>
      <c r="B433" s="531"/>
      <c r="C433" s="510"/>
      <c r="D433" s="1334" t="s">
        <v>2385</v>
      </c>
      <c r="E433" s="1270"/>
      <c r="F433" s="1270"/>
      <c r="I433" s="524"/>
    </row>
    <row r="434" spans="1:9">
      <c r="D434" s="480"/>
      <c r="E434" s="480"/>
      <c r="F434" s="480"/>
      <c r="I434" s="524"/>
    </row>
    <row r="435" spans="1:9" ht="14.25">
      <c r="A435" s="518"/>
      <c r="B435" s="519" t="s">
        <v>2768</v>
      </c>
      <c r="C435" s="521"/>
      <c r="D435" s="1282" t="s">
        <v>2368</v>
      </c>
      <c r="E435" s="1282"/>
      <c r="F435" s="1282"/>
      <c r="I435" s="524"/>
    </row>
    <row r="436" spans="1:9" ht="14.25">
      <c r="A436" s="518"/>
      <c r="B436" s="518"/>
      <c r="D436" s="1282"/>
      <c r="E436" s="1282"/>
      <c r="F436" s="1282"/>
      <c r="I436" s="524"/>
    </row>
    <row r="437" spans="1:9">
      <c r="D437" s="1282"/>
      <c r="E437" s="1282"/>
      <c r="F437" s="1282"/>
      <c r="I437" s="524"/>
    </row>
    <row r="438" spans="1:9">
      <c r="D438" s="1282"/>
      <c r="E438" s="1282"/>
      <c r="F438" s="1282"/>
      <c r="I438" s="524"/>
    </row>
    <row r="439" spans="1:9">
      <c r="D439" s="1282"/>
      <c r="E439" s="1282"/>
      <c r="F439" s="1282"/>
      <c r="I439" s="524"/>
    </row>
    <row r="440" spans="1:9">
      <c r="D440" s="1282"/>
      <c r="E440" s="1282"/>
      <c r="F440" s="1282"/>
      <c r="I440" s="524"/>
    </row>
    <row r="441" spans="1:9">
      <c r="D441" s="1282"/>
      <c r="E441" s="1282"/>
      <c r="F441" s="1282"/>
      <c r="I441" s="524"/>
    </row>
    <row r="442" spans="1:9">
      <c r="D442" s="1282"/>
      <c r="E442" s="1282"/>
      <c r="F442" s="1282"/>
      <c r="I442" s="524"/>
    </row>
    <row r="443" spans="1:9">
      <c r="D443" s="1282"/>
      <c r="E443" s="1282"/>
      <c r="F443" s="1282"/>
      <c r="I443" s="524"/>
    </row>
    <row r="444" spans="1:9">
      <c r="D444" s="1282"/>
      <c r="E444" s="1282"/>
      <c r="F444" s="1282"/>
      <c r="I444" s="524"/>
    </row>
    <row r="445" spans="1:9">
      <c r="D445" s="1282"/>
      <c r="E445" s="1282"/>
      <c r="F445" s="1282"/>
      <c r="I445" s="524"/>
    </row>
    <row r="446" spans="1:9">
      <c r="D446" s="1282"/>
      <c r="E446" s="1282"/>
      <c r="F446" s="1282"/>
      <c r="I446" s="524"/>
    </row>
    <row r="447" spans="1:9">
      <c r="D447" s="1282"/>
      <c r="E447" s="1282"/>
      <c r="F447" s="1282"/>
      <c r="I447" s="524"/>
    </row>
    <row r="448" spans="1:9">
      <c r="A448" s="433"/>
      <c r="B448" s="433"/>
      <c r="C448" s="433"/>
      <c r="D448" s="1282"/>
      <c r="E448" s="1282"/>
      <c r="F448" s="1282"/>
      <c r="I448" s="524"/>
    </row>
    <row r="449" spans="1:9">
      <c r="A449" s="433"/>
      <c r="B449" s="433"/>
      <c r="C449" s="433"/>
      <c r="D449" s="1282"/>
      <c r="E449" s="1282"/>
      <c r="F449" s="1282"/>
      <c r="I449" s="524"/>
    </row>
    <row r="450" spans="1:9">
      <c r="A450" s="433"/>
      <c r="B450" s="433"/>
      <c r="C450" s="433"/>
      <c r="D450" s="1282"/>
      <c r="E450" s="1282"/>
      <c r="F450" s="1282"/>
      <c r="I450" s="524"/>
    </row>
    <row r="451" spans="1:9">
      <c r="A451" s="433"/>
      <c r="B451" s="433"/>
      <c r="C451" s="433"/>
      <c r="D451" s="1282"/>
      <c r="E451" s="1282"/>
      <c r="F451" s="1282"/>
      <c r="I451" s="524"/>
    </row>
    <row r="452" spans="1:9">
      <c r="A452" s="433"/>
      <c r="B452" s="433"/>
      <c r="C452" s="433"/>
      <c r="D452" s="1282"/>
      <c r="E452" s="1282"/>
      <c r="F452" s="1282"/>
      <c r="I452" s="524"/>
    </row>
    <row r="453" spans="1:9">
      <c r="A453" s="433"/>
      <c r="B453" s="433"/>
      <c r="C453" s="433"/>
      <c r="D453" s="1282"/>
      <c r="E453" s="1282"/>
      <c r="F453" s="1282"/>
      <c r="I453" s="524"/>
    </row>
    <row r="454" spans="1:9">
      <c r="A454" s="433"/>
      <c r="B454" s="433"/>
      <c r="C454" s="433"/>
      <c r="D454" s="1282"/>
      <c r="E454" s="1282"/>
      <c r="F454" s="1282"/>
      <c r="I454" s="524"/>
    </row>
    <row r="455" spans="1:9">
      <c r="A455" s="433"/>
      <c r="B455" s="433"/>
      <c r="C455" s="433"/>
      <c r="D455" s="1282"/>
      <c r="E455" s="1282"/>
      <c r="F455" s="1282"/>
      <c r="I455" s="524"/>
    </row>
    <row r="456" spans="1:9">
      <c r="A456" s="433"/>
      <c r="B456" s="433"/>
      <c r="C456" s="433"/>
      <c r="D456" s="1282"/>
      <c r="E456" s="1282"/>
      <c r="F456" s="1282"/>
      <c r="I456" s="524"/>
    </row>
    <row r="457" spans="1:9">
      <c r="A457" s="433"/>
      <c r="B457" s="433"/>
      <c r="C457" s="433"/>
      <c r="D457" s="1282"/>
      <c r="E457" s="1282"/>
      <c r="F457" s="1282"/>
      <c r="I457" s="524"/>
    </row>
    <row r="458" spans="1:9">
      <c r="A458" s="433"/>
      <c r="B458" s="433"/>
      <c r="C458" s="433"/>
      <c r="D458" s="1282"/>
      <c r="E458" s="1282"/>
      <c r="F458" s="1282"/>
      <c r="I458" s="524"/>
    </row>
    <row r="459" spans="1:9">
      <c r="A459" s="433"/>
      <c r="B459" s="433"/>
      <c r="C459" s="433"/>
      <c r="D459" s="1282"/>
      <c r="E459" s="1282"/>
      <c r="F459" s="1282"/>
      <c r="I459" s="524"/>
    </row>
    <row r="460" spans="1:9">
      <c r="A460" s="433"/>
      <c r="B460" s="433"/>
      <c r="C460" s="433"/>
      <c r="D460" s="1282"/>
      <c r="E460" s="1282"/>
      <c r="F460" s="1282"/>
      <c r="I460" s="524"/>
    </row>
    <row r="461" spans="1:9">
      <c r="A461" s="433"/>
      <c r="B461" s="433"/>
      <c r="C461" s="433"/>
      <c r="D461" s="1282"/>
      <c r="E461" s="1282"/>
      <c r="F461" s="1282"/>
      <c r="I461" s="524"/>
    </row>
    <row r="462" spans="1:9">
      <c r="A462" s="433"/>
      <c r="B462" s="433"/>
      <c r="C462" s="433"/>
      <c r="D462" s="1282"/>
      <c r="E462" s="1282"/>
      <c r="F462" s="1282"/>
      <c r="I462" s="524"/>
    </row>
    <row r="463" spans="1:9">
      <c r="A463" s="433"/>
      <c r="B463" s="433"/>
      <c r="C463" s="433"/>
      <c r="D463" s="1282"/>
      <c r="E463" s="1282"/>
      <c r="F463" s="1282"/>
      <c r="I463" s="524"/>
    </row>
    <row r="464" spans="1:9">
      <c r="D464" s="1282"/>
      <c r="E464" s="1282"/>
      <c r="F464" s="1282"/>
      <c r="I464" s="524"/>
    </row>
    <row r="465" spans="1:9" ht="40.700000000000003" customHeight="1">
      <c r="D465" s="1282"/>
      <c r="E465" s="1282"/>
      <c r="F465" s="1282"/>
      <c r="I465" s="524"/>
    </row>
    <row r="466" spans="1:9">
      <c r="D466" s="480"/>
      <c r="E466" s="480"/>
      <c r="F466" s="480"/>
      <c r="I466" s="524"/>
    </row>
    <row r="467" spans="1:9" ht="14.25">
      <c r="A467" s="518"/>
      <c r="B467" s="519" t="s">
        <v>2768</v>
      </c>
      <c r="C467" s="521"/>
      <c r="D467" s="1282" t="s">
        <v>1230</v>
      </c>
      <c r="E467" s="1282"/>
      <c r="F467" s="1282"/>
      <c r="I467" s="524"/>
    </row>
    <row r="468" spans="1:9">
      <c r="D468" s="1282"/>
      <c r="E468" s="1282"/>
      <c r="F468" s="1282"/>
      <c r="I468" s="524"/>
    </row>
    <row r="469" spans="1:9">
      <c r="D469" s="1282"/>
      <c r="E469" s="1282"/>
      <c r="F469" s="1282"/>
      <c r="I469" s="524"/>
    </row>
    <row r="470" spans="1:9">
      <c r="D470" s="479"/>
      <c r="E470" s="479"/>
      <c r="F470" s="479"/>
      <c r="I470" s="524"/>
    </row>
    <row r="471" spans="1:9" ht="14.25">
      <c r="B471" s="519" t="s">
        <v>2768</v>
      </c>
      <c r="C471" s="518"/>
      <c r="D471" s="1282" t="s">
        <v>1300</v>
      </c>
      <c r="E471" s="1282"/>
      <c r="F471" s="1282"/>
      <c r="I471" s="524"/>
    </row>
    <row r="472" spans="1:9">
      <c r="D472" s="1282"/>
      <c r="E472" s="1282"/>
      <c r="F472" s="1282"/>
      <c r="I472" s="524"/>
    </row>
    <row r="473" spans="1:9">
      <c r="D473" s="480"/>
      <c r="E473" s="480"/>
      <c r="F473" s="480"/>
      <c r="I473" s="524"/>
    </row>
    <row r="474" spans="1:9" ht="14.25">
      <c r="B474" s="519" t="s">
        <v>2768</v>
      </c>
      <c r="C474" s="518"/>
      <c r="D474" s="1282" t="s">
        <v>1232</v>
      </c>
      <c r="E474" s="1282"/>
      <c r="F474" s="1282"/>
      <c r="I474" s="524"/>
    </row>
    <row r="475" spans="1:9">
      <c r="D475" s="1282"/>
      <c r="E475" s="1282"/>
      <c r="F475" s="1282"/>
      <c r="I475" s="524"/>
    </row>
    <row r="476" spans="1:9">
      <c r="D476" s="1282"/>
      <c r="E476" s="1282"/>
      <c r="F476" s="1282"/>
      <c r="I476" s="524"/>
    </row>
    <row r="477" spans="1:9">
      <c r="D477" s="1282"/>
      <c r="E477" s="1282"/>
      <c r="F477" s="1282"/>
      <c r="I477" s="524"/>
    </row>
    <row r="478" spans="1:9">
      <c r="B478" s="519" t="s">
        <v>2768</v>
      </c>
      <c r="D478" s="1282"/>
      <c r="E478" s="1282"/>
      <c r="F478" s="1282"/>
      <c r="I478" s="524"/>
    </row>
    <row r="479" spans="1:9">
      <c r="A479" s="433"/>
      <c r="B479" s="433"/>
      <c r="C479" s="433"/>
      <c r="D479" s="1282"/>
      <c r="E479" s="1282"/>
      <c r="F479" s="1282"/>
      <c r="I479" s="524"/>
    </row>
    <row r="480" spans="1:9">
      <c r="A480" s="433"/>
      <c r="C480" s="433"/>
      <c r="D480" s="1282"/>
      <c r="E480" s="1282"/>
      <c r="F480" s="1282"/>
      <c r="I480" s="524"/>
    </row>
    <row r="481" spans="1:9">
      <c r="A481" s="433"/>
      <c r="B481" s="519" t="s">
        <v>2768</v>
      </c>
      <c r="C481" s="433"/>
      <c r="D481" s="1282"/>
      <c r="E481" s="1282"/>
      <c r="F481" s="1282"/>
      <c r="I481" s="524"/>
    </row>
    <row r="482" spans="1:9">
      <c r="A482" s="433"/>
      <c r="B482" s="433"/>
      <c r="C482" s="433"/>
      <c r="D482" s="1282"/>
      <c r="E482" s="1282"/>
      <c r="F482" s="1282"/>
      <c r="I482" s="524"/>
    </row>
    <row r="483" spans="1:9">
      <c r="A483" s="433"/>
      <c r="C483" s="433"/>
      <c r="D483" s="1282"/>
      <c r="E483" s="1282"/>
      <c r="F483" s="1282"/>
      <c r="I483" s="524"/>
    </row>
    <row r="484" spans="1:9">
      <c r="A484" s="433"/>
      <c r="C484" s="433"/>
      <c r="D484" s="1282"/>
      <c r="E484" s="1282"/>
      <c r="F484" s="1282"/>
      <c r="I484" s="524"/>
    </row>
    <row r="485" spans="1:9">
      <c r="A485" s="433"/>
      <c r="C485" s="433"/>
      <c r="D485" s="1282"/>
      <c r="E485" s="1282"/>
      <c r="F485" s="1282"/>
      <c r="I485" s="524"/>
    </row>
    <row r="486" spans="1:9">
      <c r="A486" s="433"/>
      <c r="B486" s="519" t="s">
        <v>2768</v>
      </c>
      <c r="C486" s="433"/>
      <c r="D486" s="1282"/>
      <c r="E486" s="1282"/>
      <c r="F486" s="1282"/>
      <c r="I486" s="524"/>
    </row>
    <row r="487" spans="1:9">
      <c r="A487" s="433"/>
      <c r="C487" s="433"/>
      <c r="D487" s="1282"/>
      <c r="E487" s="1282"/>
      <c r="F487" s="1282"/>
      <c r="I487" s="524"/>
    </row>
    <row r="488" spans="1:9">
      <c r="A488" s="433"/>
      <c r="B488" s="519" t="s">
        <v>2768</v>
      </c>
      <c r="C488" s="433"/>
      <c r="D488" s="1282" t="s">
        <v>1233</v>
      </c>
      <c r="E488" s="1282"/>
      <c r="F488" s="1282"/>
      <c r="I488" s="524"/>
    </row>
    <row r="489" spans="1:9">
      <c r="A489" s="433"/>
      <c r="B489" s="433"/>
      <c r="C489" s="433"/>
      <c r="D489" s="1282"/>
      <c r="E489" s="1282"/>
      <c r="F489" s="1282"/>
      <c r="I489" s="524"/>
    </row>
    <row r="490" spans="1:9">
      <c r="A490" s="433"/>
      <c r="B490" s="433"/>
      <c r="C490" s="433"/>
      <c r="D490" s="1282"/>
      <c r="E490" s="1282"/>
      <c r="F490" s="1282"/>
      <c r="I490" s="524"/>
    </row>
    <row r="491" spans="1:9">
      <c r="A491" s="433"/>
      <c r="B491" s="433"/>
      <c r="C491" s="433"/>
      <c r="D491" s="1282"/>
      <c r="E491" s="1282"/>
      <c r="F491" s="1282"/>
      <c r="I491" s="524"/>
    </row>
    <row r="492" spans="1:9">
      <c r="D492" s="1282"/>
      <c r="E492" s="1282"/>
      <c r="F492" s="1282"/>
      <c r="I492" s="524"/>
    </row>
    <row r="493" spans="1:9">
      <c r="D493" s="480"/>
      <c r="E493" s="480"/>
      <c r="F493" s="480"/>
      <c r="I493" s="524"/>
    </row>
    <row r="494" spans="1:9">
      <c r="B494" s="519" t="s">
        <v>2768</v>
      </c>
      <c r="D494" s="1311" t="s">
        <v>1234</v>
      </c>
      <c r="E494" s="1311"/>
      <c r="F494" s="1311"/>
      <c r="I494" s="524"/>
    </row>
    <row r="495" spans="1:9">
      <c r="A495" s="480"/>
      <c r="B495" s="480"/>
      <c r="I495" s="524"/>
    </row>
    <row r="496" spans="1:9">
      <c r="A496" s="1288" t="s">
        <v>1075</v>
      </c>
      <c r="B496" s="1288"/>
      <c r="C496" s="1288"/>
      <c r="D496" s="1288"/>
      <c r="E496" s="1288"/>
      <c r="F496" s="1288"/>
      <c r="G496" s="1288"/>
      <c r="H496" s="1063"/>
      <c r="I496" s="1256"/>
    </row>
    <row r="497" spans="1:9">
      <c r="A497" s="480"/>
      <c r="B497" s="480"/>
      <c r="I497" s="524"/>
    </row>
    <row r="498" spans="1:9">
      <c r="D498" s="1318" t="s">
        <v>894</v>
      </c>
      <c r="E498" s="1318"/>
      <c r="F498" s="1318"/>
      <c r="I498" s="524"/>
    </row>
    <row r="499" spans="1:9" ht="14.25">
      <c r="A499" s="518"/>
      <c r="B499" s="518"/>
      <c r="D499" s="1315" t="s">
        <v>1235</v>
      </c>
      <c r="E499" s="1315"/>
      <c r="F499" s="1315"/>
      <c r="I499" s="524"/>
    </row>
    <row r="500" spans="1:9" ht="14.25">
      <c r="A500" s="518"/>
      <c r="B500" s="518"/>
      <c r="D500" s="481"/>
      <c r="I500" s="524"/>
    </row>
    <row r="501" spans="1:9" ht="14.25">
      <c r="A501" s="518"/>
      <c r="B501" s="519" t="s">
        <v>2768</v>
      </c>
      <c r="D501" s="1270" t="s">
        <v>1236</v>
      </c>
      <c r="E501" s="1270"/>
      <c r="F501" s="1270"/>
      <c r="I501" s="524" t="s">
        <v>2089</v>
      </c>
    </row>
    <row r="502" spans="1:9" ht="14.25">
      <c r="A502" s="518"/>
      <c r="B502" s="518"/>
      <c r="D502" s="1270"/>
      <c r="E502" s="1270"/>
      <c r="F502" s="1270"/>
      <c r="I502" s="524"/>
    </row>
    <row r="503" spans="1:9" ht="14.25">
      <c r="A503" s="518"/>
      <c r="B503" s="518"/>
      <c r="D503" s="480"/>
      <c r="I503" s="524"/>
    </row>
    <row r="504" spans="1:9" ht="12.75" customHeight="1">
      <c r="B504" s="519" t="s">
        <v>2767</v>
      </c>
      <c r="D504" s="1304" t="s">
        <v>1378</v>
      </c>
      <c r="E504" s="1304"/>
      <c r="F504" s="1304"/>
      <c r="I504" s="524" t="s">
        <v>2090</v>
      </c>
    </row>
    <row r="505" spans="1:9" ht="14.25">
      <c r="A505" s="518"/>
      <c r="D505" s="1304"/>
      <c r="E505" s="1304"/>
      <c r="F505" s="1304"/>
      <c r="I505" s="524"/>
    </row>
    <row r="506" spans="1:9" ht="14.25">
      <c r="A506" s="518"/>
      <c r="B506" s="518"/>
      <c r="D506" s="1304"/>
      <c r="E506" s="1304"/>
      <c r="F506" s="1304"/>
      <c r="I506" s="524"/>
    </row>
    <row r="507" spans="1:9" ht="14.25">
      <c r="A507" s="518"/>
      <c r="B507" s="518"/>
      <c r="D507" s="1304"/>
      <c r="E507" s="1304"/>
      <c r="F507" s="1304"/>
      <c r="I507" s="524"/>
    </row>
    <row r="508" spans="1:9" ht="14.25">
      <c r="A508" s="518"/>
      <c r="D508" s="554"/>
      <c r="E508" s="554"/>
      <c r="F508" s="554"/>
      <c r="I508" s="524"/>
    </row>
    <row r="509" spans="1:9" ht="14.25">
      <c r="A509" s="518"/>
      <c r="B509" s="519" t="s">
        <v>2767</v>
      </c>
      <c r="D509" s="1311" t="s">
        <v>1239</v>
      </c>
      <c r="E509" s="1311"/>
      <c r="F509" s="1311"/>
      <c r="I509" s="524" t="s">
        <v>2091</v>
      </c>
    </row>
    <row r="510" spans="1:9" ht="14.25">
      <c r="A510" s="518"/>
      <c r="B510" s="518"/>
      <c r="D510" s="480"/>
      <c r="I510" s="524"/>
    </row>
    <row r="511" spans="1:9" ht="14.25">
      <c r="A511" s="518"/>
      <c r="B511" s="519" t="s">
        <v>2767</v>
      </c>
      <c r="D511" s="1282" t="s">
        <v>1240</v>
      </c>
      <c r="E511" s="1282"/>
      <c r="F511" s="1282"/>
      <c r="I511" s="524" t="s">
        <v>2091</v>
      </c>
    </row>
    <row r="512" spans="1:9" ht="14.25">
      <c r="A512" s="518"/>
      <c r="D512" s="1282"/>
      <c r="E512" s="1282"/>
      <c r="F512" s="1282"/>
      <c r="I512" s="524"/>
    </row>
    <row r="513" spans="1:9">
      <c r="A513" s="524"/>
      <c r="B513" s="524"/>
      <c r="D513" s="481"/>
      <c r="I513" s="524"/>
    </row>
    <row r="514" spans="1:9">
      <c r="A514" s="524"/>
      <c r="B514" s="519" t="s">
        <v>2768</v>
      </c>
      <c r="D514" s="1311" t="s">
        <v>1241</v>
      </c>
      <c r="E514" s="1311"/>
      <c r="F514" s="1311"/>
      <c r="I514" s="524" t="s">
        <v>2144</v>
      </c>
    </row>
    <row r="515" spans="1:9" ht="14.25">
      <c r="A515" s="518"/>
      <c r="B515" s="518"/>
      <c r="D515" s="480"/>
      <c r="I515" s="524"/>
    </row>
    <row r="516" spans="1:9">
      <c r="A516" s="1288" t="s">
        <v>1076</v>
      </c>
      <c r="B516" s="1288"/>
      <c r="C516" s="1288"/>
      <c r="D516" s="1288"/>
      <c r="E516" s="1288"/>
      <c r="F516" s="1288"/>
      <c r="G516" s="1288"/>
      <c r="H516" s="1063"/>
      <c r="I516" s="1256"/>
    </row>
    <row r="517" spans="1:9" ht="12" customHeight="1">
      <c r="A517" s="518"/>
      <c r="B517" s="518"/>
      <c r="D517" s="480"/>
      <c r="I517" s="524"/>
    </row>
    <row r="518" spans="1:9">
      <c r="C518" s="516"/>
      <c r="D518" s="1280" t="s">
        <v>801</v>
      </c>
      <c r="E518" s="1280"/>
      <c r="F518" s="1280"/>
      <c r="I518" s="524"/>
    </row>
    <row r="519" spans="1:9">
      <c r="C519" s="516"/>
      <c r="D519" s="540" t="s">
        <v>1302</v>
      </c>
      <c r="E519" s="540"/>
      <c r="F519" s="540"/>
      <c r="I519" s="524"/>
    </row>
    <row r="520" spans="1:9">
      <c r="C520" s="516"/>
      <c r="D520" s="540" t="s">
        <v>1303</v>
      </c>
      <c r="E520" s="540"/>
      <c r="F520" s="540"/>
      <c r="I520" s="524"/>
    </row>
    <row r="521" spans="1:9">
      <c r="C521" s="516"/>
      <c r="D521" s="515"/>
      <c r="E521" s="515"/>
      <c r="F521" s="515"/>
      <c r="I521" s="524"/>
    </row>
    <row r="522" spans="1:9" ht="13.7" customHeight="1">
      <c r="A522" s="517"/>
      <c r="B522" s="519" t="s">
        <v>2767</v>
      </c>
      <c r="C522" s="517"/>
      <c r="D522" s="1270" t="s">
        <v>2369</v>
      </c>
      <c r="E522" s="1270"/>
      <c r="F522" s="1270"/>
      <c r="I522" s="524" t="s">
        <v>2126</v>
      </c>
    </row>
    <row r="523" spans="1:9">
      <c r="A523" s="517"/>
      <c r="B523" s="517"/>
      <c r="C523" s="517"/>
      <c r="D523" s="1270"/>
      <c r="E523" s="1270"/>
      <c r="F523" s="1270"/>
      <c r="I523" s="524"/>
    </row>
    <row r="524" spans="1:9">
      <c r="A524" s="517"/>
      <c r="B524" s="517"/>
      <c r="C524" s="517"/>
      <c r="D524" s="485"/>
      <c r="E524" s="485"/>
      <c r="F524" s="485"/>
      <c r="I524" s="514"/>
    </row>
    <row r="525" spans="1:9" ht="12.75" customHeight="1">
      <c r="A525" s="517"/>
      <c r="B525" s="519" t="s">
        <v>2768</v>
      </c>
      <c r="D525" s="417" t="s">
        <v>2199</v>
      </c>
      <c r="E525" s="416"/>
      <c r="F525" s="416"/>
      <c r="I525" s="524" t="s">
        <v>2092</v>
      </c>
    </row>
    <row r="526" spans="1:9">
      <c r="A526" s="517"/>
      <c r="B526" s="517"/>
      <c r="C526" s="517"/>
      <c r="D526" s="416"/>
      <c r="E526" s="96" t="s">
        <v>2200</v>
      </c>
      <c r="I526" s="524"/>
    </row>
    <row r="527" spans="1:9">
      <c r="A527" s="517"/>
      <c r="B527" s="517"/>
      <c r="D527" s="1326" t="s">
        <v>2370</v>
      </c>
      <c r="E527" s="1326"/>
      <c r="F527" s="1326"/>
      <c r="I527" s="524"/>
    </row>
    <row r="528" spans="1:9">
      <c r="A528" s="517"/>
      <c r="B528" s="517"/>
      <c r="D528" s="1326"/>
      <c r="E528" s="1326"/>
      <c r="F528" s="1326"/>
      <c r="I528" s="524"/>
    </row>
    <row r="529" spans="1:9">
      <c r="A529" s="517"/>
      <c r="B529" s="517"/>
      <c r="C529" s="517"/>
      <c r="D529" s="1326"/>
      <c r="E529" s="1326"/>
      <c r="F529" s="1326"/>
      <c r="I529" s="524"/>
    </row>
    <row r="530" spans="1:9">
      <c r="A530" s="517"/>
      <c r="B530" s="517"/>
      <c r="C530" s="517"/>
      <c r="D530" s="532"/>
      <c r="F530" s="480"/>
      <c r="I530" s="524"/>
    </row>
    <row r="531" spans="1:9" ht="13.15" customHeight="1">
      <c r="A531" s="517"/>
      <c r="B531" s="519" t="s">
        <v>2768</v>
      </c>
      <c r="C531" s="517"/>
      <c r="D531" s="1282" t="s">
        <v>2371</v>
      </c>
      <c r="E531" s="1282"/>
      <c r="F531" s="1282"/>
      <c r="I531" s="524" t="s">
        <v>2092</v>
      </c>
    </row>
    <row r="532" spans="1:9">
      <c r="A532" s="517"/>
      <c r="B532" s="517"/>
      <c r="C532" s="517"/>
      <c r="D532" s="1282"/>
      <c r="E532" s="1282"/>
      <c r="F532" s="1282"/>
      <c r="I532" s="524"/>
    </row>
    <row r="533" spans="1:9" ht="12" customHeight="1">
      <c r="A533" s="480"/>
      <c r="B533" s="480"/>
      <c r="C533" s="521"/>
      <c r="D533" s="480"/>
      <c r="F533" s="482"/>
      <c r="I533" s="524"/>
    </row>
    <row r="534" spans="1:9">
      <c r="A534" s="1288" t="s">
        <v>1077</v>
      </c>
      <c r="B534" s="1288"/>
      <c r="C534" s="1288"/>
      <c r="D534" s="1288"/>
      <c r="E534" s="1288"/>
      <c r="F534" s="1288"/>
      <c r="G534" s="1288"/>
      <c r="H534" s="1063"/>
      <c r="I534" s="1256"/>
    </row>
    <row r="535" spans="1:9">
      <c r="A535" s="480"/>
      <c r="B535" s="480"/>
      <c r="C535" s="521"/>
      <c r="F535" s="482"/>
      <c r="I535" s="524"/>
    </row>
    <row r="536" spans="1:9">
      <c r="B536" s="1297" t="s">
        <v>447</v>
      </c>
      <c r="C536" s="1297"/>
      <c r="D536" s="1297"/>
      <c r="E536" s="1297"/>
      <c r="F536" s="1297"/>
      <c r="I536" s="524"/>
    </row>
    <row r="537" spans="1:9">
      <c r="A537" s="480"/>
      <c r="B537" s="480"/>
      <c r="C537" s="521"/>
      <c r="D537" s="480"/>
      <c r="F537" s="480"/>
      <c r="I537" s="524"/>
    </row>
    <row r="538" spans="1:9">
      <c r="A538" s="1289" t="s">
        <v>1078</v>
      </c>
      <c r="B538" s="1289"/>
      <c r="C538" s="1289"/>
      <c r="D538" s="1289"/>
      <c r="E538" s="1289"/>
      <c r="F538" s="1289"/>
      <c r="G538" s="1289"/>
      <c r="H538" s="1063"/>
      <c r="I538" s="1256"/>
    </row>
    <row r="539" spans="1:9">
      <c r="A539" s="480"/>
      <c r="B539" s="480"/>
      <c r="C539" s="521"/>
      <c r="D539" s="480"/>
      <c r="F539" s="480"/>
      <c r="I539" s="524"/>
    </row>
    <row r="540" spans="1:9">
      <c r="C540" s="521"/>
      <c r="D540" s="1280" t="s">
        <v>690</v>
      </c>
      <c r="E540" s="1280"/>
      <c r="F540" s="1280"/>
      <c r="I540" s="524"/>
    </row>
    <row r="541" spans="1:9">
      <c r="C541" s="521"/>
      <c r="D541" s="1311" t="s">
        <v>1135</v>
      </c>
      <c r="E541" s="1311"/>
      <c r="F541" s="1311"/>
      <c r="I541" s="524"/>
    </row>
    <row r="542" spans="1:9">
      <c r="C542" s="521"/>
      <c r="D542" s="480"/>
      <c r="E542" s="480"/>
      <c r="F542" s="480"/>
      <c r="I542" s="524"/>
    </row>
    <row r="543" spans="1:9" ht="13.7" customHeight="1">
      <c r="A543" s="518"/>
      <c r="B543" s="519" t="s">
        <v>2767</v>
      </c>
      <c r="C543" s="521"/>
      <c r="D543" s="1311" t="s">
        <v>895</v>
      </c>
      <c r="E543" s="1311"/>
      <c r="F543" s="1311"/>
      <c r="I543" s="524" t="s">
        <v>2142</v>
      </c>
    </row>
    <row r="544" spans="1:9" ht="13.7" customHeight="1">
      <c r="A544" s="521"/>
      <c r="B544" s="521"/>
      <c r="C544" s="521"/>
      <c r="D544" s="480"/>
      <c r="I544" s="524"/>
    </row>
    <row r="545" spans="1:9" ht="14.25">
      <c r="A545" s="518"/>
      <c r="B545" s="519" t="s">
        <v>2767</v>
      </c>
      <c r="C545" s="521"/>
      <c r="D545" s="1282" t="s">
        <v>1136</v>
      </c>
      <c r="E545" s="1282"/>
      <c r="F545" s="1282"/>
      <c r="I545" s="524" t="s">
        <v>2142</v>
      </c>
    </row>
    <row r="546" spans="1:9">
      <c r="A546" s="521"/>
      <c r="B546" s="521"/>
      <c r="C546" s="521"/>
      <c r="D546" s="1282"/>
      <c r="E546" s="1282"/>
      <c r="F546" s="1282"/>
      <c r="I546" s="524"/>
    </row>
    <row r="547" spans="1:9">
      <c r="A547" s="521"/>
      <c r="B547" s="521"/>
      <c r="C547" s="521"/>
      <c r="D547" s="480"/>
      <c r="E547" s="480"/>
      <c r="F547" s="480"/>
      <c r="I547" s="524"/>
    </row>
    <row r="548" spans="1:9" ht="14.25">
      <c r="A548" s="518"/>
      <c r="B548" s="519" t="s">
        <v>2767</v>
      </c>
      <c r="C548" s="521"/>
      <c r="D548" s="1282" t="s">
        <v>1137</v>
      </c>
      <c r="E548" s="1282"/>
      <c r="F548" s="1282"/>
      <c r="I548" s="524" t="s">
        <v>2093</v>
      </c>
    </row>
    <row r="549" spans="1:9">
      <c r="A549" s="521"/>
      <c r="B549" s="521"/>
      <c r="C549" s="521"/>
      <c r="D549" s="1282"/>
      <c r="E549" s="1282"/>
      <c r="F549" s="1282"/>
      <c r="I549" s="524"/>
    </row>
    <row r="550" spans="1:9">
      <c r="A550" s="521"/>
      <c r="B550" s="521"/>
      <c r="C550" s="521"/>
      <c r="D550" s="480"/>
      <c r="E550" s="480"/>
      <c r="F550" s="480"/>
      <c r="I550" s="524"/>
    </row>
    <row r="551" spans="1:9" ht="14.25">
      <c r="A551" s="518"/>
      <c r="B551" s="519" t="s">
        <v>2767</v>
      </c>
      <c r="C551" s="521"/>
      <c r="D551" s="1282" t="s">
        <v>1138</v>
      </c>
      <c r="E551" s="1282"/>
      <c r="F551" s="1282"/>
      <c r="I551" s="524" t="s">
        <v>2094</v>
      </c>
    </row>
    <row r="552" spans="1:9">
      <c r="A552" s="521"/>
      <c r="B552" s="521"/>
      <c r="C552" s="521"/>
      <c r="D552" s="1282"/>
      <c r="E552" s="1282"/>
      <c r="F552" s="1282"/>
      <c r="I552" s="524"/>
    </row>
    <row r="553" spans="1:9">
      <c r="A553" s="521"/>
      <c r="B553" s="521"/>
      <c r="C553" s="521"/>
      <c r="D553" s="480"/>
      <c r="E553" s="480"/>
      <c r="F553" s="480"/>
      <c r="I553" s="524"/>
    </row>
    <row r="554" spans="1:9" ht="14.25">
      <c r="A554" s="518"/>
      <c r="B554" s="519" t="s">
        <v>2767</v>
      </c>
      <c r="C554" s="521"/>
      <c r="D554" s="1282" t="s">
        <v>1139</v>
      </c>
      <c r="E554" s="1282"/>
      <c r="F554" s="1282"/>
      <c r="I554" s="524" t="s">
        <v>2143</v>
      </c>
    </row>
    <row r="555" spans="1:9">
      <c r="A555" s="521"/>
      <c r="B555" s="521"/>
      <c r="C555" s="521"/>
      <c r="D555" s="1282"/>
      <c r="E555" s="1282"/>
      <c r="F555" s="1282"/>
      <c r="I555" s="524"/>
    </row>
    <row r="556" spans="1:9">
      <c r="A556" s="521"/>
      <c r="B556" s="521"/>
      <c r="C556" s="521"/>
      <c r="D556" s="1282"/>
      <c r="E556" s="1282"/>
      <c r="F556" s="1282"/>
      <c r="I556" s="524"/>
    </row>
    <row r="557" spans="1:9">
      <c r="A557" s="521"/>
      <c r="B557" s="521"/>
      <c r="C557" s="521"/>
      <c r="D557" s="480"/>
      <c r="E557" s="480"/>
      <c r="F557" s="480"/>
      <c r="I557" s="524"/>
    </row>
    <row r="558" spans="1:9" ht="14.25">
      <c r="A558" s="518"/>
      <c r="B558" s="519" t="s">
        <v>2768</v>
      </c>
      <c r="C558" s="521"/>
      <c r="D558" s="1282" t="s">
        <v>1257</v>
      </c>
      <c r="E558" s="1282"/>
      <c r="F558" s="1282"/>
      <c r="I558" s="524" t="s">
        <v>2142</v>
      </c>
    </row>
    <row r="559" spans="1:9">
      <c r="A559" s="521"/>
      <c r="B559" s="521"/>
      <c r="C559" s="521"/>
      <c r="D559" s="1282"/>
      <c r="E559" s="1282"/>
      <c r="F559" s="1282"/>
      <c r="I559" s="524"/>
    </row>
    <row r="560" spans="1:9">
      <c r="A560" s="521"/>
      <c r="B560" s="521"/>
      <c r="C560" s="521"/>
      <c r="D560" s="480"/>
      <c r="E560" s="480"/>
      <c r="F560" s="480"/>
      <c r="I560" s="524"/>
    </row>
    <row r="561" spans="1:9" ht="14.25">
      <c r="A561" s="518"/>
      <c r="B561" s="519" t="s">
        <v>2768</v>
      </c>
      <c r="C561" s="521"/>
      <c r="D561" s="1282" t="s">
        <v>1141</v>
      </c>
      <c r="E561" s="1282"/>
      <c r="F561" s="1282"/>
      <c r="I561" s="524" t="s">
        <v>2142</v>
      </c>
    </row>
    <row r="562" spans="1:9">
      <c r="A562" s="521"/>
      <c r="B562" s="521"/>
      <c r="C562" s="521"/>
      <c r="D562" s="1282"/>
      <c r="E562" s="1282"/>
      <c r="F562" s="1282"/>
      <c r="I562" s="524"/>
    </row>
    <row r="563" spans="1:9">
      <c r="A563" s="521"/>
      <c r="B563" s="521"/>
      <c r="C563" s="521"/>
      <c r="D563" s="480"/>
      <c r="E563" s="480"/>
      <c r="F563" s="480"/>
      <c r="I563" s="524"/>
    </row>
    <row r="564" spans="1:9" ht="14.25">
      <c r="A564" s="518"/>
      <c r="B564" s="519" t="s">
        <v>2767</v>
      </c>
      <c r="C564" s="521"/>
      <c r="D564" s="1311" t="s">
        <v>1142</v>
      </c>
      <c r="E564" s="1311"/>
      <c r="F564" s="1311"/>
      <c r="I564" s="524" t="s">
        <v>2145</v>
      </c>
    </row>
    <row r="565" spans="1:9">
      <c r="A565" s="524"/>
      <c r="B565" s="524"/>
      <c r="C565" s="521"/>
      <c r="D565" s="1311" t="s">
        <v>2202</v>
      </c>
      <c r="E565" s="1311"/>
      <c r="F565" s="1311"/>
      <c r="I565" s="524"/>
    </row>
    <row r="566" spans="1:9">
      <c r="A566" s="524"/>
      <c r="B566" s="524"/>
      <c r="C566" s="521"/>
      <c r="E566" s="96" t="s">
        <v>2201</v>
      </c>
      <c r="F566" s="435"/>
      <c r="I566" s="524"/>
    </row>
    <row r="567" spans="1:9" ht="14.25">
      <c r="A567" s="518"/>
      <c r="B567" s="518"/>
      <c r="C567" s="521"/>
      <c r="E567" s="480"/>
      <c r="F567" s="480"/>
      <c r="I567" s="524"/>
    </row>
    <row r="568" spans="1:9" ht="14.25">
      <c r="A568" s="518"/>
      <c r="B568" s="519" t="s">
        <v>2767</v>
      </c>
      <c r="C568" s="521"/>
      <c r="D568" s="1311" t="s">
        <v>1144</v>
      </c>
      <c r="E568" s="1311"/>
      <c r="F568" s="1311"/>
      <c r="I568" s="524" t="s">
        <v>2095</v>
      </c>
    </row>
    <row r="569" spans="1:9">
      <c r="C569" s="521"/>
      <c r="D569" s="1282" t="s">
        <v>1145</v>
      </c>
      <c r="E569" s="1282"/>
      <c r="F569" s="1282"/>
      <c r="I569" s="524"/>
    </row>
    <row r="570" spans="1:9">
      <c r="A570" s="521"/>
      <c r="B570" s="521"/>
      <c r="C570" s="521"/>
      <c r="D570" s="1282"/>
      <c r="E570" s="1282"/>
      <c r="F570" s="1282"/>
      <c r="I570" s="524"/>
    </row>
    <row r="571" spans="1:9">
      <c r="A571" s="521"/>
      <c r="B571" s="521"/>
      <c r="C571" s="521"/>
      <c r="D571" s="1282"/>
      <c r="E571" s="1282"/>
      <c r="F571" s="1282"/>
      <c r="I571" s="524"/>
    </row>
    <row r="572" spans="1:9">
      <c r="A572" s="521"/>
      <c r="B572" s="521"/>
      <c r="C572" s="521"/>
      <c r="D572" s="480"/>
      <c r="E572" s="480"/>
      <c r="F572" s="480"/>
      <c r="I572" s="524"/>
    </row>
    <row r="573" spans="1:9" ht="14.25">
      <c r="A573" s="518"/>
      <c r="B573" s="519" t="s">
        <v>2767</v>
      </c>
      <c r="C573" s="521"/>
      <c r="D573" s="1282" t="s">
        <v>2372</v>
      </c>
      <c r="E573" s="1282"/>
      <c r="F573" s="1282"/>
      <c r="I573" s="524" t="s">
        <v>2096</v>
      </c>
    </row>
    <row r="574" spans="1:9" ht="14.25">
      <c r="A574" s="518"/>
      <c r="B574" s="518"/>
      <c r="C574" s="521"/>
      <c r="D574" s="1282"/>
      <c r="E574" s="1282"/>
      <c r="F574" s="1282"/>
      <c r="I574" s="524"/>
    </row>
    <row r="575" spans="1:9" ht="14.25">
      <c r="A575" s="518"/>
      <c r="B575" s="518"/>
      <c r="C575" s="521"/>
      <c r="D575" s="1282"/>
      <c r="E575" s="1282"/>
      <c r="F575" s="1282"/>
      <c r="I575" s="524"/>
    </row>
    <row r="576" spans="1:9" ht="14.25">
      <c r="A576" s="518"/>
      <c r="B576" s="518"/>
      <c r="C576" s="521"/>
      <c r="D576" s="1282"/>
      <c r="E576" s="1282"/>
      <c r="F576" s="1282"/>
      <c r="I576" s="524"/>
    </row>
    <row r="577" spans="1:9" ht="14.25">
      <c r="A577" s="518"/>
      <c r="B577" s="518"/>
      <c r="C577" s="521"/>
      <c r="D577" s="480"/>
      <c r="E577" s="480"/>
      <c r="F577" s="480"/>
      <c r="I577" s="524"/>
    </row>
    <row r="578" spans="1:9">
      <c r="A578" s="1288" t="s">
        <v>1079</v>
      </c>
      <c r="B578" s="1288"/>
      <c r="C578" s="1288"/>
      <c r="D578" s="1288"/>
      <c r="E578" s="1288"/>
      <c r="F578" s="1288"/>
      <c r="G578" s="1288"/>
      <c r="H578" s="1063"/>
      <c r="I578" s="1256"/>
    </row>
    <row r="579" spans="1:9">
      <c r="A579" s="521"/>
      <c r="B579" s="521"/>
      <c r="C579" s="521"/>
      <c r="E579" s="480"/>
      <c r="F579" s="480"/>
      <c r="I579" s="524"/>
    </row>
    <row r="580" spans="1:9" ht="12.75" customHeight="1">
      <c r="C580" s="516"/>
      <c r="D580" s="1310" t="s">
        <v>210</v>
      </c>
      <c r="E580" s="1310"/>
      <c r="F580" s="1310"/>
      <c r="I580" s="524"/>
    </row>
    <row r="581" spans="1:9">
      <c r="A581" s="517"/>
      <c r="B581" s="517"/>
      <c r="C581" s="517"/>
      <c r="D581" s="1304" t="s">
        <v>1095</v>
      </c>
      <c r="E581" s="1304"/>
      <c r="F581" s="1304"/>
      <c r="I581" s="524"/>
    </row>
    <row r="582" spans="1:9">
      <c r="A582" s="433"/>
      <c r="B582" s="433"/>
      <c r="C582" s="517"/>
      <c r="D582" s="533"/>
      <c r="I582" s="524" t="s">
        <v>2097</v>
      </c>
    </row>
    <row r="583" spans="1:9">
      <c r="A583" s="517"/>
      <c r="B583" s="519" t="s">
        <v>2767</v>
      </c>
      <c r="D583" s="1304" t="s">
        <v>901</v>
      </c>
      <c r="E583" s="1304"/>
      <c r="F583" s="1304"/>
      <c r="I583" s="524"/>
    </row>
    <row r="584" spans="1:9">
      <c r="A584" s="524"/>
      <c r="B584" s="524"/>
      <c r="D584" s="510"/>
      <c r="I584" s="524"/>
    </row>
    <row r="585" spans="1:9">
      <c r="A585" s="524"/>
      <c r="B585" s="519" t="s">
        <v>2767</v>
      </c>
      <c r="D585" s="1304" t="s">
        <v>2373</v>
      </c>
      <c r="E585" s="1304"/>
      <c r="F585" s="1304"/>
      <c r="I585" s="524" t="s">
        <v>2099</v>
      </c>
    </row>
    <row r="586" spans="1:9">
      <c r="A586" s="524"/>
      <c r="B586" s="524"/>
      <c r="D586" s="1304"/>
      <c r="E586" s="1304"/>
      <c r="F586" s="1304"/>
      <c r="I586" s="524" t="s">
        <v>2098</v>
      </c>
    </row>
    <row r="587" spans="1:9">
      <c r="A587" s="524"/>
      <c r="B587" s="524"/>
      <c r="D587" s="1304"/>
      <c r="E587" s="1304"/>
      <c r="F587" s="1304"/>
      <c r="I587" s="524"/>
    </row>
    <row r="588" spans="1:9">
      <c r="A588" s="524"/>
      <c r="B588" s="524"/>
      <c r="D588" s="1304"/>
      <c r="E588" s="1304"/>
      <c r="F588" s="1304"/>
      <c r="I588" s="524"/>
    </row>
    <row r="589" spans="1:9">
      <c r="A589" s="524"/>
      <c r="B589" s="519" t="s">
        <v>2768</v>
      </c>
      <c r="D589" s="1304" t="s">
        <v>1097</v>
      </c>
      <c r="E589" s="1304"/>
      <c r="F589" s="1304"/>
      <c r="I589" s="524"/>
    </row>
    <row r="590" spans="1:9">
      <c r="A590" s="524"/>
      <c r="B590" s="524"/>
      <c r="D590" s="1304"/>
      <c r="E590" s="1304"/>
      <c r="F590" s="1304"/>
      <c r="I590" s="524"/>
    </row>
    <row r="591" spans="1:9">
      <c r="A591" s="524"/>
      <c r="B591" s="524"/>
      <c r="D591" s="1304"/>
      <c r="E591" s="1304"/>
      <c r="F591" s="1304"/>
      <c r="I591" s="524"/>
    </row>
    <row r="592" spans="1:9">
      <c r="A592" s="524"/>
      <c r="B592" s="524"/>
      <c r="D592" s="1304"/>
      <c r="E592" s="1304"/>
      <c r="F592" s="1304"/>
      <c r="I592" s="524"/>
    </row>
    <row r="593" spans="1:9">
      <c r="A593" s="524"/>
      <c r="B593" s="524"/>
      <c r="D593" s="473"/>
      <c r="E593" s="473"/>
      <c r="F593" s="473"/>
      <c r="I593" s="524"/>
    </row>
    <row r="594" spans="1:9">
      <c r="A594" s="524"/>
      <c r="B594" s="519" t="s">
        <v>2767</v>
      </c>
      <c r="D594" s="1304" t="s">
        <v>2374</v>
      </c>
      <c r="E594" s="1304"/>
      <c r="F594" s="1304"/>
      <c r="I594" s="524"/>
    </row>
    <row r="595" spans="1:9">
      <c r="A595" s="524"/>
      <c r="B595" s="524"/>
      <c r="D595" s="1304"/>
      <c r="E595" s="1304"/>
      <c r="F595" s="1304"/>
      <c r="I595" s="524"/>
    </row>
    <row r="596" spans="1:9">
      <c r="A596" s="524"/>
      <c r="B596" s="524"/>
      <c r="D596" s="533"/>
      <c r="I596" s="524"/>
    </row>
    <row r="597" spans="1:9">
      <c r="A597" s="524"/>
      <c r="B597" s="519" t="s">
        <v>2768</v>
      </c>
      <c r="D597" s="1304" t="s">
        <v>1099</v>
      </c>
      <c r="E597" s="1304"/>
      <c r="F597" s="1304"/>
      <c r="I597" s="524" t="s">
        <v>2146</v>
      </c>
    </row>
    <row r="598" spans="1:9">
      <c r="A598" s="524"/>
      <c r="B598" s="524"/>
      <c r="D598" s="1304"/>
      <c r="E598" s="1304"/>
      <c r="F598" s="1304"/>
      <c r="I598" s="524"/>
    </row>
    <row r="599" spans="1:9" ht="14.25">
      <c r="A599" s="518"/>
      <c r="B599" s="518"/>
      <c r="D599" s="533"/>
      <c r="I599" s="524"/>
    </row>
    <row r="600" spans="1:9">
      <c r="A600" s="1288" t="s">
        <v>1080</v>
      </c>
      <c r="B600" s="1288"/>
      <c r="C600" s="1288"/>
      <c r="D600" s="1288"/>
      <c r="E600" s="1288"/>
      <c r="F600" s="1288"/>
      <c r="G600" s="1288"/>
      <c r="H600" s="1063"/>
      <c r="I600" s="1256"/>
    </row>
    <row r="601" spans="1:9">
      <c r="I601" s="524"/>
    </row>
    <row r="602" spans="1:9">
      <c r="D602" s="1280" t="s">
        <v>1180</v>
      </c>
      <c r="E602" s="1280"/>
      <c r="F602" s="1280"/>
      <c r="I602" s="524"/>
    </row>
    <row r="603" spans="1:9">
      <c r="D603" s="1281" t="s">
        <v>1181</v>
      </c>
      <c r="E603" s="1281"/>
      <c r="F603" s="1281"/>
      <c r="I603" s="524"/>
    </row>
    <row r="604" spans="1:9">
      <c r="D604" s="478"/>
      <c r="I604" s="524"/>
    </row>
    <row r="605" spans="1:9" ht="14.25" customHeight="1">
      <c r="A605" s="518"/>
      <c r="B605" s="519" t="s">
        <v>2767</v>
      </c>
      <c r="D605" s="1345" t="s">
        <v>2203</v>
      </c>
      <c r="E605" s="1345"/>
      <c r="F605" s="1345"/>
      <c r="I605" s="524" t="s">
        <v>2127</v>
      </c>
    </row>
    <row r="606" spans="1:9">
      <c r="D606" s="1345"/>
      <c r="E606" s="1345"/>
      <c r="F606" s="1345"/>
      <c r="I606" s="524"/>
    </row>
    <row r="607" spans="1:9">
      <c r="D607" s="416"/>
      <c r="E607" s="1071" t="s">
        <v>2204</v>
      </c>
      <c r="F607" s="416"/>
      <c r="I607" s="524"/>
    </row>
    <row r="608" spans="1:9">
      <c r="I608" s="524"/>
    </row>
    <row r="609" spans="1:9">
      <c r="A609" s="1288" t="s">
        <v>1081</v>
      </c>
      <c r="B609" s="1288"/>
      <c r="C609" s="1288"/>
      <c r="D609" s="1288"/>
      <c r="E609" s="1288"/>
      <c r="F609" s="1288"/>
      <c r="G609" s="1288"/>
      <c r="H609" s="1063"/>
      <c r="I609" s="1256"/>
    </row>
    <row r="610" spans="1:9">
      <c r="A610" s="480"/>
      <c r="B610" s="480"/>
      <c r="I610" s="524"/>
    </row>
    <row r="611" spans="1:9">
      <c r="A611" s="516"/>
      <c r="B611" s="516"/>
      <c r="C611" s="516"/>
      <c r="D611" s="1283" t="s">
        <v>1183</v>
      </c>
      <c r="E611" s="1283"/>
      <c r="F611" s="1283"/>
      <c r="I611" s="524"/>
    </row>
    <row r="612" spans="1:9">
      <c r="A612" s="516"/>
      <c r="B612" s="516"/>
      <c r="C612" s="516"/>
      <c r="D612" s="1283"/>
      <c r="E612" s="1283"/>
      <c r="F612" s="1283"/>
      <c r="I612" s="524"/>
    </row>
    <row r="613" spans="1:9">
      <c r="C613" s="517"/>
      <c r="D613" s="1281" t="s">
        <v>1184</v>
      </c>
      <c r="E613" s="1281"/>
      <c r="F613" s="1281"/>
      <c r="I613" s="524"/>
    </row>
    <row r="614" spans="1:9">
      <c r="C614" s="517"/>
      <c r="D614" s="478"/>
      <c r="E614" s="478"/>
      <c r="F614" s="478"/>
      <c r="I614" s="524"/>
    </row>
    <row r="615" spans="1:9" ht="12.75" customHeight="1">
      <c r="A615" s="524"/>
      <c r="B615" s="519" t="s">
        <v>2767</v>
      </c>
      <c r="D615" s="1284" t="s">
        <v>1185</v>
      </c>
      <c r="E615" s="1284"/>
      <c r="F615" s="1284"/>
      <c r="I615" s="524" t="s">
        <v>2147</v>
      </c>
    </row>
    <row r="616" spans="1:9">
      <c r="D616" s="1284"/>
      <c r="E616" s="1284"/>
      <c r="F616" s="1284"/>
      <c r="I616" s="524"/>
    </row>
    <row r="617" spans="1:9">
      <c r="I617" s="524"/>
    </row>
    <row r="618" spans="1:9">
      <c r="B618" s="519" t="s">
        <v>2767</v>
      </c>
      <c r="D618" s="1284" t="s">
        <v>1186</v>
      </c>
      <c r="E618" s="1284"/>
      <c r="F618" s="1284"/>
      <c r="I618" s="524" t="s">
        <v>2100</v>
      </c>
    </row>
    <row r="619" spans="1:9">
      <c r="C619" s="534"/>
      <c r="D619" s="1284"/>
      <c r="E619" s="1284"/>
      <c r="F619" s="1284"/>
      <c r="I619" s="524"/>
    </row>
    <row r="620" spans="1:9">
      <c r="C620" s="534"/>
      <c r="I620" s="524"/>
    </row>
    <row r="621" spans="1:9">
      <c r="B621" s="519" t="s">
        <v>2767</v>
      </c>
      <c r="C621" s="534"/>
      <c r="D621" s="1284" t="s">
        <v>1187</v>
      </c>
      <c r="E621" s="1284"/>
      <c r="F621" s="1284"/>
      <c r="I621" s="524" t="s">
        <v>2148</v>
      </c>
    </row>
    <row r="622" spans="1:9">
      <c r="C622" s="534"/>
      <c r="D622" s="1284"/>
      <c r="E622" s="1284"/>
      <c r="F622" s="1284"/>
      <c r="I622" s="534" t="s">
        <v>2149</v>
      </c>
    </row>
    <row r="623" spans="1:9">
      <c r="C623" s="534"/>
      <c r="I623" s="524"/>
    </row>
    <row r="624" spans="1:9">
      <c r="A624" s="1288" t="s">
        <v>1082</v>
      </c>
      <c r="B624" s="1288"/>
      <c r="C624" s="1288"/>
      <c r="D624" s="1288"/>
      <c r="E624" s="1288"/>
      <c r="F624" s="1288"/>
      <c r="G624" s="1288"/>
      <c r="H624" s="1063"/>
      <c r="I624" s="1256"/>
    </row>
    <row r="625" spans="1:9">
      <c r="A625" s="516"/>
      <c r="B625" s="516"/>
      <c r="C625" s="516"/>
      <c r="I625" s="524"/>
    </row>
    <row r="626" spans="1:9">
      <c r="C626" s="524"/>
      <c r="D626" s="1280" t="s">
        <v>1188</v>
      </c>
      <c r="E626" s="1280"/>
      <c r="F626" s="1280"/>
      <c r="I626" s="524"/>
    </row>
    <row r="627" spans="1:9">
      <c r="A627" s="524"/>
      <c r="B627" s="524"/>
      <c r="D627" s="435"/>
      <c r="I627" s="524"/>
    </row>
    <row r="628" spans="1:9" ht="14.25" customHeight="1">
      <c r="A628" s="518"/>
      <c r="B628" s="519" t="s">
        <v>2767</v>
      </c>
      <c r="D628" s="1345" t="s">
        <v>2375</v>
      </c>
      <c r="E628" s="1345"/>
      <c r="F628" s="1345"/>
      <c r="I628" s="524" t="s">
        <v>2128</v>
      </c>
    </row>
    <row r="629" spans="1:9">
      <c r="D629" s="1345"/>
      <c r="E629" s="1345"/>
      <c r="F629" s="1345"/>
      <c r="I629" s="524"/>
    </row>
    <row r="630" spans="1:9">
      <c r="D630" s="416"/>
      <c r="E630" s="1071" t="s">
        <v>2206</v>
      </c>
      <c r="F630" s="416"/>
      <c r="I630" s="524"/>
    </row>
    <row r="631" spans="1:9">
      <c r="D631" s="1282" t="s">
        <v>2205</v>
      </c>
      <c r="E631" s="1282"/>
      <c r="F631" s="1282"/>
      <c r="I631" s="524"/>
    </row>
    <row r="632" spans="1:9">
      <c r="D632" s="1282"/>
      <c r="E632" s="1282"/>
      <c r="F632" s="1282"/>
      <c r="I632" s="524"/>
    </row>
    <row r="633" spans="1:9">
      <c r="D633" s="1282"/>
      <c r="E633" s="1282"/>
      <c r="F633" s="1282"/>
      <c r="I633" s="524"/>
    </row>
    <row r="634" spans="1:9">
      <c r="D634" s="479"/>
      <c r="E634" s="479"/>
      <c r="F634" s="479"/>
      <c r="I634" s="524"/>
    </row>
    <row r="635" spans="1:9" ht="14.25">
      <c r="A635" s="518"/>
      <c r="B635" s="519" t="s">
        <v>2768</v>
      </c>
      <c r="D635" s="1282" t="s">
        <v>1190</v>
      </c>
      <c r="E635" s="1282"/>
      <c r="F635" s="1282"/>
      <c r="I635" s="524" t="s">
        <v>2150</v>
      </c>
    </row>
    <row r="636" spans="1:9">
      <c r="A636" s="521"/>
      <c r="B636" s="521"/>
      <c r="C636" s="521"/>
      <c r="D636" s="1282"/>
      <c r="E636" s="1282"/>
      <c r="F636" s="1282"/>
      <c r="I636" s="524"/>
    </row>
    <row r="637" spans="1:9">
      <c r="A637" s="521"/>
      <c r="B637" s="521"/>
      <c r="C637" s="521"/>
      <c r="D637" s="480"/>
      <c r="E637" s="480"/>
      <c r="F637" s="480"/>
      <c r="I637" s="524"/>
    </row>
    <row r="638" spans="1:9" ht="14.25">
      <c r="A638" s="518"/>
      <c r="B638" s="519" t="s">
        <v>2768</v>
      </c>
      <c r="C638" s="521"/>
      <c r="D638" s="1282" t="s">
        <v>1329</v>
      </c>
      <c r="E638" s="1282"/>
      <c r="F638" s="1282"/>
      <c r="I638" s="524" t="s">
        <v>2101</v>
      </c>
    </row>
    <row r="639" spans="1:9" ht="14.25">
      <c r="A639" s="518"/>
      <c r="B639" s="518"/>
      <c r="C639" s="521"/>
      <c r="D639" s="1282"/>
      <c r="E639" s="1282"/>
      <c r="F639" s="1282"/>
      <c r="I639" s="524"/>
    </row>
    <row r="640" spans="1:9" ht="14.25">
      <c r="A640" s="518"/>
      <c r="B640" s="518"/>
      <c r="C640" s="521"/>
      <c r="D640" s="1282"/>
      <c r="E640" s="1282"/>
      <c r="F640" s="1282"/>
      <c r="I640" s="524"/>
    </row>
    <row r="641" spans="1:9">
      <c r="A641" s="521"/>
      <c r="B641" s="519" t="s">
        <v>2768</v>
      </c>
      <c r="C641" s="521"/>
      <c r="D641" s="1311" t="s">
        <v>1192</v>
      </c>
      <c r="E641" s="1311"/>
      <c r="F641" s="1311"/>
      <c r="I641" s="524" t="s">
        <v>2101</v>
      </c>
    </row>
    <row r="642" spans="1:9">
      <c r="A642" s="521"/>
      <c r="B642" s="521"/>
      <c r="C642" s="521"/>
      <c r="D642" s="480"/>
      <c r="E642" s="480"/>
      <c r="F642" s="480"/>
      <c r="I642" s="524"/>
    </row>
    <row r="643" spans="1:9">
      <c r="A643" s="1288" t="s">
        <v>1083</v>
      </c>
      <c r="B643" s="1288"/>
      <c r="C643" s="1288"/>
      <c r="D643" s="1288"/>
      <c r="E643" s="1288"/>
      <c r="F643" s="1288"/>
      <c r="G643" s="1288"/>
      <c r="H643" s="1063"/>
      <c r="I643" s="1256"/>
    </row>
    <row r="644" spans="1:9">
      <c r="A644" s="480"/>
      <c r="B644" s="480"/>
      <c r="C644" s="521"/>
      <c r="D644" s="480"/>
      <c r="E644" s="480"/>
      <c r="F644" s="480"/>
      <c r="I644" s="524"/>
    </row>
    <row r="645" spans="1:9">
      <c r="C645" s="516"/>
      <c r="D645" s="1280" t="s">
        <v>1242</v>
      </c>
      <c r="E645" s="1280"/>
      <c r="F645" s="1280"/>
      <c r="I645" s="524"/>
    </row>
    <row r="646" spans="1:9">
      <c r="A646" s="517"/>
      <c r="B646" s="517"/>
      <c r="C646" s="517"/>
      <c r="D646" s="1311" t="s">
        <v>1243</v>
      </c>
      <c r="E646" s="1311"/>
      <c r="F646" s="1311"/>
      <c r="I646" s="524"/>
    </row>
    <row r="647" spans="1:9">
      <c r="A647" s="517"/>
      <c r="B647" s="517"/>
      <c r="C647" s="517"/>
      <c r="D647" s="480"/>
      <c r="E647" s="480"/>
      <c r="F647" s="480"/>
      <c r="I647" s="524"/>
    </row>
    <row r="648" spans="1:9" ht="12.75" customHeight="1">
      <c r="B648" s="519" t="s">
        <v>2767</v>
      </c>
      <c r="C648" s="521"/>
      <c r="D648" s="1282" t="s">
        <v>1386</v>
      </c>
      <c r="E648" s="1282"/>
      <c r="F648" s="1282"/>
      <c r="I648" s="524" t="s">
        <v>2153</v>
      </c>
    </row>
    <row r="649" spans="1:9">
      <c r="D649" s="1282"/>
      <c r="E649" s="1282"/>
      <c r="F649" s="1282"/>
      <c r="I649" s="524"/>
    </row>
    <row r="650" spans="1:9">
      <c r="D650" s="1282"/>
      <c r="E650" s="1282"/>
      <c r="F650" s="1282"/>
      <c r="I650" s="524"/>
    </row>
    <row r="651" spans="1:9">
      <c r="D651" s="1282"/>
      <c r="E651" s="1282"/>
      <c r="F651" s="1282"/>
      <c r="I651" s="524"/>
    </row>
    <row r="652" spans="1:9" ht="14.45" customHeight="1">
      <c r="A652" s="518"/>
      <c r="B652" s="518"/>
      <c r="C652" s="521"/>
      <c r="D652" s="416"/>
      <c r="E652" s="416"/>
      <c r="F652" s="416"/>
      <c r="I652" s="524"/>
    </row>
    <row r="653" spans="1:9" ht="12.75" customHeight="1">
      <c r="A653" s="517"/>
      <c r="B653" s="519" t="s">
        <v>2767</v>
      </c>
      <c r="C653" s="521"/>
      <c r="D653" s="1282" t="s">
        <v>1388</v>
      </c>
      <c r="E653" s="1282"/>
      <c r="F653" s="1282"/>
      <c r="I653" s="524" t="s">
        <v>2153</v>
      </c>
    </row>
    <row r="654" spans="1:9" ht="14.25">
      <c r="A654" s="517"/>
      <c r="B654" s="518"/>
      <c r="C654" s="521"/>
      <c r="D654" s="1282"/>
      <c r="E654" s="1282"/>
      <c r="F654" s="1282"/>
      <c r="I654" s="524"/>
    </row>
    <row r="655" spans="1:9" ht="14.25">
      <c r="A655" s="517"/>
      <c r="B655" s="518"/>
      <c r="C655" s="521"/>
      <c r="D655" s="1282"/>
      <c r="E655" s="1282"/>
      <c r="F655" s="1282"/>
      <c r="I655" s="524"/>
    </row>
    <row r="656" spans="1:9" ht="14.25">
      <c r="A656" s="517"/>
      <c r="B656" s="518"/>
      <c r="C656" s="521"/>
      <c r="D656" s="1282"/>
      <c r="E656" s="1282"/>
      <c r="F656" s="1282"/>
      <c r="I656" s="524"/>
    </row>
    <row r="657" spans="1:9" ht="14.25">
      <c r="A657" s="517"/>
      <c r="B657" s="518"/>
      <c r="C657" s="521"/>
      <c r="D657" s="1282"/>
      <c r="E657" s="1282"/>
      <c r="F657" s="1282"/>
      <c r="I657" s="524"/>
    </row>
    <row r="658" spans="1:9" ht="14.25" customHeight="1">
      <c r="A658" s="517"/>
      <c r="B658" s="518"/>
      <c r="C658" s="521"/>
      <c r="F658" s="417"/>
      <c r="I658" s="524"/>
    </row>
    <row r="659" spans="1:9" ht="12.75" customHeight="1">
      <c r="A659" s="517"/>
      <c r="B659" s="519" t="s">
        <v>2768</v>
      </c>
      <c r="C659" s="521"/>
      <c r="D659" s="1282" t="s">
        <v>1387</v>
      </c>
      <c r="E659" s="1282"/>
      <c r="F659" s="1282"/>
      <c r="I659" s="524" t="s">
        <v>2153</v>
      </c>
    </row>
    <row r="660" spans="1:9" ht="14.25">
      <c r="A660" s="517"/>
      <c r="B660" s="518"/>
      <c r="C660" s="521"/>
      <c r="D660" s="1282"/>
      <c r="E660" s="1282"/>
      <c r="F660" s="1282"/>
      <c r="I660" s="524"/>
    </row>
    <row r="661" spans="1:9" ht="14.25">
      <c r="A661" s="518"/>
      <c r="B661" s="518"/>
      <c r="C661" s="521"/>
      <c r="D661" s="1282"/>
      <c r="E661" s="1282"/>
      <c r="F661" s="1282"/>
      <c r="I661" s="524"/>
    </row>
    <row r="662" spans="1:9" ht="14.25">
      <c r="A662" s="518"/>
      <c r="B662" s="518"/>
      <c r="C662" s="521"/>
      <c r="D662" s="1282"/>
      <c r="E662" s="1282"/>
      <c r="F662" s="1282"/>
      <c r="I662" s="524"/>
    </row>
    <row r="663" spans="1:9" ht="14.25">
      <c r="A663" s="518"/>
      <c r="B663" s="518"/>
      <c r="C663" s="521"/>
      <c r="D663" s="479"/>
      <c r="E663" s="479"/>
      <c r="F663" s="479"/>
      <c r="I663" s="524"/>
    </row>
    <row r="664" spans="1:9" ht="12.75" customHeight="1">
      <c r="A664" s="517"/>
      <c r="B664" s="519" t="s">
        <v>2768</v>
      </c>
      <c r="C664" s="521"/>
      <c r="D664" s="1282" t="s">
        <v>2376</v>
      </c>
      <c r="E664" s="1282"/>
      <c r="F664" s="1282"/>
      <c r="I664" s="524" t="s">
        <v>2153</v>
      </c>
    </row>
    <row r="665" spans="1:9" ht="12.75" customHeight="1">
      <c r="A665" s="517"/>
      <c r="B665" s="518"/>
      <c r="C665" s="521"/>
      <c r="D665" s="1282"/>
      <c r="E665" s="1282"/>
      <c r="F665" s="1282"/>
      <c r="I665" s="524"/>
    </row>
    <row r="666" spans="1:9" ht="12.75" customHeight="1">
      <c r="A666" s="517"/>
      <c r="B666" s="518"/>
      <c r="C666" s="521"/>
      <c r="D666" s="1282"/>
      <c r="E666" s="1282"/>
      <c r="F666" s="1282"/>
      <c r="I666" s="524"/>
    </row>
    <row r="667" spans="1:9" ht="12.75" customHeight="1">
      <c r="A667" s="517"/>
      <c r="B667" s="518"/>
      <c r="C667" s="521"/>
      <c r="D667" s="1282"/>
      <c r="E667" s="1282"/>
      <c r="F667" s="1282"/>
      <c r="I667" s="524"/>
    </row>
    <row r="668" spans="1:9" ht="12.75" customHeight="1">
      <c r="A668" s="517"/>
      <c r="B668" s="518"/>
      <c r="C668" s="521"/>
      <c r="D668" s="1282"/>
      <c r="E668" s="1282"/>
      <c r="F668" s="1282"/>
      <c r="I668" s="524"/>
    </row>
    <row r="669" spans="1:9" ht="12.75" customHeight="1">
      <c r="A669" s="517"/>
      <c r="B669" s="518"/>
      <c r="C669" s="521"/>
      <c r="D669" s="1282"/>
      <c r="E669" s="1282"/>
      <c r="F669" s="1282"/>
      <c r="I669" s="524"/>
    </row>
    <row r="670" spans="1:9" ht="12.75" customHeight="1">
      <c r="A670" s="517"/>
      <c r="B670" s="518"/>
      <c r="C670" s="521"/>
      <c r="D670" s="1282"/>
      <c r="E670" s="1282"/>
      <c r="F670" s="1282"/>
      <c r="I670" s="524"/>
    </row>
    <row r="671" spans="1:9" ht="12.75" customHeight="1">
      <c r="A671" s="517"/>
      <c r="B671" s="518"/>
      <c r="C671" s="521"/>
      <c r="D671" s="1282"/>
      <c r="E671" s="1282"/>
      <c r="F671" s="1282"/>
      <c r="I671" s="524"/>
    </row>
    <row r="672" spans="1:9" ht="12.75" customHeight="1">
      <c r="A672" s="517"/>
      <c r="B672" s="518"/>
      <c r="C672" s="521"/>
      <c r="D672" s="1282"/>
      <c r="E672" s="1282"/>
      <c r="F672" s="1282"/>
      <c r="I672" s="524"/>
    </row>
    <row r="673" spans="1:11">
      <c r="A673" s="521"/>
      <c r="B673" s="521"/>
      <c r="C673" s="521"/>
      <c r="D673" s="480"/>
      <c r="E673" s="480"/>
      <c r="F673" s="480"/>
      <c r="I673" s="524"/>
    </row>
    <row r="674" spans="1:11">
      <c r="A674" s="1288" t="s">
        <v>1084</v>
      </c>
      <c r="B674" s="1288"/>
      <c r="C674" s="1288"/>
      <c r="D674" s="1288"/>
      <c r="E674" s="1288"/>
      <c r="F674" s="1288"/>
      <c r="G674" s="1288"/>
      <c r="H674" s="1065"/>
      <c r="I674" s="1260"/>
      <c r="J674" s="535"/>
      <c r="K674" s="535"/>
    </row>
    <row r="675" spans="1:11">
      <c r="A675" s="482"/>
      <c r="B675" s="482"/>
      <c r="C675" s="482"/>
      <c r="D675" s="482"/>
      <c r="E675" s="482"/>
      <c r="F675" s="482"/>
      <c r="G675" s="482"/>
      <c r="H675" s="535"/>
      <c r="I675" s="517"/>
      <c r="J675" s="535"/>
      <c r="K675" s="535"/>
    </row>
    <row r="676" spans="1:11">
      <c r="C676" s="516"/>
      <c r="D676" s="1280" t="s">
        <v>99</v>
      </c>
      <c r="E676" s="1280"/>
      <c r="F676" s="1280"/>
      <c r="H676" s="535"/>
      <c r="I676" s="517"/>
      <c r="J676" s="535"/>
      <c r="K676" s="535"/>
    </row>
    <row r="677" spans="1:11">
      <c r="A677" s="516"/>
      <c r="B677" s="516"/>
      <c r="C677" s="516"/>
      <c r="D677" s="1280" t="s">
        <v>123</v>
      </c>
      <c r="E677" s="1280"/>
      <c r="F677" s="1280"/>
      <c r="H677" s="535"/>
      <c r="I677" s="517"/>
      <c r="J677" s="535"/>
      <c r="K677" s="535"/>
    </row>
    <row r="678" spans="1:11">
      <c r="A678" s="517"/>
      <c r="B678" s="517"/>
      <c r="C678" s="517"/>
      <c r="D678" s="1311" t="s">
        <v>1120</v>
      </c>
      <c r="E678" s="1311"/>
      <c r="F678" s="1311"/>
      <c r="H678" s="535"/>
      <c r="I678" s="517"/>
      <c r="J678" s="535"/>
      <c r="K678" s="535"/>
    </row>
    <row r="679" spans="1:11">
      <c r="A679" s="517"/>
      <c r="B679" s="517"/>
      <c r="C679" s="517"/>
      <c r="H679" s="535"/>
      <c r="I679" s="517"/>
      <c r="J679" s="535"/>
      <c r="K679" s="535"/>
    </row>
    <row r="680" spans="1:11" ht="14.25">
      <c r="A680" s="518"/>
      <c r="B680" s="519" t="s">
        <v>2768</v>
      </c>
      <c r="C680" s="517"/>
      <c r="D680" s="1311" t="s">
        <v>897</v>
      </c>
      <c r="E680" s="1311"/>
      <c r="F680" s="1311"/>
      <c r="H680" s="535"/>
      <c r="I680" s="517" t="s">
        <v>2129</v>
      </c>
      <c r="J680" s="535"/>
      <c r="K680" s="535"/>
    </row>
    <row r="681" spans="1:11">
      <c r="A681" s="517"/>
      <c r="B681" s="517"/>
      <c r="C681" s="517"/>
      <c r="D681" s="1311" t="s">
        <v>907</v>
      </c>
      <c r="E681" s="1311"/>
      <c r="F681" s="1311"/>
      <c r="H681" s="535"/>
      <c r="I681" s="517"/>
      <c r="J681" s="535"/>
      <c r="K681" s="535"/>
    </row>
    <row r="682" spans="1:11" ht="12.75" customHeight="1">
      <c r="A682" s="517"/>
      <c r="B682" s="517"/>
      <c r="C682" s="517"/>
      <c r="E682" s="1071" t="s">
        <v>2208</v>
      </c>
      <c r="F682" s="451"/>
      <c r="H682" s="535"/>
      <c r="I682" s="517"/>
      <c r="J682" s="535"/>
      <c r="K682" s="535"/>
    </row>
    <row r="683" spans="1:11">
      <c r="A683" s="517"/>
      <c r="B683" s="517"/>
      <c r="C683" s="517"/>
      <c r="E683" s="535" t="s">
        <v>2207</v>
      </c>
      <c r="F683" s="451"/>
      <c r="I683" s="517"/>
      <c r="J683" s="535"/>
      <c r="K683" s="535"/>
    </row>
    <row r="684" spans="1:11">
      <c r="A684" s="517"/>
      <c r="B684" s="517"/>
      <c r="C684" s="517"/>
      <c r="D684" s="536"/>
      <c r="E684" s="480"/>
      <c r="H684" s="535"/>
      <c r="I684" s="517"/>
      <c r="J684" s="535"/>
      <c r="K684" s="535"/>
    </row>
    <row r="685" spans="1:11" ht="14.25">
      <c r="A685" s="518"/>
      <c r="B685" s="519" t="s">
        <v>2767</v>
      </c>
      <c r="C685" s="517"/>
      <c r="D685" s="1282" t="s">
        <v>2377</v>
      </c>
      <c r="E685" s="1282"/>
      <c r="F685" s="1282"/>
      <c r="H685" s="535"/>
      <c r="I685" s="517" t="s">
        <v>2151</v>
      </c>
      <c r="J685" s="535"/>
      <c r="K685" s="535"/>
    </row>
    <row r="686" spans="1:11">
      <c r="A686" s="524"/>
      <c r="B686" s="524"/>
      <c r="C686" s="517"/>
      <c r="D686" s="1282"/>
      <c r="E686" s="1282"/>
      <c r="F686" s="1282"/>
      <c r="H686" s="535"/>
      <c r="I686" s="517"/>
      <c r="J686" s="535"/>
      <c r="K686" s="535"/>
    </row>
    <row r="687" spans="1:11">
      <c r="A687" s="517"/>
      <c r="B687" s="517"/>
      <c r="C687" s="517"/>
      <c r="D687" s="1282"/>
      <c r="E687" s="1282"/>
      <c r="F687" s="1282"/>
      <c r="H687" s="535"/>
      <c r="I687" s="517"/>
      <c r="J687" s="535"/>
      <c r="K687" s="535"/>
    </row>
    <row r="688" spans="1:11">
      <c r="A688" s="517"/>
      <c r="B688" s="517"/>
      <c r="C688" s="517"/>
      <c r="H688" s="535"/>
      <c r="I688" s="517" t="s">
        <v>2130</v>
      </c>
      <c r="J688" s="535"/>
      <c r="K688" s="535"/>
    </row>
    <row r="689" spans="1:11" ht="14.25">
      <c r="A689" s="518"/>
      <c r="B689" s="519" t="s">
        <v>2767</v>
      </c>
      <c r="C689" s="517"/>
      <c r="D689" s="1311" t="s">
        <v>933</v>
      </c>
      <c r="E689" s="1311"/>
      <c r="F689" s="1311"/>
      <c r="H689" s="535"/>
      <c r="I689" s="517"/>
      <c r="J689" s="535"/>
      <c r="K689" s="535"/>
    </row>
    <row r="690" spans="1:11" ht="14.25">
      <c r="A690" s="518"/>
      <c r="B690" s="518"/>
      <c r="C690" s="517"/>
      <c r="D690" s="1311" t="s">
        <v>907</v>
      </c>
      <c r="E690" s="1311"/>
      <c r="F690" s="1311"/>
      <c r="H690" s="535"/>
      <c r="I690" s="517"/>
      <c r="J690" s="535"/>
      <c r="K690" s="535"/>
    </row>
    <row r="691" spans="1:11">
      <c r="A691" s="517"/>
      <c r="B691" s="517"/>
      <c r="C691" s="517"/>
      <c r="E691" s="1071" t="s">
        <v>2209</v>
      </c>
      <c r="F691" s="435"/>
      <c r="H691" s="535"/>
      <c r="I691" s="517"/>
      <c r="J691" s="535"/>
      <c r="K691" s="535"/>
    </row>
    <row r="692" spans="1:11">
      <c r="A692" s="517"/>
      <c r="B692" s="517"/>
      <c r="C692" s="517"/>
      <c r="D692" s="435"/>
      <c r="H692" s="535"/>
      <c r="I692" s="517"/>
      <c r="J692" s="535"/>
      <c r="K692" s="535"/>
    </row>
    <row r="693" spans="1:11" ht="14.25">
      <c r="A693" s="518"/>
      <c r="B693" s="519" t="s">
        <v>2767</v>
      </c>
      <c r="C693" s="517"/>
      <c r="D693" s="1282" t="s">
        <v>1133</v>
      </c>
      <c r="E693" s="1282"/>
      <c r="F693" s="1282"/>
      <c r="H693" s="535"/>
      <c r="I693" s="517" t="s">
        <v>2102</v>
      </c>
      <c r="J693" s="535"/>
      <c r="K693" s="535"/>
    </row>
    <row r="694" spans="1:11">
      <c r="A694" s="517"/>
      <c r="B694" s="517"/>
      <c r="C694" s="517"/>
      <c r="D694" s="1282"/>
      <c r="E694" s="1282"/>
      <c r="F694" s="1282"/>
      <c r="H694" s="535"/>
      <c r="I694" s="517"/>
      <c r="J694" s="535"/>
      <c r="K694" s="535"/>
    </row>
    <row r="695" spans="1:11">
      <c r="A695" s="517"/>
      <c r="B695" s="517"/>
      <c r="C695" s="517"/>
      <c r="D695" s="1282"/>
      <c r="E695" s="1282"/>
      <c r="F695" s="1282"/>
      <c r="H695" s="535"/>
      <c r="I695" s="517"/>
      <c r="J695" s="535"/>
      <c r="K695" s="535"/>
    </row>
    <row r="696" spans="1:11">
      <c r="A696" s="517"/>
      <c r="B696" s="517"/>
      <c r="C696" s="517"/>
      <c r="D696" s="1282"/>
      <c r="E696" s="1282"/>
      <c r="F696" s="1282"/>
      <c r="H696" s="535"/>
      <c r="I696" s="517"/>
      <c r="J696" s="535"/>
      <c r="K696" s="535"/>
    </row>
    <row r="697" spans="1:11">
      <c r="A697" s="517"/>
      <c r="B697" s="517"/>
      <c r="C697" s="517"/>
      <c r="D697" s="1282"/>
      <c r="E697" s="1282"/>
      <c r="F697" s="1282"/>
      <c r="H697" s="535"/>
      <c r="I697" s="517"/>
      <c r="J697" s="535"/>
      <c r="K697" s="535"/>
    </row>
    <row r="698" spans="1:11">
      <c r="A698" s="517"/>
      <c r="B698" s="517"/>
      <c r="C698" s="517"/>
      <c r="D698" s="1282"/>
      <c r="E698" s="1282"/>
      <c r="F698" s="1282"/>
      <c r="H698" s="535"/>
      <c r="I698" s="517"/>
      <c r="J698" s="535"/>
      <c r="K698" s="535"/>
    </row>
    <row r="699" spans="1:11">
      <c r="A699" s="517"/>
      <c r="B699" s="517"/>
      <c r="C699" s="517"/>
      <c r="D699" s="479"/>
      <c r="E699" s="479"/>
      <c r="F699" s="479"/>
      <c r="H699" s="535"/>
      <c r="I699" s="517"/>
      <c r="J699" s="535"/>
      <c r="K699" s="535"/>
    </row>
    <row r="700" spans="1:11">
      <c r="A700" s="517"/>
      <c r="B700" s="519" t="s">
        <v>2767</v>
      </c>
      <c r="C700" s="517"/>
      <c r="D700" s="1282" t="s">
        <v>1304</v>
      </c>
      <c r="E700" s="1282"/>
      <c r="F700" s="1282"/>
      <c r="H700" s="535"/>
      <c r="I700" s="517" t="s">
        <v>2102</v>
      </c>
      <c r="J700" s="535"/>
      <c r="K700" s="535"/>
    </row>
    <row r="701" spans="1:11">
      <c r="A701" s="517"/>
      <c r="B701" s="517"/>
      <c r="C701" s="517"/>
      <c r="D701" s="1282"/>
      <c r="E701" s="1282"/>
      <c r="F701" s="1282"/>
      <c r="H701" s="535"/>
      <c r="I701" s="517"/>
      <c r="J701" s="535"/>
      <c r="K701" s="535"/>
    </row>
    <row r="702" spans="1:11">
      <c r="A702" s="517"/>
      <c r="B702" s="517"/>
      <c r="C702" s="517"/>
      <c r="D702" s="479"/>
      <c r="E702" s="479"/>
      <c r="F702" s="479"/>
      <c r="H702" s="535"/>
      <c r="I702" s="517"/>
      <c r="J702" s="535"/>
      <c r="K702" s="535"/>
    </row>
    <row r="703" spans="1:11" ht="14.25">
      <c r="A703" s="518"/>
      <c r="B703" s="519" t="s">
        <v>2768</v>
      </c>
      <c r="C703" s="517"/>
      <c r="D703" s="1282" t="s">
        <v>1124</v>
      </c>
      <c r="E703" s="1282"/>
      <c r="F703" s="1282"/>
      <c r="H703" s="535"/>
      <c r="I703" s="517" t="s">
        <v>2102</v>
      </c>
      <c r="J703" s="535"/>
      <c r="K703" s="535"/>
    </row>
    <row r="704" spans="1:11">
      <c r="A704" s="517"/>
      <c r="B704" s="517"/>
      <c r="C704" s="517"/>
      <c r="D704" s="1282"/>
      <c r="E704" s="1282"/>
      <c r="F704" s="1282"/>
      <c r="H704" s="535"/>
      <c r="I704" s="517"/>
      <c r="J704" s="535"/>
      <c r="K704" s="535"/>
    </row>
    <row r="705" spans="1:11">
      <c r="A705" s="517"/>
      <c r="B705" s="517"/>
      <c r="C705" s="517"/>
      <c r="D705" s="1282"/>
      <c r="E705" s="1282"/>
      <c r="F705" s="1282"/>
      <c r="H705" s="535"/>
      <c r="I705" s="517"/>
      <c r="J705" s="535"/>
      <c r="K705" s="535"/>
    </row>
    <row r="706" spans="1:11" ht="15" customHeight="1">
      <c r="A706" s="517"/>
      <c r="B706" s="517"/>
      <c r="C706" s="517"/>
      <c r="D706" s="1282"/>
      <c r="E706" s="1282"/>
      <c r="F706" s="1282"/>
      <c r="H706" s="535"/>
      <c r="I706" s="517"/>
      <c r="J706" s="535"/>
      <c r="K706" s="535"/>
    </row>
    <row r="707" spans="1:11" ht="15" customHeight="1">
      <c r="A707" s="517"/>
      <c r="B707" s="517"/>
      <c r="C707" s="517"/>
      <c r="D707" s="1282"/>
      <c r="E707" s="1282"/>
      <c r="F707" s="1282"/>
      <c r="H707" s="535"/>
      <c r="I707" s="517"/>
      <c r="J707" s="535"/>
      <c r="K707" s="535"/>
    </row>
    <row r="708" spans="1:11">
      <c r="A708" s="517"/>
      <c r="B708" s="517"/>
      <c r="C708" s="517"/>
      <c r="D708" s="1282"/>
      <c r="E708" s="1282"/>
      <c r="F708" s="1282"/>
      <c r="H708" s="535"/>
      <c r="I708" s="517"/>
      <c r="J708" s="535"/>
      <c r="K708" s="535"/>
    </row>
    <row r="709" spans="1:11">
      <c r="A709" s="517"/>
      <c r="B709" s="517"/>
      <c r="C709" s="517"/>
      <c r="D709" s="1282"/>
      <c r="E709" s="1282"/>
      <c r="F709" s="1282"/>
      <c r="H709" s="535"/>
      <c r="I709" s="517"/>
      <c r="J709" s="535"/>
      <c r="K709" s="535"/>
    </row>
    <row r="710" spans="1:11">
      <c r="A710" s="517"/>
      <c r="B710" s="517"/>
      <c r="C710" s="517"/>
      <c r="D710" s="1282"/>
      <c r="E710" s="1282"/>
      <c r="F710" s="1282"/>
      <c r="H710" s="535"/>
      <c r="I710" s="517"/>
      <c r="J710" s="535"/>
      <c r="K710" s="535"/>
    </row>
    <row r="711" spans="1:11" ht="15" customHeight="1">
      <c r="A711" s="517"/>
      <c r="B711" s="517"/>
      <c r="C711" s="517"/>
      <c r="D711" s="1282"/>
      <c r="E711" s="1282"/>
      <c r="F711" s="1282"/>
      <c r="H711" s="535"/>
      <c r="I711" s="517"/>
      <c r="J711" s="535"/>
      <c r="K711" s="535"/>
    </row>
    <row r="712" spans="1:11">
      <c r="A712" s="517"/>
      <c r="B712" s="517"/>
      <c r="C712" s="517"/>
      <c r="D712" s="1282"/>
      <c r="E712" s="1282"/>
      <c r="F712" s="1282"/>
      <c r="H712" s="535"/>
      <c r="I712" s="517"/>
      <c r="J712" s="535"/>
      <c r="K712" s="535"/>
    </row>
    <row r="713" spans="1:11">
      <c r="A713" s="517"/>
      <c r="B713" s="517"/>
      <c r="C713" s="517"/>
      <c r="D713" s="1282"/>
      <c r="E713" s="1282"/>
      <c r="F713" s="1282"/>
      <c r="H713" s="535"/>
      <c r="I713" s="517"/>
      <c r="J713" s="535"/>
      <c r="K713" s="535"/>
    </row>
    <row r="714" spans="1:11">
      <c r="A714" s="517"/>
      <c r="B714" s="517"/>
      <c r="C714" s="517"/>
      <c r="D714" s="1282"/>
      <c r="E714" s="1282"/>
      <c r="F714" s="1282"/>
      <c r="H714" s="535"/>
      <c r="I714" s="517"/>
      <c r="J714" s="535"/>
      <c r="K714" s="535"/>
    </row>
    <row r="715" spans="1:11">
      <c r="A715" s="517"/>
      <c r="B715" s="517"/>
      <c r="C715" s="517"/>
      <c r="D715" s="1282"/>
      <c r="E715" s="1282"/>
      <c r="F715" s="1282"/>
      <c r="H715" s="535"/>
      <c r="I715" s="517"/>
      <c r="J715" s="535"/>
      <c r="K715" s="535"/>
    </row>
    <row r="716" spans="1:11">
      <c r="A716" s="517"/>
      <c r="B716" s="519" t="s">
        <v>2768</v>
      </c>
      <c r="C716" s="517"/>
      <c r="D716" s="1282" t="s">
        <v>1131</v>
      </c>
      <c r="E716" s="1282"/>
      <c r="F716" s="1282"/>
      <c r="H716" s="535"/>
      <c r="I716" s="517" t="s">
        <v>2152</v>
      </c>
      <c r="J716" s="535"/>
      <c r="K716" s="535"/>
    </row>
    <row r="717" spans="1:11">
      <c r="A717" s="517"/>
      <c r="B717" s="517"/>
      <c r="C717" s="517"/>
      <c r="D717" s="1282"/>
      <c r="E717" s="1282"/>
      <c r="F717" s="1282"/>
      <c r="H717" s="535"/>
      <c r="I717" s="517"/>
      <c r="J717" s="535"/>
      <c r="K717" s="535"/>
    </row>
    <row r="718" spans="1:11">
      <c r="A718" s="517"/>
      <c r="B718" s="517"/>
      <c r="C718" s="517"/>
      <c r="D718" s="479"/>
      <c r="E718" s="479"/>
      <c r="F718" s="479"/>
      <c r="H718" s="535"/>
      <c r="I718" s="517"/>
      <c r="J718" s="535"/>
      <c r="K718" s="535"/>
    </row>
    <row r="719" spans="1:11">
      <c r="A719" s="517"/>
      <c r="B719" s="519" t="s">
        <v>2768</v>
      </c>
      <c r="C719" s="517"/>
      <c r="D719" s="1282" t="s">
        <v>1125</v>
      </c>
      <c r="E719" s="1282"/>
      <c r="F719" s="1282"/>
      <c r="H719" s="535"/>
      <c r="I719" s="517" t="s">
        <v>2152</v>
      </c>
      <c r="J719" s="535"/>
      <c r="K719" s="535"/>
    </row>
    <row r="720" spans="1:11">
      <c r="A720" s="517"/>
      <c r="B720" s="517"/>
      <c r="C720" s="517"/>
      <c r="D720" s="1282"/>
      <c r="E720" s="1282"/>
      <c r="F720" s="1282"/>
      <c r="H720" s="535"/>
      <c r="I720" s="517"/>
      <c r="J720" s="535"/>
      <c r="K720" s="535"/>
    </row>
    <row r="721" spans="1:11">
      <c r="A721" s="517"/>
      <c r="B721" s="517"/>
      <c r="C721" s="517"/>
      <c r="D721" s="1282"/>
      <c r="E721" s="1282"/>
      <c r="F721" s="1282"/>
      <c r="H721" s="535"/>
      <c r="I721" s="517"/>
      <c r="J721" s="535"/>
      <c r="K721" s="535"/>
    </row>
    <row r="722" spans="1:11">
      <c r="A722" s="517"/>
      <c r="B722" s="517"/>
      <c r="C722" s="517"/>
      <c r="H722" s="535"/>
      <c r="I722" s="517"/>
      <c r="J722" s="535"/>
      <c r="K722" s="535"/>
    </row>
    <row r="723" spans="1:11">
      <c r="A723" s="517"/>
      <c r="B723" s="519" t="s">
        <v>2768</v>
      </c>
      <c r="C723" s="517"/>
      <c r="D723" s="1282" t="s">
        <v>1126</v>
      </c>
      <c r="E723" s="1282"/>
      <c r="F723" s="1282"/>
      <c r="H723" s="535"/>
      <c r="I723" s="517" t="s">
        <v>2152</v>
      </c>
      <c r="J723" s="535"/>
      <c r="K723" s="535"/>
    </row>
    <row r="724" spans="1:11">
      <c r="A724" s="517"/>
      <c r="B724" s="517"/>
      <c r="C724" s="517"/>
      <c r="D724" s="1282"/>
      <c r="E724" s="1282"/>
      <c r="F724" s="1282"/>
      <c r="H724" s="535"/>
      <c r="I724" s="517"/>
      <c r="J724" s="535"/>
      <c r="K724" s="535"/>
    </row>
    <row r="725" spans="1:11">
      <c r="A725" s="517"/>
      <c r="B725" s="517"/>
      <c r="C725" s="517"/>
      <c r="D725" s="1282"/>
      <c r="E725" s="1282"/>
      <c r="F725" s="1282"/>
      <c r="H725" s="535"/>
      <c r="I725" s="517"/>
      <c r="J725" s="535"/>
      <c r="K725" s="535"/>
    </row>
    <row r="726" spans="1:11">
      <c r="A726" s="517"/>
      <c r="B726" s="517"/>
      <c r="C726" s="517"/>
      <c r="H726" s="535"/>
      <c r="I726" s="517"/>
      <c r="J726" s="535"/>
      <c r="K726" s="535"/>
    </row>
    <row r="727" spans="1:11" ht="14.25">
      <c r="A727" s="518"/>
      <c r="B727" s="519" t="s">
        <v>2768</v>
      </c>
      <c r="C727" s="517"/>
      <c r="D727" s="1282" t="s">
        <v>1127</v>
      </c>
      <c r="E727" s="1282"/>
      <c r="F727" s="1282"/>
      <c r="H727" s="535"/>
      <c r="I727" s="517" t="s">
        <v>2103</v>
      </c>
      <c r="J727" s="535"/>
      <c r="K727" s="535"/>
    </row>
    <row r="728" spans="1:11">
      <c r="A728" s="517"/>
      <c r="B728" s="517"/>
      <c r="C728" s="517"/>
      <c r="D728" s="1282"/>
      <c r="E728" s="1282"/>
      <c r="F728" s="1282"/>
      <c r="H728" s="535"/>
      <c r="I728" s="517"/>
      <c r="J728" s="535"/>
      <c r="K728" s="535"/>
    </row>
    <row r="729" spans="1:11">
      <c r="A729" s="517"/>
      <c r="B729" s="517"/>
      <c r="C729" s="517"/>
      <c r="D729" s="1282"/>
      <c r="E729" s="1282"/>
      <c r="F729" s="1282"/>
      <c r="H729" s="535"/>
      <c r="I729" s="517"/>
      <c r="J729" s="535"/>
      <c r="K729" s="535"/>
    </row>
    <row r="730" spans="1:11">
      <c r="A730" s="517"/>
      <c r="B730" s="517"/>
      <c r="C730" s="517"/>
      <c r="D730" s="1282"/>
      <c r="E730" s="1282"/>
      <c r="F730" s="1282"/>
      <c r="H730" s="535"/>
      <c r="I730" s="517"/>
      <c r="J730" s="535"/>
      <c r="K730" s="535"/>
    </row>
    <row r="731" spans="1:11">
      <c r="A731" s="517"/>
      <c r="B731" s="517"/>
      <c r="C731" s="517"/>
      <c r="D731" s="526"/>
      <c r="H731" s="535"/>
      <c r="I731" s="517"/>
      <c r="J731" s="535"/>
      <c r="K731" s="535"/>
    </row>
    <row r="732" spans="1:11" ht="14.25">
      <c r="A732" s="518"/>
      <c r="B732" s="519" t="s">
        <v>2767</v>
      </c>
      <c r="C732" s="517"/>
      <c r="D732" s="1282" t="s">
        <v>2500</v>
      </c>
      <c r="E732" s="1282"/>
      <c r="F732" s="1282"/>
      <c r="H732" s="535"/>
      <c r="I732" s="517" t="s">
        <v>2119</v>
      </c>
      <c r="J732" s="535"/>
      <c r="K732" s="535"/>
    </row>
    <row r="733" spans="1:11">
      <c r="A733" s="517"/>
      <c r="B733" s="517"/>
      <c r="C733" s="517"/>
      <c r="D733" s="1282"/>
      <c r="E733" s="1282"/>
      <c r="F733" s="1282"/>
      <c r="H733" s="535"/>
      <c r="I733" s="517"/>
      <c r="J733" s="535"/>
      <c r="K733" s="535"/>
    </row>
    <row r="734" spans="1:11">
      <c r="A734" s="517"/>
      <c r="B734" s="517"/>
      <c r="C734" s="517"/>
      <c r="D734" s="1282"/>
      <c r="E734" s="1282"/>
      <c r="F734" s="1282"/>
      <c r="H734" s="535"/>
      <c r="I734" s="517"/>
      <c r="J734" s="535"/>
      <c r="K734" s="535"/>
    </row>
    <row r="735" spans="1:11">
      <c r="A735" s="517"/>
      <c r="B735" s="517"/>
      <c r="C735" s="517"/>
      <c r="D735" s="1282"/>
      <c r="E735" s="1282"/>
      <c r="F735" s="1282"/>
      <c r="H735" s="535"/>
      <c r="I735" s="517"/>
      <c r="J735" s="535"/>
      <c r="K735" s="535"/>
    </row>
    <row r="736" spans="1:11">
      <c r="A736" s="517"/>
      <c r="B736" s="517"/>
      <c r="C736" s="517"/>
      <c r="D736" s="1282"/>
      <c r="E736" s="1282"/>
      <c r="F736" s="1282"/>
      <c r="H736" s="535"/>
      <c r="I736" s="517"/>
      <c r="J736" s="535"/>
      <c r="K736" s="535"/>
    </row>
    <row r="737" spans="1:11">
      <c r="A737" s="517"/>
      <c r="B737" s="517"/>
      <c r="C737" s="517"/>
      <c r="D737" s="1282"/>
      <c r="E737" s="1282"/>
      <c r="F737" s="1282"/>
      <c r="H737" s="535"/>
      <c r="I737" s="517"/>
      <c r="J737" s="535"/>
      <c r="K737" s="535"/>
    </row>
    <row r="738" spans="1:11">
      <c r="A738" s="517"/>
      <c r="B738" s="517"/>
      <c r="C738" s="517"/>
      <c r="D738" s="1282"/>
      <c r="E738" s="1282"/>
      <c r="F738" s="1282"/>
      <c r="H738" s="535"/>
      <c r="I738" s="517"/>
      <c r="J738" s="535"/>
      <c r="K738" s="535"/>
    </row>
    <row r="739" spans="1:11">
      <c r="A739" s="517"/>
      <c r="B739" s="517"/>
      <c r="C739" s="517"/>
      <c r="D739" s="1294" t="s">
        <v>2386</v>
      </c>
      <c r="E739" s="1294"/>
      <c r="F739" s="1294"/>
      <c r="H739" s="535"/>
      <c r="I739" s="517"/>
      <c r="J739" s="535"/>
      <c r="K739" s="535"/>
    </row>
    <row r="740" spans="1:11">
      <c r="A740" s="517"/>
      <c r="B740" s="517"/>
      <c r="C740" s="517"/>
      <c r="D740" s="369"/>
      <c r="H740" s="535"/>
      <c r="I740" s="517"/>
      <c r="J740" s="535"/>
      <c r="K740" s="535"/>
    </row>
    <row r="741" spans="1:11">
      <c r="A741" s="1289" t="s">
        <v>1085</v>
      </c>
      <c r="B741" s="1289"/>
      <c r="C741" s="1289"/>
      <c r="D741" s="1289"/>
      <c r="E741" s="1289"/>
      <c r="F741" s="1289"/>
      <c r="G741" s="1289"/>
      <c r="H741" s="1065"/>
      <c r="I741" s="1260"/>
      <c r="J741" s="535"/>
      <c r="K741" s="535"/>
    </row>
    <row r="742" spans="1:11">
      <c r="A742" s="517"/>
      <c r="B742" s="517"/>
      <c r="C742" s="517"/>
      <c r="D742" s="526"/>
      <c r="G742" s="535"/>
      <c r="H742" s="535"/>
      <c r="I742" s="517"/>
      <c r="J742" s="535"/>
      <c r="K742" s="535"/>
    </row>
    <row r="743" spans="1:11" ht="13.7" customHeight="1">
      <c r="C743" s="517"/>
      <c r="D743" s="1310" t="s">
        <v>1101</v>
      </c>
      <c r="E743" s="1310"/>
      <c r="F743" s="1310"/>
      <c r="G743" s="535"/>
      <c r="H743" s="535"/>
      <c r="I743" s="517"/>
      <c r="J743" s="535"/>
      <c r="K743" s="535"/>
    </row>
    <row r="744" spans="1:11">
      <c r="A744" s="517"/>
      <c r="B744" s="517"/>
      <c r="C744" s="517"/>
      <c r="D744" s="1297" t="s">
        <v>1102</v>
      </c>
      <c r="E744" s="1297"/>
      <c r="F744" s="1297"/>
      <c r="G744" s="535"/>
      <c r="H744" s="535"/>
      <c r="I744" s="517"/>
      <c r="J744" s="535"/>
      <c r="K744" s="535"/>
    </row>
    <row r="745" spans="1:11">
      <c r="A745" s="517"/>
      <c r="B745" s="517"/>
      <c r="C745" s="517"/>
      <c r="G745" s="535"/>
      <c r="H745" s="535"/>
      <c r="I745" s="517"/>
      <c r="J745" s="535"/>
      <c r="K745" s="535"/>
    </row>
    <row r="746" spans="1:11" ht="14.25">
      <c r="A746" s="518"/>
      <c r="B746" s="519" t="s">
        <v>2767</v>
      </c>
      <c r="D746" s="1282" t="s">
        <v>1103</v>
      </c>
      <c r="E746" s="1282"/>
      <c r="F746" s="1282"/>
      <c r="G746" s="535"/>
      <c r="H746" s="535"/>
      <c r="I746" s="517" t="s">
        <v>2104</v>
      </c>
      <c r="J746" s="535"/>
      <c r="K746" s="535"/>
    </row>
    <row r="747" spans="1:11" ht="10.5" customHeight="1">
      <c r="D747" s="1282"/>
      <c r="E747" s="1282"/>
      <c r="F747" s="1282"/>
      <c r="G747" s="535"/>
      <c r="H747" s="535"/>
      <c r="I747" s="517"/>
      <c r="J747" s="535"/>
      <c r="K747" s="535"/>
    </row>
    <row r="748" spans="1:11">
      <c r="D748" s="1282"/>
      <c r="E748" s="1282"/>
      <c r="F748" s="1282"/>
      <c r="G748" s="535"/>
      <c r="H748" s="535"/>
      <c r="I748" s="517"/>
      <c r="J748" s="535"/>
      <c r="K748" s="535"/>
    </row>
    <row r="749" spans="1:11">
      <c r="D749" s="1282"/>
      <c r="E749" s="1282"/>
      <c r="F749" s="1282"/>
      <c r="G749" s="535"/>
      <c r="H749" s="535"/>
      <c r="I749" s="517"/>
      <c r="J749" s="535"/>
      <c r="K749" s="535"/>
    </row>
    <row r="750" spans="1:11">
      <c r="D750" s="1282"/>
      <c r="E750" s="1282"/>
      <c r="F750" s="1282"/>
      <c r="G750" s="535"/>
      <c r="H750" s="535"/>
      <c r="I750" s="517"/>
      <c r="J750" s="535"/>
      <c r="K750" s="535"/>
    </row>
    <row r="751" spans="1:11" ht="15.6" customHeight="1">
      <c r="D751" s="1282"/>
      <c r="E751" s="1282"/>
      <c r="F751" s="1282"/>
      <c r="G751" s="535"/>
      <c r="H751" s="535"/>
      <c r="I751" s="517"/>
      <c r="J751" s="535"/>
      <c r="K751" s="535"/>
    </row>
    <row r="752" spans="1:11">
      <c r="D752" s="533"/>
      <c r="E752" s="480"/>
      <c r="F752" s="480"/>
      <c r="G752" s="535"/>
      <c r="H752" s="535"/>
      <c r="I752" s="517"/>
      <c r="J752" s="535"/>
      <c r="K752" s="535"/>
    </row>
    <row r="753" spans="1:11" s="539" customFormat="1" ht="14.25">
      <c r="A753" s="537"/>
      <c r="B753" s="519" t="s">
        <v>2768</v>
      </c>
      <c r="C753" s="538"/>
      <c r="D753" s="1282" t="s">
        <v>1345</v>
      </c>
      <c r="E753" s="1282"/>
      <c r="F753" s="1282"/>
      <c r="I753" s="1261" t="s">
        <v>2104</v>
      </c>
    </row>
    <row r="754" spans="1:11" s="539" customFormat="1">
      <c r="A754" s="538"/>
      <c r="B754" s="538"/>
      <c r="C754" s="538"/>
      <c r="D754" s="1282"/>
      <c r="E754" s="1282"/>
      <c r="F754" s="1282"/>
      <c r="I754" s="1261"/>
    </row>
    <row r="755" spans="1:11" s="539" customFormat="1">
      <c r="A755" s="538"/>
      <c r="B755" s="538"/>
      <c r="C755" s="538"/>
      <c r="D755" s="1282"/>
      <c r="E755" s="1282"/>
      <c r="F755" s="1282"/>
      <c r="I755" s="1261"/>
    </row>
    <row r="756" spans="1:11" s="539" customFormat="1">
      <c r="A756" s="538"/>
      <c r="B756" s="538"/>
      <c r="C756" s="538"/>
      <c r="D756" s="1282"/>
      <c r="E756" s="1282"/>
      <c r="F756" s="1282"/>
      <c r="I756" s="1261"/>
    </row>
    <row r="757" spans="1:11" s="539" customFormat="1">
      <c r="A757" s="538"/>
      <c r="B757" s="538"/>
      <c r="C757" s="538"/>
      <c r="D757" s="533"/>
      <c r="I757" s="1261"/>
    </row>
    <row r="758" spans="1:11" s="539" customFormat="1" ht="14.25">
      <c r="A758" s="518"/>
      <c r="B758" s="519" t="s">
        <v>2768</v>
      </c>
      <c r="C758" s="538"/>
      <c r="D758" s="1284" t="s">
        <v>1346</v>
      </c>
      <c r="E758" s="1284"/>
      <c r="F758" s="1284"/>
      <c r="I758" s="1261" t="s">
        <v>2105</v>
      </c>
    </row>
    <row r="759" spans="1:11" s="539" customFormat="1">
      <c r="A759" s="538"/>
      <c r="B759" s="538"/>
      <c r="C759" s="538"/>
      <c r="D759" s="1284"/>
      <c r="E759" s="1284"/>
      <c r="F759" s="1284"/>
      <c r="I759" s="1261"/>
    </row>
    <row r="760" spans="1:11" s="539" customFormat="1">
      <c r="A760" s="538"/>
      <c r="B760" s="538"/>
      <c r="C760" s="538"/>
      <c r="D760" s="1284"/>
      <c r="E760" s="1284"/>
      <c r="F760" s="1284"/>
      <c r="I760" s="1261"/>
    </row>
    <row r="761" spans="1:11">
      <c r="D761" s="533"/>
      <c r="E761" s="480"/>
      <c r="F761" s="480"/>
      <c r="G761" s="535"/>
      <c r="H761" s="535"/>
      <c r="I761" s="517"/>
      <c r="J761" s="535"/>
      <c r="K761" s="535"/>
    </row>
    <row r="762" spans="1:11" ht="14.25">
      <c r="A762" s="518"/>
      <c r="B762" s="519" t="s">
        <v>2768</v>
      </c>
      <c r="D762" s="1282" t="s">
        <v>1301</v>
      </c>
      <c r="E762" s="1282"/>
      <c r="F762" s="1282"/>
      <c r="G762" s="535"/>
      <c r="H762" s="535"/>
      <c r="I762" s="517" t="s">
        <v>2104</v>
      </c>
      <c r="J762" s="535"/>
      <c r="K762" s="535"/>
    </row>
    <row r="763" spans="1:11">
      <c r="D763" s="1282"/>
      <c r="E763" s="1282"/>
      <c r="F763" s="1282"/>
      <c r="G763" s="535"/>
      <c r="H763" s="535"/>
      <c r="I763" s="517"/>
      <c r="J763" s="535"/>
      <c r="K763" s="535"/>
    </row>
    <row r="764" spans="1:11">
      <c r="D764" s="479"/>
      <c r="E764" s="479"/>
      <c r="F764" s="479"/>
      <c r="G764" s="535"/>
      <c r="H764" s="535"/>
      <c r="I764" s="517"/>
      <c r="J764" s="535"/>
      <c r="K764" s="535"/>
    </row>
    <row r="765" spans="1:11">
      <c r="B765" s="519" t="s">
        <v>2768</v>
      </c>
      <c r="D765" s="1282" t="s">
        <v>1318</v>
      </c>
      <c r="E765" s="1282"/>
      <c r="F765" s="1282"/>
      <c r="G765" s="535"/>
      <c r="H765" s="535"/>
      <c r="I765" s="517" t="s">
        <v>2104</v>
      </c>
      <c r="J765" s="535"/>
      <c r="K765" s="535"/>
    </row>
    <row r="766" spans="1:11">
      <c r="D766" s="1282"/>
      <c r="E766" s="1282"/>
      <c r="F766" s="1282"/>
      <c r="G766" s="535"/>
      <c r="H766" s="535"/>
      <c r="I766" s="517"/>
      <c r="J766" s="535"/>
      <c r="K766" s="535"/>
    </row>
    <row r="767" spans="1:11">
      <c r="D767" s="1282"/>
      <c r="E767" s="1282"/>
      <c r="F767" s="1282"/>
      <c r="G767" s="535"/>
      <c r="H767" s="535"/>
      <c r="I767" s="517"/>
      <c r="J767" s="535"/>
      <c r="K767" s="535"/>
    </row>
    <row r="768" spans="1:11">
      <c r="D768" s="479"/>
      <c r="E768" s="479"/>
      <c r="F768" s="479"/>
      <c r="G768" s="535"/>
      <c r="H768" s="535"/>
      <c r="I768" s="517"/>
      <c r="J768" s="535"/>
      <c r="K768" s="535"/>
    </row>
    <row r="769" spans="1:9">
      <c r="A769" s="1336" t="s">
        <v>1987</v>
      </c>
      <c r="B769" s="1336"/>
      <c r="C769" s="1336"/>
      <c r="D769" s="1336"/>
      <c r="E769" s="1336"/>
      <c r="F769" s="1336"/>
      <c r="G769" s="1336"/>
      <c r="H769" s="1063"/>
      <c r="I769" s="1256"/>
    </row>
    <row r="770" spans="1:9">
      <c r="A770" s="57"/>
      <c r="B770" s="57"/>
      <c r="C770" s="385"/>
      <c r="D770" s="3"/>
      <c r="E770" s="3"/>
      <c r="F770" s="3"/>
      <c r="G770" s="3"/>
      <c r="I770" s="524"/>
    </row>
    <row r="771" spans="1:9">
      <c r="A771" s="57"/>
      <c r="B771" s="57"/>
      <c r="C771" s="385"/>
      <c r="D771" s="1346" t="s">
        <v>2041</v>
      </c>
      <c r="E771" s="1346"/>
      <c r="F771" s="1346"/>
      <c r="G771" s="3"/>
      <c r="I771" s="524"/>
    </row>
    <row r="772" spans="1:9">
      <c r="A772" s="57"/>
      <c r="B772" s="57"/>
      <c r="C772" s="385"/>
      <c r="D772" s="1315" t="s">
        <v>1940</v>
      </c>
      <c r="E772" s="1315"/>
      <c r="F772" s="1315"/>
      <c r="G772" s="3"/>
      <c r="I772" s="524"/>
    </row>
    <row r="773" spans="1:9">
      <c r="A773" s="57"/>
      <c r="B773" s="57"/>
      <c r="C773" s="385"/>
      <c r="D773" s="481"/>
      <c r="E773" s="481"/>
      <c r="F773" s="481"/>
      <c r="G773" s="3"/>
      <c r="I773" s="524"/>
    </row>
    <row r="774" spans="1:9">
      <c r="A774" s="57"/>
      <c r="B774" s="519" t="s">
        <v>2767</v>
      </c>
      <c r="C774" s="385"/>
      <c r="D774" s="1300" t="s">
        <v>1941</v>
      </c>
      <c r="E774" s="1300"/>
      <c r="F774" s="1300"/>
      <c r="G774" s="3"/>
      <c r="I774" s="517" t="s">
        <v>2154</v>
      </c>
    </row>
    <row r="775" spans="1:9">
      <c r="A775" s="57"/>
      <c r="B775" s="57"/>
      <c r="C775" s="385"/>
      <c r="D775" s="1300"/>
      <c r="E775" s="1300"/>
      <c r="F775" s="1300"/>
      <c r="G775" s="3"/>
      <c r="I775" s="524"/>
    </row>
    <row r="776" spans="1:9">
      <c r="A776" s="175"/>
      <c r="B776" s="175"/>
      <c r="C776" s="175"/>
      <c r="D776" s="1300"/>
      <c r="E776" s="1300"/>
      <c r="F776" s="1300"/>
      <c r="G776" s="118"/>
      <c r="I776" s="524"/>
    </row>
    <row r="777" spans="1:9">
      <c r="A777" s="385"/>
      <c r="B777" s="385"/>
      <c r="C777" s="385"/>
      <c r="D777" s="174"/>
      <c r="E777" s="3"/>
      <c r="F777" s="3"/>
      <c r="G777" s="3"/>
      <c r="I777" s="524"/>
    </row>
    <row r="778" spans="1:9">
      <c r="A778" s="172"/>
      <c r="B778" s="519" t="s">
        <v>2768</v>
      </c>
      <c r="C778" s="172"/>
      <c r="D778" s="1300" t="s">
        <v>1942</v>
      </c>
      <c r="E778" s="1300"/>
      <c r="F778" s="1300"/>
      <c r="G778" s="3"/>
      <c r="I778" s="517" t="s">
        <v>2154</v>
      </c>
    </row>
    <row r="779" spans="1:9">
      <c r="A779" s="172"/>
      <c r="B779" s="172"/>
      <c r="C779" s="172"/>
      <c r="D779" s="1300"/>
      <c r="E779" s="1300"/>
      <c r="F779" s="1300"/>
      <c r="G779" s="3"/>
      <c r="I779" s="524"/>
    </row>
    <row r="780" spans="1:9">
      <c r="A780" s="172"/>
      <c r="B780" s="172"/>
      <c r="C780" s="172"/>
      <c r="D780" s="1300"/>
      <c r="E780" s="1300"/>
      <c r="F780" s="1300"/>
      <c r="G780" s="3"/>
      <c r="I780" s="524"/>
    </row>
    <row r="781" spans="1:9">
      <c r="A781" s="175"/>
      <c r="B781" s="175"/>
      <c r="C781" s="175"/>
      <c r="D781" s="3"/>
      <c r="E781" s="1023"/>
      <c r="F781" s="1023"/>
      <c r="G781" s="1023"/>
      <c r="I781" s="524"/>
    </row>
    <row r="782" spans="1:9" ht="14.25">
      <c r="A782" s="176"/>
      <c r="B782" s="519" t="s">
        <v>2768</v>
      </c>
      <c r="C782" s="1024"/>
      <c r="D782" s="1300" t="s">
        <v>1943</v>
      </c>
      <c r="E782" s="1300"/>
      <c r="F782" s="1300"/>
      <c r="G782" s="1023"/>
      <c r="I782" s="517" t="s">
        <v>2154</v>
      </c>
    </row>
    <row r="783" spans="1:9" ht="14.25">
      <c r="A783" s="176"/>
      <c r="B783" s="176"/>
      <c r="C783" s="1024"/>
      <c r="D783" s="1300"/>
      <c r="E783" s="1300"/>
      <c r="F783" s="1300"/>
      <c r="G783" s="1023"/>
      <c r="I783" s="524"/>
    </row>
    <row r="784" spans="1:9" ht="14.25">
      <c r="A784" s="176"/>
      <c r="B784" s="176"/>
      <c r="C784" s="1024"/>
      <c r="D784" s="1300"/>
      <c r="E784" s="1300"/>
      <c r="F784" s="1300"/>
      <c r="G784" s="1023"/>
      <c r="I784" s="524"/>
    </row>
    <row r="785" spans="1:9" ht="14.25">
      <c r="A785" s="176"/>
      <c r="B785" s="176"/>
      <c r="C785" s="1024"/>
      <c r="D785" s="118"/>
      <c r="E785" s="3"/>
      <c r="F785" s="3"/>
      <c r="G785" s="1023"/>
      <c r="I785" s="524"/>
    </row>
    <row r="786" spans="1:9" ht="14.25">
      <c r="A786" s="176"/>
      <c r="B786" s="519" t="s">
        <v>2768</v>
      </c>
      <c r="C786" s="1024"/>
      <c r="D786" s="1300" t="s">
        <v>1944</v>
      </c>
      <c r="E786" s="1300"/>
      <c r="F786" s="1300"/>
      <c r="G786" s="1023"/>
      <c r="I786" s="517" t="s">
        <v>2154</v>
      </c>
    </row>
    <row r="787" spans="1:9" ht="14.25">
      <c r="A787" s="176"/>
      <c r="B787" s="176"/>
      <c r="C787" s="1024"/>
      <c r="D787" s="1300"/>
      <c r="E787" s="1300"/>
      <c r="F787" s="1300"/>
      <c r="G787" s="1023"/>
      <c r="I787" s="524"/>
    </row>
    <row r="788" spans="1:9" ht="14.25">
      <c r="A788" s="176"/>
      <c r="B788" s="176"/>
      <c r="C788" s="1024"/>
      <c r="D788" s="1300"/>
      <c r="E788" s="1300"/>
      <c r="F788" s="1300"/>
      <c r="G788" s="1023"/>
      <c r="I788" s="524"/>
    </row>
    <row r="789" spans="1:9" ht="14.25">
      <c r="A789" s="176"/>
      <c r="B789" s="176"/>
      <c r="C789" s="1024"/>
      <c r="D789" s="1300"/>
      <c r="E789" s="1300"/>
      <c r="F789" s="1300"/>
      <c r="G789" s="1023"/>
      <c r="I789" s="524"/>
    </row>
    <row r="790" spans="1:9" ht="14.25">
      <c r="A790" s="176"/>
      <c r="B790" s="176"/>
      <c r="C790" s="1024"/>
      <c r="D790" s="1300"/>
      <c r="E790" s="1300"/>
      <c r="F790" s="1300"/>
      <c r="G790" s="1023"/>
      <c r="I790" s="524"/>
    </row>
    <row r="791" spans="1:9" ht="14.25">
      <c r="A791" s="176"/>
      <c r="B791" s="176"/>
      <c r="C791" s="1024"/>
      <c r="D791" s="1300"/>
      <c r="E791" s="1300"/>
      <c r="F791" s="1300"/>
      <c r="G791" s="1023"/>
      <c r="I791" s="524"/>
    </row>
    <row r="792" spans="1:9" ht="14.25">
      <c r="A792" s="176"/>
      <c r="B792" s="176"/>
      <c r="C792" s="1024"/>
      <c r="D792" s="1300" t="s">
        <v>1988</v>
      </c>
      <c r="E792" s="1300"/>
      <c r="F792" s="1300"/>
      <c r="G792" s="1023"/>
      <c r="I792" s="524"/>
    </row>
    <row r="793" spans="1:9" ht="14.25">
      <c r="A793" s="176"/>
      <c r="B793" s="176"/>
      <c r="C793" s="1024"/>
      <c r="D793" s="1300"/>
      <c r="E793" s="1300"/>
      <c r="F793" s="1300"/>
      <c r="G793" s="1023"/>
      <c r="I793" s="524"/>
    </row>
    <row r="794" spans="1:9" ht="14.25">
      <c r="A794" s="176"/>
      <c r="B794" s="176"/>
      <c r="C794" s="1024"/>
      <c r="D794" s="1300"/>
      <c r="E794" s="1300"/>
      <c r="F794" s="1300"/>
      <c r="G794" s="1023"/>
      <c r="I794" s="524"/>
    </row>
    <row r="795" spans="1:9" ht="14.25">
      <c r="A795" s="176"/>
      <c r="B795" s="385"/>
      <c r="C795" s="1024"/>
      <c r="D795" s="1025"/>
      <c r="E795" s="1025"/>
      <c r="F795" s="1025"/>
      <c r="G795" s="1023"/>
      <c r="I795" s="524"/>
    </row>
    <row r="796" spans="1:9" ht="14.25">
      <c r="A796" s="176"/>
      <c r="B796" s="519" t="s">
        <v>2768</v>
      </c>
      <c r="C796" s="1024"/>
      <c r="D796" s="1300" t="s">
        <v>1945</v>
      </c>
      <c r="E796" s="1300"/>
      <c r="F796" s="1300"/>
      <c r="G796" s="1023"/>
      <c r="I796" s="517" t="s">
        <v>2154</v>
      </c>
    </row>
    <row r="797" spans="1:9" ht="14.25">
      <c r="A797" s="176"/>
      <c r="B797" s="176"/>
      <c r="C797" s="1024"/>
      <c r="D797" s="1300"/>
      <c r="E797" s="1300"/>
      <c r="F797" s="1300"/>
      <c r="G797" s="1023"/>
      <c r="I797" s="524"/>
    </row>
    <row r="798" spans="1:9" ht="14.25">
      <c r="A798" s="176"/>
      <c r="B798" s="176"/>
      <c r="C798" s="1024"/>
      <c r="D798" s="1300"/>
      <c r="E798" s="1300"/>
      <c r="F798" s="1300"/>
      <c r="G798" s="1023"/>
      <c r="I798" s="524"/>
    </row>
    <row r="799" spans="1:9" ht="14.25">
      <c r="A799" s="176"/>
      <c r="B799" s="176"/>
      <c r="C799" s="1024"/>
      <c r="D799" s="1300"/>
      <c r="E799" s="1300"/>
      <c r="F799" s="1300"/>
      <c r="G799" s="1023"/>
      <c r="I799" s="524"/>
    </row>
    <row r="800" spans="1:9" ht="14.25">
      <c r="A800" s="176"/>
      <c r="B800" s="176"/>
      <c r="C800" s="1024"/>
      <c r="D800" s="1300"/>
      <c r="E800" s="1300"/>
      <c r="F800" s="1300"/>
      <c r="G800" s="1023"/>
      <c r="I800" s="524"/>
    </row>
    <row r="801" spans="1:9" ht="14.25">
      <c r="A801" s="176"/>
      <c r="B801" s="176"/>
      <c r="C801" s="1024"/>
      <c r="D801" s="1300"/>
      <c r="E801" s="1300"/>
      <c r="F801" s="1300"/>
      <c r="G801" s="1023"/>
      <c r="I801" s="524"/>
    </row>
    <row r="802" spans="1:9" ht="14.25">
      <c r="A802" s="176"/>
      <c r="B802" s="176"/>
      <c r="C802" s="1024"/>
      <c r="D802" s="1017"/>
      <c r="E802" s="1017"/>
      <c r="F802" s="1017"/>
      <c r="G802" s="1023"/>
      <c r="I802" s="524"/>
    </row>
    <row r="803" spans="1:9" ht="14.25">
      <c r="A803" s="176"/>
      <c r="B803" s="519" t="s">
        <v>2768</v>
      </c>
      <c r="C803" s="1024"/>
      <c r="D803" s="1300" t="s">
        <v>1946</v>
      </c>
      <c r="E803" s="1300"/>
      <c r="F803" s="1300"/>
      <c r="G803" s="1023"/>
      <c r="I803" s="517" t="s">
        <v>2154</v>
      </c>
    </row>
    <row r="804" spans="1:9" ht="14.25">
      <c r="A804" s="176"/>
      <c r="B804" s="176"/>
      <c r="C804" s="1024"/>
      <c r="D804" s="1300"/>
      <c r="E804" s="1300"/>
      <c r="F804" s="1300"/>
      <c r="G804" s="1023"/>
      <c r="I804" s="524"/>
    </row>
    <row r="805" spans="1:9" ht="14.25">
      <c r="A805" s="176"/>
      <c r="B805" s="176"/>
      <c r="C805" s="1024"/>
      <c r="D805" s="1300"/>
      <c r="E805" s="1300"/>
      <c r="F805" s="1300"/>
      <c r="G805" s="1023"/>
      <c r="I805" s="524"/>
    </row>
    <row r="806" spans="1:9" ht="14.25">
      <c r="A806" s="176"/>
      <c r="B806" s="176"/>
      <c r="C806" s="1024"/>
      <c r="D806" s="1300"/>
      <c r="E806" s="1300"/>
      <c r="F806" s="1300"/>
      <c r="G806" s="1023"/>
      <c r="I806" s="524"/>
    </row>
    <row r="807" spans="1:9" ht="14.25">
      <c r="A807" s="176"/>
      <c r="B807" s="176"/>
      <c r="C807" s="1024"/>
      <c r="D807" s="1300"/>
      <c r="E807" s="1300"/>
      <c r="F807" s="1300"/>
      <c r="G807" s="1023"/>
      <c r="I807" s="524"/>
    </row>
    <row r="808" spans="1:9" ht="14.25">
      <c r="A808" s="176"/>
      <c r="B808" s="176"/>
      <c r="C808" s="1024"/>
      <c r="D808" s="1300"/>
      <c r="E808" s="1300"/>
      <c r="F808" s="1300"/>
      <c r="G808" s="1023"/>
      <c r="I808" s="524"/>
    </row>
    <row r="809" spans="1:9" ht="14.25">
      <c r="A809" s="176"/>
      <c r="B809" s="176"/>
      <c r="C809" s="1024"/>
      <c r="D809" s="1017"/>
      <c r="E809" s="1017"/>
      <c r="F809" s="1017"/>
      <c r="G809" s="1023"/>
      <c r="I809" s="524"/>
    </row>
    <row r="810" spans="1:9" ht="14.25">
      <c r="A810" s="176"/>
      <c r="B810" s="519" t="s">
        <v>2768</v>
      </c>
      <c r="C810" s="1024"/>
      <c r="D810" s="1308" t="s">
        <v>1947</v>
      </c>
      <c r="E810" s="1308"/>
      <c r="F810" s="1308"/>
      <c r="G810" s="1023"/>
      <c r="I810" s="517" t="s">
        <v>2154</v>
      </c>
    </row>
    <row r="811" spans="1:9" ht="14.25">
      <c r="A811" s="176"/>
      <c r="B811" s="176"/>
      <c r="C811" s="1024"/>
      <c r="D811" s="1308"/>
      <c r="E811" s="1308"/>
      <c r="F811" s="1308"/>
      <c r="G811" s="1023"/>
      <c r="I811" s="524"/>
    </row>
    <row r="812" spans="1:9">
      <c r="A812" s="13"/>
      <c r="B812" s="13"/>
      <c r="C812" s="1024"/>
      <c r="D812" s="1308"/>
      <c r="E812" s="1308"/>
      <c r="F812" s="1308"/>
      <c r="G812" s="1023"/>
      <c r="I812" s="524"/>
    </row>
    <row r="813" spans="1:9" ht="14.25">
      <c r="A813" s="176"/>
      <c r="B813" s="13"/>
      <c r="C813" s="1024"/>
      <c r="D813" s="1308"/>
      <c r="E813" s="1308"/>
      <c r="F813" s="1308"/>
      <c r="G813" s="1023"/>
      <c r="I813" s="524"/>
    </row>
    <row r="814" spans="1:9" ht="12.75" customHeight="1">
      <c r="A814" s="176"/>
      <c r="B814" s="13"/>
      <c r="C814" s="1024"/>
      <c r="D814" s="1308"/>
      <c r="E814" s="1308"/>
      <c r="F814" s="1308"/>
      <c r="G814" s="1023"/>
      <c r="I814" s="524"/>
    </row>
    <row r="815" spans="1:9" ht="12.75" customHeight="1">
      <c r="A815" s="176"/>
      <c r="B815" s="13"/>
      <c r="C815" s="1024"/>
      <c r="D815" s="1308"/>
      <c r="E815" s="1308"/>
      <c r="F815" s="1308"/>
      <c r="G815" s="1023"/>
      <c r="I815" s="524"/>
    </row>
    <row r="816" spans="1:9" ht="12.75" customHeight="1">
      <c r="A816" s="13"/>
      <c r="B816" s="13"/>
      <c r="C816" s="1024"/>
      <c r="D816" s="1023"/>
      <c r="E816" s="3"/>
      <c r="F816" s="3"/>
      <c r="G816" s="1023"/>
      <c r="I816" s="524"/>
    </row>
    <row r="817" spans="1:9" ht="12.75" customHeight="1">
      <c r="A817" s="1295" t="s">
        <v>1948</v>
      </c>
      <c r="B817" s="1295"/>
      <c r="C817" s="1295"/>
      <c r="D817" s="1295"/>
      <c r="E817" s="1295"/>
      <c r="F817" s="1295"/>
      <c r="G817" s="1295"/>
      <c r="H817" s="1063"/>
      <c r="I817" s="1256"/>
    </row>
    <row r="818" spans="1:9" ht="12.75" customHeight="1">
      <c r="A818" s="172"/>
      <c r="B818" s="172"/>
      <c r="C818" s="1024"/>
      <c r="D818" s="1023"/>
      <c r="E818" s="1023"/>
      <c r="F818" s="1023"/>
      <c r="G818" s="1023"/>
      <c r="I818" s="524"/>
    </row>
    <row r="819" spans="1:9" ht="12.75" customHeight="1">
      <c r="A819" s="176"/>
      <c r="B819" s="176"/>
      <c r="C819" s="385"/>
      <c r="D819" s="1299" t="s">
        <v>1989</v>
      </c>
      <c r="E819" s="1299"/>
      <c r="F819" s="1299"/>
      <c r="G819" s="3"/>
      <c r="I819" s="524"/>
    </row>
    <row r="820" spans="1:9" ht="14.25" customHeight="1">
      <c r="A820" s="176"/>
      <c r="B820" s="176"/>
      <c r="C820" s="385"/>
      <c r="D820" s="1267" t="s">
        <v>1949</v>
      </c>
      <c r="E820" s="1267"/>
      <c r="F820" s="1267"/>
      <c r="G820" s="3"/>
      <c r="I820" s="524"/>
    </row>
    <row r="821" spans="1:9" ht="12.75" customHeight="1">
      <c r="A821" s="176"/>
      <c r="B821" s="176"/>
      <c r="C821" s="385"/>
      <c r="D821" s="474"/>
      <c r="E821" s="474"/>
      <c r="F821" s="474"/>
      <c r="G821" s="3"/>
      <c r="I821" s="524"/>
    </row>
    <row r="822" spans="1:9" ht="12.75" customHeight="1">
      <c r="A822" s="385"/>
      <c r="B822" s="519" t="s">
        <v>2767</v>
      </c>
      <c r="C822" s="1024"/>
      <c r="D822" s="1267" t="s">
        <v>1950</v>
      </c>
      <c r="E822" s="1267"/>
      <c r="F822" s="1267"/>
      <c r="G822" s="3"/>
      <c r="I822" s="524" t="s">
        <v>2122</v>
      </c>
    </row>
    <row r="823" spans="1:9" ht="14.25" customHeight="1">
      <c r="A823" s="13"/>
      <c r="B823" s="13"/>
      <c r="C823" s="1024"/>
      <c r="E823" s="1071" t="s">
        <v>2191</v>
      </c>
      <c r="F823" s="1073"/>
      <c r="G823" s="3"/>
      <c r="I823" s="524"/>
    </row>
    <row r="824" spans="1:9" ht="12.75" customHeight="1">
      <c r="A824" s="13"/>
      <c r="B824" s="13"/>
      <c r="C824" s="1024"/>
      <c r="D824" s="1026"/>
      <c r="E824" s="3"/>
      <c r="F824" s="3"/>
      <c r="G824" s="3"/>
      <c r="I824" s="524"/>
    </row>
    <row r="825" spans="1:9" ht="14.25" hidden="1" customHeight="1">
      <c r="A825" s="13"/>
      <c r="B825" s="519" t="s">
        <v>307</v>
      </c>
      <c r="C825" s="1024"/>
      <c r="D825" s="1344" t="s">
        <v>2387</v>
      </c>
      <c r="E825" s="1344"/>
      <c r="F825" s="1344"/>
      <c r="G825" s="3"/>
      <c r="I825" s="524"/>
    </row>
    <row r="826" spans="1:9" ht="12.75" hidden="1" customHeight="1">
      <c r="A826" s="13"/>
      <c r="B826" s="13"/>
      <c r="C826" s="1024"/>
      <c r="D826" s="1344"/>
      <c r="E826" s="1344"/>
      <c r="F826" s="1344"/>
      <c r="G826" s="3"/>
      <c r="I826" s="524"/>
    </row>
    <row r="827" spans="1:9" ht="12.75" hidden="1" customHeight="1">
      <c r="A827" s="13"/>
      <c r="B827" s="13"/>
      <c r="C827" s="1024"/>
      <c r="D827" s="1344"/>
      <c r="E827" s="1344"/>
      <c r="F827" s="1344"/>
      <c r="G827" s="3"/>
      <c r="I827" s="524"/>
    </row>
    <row r="828" spans="1:9" ht="12.75" hidden="1" customHeight="1">
      <c r="A828" s="13"/>
      <c r="B828" s="13"/>
      <c r="C828" s="1024"/>
      <c r="D828" s="1344"/>
      <c r="E828" s="1344"/>
      <c r="F828" s="1344"/>
      <c r="G828" s="3"/>
      <c r="I828" s="524"/>
    </row>
    <row r="829" spans="1:9" ht="12.75" hidden="1" customHeight="1">
      <c r="A829" s="13"/>
      <c r="B829" s="13"/>
      <c r="C829" s="1024"/>
      <c r="D829" s="1344"/>
      <c r="E829" s="1344"/>
      <c r="F829" s="1344"/>
      <c r="G829" s="3"/>
      <c r="I829" s="524"/>
    </row>
    <row r="830" spans="1:9" ht="12.75" hidden="1" customHeight="1">
      <c r="A830" s="13"/>
      <c r="B830" s="13"/>
      <c r="C830" s="1024"/>
      <c r="D830" s="1344"/>
      <c r="E830" s="1344"/>
      <c r="F830" s="1344"/>
      <c r="G830" s="3"/>
      <c r="I830" s="524"/>
    </row>
    <row r="831" spans="1:9" ht="12.75" hidden="1" customHeight="1">
      <c r="A831" s="13"/>
      <c r="B831" s="13"/>
      <c r="C831" s="1024"/>
      <c r="D831" s="1344"/>
      <c r="E831" s="1344"/>
      <c r="F831" s="1344"/>
      <c r="G831" s="3"/>
      <c r="I831" s="524"/>
    </row>
    <row r="832" spans="1:9" ht="12.75" hidden="1" customHeight="1">
      <c r="A832" s="13"/>
      <c r="B832" s="13"/>
      <c r="C832" s="1024"/>
      <c r="D832" s="1344"/>
      <c r="E832" s="1344"/>
      <c r="F832" s="1344"/>
      <c r="G832" s="3"/>
      <c r="I832" s="524"/>
    </row>
    <row r="833" spans="1:9" ht="12.75" hidden="1" customHeight="1">
      <c r="A833" s="13"/>
      <c r="B833" s="13"/>
      <c r="C833" s="1024"/>
      <c r="D833" s="1344"/>
      <c r="E833" s="1344"/>
      <c r="F833" s="1344"/>
      <c r="G833" s="3"/>
      <c r="I833" s="524"/>
    </row>
    <row r="834" spans="1:9" ht="12.75" hidden="1" customHeight="1">
      <c r="A834" s="13"/>
      <c r="B834" s="13"/>
      <c r="C834" s="1024"/>
      <c r="D834" s="1344"/>
      <c r="E834" s="1344"/>
      <c r="F834" s="1344"/>
      <c r="G834" s="3"/>
      <c r="I834" s="524"/>
    </row>
    <row r="835" spans="1:9" ht="12.75" hidden="1" customHeight="1">
      <c r="A835" s="13"/>
      <c r="B835" s="13"/>
      <c r="C835" s="1024"/>
      <c r="D835" s="1026"/>
      <c r="E835" s="3"/>
      <c r="F835" s="3"/>
      <c r="G835" s="3"/>
      <c r="I835" s="524"/>
    </row>
    <row r="836" spans="1:9" ht="12.75" customHeight="1">
      <c r="A836" s="176"/>
      <c r="B836" s="519" t="s">
        <v>2767</v>
      </c>
      <c r="C836" s="1024"/>
      <c r="D836" s="1267" t="s">
        <v>1951</v>
      </c>
      <c r="E836" s="1267"/>
      <c r="F836" s="1267"/>
      <c r="G836" s="3"/>
      <c r="I836" s="524" t="s">
        <v>2140</v>
      </c>
    </row>
    <row r="837" spans="1:9" ht="12.75" customHeight="1">
      <c r="A837" s="176"/>
      <c r="B837" s="176"/>
      <c r="C837" s="1024"/>
      <c r="D837" s="1267"/>
      <c r="E837" s="1267"/>
      <c r="F837" s="1267"/>
      <c r="G837" s="3"/>
      <c r="I837" s="524"/>
    </row>
    <row r="838" spans="1:9" ht="12.75" customHeight="1">
      <c r="A838" s="176"/>
      <c r="B838" s="176"/>
      <c r="C838" s="1024"/>
      <c r="D838" s="1267"/>
      <c r="E838" s="1267"/>
      <c r="F838" s="1267"/>
      <c r="G838" s="3"/>
      <c r="I838" s="524"/>
    </row>
    <row r="839" spans="1:9" ht="12.75" customHeight="1">
      <c r="A839" s="176"/>
      <c r="B839" s="176"/>
      <c r="C839" s="1024"/>
      <c r="D839" s="118"/>
      <c r="E839" s="3"/>
      <c r="F839" s="3"/>
      <c r="G839" s="3"/>
      <c r="I839" s="524"/>
    </row>
    <row r="840" spans="1:9" ht="12.75" customHeight="1">
      <c r="A840" s="1027"/>
      <c r="B840" s="519" t="s">
        <v>2768</v>
      </c>
      <c r="C840" s="1024"/>
      <c r="D840" s="1299" t="s">
        <v>1952</v>
      </c>
      <c r="E840" s="1299"/>
      <c r="F840" s="1299"/>
      <c r="G840" s="3"/>
      <c r="I840" s="524"/>
    </row>
    <row r="841" spans="1:9" ht="12.75" customHeight="1">
      <c r="A841" s="385"/>
      <c r="B841" s="1027"/>
      <c r="C841" s="1024"/>
      <c r="D841" s="1299"/>
      <c r="E841" s="1299"/>
      <c r="F841" s="1299"/>
      <c r="G841" s="3"/>
      <c r="I841" s="524"/>
    </row>
    <row r="842" spans="1:9" ht="12.75" customHeight="1">
      <c r="A842" s="176"/>
      <c r="B842" s="385"/>
      <c r="C842" s="1024"/>
      <c r="D842" s="1267" t="s">
        <v>2378</v>
      </c>
      <c r="E842" s="1267"/>
      <c r="F842" s="1267"/>
      <c r="G842" s="3"/>
      <c r="I842" s="524"/>
    </row>
    <row r="843" spans="1:9" ht="12.75" customHeight="1">
      <c r="A843" s="176"/>
      <c r="B843" s="176"/>
      <c r="C843" s="1024"/>
      <c r="D843" s="1267"/>
      <c r="E843" s="1267"/>
      <c r="F843" s="1267"/>
      <c r="G843" s="3"/>
      <c r="I843" s="524"/>
    </row>
    <row r="844" spans="1:9" ht="12.75" customHeight="1">
      <c r="A844" s="176"/>
      <c r="B844" s="176"/>
      <c r="C844" s="1024"/>
      <c r="D844" s="1267"/>
      <c r="E844" s="1267"/>
      <c r="F844" s="1267"/>
      <c r="G844" s="3"/>
      <c r="I844" s="524"/>
    </row>
    <row r="845" spans="1:9" ht="12.75" customHeight="1">
      <c r="A845" s="176"/>
      <c r="B845" s="176"/>
      <c r="C845" s="1024"/>
      <c r="D845" s="1267"/>
      <c r="E845" s="1267"/>
      <c r="F845" s="1267"/>
      <c r="G845" s="3"/>
      <c r="I845" s="524"/>
    </row>
    <row r="846" spans="1:9" ht="12.75" customHeight="1">
      <c r="A846" s="176"/>
      <c r="B846" s="176"/>
      <c r="C846" s="1024"/>
      <c r="D846" s="1267"/>
      <c r="E846" s="1267"/>
      <c r="F846" s="1267"/>
      <c r="G846" s="3"/>
      <c r="I846" s="524"/>
    </row>
    <row r="847" spans="1:9" ht="12.75" customHeight="1">
      <c r="A847" s="176"/>
      <c r="B847" s="176"/>
      <c r="C847" s="1024"/>
      <c r="D847" s="1267"/>
      <c r="E847" s="1267"/>
      <c r="F847" s="1267"/>
      <c r="G847" s="3"/>
      <c r="I847" s="524"/>
    </row>
    <row r="848" spans="1:9" ht="12.75" customHeight="1">
      <c r="A848" s="176"/>
      <c r="B848" s="176"/>
      <c r="C848" s="1024"/>
      <c r="D848" s="118"/>
      <c r="E848" s="3"/>
      <c r="F848" s="3"/>
      <c r="G848" s="3"/>
      <c r="I848" s="524"/>
    </row>
    <row r="849" spans="1:9" ht="12.75" customHeight="1">
      <c r="A849" s="176"/>
      <c r="B849" s="519" t="s">
        <v>2768</v>
      </c>
      <c r="C849" s="1024"/>
      <c r="D849" s="1267" t="s">
        <v>1953</v>
      </c>
      <c r="E849" s="1267"/>
      <c r="F849" s="1267"/>
      <c r="G849" s="3"/>
      <c r="I849" s="524" t="s">
        <v>2123</v>
      </c>
    </row>
    <row r="850" spans="1:9" ht="12.75" customHeight="1">
      <c r="A850" s="176"/>
      <c r="B850" s="176"/>
      <c r="C850" s="1024"/>
      <c r="D850" s="1267" t="s">
        <v>1954</v>
      </c>
      <c r="E850" s="1267"/>
      <c r="F850" s="1267"/>
      <c r="G850" s="3"/>
      <c r="I850" s="524"/>
    </row>
    <row r="851" spans="1:9" ht="12.75" customHeight="1">
      <c r="A851" s="176"/>
      <c r="B851" s="176"/>
      <c r="C851" s="1024"/>
      <c r="E851" s="1071" t="s">
        <v>2193</v>
      </c>
      <c r="F851" s="1073"/>
      <c r="G851" s="3"/>
      <c r="I851" s="524"/>
    </row>
    <row r="852" spans="1:9" ht="12.75" customHeight="1">
      <c r="A852" s="176"/>
      <c r="B852" s="176"/>
      <c r="C852" s="1024"/>
      <c r="D852" s="118"/>
      <c r="E852" s="3"/>
      <c r="F852" s="3"/>
      <c r="G852" s="3"/>
      <c r="I852" s="524"/>
    </row>
    <row r="853" spans="1:9" ht="12.75" customHeight="1">
      <c r="A853" s="176"/>
      <c r="B853" s="519" t="s">
        <v>2768</v>
      </c>
      <c r="C853" s="1024"/>
      <c r="D853" s="1267" t="s">
        <v>1955</v>
      </c>
      <c r="E853" s="1267"/>
      <c r="F853" s="1267"/>
      <c r="G853" s="3"/>
      <c r="I853" s="524" t="s">
        <v>2141</v>
      </c>
    </row>
    <row r="854" spans="1:9" ht="12.75" customHeight="1">
      <c r="A854" s="176"/>
      <c r="B854" s="176"/>
      <c r="C854" s="1024"/>
      <c r="D854" s="1267"/>
      <c r="E854" s="1267"/>
      <c r="F854" s="1267"/>
      <c r="G854" s="3"/>
      <c r="I854" s="524"/>
    </row>
    <row r="855" spans="1:9" ht="12.75" customHeight="1">
      <c r="A855" s="176"/>
      <c r="B855" s="176"/>
      <c r="C855" s="1024"/>
      <c r="D855" s="1267"/>
      <c r="E855" s="1267"/>
      <c r="F855" s="1267"/>
      <c r="G855" s="3"/>
      <c r="I855" s="524"/>
    </row>
    <row r="856" spans="1:9" ht="12.75" customHeight="1">
      <c r="A856" s="176"/>
      <c r="B856" s="176"/>
      <c r="C856" s="1024"/>
      <c r="D856" s="1267"/>
      <c r="E856" s="1267"/>
      <c r="F856" s="1267"/>
      <c r="G856" s="3"/>
      <c r="I856" s="524"/>
    </row>
    <row r="857" spans="1:9" ht="12.75" customHeight="1">
      <c r="A857" s="172"/>
      <c r="B857" s="172"/>
      <c r="C857" s="172"/>
      <c r="D857" s="118"/>
      <c r="E857" s="3"/>
      <c r="F857" s="3"/>
      <c r="G857" s="3"/>
      <c r="I857" s="524"/>
    </row>
    <row r="858" spans="1:9" ht="12.75" customHeight="1">
      <c r="A858" s="1018" t="s">
        <v>1956</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6" t="s">
        <v>1990</v>
      </c>
      <c r="E860" s="1286"/>
      <c r="F860" s="1286"/>
      <c r="G860" s="1023"/>
      <c r="I860" s="524"/>
    </row>
    <row r="861" spans="1:9" ht="12.75" customHeight="1">
      <c r="A861" s="385"/>
      <c r="B861" s="385"/>
      <c r="C861" s="175"/>
      <c r="D861" s="1343" t="s">
        <v>1957</v>
      </c>
      <c r="E861" s="1343"/>
      <c r="F861" s="1343"/>
      <c r="G861" s="1023"/>
      <c r="I861" s="524"/>
    </row>
    <row r="862" spans="1:9" ht="12.75" customHeight="1">
      <c r="A862" s="385"/>
      <c r="B862" s="385"/>
      <c r="C862" s="175"/>
      <c r="D862" s="1030"/>
      <c r="E862" s="1030"/>
      <c r="F862" s="1030"/>
      <c r="G862" s="1023"/>
      <c r="I862" s="524"/>
    </row>
    <row r="863" spans="1:9" ht="12.75" customHeight="1">
      <c r="A863" s="176"/>
      <c r="B863" s="519" t="s">
        <v>2767</v>
      </c>
      <c r="C863" s="385"/>
      <c r="D863" s="1287" t="s">
        <v>1958</v>
      </c>
      <c r="E863" s="1287"/>
      <c r="F863" s="1287"/>
      <c r="G863" s="1023"/>
      <c r="I863" s="524" t="s">
        <v>2123</v>
      </c>
    </row>
    <row r="864" spans="1:9" ht="12.75" customHeight="1">
      <c r="A864" s="385"/>
      <c r="B864" s="385"/>
      <c r="C864" s="385"/>
      <c r="D864" s="2" t="s">
        <v>1933</v>
      </c>
      <c r="E864" s="1071" t="s">
        <v>2193</v>
      </c>
      <c r="F864" s="1074"/>
      <c r="G864" s="1023"/>
      <c r="I864" s="524"/>
    </row>
    <row r="865" spans="1:9" ht="12.75" customHeight="1">
      <c r="A865" s="385"/>
      <c r="B865" s="385"/>
      <c r="C865" s="385"/>
      <c r="D865" s="118"/>
      <c r="E865" s="1023"/>
      <c r="F865" s="1023"/>
      <c r="G865" s="1023"/>
      <c r="I865" s="524"/>
    </row>
    <row r="866" spans="1:9" ht="12.75" customHeight="1">
      <c r="A866" s="176"/>
      <c r="B866" s="519" t="s">
        <v>2767</v>
      </c>
      <c r="C866" s="385"/>
      <c r="D866" s="1267" t="s">
        <v>1959</v>
      </c>
      <c r="E866" s="1316"/>
      <c r="F866" s="1316"/>
      <c r="G866" s="3"/>
      <c r="I866" s="524" t="s">
        <v>2141</v>
      </c>
    </row>
    <row r="867" spans="1:9" ht="12.75" customHeight="1">
      <c r="A867" s="385"/>
      <c r="B867" s="385"/>
      <c r="C867" s="385"/>
      <c r="D867" s="1316"/>
      <c r="E867" s="1316"/>
      <c r="F867" s="1316"/>
      <c r="G867" s="3"/>
      <c r="I867" s="524"/>
    </row>
    <row r="868" spans="1:9" ht="12.75" customHeight="1">
      <c r="A868" s="385"/>
      <c r="B868" s="385"/>
      <c r="C868" s="385"/>
      <c r="D868" s="118"/>
      <c r="E868" s="3"/>
      <c r="F868" s="3"/>
      <c r="G868" s="3"/>
      <c r="I868" s="524"/>
    </row>
    <row r="869" spans="1:9" ht="12.75" customHeight="1">
      <c r="A869" s="385"/>
      <c r="B869" s="519" t="s">
        <v>2768</v>
      </c>
      <c r="C869" s="385"/>
      <c r="D869" s="1347" t="s">
        <v>1960</v>
      </c>
      <c r="E869" s="1347"/>
      <c r="F869" s="1347"/>
      <c r="G869" s="1023"/>
      <c r="I869" s="524"/>
    </row>
    <row r="870" spans="1:9" ht="12.75" customHeight="1">
      <c r="A870" s="385"/>
      <c r="B870" s="1031"/>
      <c r="C870" s="385"/>
      <c r="D870" s="1347"/>
      <c r="E870" s="1347"/>
      <c r="F870" s="1347"/>
      <c r="G870" s="1023"/>
      <c r="I870" s="524"/>
    </row>
    <row r="871" spans="1:9" ht="12.75" customHeight="1">
      <c r="A871" s="176"/>
      <c r="B871"/>
      <c r="C871" s="385"/>
      <c r="D871" s="1267" t="s">
        <v>2378</v>
      </c>
      <c r="E871" s="1267"/>
      <c r="F871" s="1267"/>
      <c r="G871" s="1023"/>
      <c r="I871" s="524"/>
    </row>
    <row r="872" spans="1:9" ht="12.75" customHeight="1">
      <c r="A872" s="176"/>
      <c r="B872" s="176"/>
      <c r="C872" s="385"/>
      <c r="D872" s="1267"/>
      <c r="E872" s="1267"/>
      <c r="F872" s="1267"/>
      <c r="G872" s="1023"/>
      <c r="I872" s="524"/>
    </row>
    <row r="873" spans="1:9" ht="12.75" customHeight="1">
      <c r="A873" s="176"/>
      <c r="B873" s="176"/>
      <c r="C873" s="385"/>
      <c r="D873" s="1267"/>
      <c r="E873" s="1267"/>
      <c r="F873" s="1267"/>
      <c r="G873" s="1023"/>
      <c r="I873" s="524"/>
    </row>
    <row r="874" spans="1:9" ht="12.75" customHeight="1">
      <c r="A874" s="176"/>
      <c r="B874" s="176"/>
      <c r="C874" s="385"/>
      <c r="D874" s="1267"/>
      <c r="E874" s="1267"/>
      <c r="F874" s="1267"/>
      <c r="G874" s="1023"/>
      <c r="I874" s="524"/>
    </row>
    <row r="875" spans="1:9" ht="12.75" customHeight="1">
      <c r="A875" s="176"/>
      <c r="B875" s="176"/>
      <c r="C875" s="385"/>
      <c r="D875" s="1267"/>
      <c r="E875" s="1267"/>
      <c r="F875" s="1267"/>
      <c r="G875" s="1023"/>
      <c r="I875" s="524"/>
    </row>
    <row r="876" spans="1:9" ht="12.75" customHeight="1">
      <c r="A876" s="176"/>
      <c r="B876" s="176"/>
      <c r="C876" s="385"/>
      <c r="D876" s="1267"/>
      <c r="E876" s="1267"/>
      <c r="F876" s="1267"/>
      <c r="G876" s="1023"/>
      <c r="I876" s="524"/>
    </row>
    <row r="877" spans="1:9" ht="12.75" customHeight="1">
      <c r="A877" s="176"/>
      <c r="B877" s="176"/>
      <c r="C877" s="385"/>
      <c r="D877" s="118"/>
      <c r="E877" s="1023"/>
      <c r="F877" s="1023"/>
      <c r="G877" s="1023"/>
      <c r="I877" s="524"/>
    </row>
    <row r="878" spans="1:9" ht="12.75" customHeight="1">
      <c r="A878" s="176"/>
      <c r="B878" s="519" t="s">
        <v>2768</v>
      </c>
      <c r="C878" s="385"/>
      <c r="D878" s="1291" t="s">
        <v>1953</v>
      </c>
      <c r="E878" s="1291"/>
      <c r="F878" s="1291"/>
      <c r="G878" s="1023"/>
      <c r="I878" s="524" t="s">
        <v>2123</v>
      </c>
    </row>
    <row r="879" spans="1:9" ht="12.75" customHeight="1">
      <c r="A879" s="176"/>
      <c r="B879" s="176"/>
      <c r="C879" s="385"/>
      <c r="D879" s="1291" t="s">
        <v>1954</v>
      </c>
      <c r="E879" s="1291"/>
      <c r="F879" s="1291"/>
      <c r="G879" s="1023"/>
      <c r="I879" s="524"/>
    </row>
    <row r="880" spans="1:9" ht="12.75" customHeight="1">
      <c r="A880" s="176"/>
      <c r="B880" s="176"/>
      <c r="C880" s="385"/>
      <c r="D880" s="2" t="s">
        <v>1375</v>
      </c>
      <c r="E880" s="1071" t="s">
        <v>2193</v>
      </c>
      <c r="F880" s="1075"/>
      <c r="G880" s="1023"/>
      <c r="I880" s="524"/>
    </row>
    <row r="881" spans="1:9" ht="12.75" customHeight="1">
      <c r="A881" s="176"/>
      <c r="B881" s="176"/>
      <c r="C881" s="385"/>
      <c r="D881" s="118"/>
      <c r="E881" s="1023"/>
      <c r="F881" s="1023"/>
      <c r="G881" s="1023"/>
      <c r="I881" s="524"/>
    </row>
    <row r="882" spans="1:9" ht="12.75" customHeight="1">
      <c r="A882" s="176"/>
      <c r="B882" s="519" t="s">
        <v>2768</v>
      </c>
      <c r="C882" s="385"/>
      <c r="D882" s="1267" t="s">
        <v>1955</v>
      </c>
      <c r="E882" s="1267"/>
      <c r="F882" s="1267"/>
      <c r="G882" s="1023"/>
      <c r="I882" s="524" t="s">
        <v>2141</v>
      </c>
    </row>
    <row r="883" spans="1:9" ht="12.75" customHeight="1">
      <c r="A883" s="176"/>
      <c r="B883" s="176"/>
      <c r="C883" s="385"/>
      <c r="D883" s="1267"/>
      <c r="E883" s="1267"/>
      <c r="F883" s="1267"/>
      <c r="G883" s="1023"/>
      <c r="I883" s="524"/>
    </row>
    <row r="884" spans="1:9" ht="12.75" customHeight="1">
      <c r="A884" s="176"/>
      <c r="B884" s="176"/>
      <c r="C884" s="385"/>
      <c r="D884" s="1267"/>
      <c r="E884" s="1267"/>
      <c r="F884" s="1267"/>
      <c r="G884" s="1023"/>
      <c r="I884" s="524"/>
    </row>
    <row r="885" spans="1:9" ht="12.75" customHeight="1">
      <c r="A885" s="176"/>
      <c r="B885" s="176"/>
      <c r="C885" s="385"/>
      <c r="D885" s="1267"/>
      <c r="E885" s="1267"/>
      <c r="F885" s="1267"/>
      <c r="G885" s="1023"/>
      <c r="I885" s="524"/>
    </row>
    <row r="886" spans="1:9" ht="12.75" customHeight="1">
      <c r="A886" s="118"/>
      <c r="B886" s="118"/>
      <c r="C886" s="1024"/>
      <c r="D886" s="1023"/>
      <c r="E886" s="1023"/>
      <c r="F886" s="1023"/>
      <c r="G886" s="1023"/>
      <c r="I886" s="524"/>
    </row>
    <row r="887" spans="1:9" ht="12.75" customHeight="1">
      <c r="A887" s="1295" t="s">
        <v>1991</v>
      </c>
      <c r="B887" s="1295"/>
      <c r="C887" s="1295"/>
      <c r="D887" s="1295"/>
      <c r="E887" s="1295"/>
      <c r="F887" s="1295"/>
      <c r="G887" s="1295"/>
      <c r="H887" s="1063"/>
      <c r="I887" s="1256"/>
    </row>
    <row r="888" spans="1:9" ht="12.75" customHeight="1">
      <c r="A888" s="57"/>
      <c r="B888" s="57"/>
      <c r="C888" s="57"/>
      <c r="D888" s="57"/>
      <c r="E888" s="57"/>
      <c r="F888" s="57"/>
      <c r="G888" s="57"/>
      <c r="I888" s="524"/>
    </row>
    <row r="889" spans="1:9" ht="12.75" customHeight="1">
      <c r="A889" s="57"/>
      <c r="B889" s="57"/>
      <c r="C889" s="57"/>
      <c r="D889" s="1301" t="s">
        <v>1997</v>
      </c>
      <c r="E889" s="1301"/>
      <c r="F889" s="1301"/>
      <c r="G889" s="57"/>
      <c r="I889" s="524"/>
    </row>
    <row r="890" spans="1:9" ht="12.75" customHeight="1">
      <c r="A890" s="57"/>
      <c r="B890" s="57"/>
      <c r="C890" s="57"/>
      <c r="D890" s="1016"/>
      <c r="E890" s="1016"/>
      <c r="F890" s="1016"/>
      <c r="G890" s="57"/>
      <c r="I890" s="524"/>
    </row>
    <row r="891" spans="1:9" ht="12.75" customHeight="1">
      <c r="A891" s="57"/>
      <c r="B891" s="519" t="s">
        <v>2767</v>
      </c>
      <c r="C891" s="57"/>
      <c r="D891" s="1019" t="s">
        <v>1998</v>
      </c>
      <c r="E891" s="1016"/>
      <c r="F891" s="1016"/>
      <c r="G891" s="57"/>
      <c r="I891" s="524" t="s">
        <v>2155</v>
      </c>
    </row>
    <row r="892" spans="1:9" ht="12.75" customHeight="1">
      <c r="A892" s="57"/>
      <c r="B892" s="57"/>
      <c r="C892" s="57"/>
      <c r="D892" s="1016"/>
      <c r="E892" s="1016"/>
      <c r="F892" s="1016"/>
      <c r="G892" s="57"/>
      <c r="I892" s="524"/>
    </row>
    <row r="893" spans="1:9" ht="12.75" customHeight="1">
      <c r="A893" s="385"/>
      <c r="B893" s="385"/>
      <c r="C893" s="1024"/>
      <c r="D893" s="1301" t="s">
        <v>1992</v>
      </c>
      <c r="E893" s="1301"/>
      <c r="F893" s="1301"/>
      <c r="G893" s="1023"/>
      <c r="I893" s="524"/>
    </row>
    <row r="894" spans="1:9" ht="12.75" customHeight="1">
      <c r="A894" s="172"/>
      <c r="B894" s="172"/>
      <c r="C894" s="172"/>
      <c r="D894" s="1287" t="s">
        <v>1961</v>
      </c>
      <c r="E894" s="1287"/>
      <c r="F894" s="1287"/>
      <c r="G894" s="1023"/>
      <c r="I894" s="524"/>
    </row>
    <row r="895" spans="1:9" ht="12.75" customHeight="1">
      <c r="A895" s="1024"/>
      <c r="B895" s="1024"/>
      <c r="C895" s="1024"/>
      <c r="D895" s="2"/>
      <c r="E895" s="1023"/>
      <c r="F895" s="1023"/>
      <c r="G895" s="1023"/>
      <c r="I895" s="524"/>
    </row>
    <row r="896" spans="1:9" ht="12.75" customHeight="1">
      <c r="A896" s="176"/>
      <c r="B896" s="519" t="s">
        <v>2767</v>
      </c>
      <c r="C896" s="385"/>
      <c r="D896" s="1267" t="s">
        <v>1965</v>
      </c>
      <c r="E896" s="1267"/>
      <c r="F896" s="1267"/>
      <c r="G896" s="3"/>
      <c r="I896" s="524" t="s">
        <v>2107</v>
      </c>
    </row>
    <row r="897" spans="1:9" ht="12.75" customHeight="1">
      <c r="A897" s="385"/>
      <c r="B897" s="385"/>
      <c r="C897" s="385"/>
      <c r="D897" s="1267"/>
      <c r="E897" s="1267"/>
      <c r="F897" s="1267"/>
      <c r="G897" s="3"/>
      <c r="I897" s="524"/>
    </row>
    <row r="898" spans="1:9" ht="12.75" customHeight="1">
      <c r="A898" s="172"/>
      <c r="B898" s="172"/>
      <c r="C898" s="172"/>
      <c r="D898" s="1267" t="s">
        <v>1964</v>
      </c>
      <c r="E898" s="1267"/>
      <c r="F898" s="1267"/>
      <c r="G898" s="1023"/>
      <c r="I898" s="524"/>
    </row>
    <row r="899" spans="1:9" ht="12.75" customHeight="1">
      <c r="A899" s="172"/>
      <c r="B899" s="172"/>
      <c r="C899" s="172"/>
      <c r="D899" s="1267"/>
      <c r="E899" s="1267"/>
      <c r="F899" s="1267"/>
      <c r="G899" s="1023"/>
      <c r="I899" s="524"/>
    </row>
    <row r="900" spans="1:9" ht="12.75" customHeight="1">
      <c r="A900" s="172"/>
      <c r="B900" s="172"/>
      <c r="C900" s="172"/>
      <c r="D900" s="3"/>
      <c r="E900" s="3"/>
      <c r="F900" s="1023"/>
      <c r="G900" s="1023"/>
      <c r="I900" s="524"/>
    </row>
    <row r="901" spans="1:9" ht="12.75" customHeight="1">
      <c r="A901" s="176"/>
      <c r="B901" s="519" t="s">
        <v>2767</v>
      </c>
      <c r="C901" s="175"/>
      <c r="D901" s="1271" t="s">
        <v>1962</v>
      </c>
      <c r="E901" s="1271"/>
      <c r="F901" s="1271"/>
      <c r="G901" s="1023"/>
      <c r="I901" s="524" t="s">
        <v>2106</v>
      </c>
    </row>
    <row r="902" spans="1:9" ht="12.75" customHeight="1">
      <c r="A902" s="176"/>
      <c r="B902" s="176"/>
      <c r="C902" s="175"/>
      <c r="D902" s="1271"/>
      <c r="E902" s="1271"/>
      <c r="F902" s="1271"/>
      <c r="G902" s="1023"/>
      <c r="I902" s="524"/>
    </row>
    <row r="903" spans="1:9" ht="12.75" customHeight="1">
      <c r="A903" s="176"/>
      <c r="B903" s="176"/>
      <c r="C903" s="175"/>
      <c r="D903" s="1271"/>
      <c r="E903" s="1271"/>
      <c r="F903" s="1271"/>
      <c r="G903" s="1023"/>
      <c r="I903" s="524"/>
    </row>
    <row r="904" spans="1:9" ht="12.75" customHeight="1">
      <c r="A904" s="176"/>
      <c r="B904" s="176"/>
      <c r="C904" s="175"/>
      <c r="D904" s="1271"/>
      <c r="E904" s="1271"/>
      <c r="F904" s="1271"/>
      <c r="G904" s="1023"/>
      <c r="I904" s="524"/>
    </row>
    <row r="905" spans="1:9" ht="12.75" customHeight="1">
      <c r="A905" s="176"/>
      <c r="B905" s="176"/>
      <c r="C905" s="175"/>
      <c r="D905" s="1271"/>
      <c r="E905" s="1271"/>
      <c r="F905" s="1271"/>
      <c r="G905" s="1023"/>
      <c r="I905" s="524"/>
    </row>
    <row r="906" spans="1:9" ht="12.75" customHeight="1">
      <c r="A906" s="175"/>
      <c r="B906" s="175"/>
      <c r="C906" s="175"/>
      <c r="D906" s="1271"/>
      <c r="E906" s="1271"/>
      <c r="F906" s="1271"/>
      <c r="G906" s="1023"/>
      <c r="I906" s="524"/>
    </row>
    <row r="907" spans="1:9" ht="12.75" customHeight="1">
      <c r="A907" s="175"/>
      <c r="B907" s="175"/>
      <c r="C907" s="175"/>
      <c r="D907" s="1271"/>
      <c r="E907" s="1271"/>
      <c r="F907" s="1271"/>
      <c r="G907" s="1023"/>
      <c r="I907" s="524"/>
    </row>
    <row r="908" spans="1:9" ht="12.75" customHeight="1">
      <c r="A908" s="175"/>
      <c r="B908" s="175"/>
      <c r="C908" s="175"/>
      <c r="D908" s="1271"/>
      <c r="E908" s="1271"/>
      <c r="F908" s="1271"/>
      <c r="G908" s="1023"/>
      <c r="I908" s="524"/>
    </row>
    <row r="909" spans="1:9" ht="12.75" customHeight="1">
      <c r="A909" s="175"/>
      <c r="B909" s="175"/>
      <c r="C909" s="175"/>
      <c r="D909" s="363"/>
      <c r="E909" s="363"/>
      <c r="F909" s="363"/>
      <c r="G909" s="1023"/>
      <c r="I909" s="524"/>
    </row>
    <row r="910" spans="1:9" ht="12.75" customHeight="1">
      <c r="A910" s="1024"/>
      <c r="B910" s="519" t="s">
        <v>2768</v>
      </c>
      <c r="C910" s="1024"/>
      <c r="D910" s="1267" t="s">
        <v>1966</v>
      </c>
      <c r="E910" s="1267"/>
      <c r="F910" s="1267"/>
      <c r="G910" s="1023"/>
      <c r="I910" s="524"/>
    </row>
    <row r="911" spans="1:9" ht="12.75" customHeight="1">
      <c r="A911" s="1024"/>
      <c r="B911" s="1024"/>
      <c r="C911" s="1024"/>
      <c r="D911" s="1267"/>
      <c r="E911" s="1267"/>
      <c r="F911" s="1267"/>
      <c r="G911" s="1023"/>
      <c r="I911" s="524"/>
    </row>
    <row r="912" spans="1:9" ht="12.75" customHeight="1">
      <c r="A912" s="1024"/>
      <c r="B912" s="1024"/>
      <c r="C912" s="1024"/>
      <c r="D912" s="1023"/>
      <c r="E912" s="1023"/>
      <c r="F912" s="1023"/>
      <c r="G912" s="1023"/>
      <c r="I912" s="524"/>
    </row>
    <row r="913" spans="1:9" ht="12.75" customHeight="1">
      <c r="A913" s="1024"/>
      <c r="B913" s="519" t="s">
        <v>2768</v>
      </c>
      <c r="C913" s="1024"/>
      <c r="D913" s="1308" t="s">
        <v>1967</v>
      </c>
      <c r="E913" s="1308"/>
      <c r="F913" s="1308"/>
      <c r="G913" s="1023"/>
      <c r="I913" s="524"/>
    </row>
    <row r="914" spans="1:9" ht="12.75" customHeight="1">
      <c r="A914" s="1024"/>
      <c r="B914" s="1024"/>
      <c r="C914" s="1024"/>
      <c r="D914" s="1308"/>
      <c r="E914" s="1308"/>
      <c r="F914" s="1308"/>
      <c r="G914" s="1023"/>
      <c r="I914" s="524"/>
    </row>
    <row r="915" spans="1:9" ht="12.75" customHeight="1">
      <c r="A915" s="1024"/>
      <c r="B915" s="1024"/>
      <c r="C915" s="1024"/>
      <c r="D915" s="1308"/>
      <c r="E915" s="1308"/>
      <c r="F915" s="1308"/>
      <c r="G915" s="1023"/>
      <c r="I915" s="524"/>
    </row>
    <row r="916" spans="1:9" ht="12.75" customHeight="1">
      <c r="A916" s="1024"/>
      <c r="B916" s="1024"/>
      <c r="C916" s="1024"/>
      <c r="D916" s="1308"/>
      <c r="E916" s="1308"/>
      <c r="F916" s="1308"/>
      <c r="G916" s="1023"/>
      <c r="I916" s="524"/>
    </row>
    <row r="917" spans="1:9" ht="12.75" customHeight="1">
      <c r="A917" s="1024"/>
      <c r="B917" s="1024"/>
      <c r="C917" s="1024"/>
      <c r="D917" s="118"/>
      <c r="E917" s="1023"/>
      <c r="F917" s="1023"/>
      <c r="G917" s="1023"/>
      <c r="I917" s="524"/>
    </row>
    <row r="918" spans="1:9" ht="12.75" customHeight="1">
      <c r="A918" s="1024"/>
      <c r="B918" s="519" t="s">
        <v>2768</v>
      </c>
      <c r="C918" s="1024"/>
      <c r="D918" s="1287" t="s">
        <v>2379</v>
      </c>
      <c r="E918" s="1287"/>
      <c r="F918" s="1287"/>
      <c r="G918" s="1023"/>
      <c r="I918" s="524"/>
    </row>
    <row r="919" spans="1:9" ht="12.75" customHeight="1">
      <c r="A919" s="1024"/>
      <c r="B919" s="1024"/>
      <c r="C919" s="1024"/>
      <c r="D919" s="118"/>
      <c r="E919" s="1023"/>
      <c r="F919" s="1023"/>
      <c r="G919" s="1023"/>
      <c r="I919" s="524"/>
    </row>
    <row r="920" spans="1:9" ht="12.75" customHeight="1">
      <c r="A920" s="1024"/>
      <c r="B920" s="519" t="s">
        <v>2768</v>
      </c>
      <c r="C920" s="1024"/>
      <c r="D920" s="1287" t="s">
        <v>2380</v>
      </c>
      <c r="E920" s="1287"/>
      <c r="F920" s="1287"/>
      <c r="G920" s="1023"/>
      <c r="I920" s="524"/>
    </row>
    <row r="921" spans="1:9" ht="12.75" customHeight="1">
      <c r="A921" s="175"/>
      <c r="B921" s="175"/>
      <c r="C921" s="175"/>
      <c r="D921" s="2"/>
      <c r="E921" s="3"/>
      <c r="F921" s="1023"/>
      <c r="G921" s="1023"/>
      <c r="I921" s="524"/>
    </row>
    <row r="922" spans="1:9" ht="12.75" customHeight="1">
      <c r="A922" s="1032"/>
      <c r="B922" s="519" t="s">
        <v>2767</v>
      </c>
      <c r="C922" s="1033"/>
      <c r="D922" s="1271" t="s">
        <v>1963</v>
      </c>
      <c r="E922" s="1271"/>
      <c r="F922" s="1271"/>
      <c r="G922" s="1034"/>
      <c r="I922" s="524" t="s">
        <v>2156</v>
      </c>
    </row>
    <row r="923" spans="1:9" ht="12.75" customHeight="1">
      <c r="A923" s="1032"/>
      <c r="B923" s="1032"/>
      <c r="C923" s="1033"/>
      <c r="D923" s="1271"/>
      <c r="E923" s="1271"/>
      <c r="F923" s="1271"/>
      <c r="G923" s="1034"/>
      <c r="I923" s="524"/>
    </row>
    <row r="924" spans="1:9" ht="12.75" customHeight="1">
      <c r="A924" s="1032"/>
      <c r="B924" s="1032"/>
      <c r="C924" s="1033"/>
      <c r="D924" s="1271"/>
      <c r="E924" s="1271"/>
      <c r="F924" s="1271"/>
      <c r="G924" s="1034"/>
      <c r="I924" s="524"/>
    </row>
    <row r="925" spans="1:9" ht="12.75" customHeight="1">
      <c r="A925" s="1032"/>
      <c r="B925" s="1032"/>
      <c r="C925" s="1033"/>
      <c r="D925" s="1271"/>
      <c r="E925" s="1271"/>
      <c r="F925" s="1271"/>
      <c r="G925" s="1034"/>
      <c r="I925" s="524"/>
    </row>
    <row r="926" spans="1:9" ht="12.75" customHeight="1">
      <c r="A926" s="1032"/>
      <c r="B926" s="1032"/>
      <c r="C926" s="1033"/>
      <c r="D926" s="1271"/>
      <c r="E926" s="1271"/>
      <c r="F926" s="1271"/>
      <c r="G926" s="1034"/>
      <c r="I926" s="524"/>
    </row>
    <row r="927" spans="1:9" ht="12.75" customHeight="1">
      <c r="A927" s="1032"/>
      <c r="B927" s="1032"/>
      <c r="C927" s="1033"/>
      <c r="D927" s="1271"/>
      <c r="E927" s="1271"/>
      <c r="F927" s="1271"/>
      <c r="G927" s="1034"/>
      <c r="I927" s="524"/>
    </row>
    <row r="928" spans="1:9" ht="12.75" customHeight="1">
      <c r="A928" s="1032"/>
      <c r="B928" s="1032"/>
      <c r="C928" s="1033"/>
      <c r="D928" s="1271"/>
      <c r="E928" s="1271"/>
      <c r="F928" s="1271"/>
      <c r="G928" s="1034"/>
      <c r="I928" s="524"/>
    </row>
    <row r="929" spans="1:9" ht="12.75" customHeight="1">
      <c r="A929" s="1032"/>
      <c r="B929" s="1032"/>
      <c r="C929" s="1033"/>
      <c r="D929" s="1271"/>
      <c r="E929" s="1271"/>
      <c r="F929" s="1271"/>
      <c r="G929" s="1034"/>
      <c r="I929" s="524"/>
    </row>
    <row r="930" spans="1:9" ht="12.75" customHeight="1">
      <c r="A930" s="1032"/>
      <c r="B930" s="1032"/>
      <c r="C930" s="1033"/>
      <c r="D930" s="1271"/>
      <c r="E930" s="1271"/>
      <c r="F930" s="1271"/>
      <c r="G930" s="1034"/>
      <c r="I930" s="524"/>
    </row>
    <row r="931" spans="1:9" ht="12.75" customHeight="1">
      <c r="A931" s="175"/>
      <c r="B931" s="175"/>
      <c r="C931" s="175"/>
      <c r="D931" s="2"/>
      <c r="E931" s="3"/>
      <c r="F931" s="1023"/>
      <c r="G931" s="1023"/>
      <c r="I931" s="524"/>
    </row>
    <row r="932" spans="1:9" ht="12.75" customHeight="1">
      <c r="A932" s="176"/>
      <c r="B932" s="519" t="s">
        <v>2767</v>
      </c>
      <c r="C932" s="175"/>
      <c r="D932" s="1348" t="s">
        <v>2158</v>
      </c>
      <c r="E932" s="1348"/>
      <c r="F932" s="1348"/>
      <c r="G932" s="1023"/>
      <c r="I932" s="524" t="s">
        <v>2156</v>
      </c>
    </row>
    <row r="933" spans="1:9" ht="12.75" customHeight="1">
      <c r="A933" s="176"/>
      <c r="B933" s="176"/>
      <c r="C933" s="175"/>
      <c r="D933" s="1348"/>
      <c r="E933" s="1348"/>
      <c r="F933" s="1348"/>
      <c r="G933" s="1023"/>
      <c r="I933" s="524"/>
    </row>
    <row r="934" spans="1:9" ht="12.75" customHeight="1">
      <c r="A934" s="176"/>
      <c r="B934" s="176"/>
      <c r="C934" s="175"/>
      <c r="D934" s="1348"/>
      <c r="E934" s="1348"/>
      <c r="F934" s="1348"/>
      <c r="G934" s="1023"/>
      <c r="I934" s="524"/>
    </row>
    <row r="935" spans="1:9" ht="12.75" customHeight="1">
      <c r="A935" s="176"/>
      <c r="B935" s="176"/>
      <c r="C935" s="175"/>
      <c r="D935" s="1348"/>
      <c r="E935" s="1348"/>
      <c r="F935" s="1348"/>
      <c r="G935" s="1023"/>
      <c r="I935" s="524"/>
    </row>
    <row r="936" spans="1:9" ht="12.75" customHeight="1">
      <c r="A936" s="176"/>
      <c r="B936" s="176"/>
      <c r="C936" s="175"/>
      <c r="D936" s="1348"/>
      <c r="E936" s="1348"/>
      <c r="F936" s="1348"/>
      <c r="G936" s="1023"/>
      <c r="I936" s="524"/>
    </row>
    <row r="937" spans="1:9" ht="12.75" customHeight="1">
      <c r="A937" s="176"/>
      <c r="B937" s="176"/>
      <c r="C937" s="175"/>
      <c r="D937" s="1348"/>
      <c r="E937" s="1348"/>
      <c r="F937" s="1348"/>
      <c r="G937" s="1023"/>
      <c r="I937" s="524"/>
    </row>
    <row r="938" spans="1:9" ht="12.75" customHeight="1">
      <c r="A938" s="176"/>
      <c r="B938" s="176"/>
      <c r="C938" s="175"/>
      <c r="D938" s="1348"/>
      <c r="E938" s="1348"/>
      <c r="F938" s="1348"/>
      <c r="G938" s="1023"/>
      <c r="I938" s="524"/>
    </row>
    <row r="939" spans="1:9" ht="12.75" customHeight="1">
      <c r="A939" s="176"/>
      <c r="B939" s="176"/>
      <c r="C939" s="175"/>
      <c r="D939" s="1061"/>
      <c r="E939" s="1061"/>
      <c r="F939" s="1061"/>
      <c r="G939" s="1023"/>
      <c r="I939" s="524"/>
    </row>
    <row r="940" spans="1:9" ht="12.75" customHeight="1">
      <c r="A940" s="176"/>
      <c r="B940" s="519" t="s">
        <v>2767</v>
      </c>
      <c r="C940" s="175"/>
      <c r="D940" s="1270" t="s">
        <v>2452</v>
      </c>
      <c r="E940" s="1270"/>
      <c r="F940" s="1270"/>
      <c r="G940" s="1023"/>
      <c r="I940" s="524"/>
    </row>
    <row r="941" spans="1:9" ht="12.75" customHeight="1">
      <c r="A941" s="176"/>
      <c r="B941" s="176"/>
      <c r="C941" s="175"/>
      <c r="D941" s="1270"/>
      <c r="E941" s="1270"/>
      <c r="F941" s="1270"/>
      <c r="G941" s="1023"/>
      <c r="I941" s="524"/>
    </row>
    <row r="942" spans="1:9" ht="12.75" customHeight="1">
      <c r="A942" s="176"/>
      <c r="B942" s="176"/>
      <c r="C942" s="175"/>
      <c r="D942" s="1270"/>
      <c r="E942" s="1270"/>
      <c r="F942" s="1270"/>
      <c r="G942" s="1023"/>
      <c r="I942" s="524"/>
    </row>
    <row r="943" spans="1:9" ht="12.75" customHeight="1">
      <c r="A943" s="176"/>
      <c r="B943" s="176"/>
      <c r="C943" s="175"/>
      <c r="D943" s="1270"/>
      <c r="E943" s="1270"/>
      <c r="F943" s="1270"/>
      <c r="G943" s="1023"/>
      <c r="I943" s="524"/>
    </row>
    <row r="944" spans="1:9" ht="12.75" customHeight="1">
      <c r="A944" s="176"/>
      <c r="B944" s="176"/>
      <c r="C944" s="175"/>
      <c r="D944" s="1270"/>
      <c r="E944" s="1270"/>
      <c r="F944" s="1270"/>
      <c r="G944" s="1023"/>
      <c r="I944" s="524"/>
    </row>
    <row r="945" spans="1:9" ht="12.75" customHeight="1">
      <c r="A945" s="176"/>
      <c r="B945" s="176"/>
      <c r="C945" s="175"/>
      <c r="D945" s="1270"/>
      <c r="E945" s="1270"/>
      <c r="F945" s="1270"/>
      <c r="G945" s="1023"/>
      <c r="I945" s="524"/>
    </row>
    <row r="946" spans="1:9" ht="12.75" customHeight="1">
      <c r="A946" s="176"/>
      <c r="B946" s="176"/>
      <c r="C946" s="175"/>
      <c r="D946" s="1061"/>
      <c r="E946" s="1061"/>
      <c r="F946" s="1061"/>
      <c r="G946" s="1023"/>
      <c r="I946" s="524"/>
    </row>
    <row r="947" spans="1:9" ht="12.75" customHeight="1">
      <c r="A947" s="1024"/>
      <c r="B947" s="519" t="s">
        <v>2767</v>
      </c>
      <c r="C947" s="1024"/>
      <c r="D947" s="1308" t="s">
        <v>1968</v>
      </c>
      <c r="E947" s="1308"/>
      <c r="F947" s="1308"/>
      <c r="G947" s="1023"/>
      <c r="I947" s="524"/>
    </row>
    <row r="948" spans="1:9" ht="12.75" customHeight="1">
      <c r="A948" s="1024"/>
      <c r="B948" s="1024"/>
      <c r="C948" s="1024"/>
      <c r="D948" s="1308"/>
      <c r="E948" s="1308"/>
      <c r="F948" s="1308"/>
      <c r="G948" s="1023"/>
      <c r="I948" s="524"/>
    </row>
    <row r="949" spans="1:9" ht="12.75" customHeight="1">
      <c r="A949" s="1024"/>
      <c r="B949" s="1024"/>
      <c r="C949" s="1024"/>
      <c r="D949" s="1308"/>
      <c r="E949" s="1308"/>
      <c r="F949" s="1308"/>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2768</v>
      </c>
      <c r="C952" s="175"/>
      <c r="D952" s="1271" t="s">
        <v>2157</v>
      </c>
      <c r="E952" s="1271"/>
      <c r="F952" s="1271"/>
      <c r="G952" s="1023"/>
      <c r="I952" s="524" t="s">
        <v>2156</v>
      </c>
    </row>
    <row r="953" spans="1:9" ht="12.75" customHeight="1">
      <c r="A953" s="176"/>
      <c r="B953" s="176"/>
      <c r="C953" s="175"/>
      <c r="D953" s="1271"/>
      <c r="E953" s="1271"/>
      <c r="F953" s="1271"/>
      <c r="G953" s="1023"/>
      <c r="I953" s="524"/>
    </row>
    <row r="954" spans="1:9" ht="12.75" customHeight="1">
      <c r="A954" s="176"/>
      <c r="B954" s="176"/>
      <c r="C954" s="175"/>
      <c r="D954" s="1271"/>
      <c r="E954" s="1271"/>
      <c r="F954" s="1271"/>
      <c r="G954" s="1023"/>
      <c r="I954" s="524"/>
    </row>
    <row r="955" spans="1:9" ht="12.75" customHeight="1">
      <c r="A955" s="176"/>
      <c r="B955" s="176"/>
      <c r="C955" s="175"/>
      <c r="D955" s="1271"/>
      <c r="E955" s="1271"/>
      <c r="F955" s="1271"/>
      <c r="G955" s="1023"/>
      <c r="I955" s="524"/>
    </row>
    <row r="956" spans="1:9" ht="12.75" customHeight="1">
      <c r="A956" s="1024"/>
      <c r="B956" s="1024"/>
      <c r="C956" s="1024"/>
      <c r="D956" s="1015"/>
      <c r="E956" s="1015"/>
      <c r="F956" s="1015"/>
      <c r="G956" s="1015"/>
      <c r="I956" s="524"/>
    </row>
    <row r="957" spans="1:9" ht="12.75" customHeight="1">
      <c r="A957" s="385"/>
      <c r="B957" s="385"/>
      <c r="C957" s="385"/>
      <c r="D957" s="1286" t="s">
        <v>1969</v>
      </c>
      <c r="E957" s="1286"/>
      <c r="F957" s="1286"/>
      <c r="G957" s="3"/>
      <c r="I957" s="524"/>
    </row>
    <row r="958" spans="1:9" ht="12.75" customHeight="1">
      <c r="A958" s="176"/>
      <c r="B958" s="519" t="s">
        <v>2768</v>
      </c>
      <c r="C958" s="385"/>
      <c r="D958" s="1287" t="s">
        <v>1993</v>
      </c>
      <c r="E958" s="1287"/>
      <c r="F958" s="1287"/>
      <c r="G958" s="3"/>
      <c r="I958" s="524" t="s">
        <v>2156</v>
      </c>
    </row>
    <row r="959" spans="1:9" ht="12.75" customHeight="1">
      <c r="A959" s="385"/>
      <c r="B959" s="385"/>
      <c r="C959" s="385"/>
      <c r="D959" s="3"/>
      <c r="E959" s="3"/>
      <c r="F959" s="3"/>
      <c r="G959" s="3"/>
      <c r="I959" s="524"/>
    </row>
    <row r="960" spans="1:9" ht="12.75" customHeight="1">
      <c r="A960" s="385"/>
      <c r="B960" s="385"/>
      <c r="C960" s="385"/>
      <c r="D960" s="1286" t="s">
        <v>1970</v>
      </c>
      <c r="E960" s="1286"/>
      <c r="F960" s="1286"/>
      <c r="G960"/>
      <c r="I960" s="524"/>
    </row>
    <row r="961" spans="1:9" ht="12.75" customHeight="1">
      <c r="A961" s="176"/>
      <c r="B961" s="519" t="s">
        <v>2768</v>
      </c>
      <c r="C961" s="385"/>
      <c r="D961" s="1267" t="s">
        <v>2381</v>
      </c>
      <c r="E961" s="1267"/>
      <c r="F961" s="1267"/>
      <c r="G961"/>
      <c r="I961" s="524" t="s">
        <v>2156</v>
      </c>
    </row>
    <row r="962" spans="1:9" ht="12.75" customHeight="1">
      <c r="A962" s="176"/>
      <c r="B962" s="176"/>
      <c r="C962" s="385"/>
      <c r="D962" s="1267"/>
      <c r="E962" s="1267"/>
      <c r="F962" s="1267"/>
      <c r="G962"/>
      <c r="I962" s="524"/>
    </row>
    <row r="963" spans="1:9" ht="12.75" customHeight="1">
      <c r="A963" s="176"/>
      <c r="B963" s="176"/>
      <c r="C963" s="385"/>
      <c r="D963" s="1267"/>
      <c r="E963" s="1267"/>
      <c r="F963" s="1267"/>
      <c r="G963"/>
      <c r="I963" s="524"/>
    </row>
    <row r="964" spans="1:9" ht="12.75" customHeight="1">
      <c r="A964" s="176"/>
      <c r="B964" s="176"/>
      <c r="C964" s="385"/>
      <c r="D964" s="1267"/>
      <c r="E964" s="1267"/>
      <c r="F964" s="1267"/>
      <c r="G964"/>
      <c r="I964" s="524"/>
    </row>
    <row r="965" spans="1:9" ht="12.75" customHeight="1">
      <c r="A965" s="176"/>
      <c r="B965" s="176"/>
      <c r="C965" s="385"/>
      <c r="D965" s="1267"/>
      <c r="E965" s="1267"/>
      <c r="F965" s="1267"/>
      <c r="G965"/>
      <c r="I965" s="524"/>
    </row>
    <row r="966" spans="1:9" ht="12.75" customHeight="1">
      <c r="A966" s="176"/>
      <c r="B966" s="176"/>
      <c r="C966" s="385"/>
      <c r="D966" s="1267"/>
      <c r="E966" s="1267"/>
      <c r="F966" s="1267"/>
      <c r="G966"/>
      <c r="I966" s="524"/>
    </row>
    <row r="967" spans="1:9" ht="12.75" customHeight="1">
      <c r="A967" s="176"/>
      <c r="B967" s="176"/>
      <c r="C967" s="385"/>
      <c r="D967" s="1267"/>
      <c r="E967" s="1267"/>
      <c r="F967" s="1267"/>
      <c r="G967"/>
      <c r="I967" s="524"/>
    </row>
    <row r="968" spans="1:9" ht="12.75" customHeight="1">
      <c r="A968" s="176"/>
      <c r="B968" s="176"/>
      <c r="C968" s="385"/>
      <c r="D968" s="1267"/>
      <c r="E968" s="1267"/>
      <c r="F968" s="1267"/>
      <c r="G968"/>
      <c r="I968" s="524"/>
    </row>
    <row r="969" spans="1:9" ht="12.75" customHeight="1">
      <c r="A969" s="176"/>
      <c r="B969" s="176"/>
      <c r="C969" s="385"/>
      <c r="D969" s="1267"/>
      <c r="E969" s="1267"/>
      <c r="F969" s="1267"/>
      <c r="G969"/>
      <c r="I969" s="524"/>
    </row>
    <row r="970" spans="1:9" ht="12.75" customHeight="1">
      <c r="A970" s="176"/>
      <c r="B970" s="176"/>
      <c r="C970" s="385"/>
      <c r="D970" s="1267"/>
      <c r="E970" s="1267"/>
      <c r="F970" s="1267"/>
      <c r="G970"/>
      <c r="I970" s="524"/>
    </row>
    <row r="971" spans="1:9" ht="12.75" customHeight="1">
      <c r="A971" s="176"/>
      <c r="B971" s="176"/>
      <c r="C971" s="385"/>
      <c r="D971" s="1267"/>
      <c r="E971" s="1267"/>
      <c r="F971" s="1267"/>
      <c r="G971"/>
      <c r="I971" s="524"/>
    </row>
    <row r="972" spans="1:9" ht="12.75" customHeight="1">
      <c r="A972" s="176"/>
      <c r="B972" s="176"/>
      <c r="C972" s="385"/>
      <c r="D972" s="1267"/>
      <c r="E972" s="1267"/>
      <c r="F972" s="1267"/>
      <c r="G972"/>
      <c r="I972" s="524"/>
    </row>
    <row r="973" spans="1:9" ht="12.75" customHeight="1">
      <c r="A973" s="176"/>
      <c r="B973" s="176"/>
      <c r="C973" s="385"/>
      <c r="D973" s="1267"/>
      <c r="E973" s="1267"/>
      <c r="F973" s="1267"/>
      <c r="G973"/>
      <c r="I973" s="524"/>
    </row>
    <row r="974" spans="1:9" ht="12.75" customHeight="1">
      <c r="A974" s="176"/>
      <c r="B974" s="176"/>
      <c r="C974" s="385"/>
      <c r="D974" s="1267"/>
      <c r="E974" s="1267"/>
      <c r="F974" s="1267"/>
      <c r="G974"/>
      <c r="I974" s="524"/>
    </row>
    <row r="975" spans="1:9" ht="12.75" customHeight="1">
      <c r="A975" s="176"/>
      <c r="B975" s="176"/>
      <c r="C975" s="385"/>
      <c r="D975" s="1267"/>
      <c r="E975" s="1267"/>
      <c r="F975" s="1267"/>
      <c r="G975" s="3"/>
      <c r="I975" s="524"/>
    </row>
    <row r="976" spans="1:9" ht="12.75" customHeight="1">
      <c r="A976" s="385"/>
      <c r="B976" s="385"/>
      <c r="C976" s="385"/>
      <c r="D976" s="3"/>
      <c r="E976" s="3"/>
      <c r="F976" s="3"/>
      <c r="G976" s="3"/>
      <c r="I976" s="524"/>
    </row>
    <row r="977" spans="1:9" ht="12.75" customHeight="1">
      <c r="A977" s="1295" t="s">
        <v>1971</v>
      </c>
      <c r="B977" s="1295"/>
      <c r="C977" s="1295"/>
      <c r="D977" s="1295"/>
      <c r="E977" s="1295"/>
      <c r="F977" s="1295"/>
      <c r="G977" s="1295"/>
      <c r="H977" s="1063"/>
      <c r="I977" s="1256"/>
    </row>
    <row r="978" spans="1:9" ht="12.75" customHeight="1">
      <c r="A978" s="118"/>
      <c r="B978" s="118"/>
      <c r="C978" s="385"/>
      <c r="D978" s="3"/>
      <c r="E978" s="3"/>
      <c r="F978" s="3"/>
      <c r="G978" s="3"/>
      <c r="I978" s="524"/>
    </row>
    <row r="979" spans="1:9" ht="12.75" customHeight="1">
      <c r="A979" s="385"/>
      <c r="B979" s="385"/>
      <c r="C979" s="1024"/>
      <c r="D979" s="1286" t="s">
        <v>1994</v>
      </c>
      <c r="E979" s="1286"/>
      <c r="F979" s="1286"/>
      <c r="G979" s="3"/>
      <c r="I979" s="524"/>
    </row>
    <row r="980" spans="1:9" ht="12.75" customHeight="1">
      <c r="A980" s="172"/>
      <c r="B980" s="172"/>
      <c r="C980" s="172"/>
      <c r="D980" s="1287" t="s">
        <v>1972</v>
      </c>
      <c r="E980" s="1287"/>
      <c r="F980" s="1287"/>
      <c r="G980" s="3"/>
      <c r="I980" s="524"/>
    </row>
    <row r="981" spans="1:9" ht="12.75" customHeight="1">
      <c r="A981" s="172"/>
      <c r="B981" s="172"/>
      <c r="C981" s="172"/>
      <c r="D981" s="3"/>
      <c r="E981" s="3"/>
      <c r="F981" s="1023"/>
      <c r="G981"/>
      <c r="I981" s="524"/>
    </row>
    <row r="982" spans="1:9" ht="12.75" customHeight="1">
      <c r="A982" s="385"/>
      <c r="B982" s="519" t="s">
        <v>2767</v>
      </c>
      <c r="C982" s="385"/>
      <c r="D982" s="1350" t="s">
        <v>2211</v>
      </c>
      <c r="E982" s="1350"/>
      <c r="F982" s="1350"/>
      <c r="G982"/>
      <c r="I982" s="524" t="s">
        <v>2136</v>
      </c>
    </row>
    <row r="983" spans="1:9" ht="12.75" customHeight="1">
      <c r="A983" s="385"/>
      <c r="B983" s="385"/>
      <c r="C983" s="385"/>
      <c r="D983" s="1350"/>
      <c r="E983" s="1350"/>
      <c r="F983" s="1350"/>
      <c r="G983"/>
      <c r="I983" s="524"/>
    </row>
    <row r="984" spans="1:9" ht="12.75" customHeight="1">
      <c r="A984" s="385"/>
      <c r="B984" s="385"/>
      <c r="C984" s="385"/>
      <c r="D984" s="1073"/>
      <c r="E984" s="1071" t="s">
        <v>2212</v>
      </c>
      <c r="F984" s="1073"/>
      <c r="G984"/>
      <c r="I984" s="524"/>
    </row>
    <row r="985" spans="1:9" ht="12.75" customHeight="1">
      <c r="A985" s="385"/>
      <c r="B985" s="385"/>
      <c r="C985" s="385"/>
      <c r="D985" s="1273" t="s">
        <v>2210</v>
      </c>
      <c r="E985" s="1273"/>
      <c r="F985" s="1273"/>
      <c r="G985"/>
      <c r="I985" s="524"/>
    </row>
    <row r="986" spans="1:9" ht="12.75" customHeight="1">
      <c r="A986" s="385"/>
      <c r="B986" s="385"/>
      <c r="C986" s="385"/>
      <c r="D986" s="1273"/>
      <c r="E986" s="1273"/>
      <c r="F986" s="1273"/>
      <c r="G986"/>
      <c r="I986" s="524"/>
    </row>
    <row r="987" spans="1:9" ht="12.75" customHeight="1">
      <c r="A987" s="175"/>
      <c r="B987" s="175"/>
      <c r="C987" s="175"/>
      <c r="D987" s="1273"/>
      <c r="E987" s="1273"/>
      <c r="F987" s="1273"/>
      <c r="G987"/>
      <c r="I987" s="524"/>
    </row>
    <row r="988" spans="1:9" ht="12.75" customHeight="1">
      <c r="A988" s="175"/>
      <c r="B988" s="175"/>
      <c r="C988" s="175"/>
      <c r="D988" s="1273"/>
      <c r="E988" s="1273"/>
      <c r="F988" s="1273"/>
      <c r="G988"/>
      <c r="I988" s="524"/>
    </row>
    <row r="989" spans="1:9" ht="12.75" customHeight="1">
      <c r="A989" s="175"/>
      <c r="B989" s="175"/>
      <c r="C989" s="175"/>
      <c r="D989" s="363"/>
      <c r="E989" s="363"/>
      <c r="F989" s="363"/>
      <c r="G989"/>
      <c r="I989" s="524"/>
    </row>
    <row r="990" spans="1:9" ht="12.75" customHeight="1">
      <c r="A990" s="175"/>
      <c r="B990" s="519" t="s">
        <v>2767</v>
      </c>
      <c r="C990" s="175"/>
      <c r="D990" s="1267" t="s">
        <v>1973</v>
      </c>
      <c r="E990" s="1267"/>
      <c r="F990" s="1267"/>
      <c r="G990"/>
      <c r="I990" s="524"/>
    </row>
    <row r="991" spans="1:9" ht="12.75" customHeight="1">
      <c r="A991" s="175"/>
      <c r="B991" s="175"/>
      <c r="C991" s="175"/>
      <c r="D991" s="1267"/>
      <c r="E991" s="1267"/>
      <c r="F991" s="1267"/>
      <c r="G991"/>
      <c r="I991" s="524"/>
    </row>
    <row r="992" spans="1:9" ht="12.75" customHeight="1">
      <c r="A992" s="175"/>
      <c r="B992" s="175"/>
      <c r="C992" s="175"/>
      <c r="D992" s="1267"/>
      <c r="E992" s="1267"/>
      <c r="F992" s="1267"/>
      <c r="G992"/>
      <c r="I992" s="524"/>
    </row>
    <row r="993" spans="1:9" ht="12.75" customHeight="1">
      <c r="A993" s="175"/>
      <c r="B993" s="175"/>
      <c r="C993" s="175"/>
      <c r="D993" s="1267"/>
      <c r="E993" s="1267"/>
      <c r="F993" s="1267"/>
      <c r="G993"/>
      <c r="I993" s="524"/>
    </row>
    <row r="994" spans="1:9" ht="12.75" customHeight="1">
      <c r="A994" s="175"/>
      <c r="B994" s="175"/>
      <c r="C994" s="175"/>
      <c r="D994" s="474"/>
      <c r="E994" s="474"/>
      <c r="F994" s="474"/>
      <c r="G994"/>
      <c r="I994" s="524"/>
    </row>
    <row r="995" spans="1:9" ht="12.75" customHeight="1">
      <c r="A995" s="175"/>
      <c r="B995" s="519" t="s">
        <v>2768</v>
      </c>
      <c r="C995" s="175"/>
      <c r="D995" s="1267" t="s">
        <v>1974</v>
      </c>
      <c r="E995" s="1267"/>
      <c r="F995" s="1267"/>
      <c r="G995"/>
      <c r="I995" s="524"/>
    </row>
    <row r="996" spans="1:9" ht="12.75" customHeight="1">
      <c r="A996" s="175"/>
      <c r="B996" s="175"/>
      <c r="C996" s="175"/>
      <c r="D996" s="1267"/>
      <c r="E996" s="1267"/>
      <c r="F996" s="1267"/>
      <c r="G996"/>
      <c r="I996" s="524"/>
    </row>
    <row r="997" spans="1:9" ht="12.75" customHeight="1">
      <c r="A997" s="175"/>
      <c r="B997" s="175"/>
      <c r="C997" s="175"/>
      <c r="D997" s="474"/>
      <c r="E997" s="474"/>
      <c r="F997" s="474"/>
      <c r="G997"/>
      <c r="I997" s="524"/>
    </row>
    <row r="998" spans="1:9" ht="12.75" customHeight="1">
      <c r="A998" s="176"/>
      <c r="B998" s="519" t="s">
        <v>2767</v>
      </c>
      <c r="C998" s="385"/>
      <c r="D998" s="1287" t="s">
        <v>1975</v>
      </c>
      <c r="E998" s="1287"/>
      <c r="F998" s="1287"/>
      <c r="G998"/>
      <c r="I998" s="524"/>
    </row>
    <row r="999" spans="1:9" ht="12.75" customHeight="1">
      <c r="A999" s="385"/>
      <c r="B999" s="385"/>
      <c r="C999" s="385"/>
      <c r="D999" s="3"/>
      <c r="E999" s="3"/>
      <c r="F999" s="3"/>
      <c r="G999"/>
      <c r="I999" s="524"/>
    </row>
    <row r="1000" spans="1:9" ht="12.75" customHeight="1">
      <c r="A1000" s="176"/>
      <c r="B1000" s="519" t="s">
        <v>2767</v>
      </c>
      <c r="C1000" s="385"/>
      <c r="D1000" s="1287" t="s">
        <v>1976</v>
      </c>
      <c r="E1000" s="1287"/>
      <c r="F1000" s="1287"/>
      <c r="G1000"/>
      <c r="I1000" s="524"/>
    </row>
    <row r="1001" spans="1:9" ht="12.75" customHeight="1">
      <c r="A1001" s="385"/>
      <c r="B1001" s="385"/>
      <c r="C1001" s="385"/>
      <c r="D1001" s="118"/>
      <c r="E1001" s="3"/>
      <c r="F1001" s="3"/>
      <c r="G1001"/>
      <c r="I1001" s="524"/>
    </row>
    <row r="1002" spans="1:9" ht="12.75" customHeight="1">
      <c r="A1002" s="176"/>
      <c r="B1002" s="519" t="s">
        <v>2767</v>
      </c>
      <c r="C1002" s="385"/>
      <c r="D1002" s="1287" t="s">
        <v>1977</v>
      </c>
      <c r="E1002" s="1287"/>
      <c r="F1002" s="1287"/>
      <c r="G1002"/>
      <c r="I1002" s="524"/>
    </row>
    <row r="1003" spans="1:9" ht="12.75" customHeight="1">
      <c r="A1003" s="385"/>
      <c r="B1003" s="385"/>
      <c r="C1003" s="385"/>
      <c r="D1003" s="118"/>
      <c r="E1003" s="3"/>
      <c r="F1003" s="3"/>
      <c r="G1003"/>
      <c r="I1003" s="524"/>
    </row>
    <row r="1004" spans="1:9" ht="12.75" customHeight="1">
      <c r="A1004" s="176"/>
      <c r="B1004" s="519" t="s">
        <v>2767</v>
      </c>
      <c r="C1004" s="385"/>
      <c r="D1004" s="1267" t="s">
        <v>1978</v>
      </c>
      <c r="E1004" s="1267"/>
      <c r="F1004" s="1267"/>
      <c r="G1004"/>
      <c r="I1004" s="524"/>
    </row>
    <row r="1005" spans="1:9" ht="12.75" customHeight="1">
      <c r="A1005" s="176"/>
      <c r="B1005" s="176"/>
      <c r="C1005" s="385"/>
      <c r="D1005" s="1267"/>
      <c r="E1005" s="1267"/>
      <c r="F1005" s="1267"/>
      <c r="G1005"/>
      <c r="I1005" s="524"/>
    </row>
    <row r="1006" spans="1:9" ht="12.75" customHeight="1">
      <c r="A1006" s="176"/>
      <c r="B1006" s="176"/>
      <c r="C1006" s="385"/>
      <c r="D1006" s="118"/>
      <c r="E1006" s="3"/>
      <c r="F1006" s="3"/>
      <c r="G1006" s="3"/>
      <c r="I1006" s="524"/>
    </row>
    <row r="1007" spans="1:9" ht="12.75" customHeight="1">
      <c r="A1007" s="272"/>
      <c r="B1007" s="519" t="s">
        <v>2768</v>
      </c>
      <c r="C1007" s="1035"/>
      <c r="D1007" s="1300" t="s">
        <v>1979</v>
      </c>
      <c r="E1007" s="1300"/>
      <c r="F1007" s="1300"/>
      <c r="G1007" s="1036"/>
      <c r="I1007" s="524"/>
    </row>
    <row r="1008" spans="1:9" ht="12.75" customHeight="1">
      <c r="A1008" s="1035"/>
      <c r="B1008" s="1035"/>
      <c r="C1008" s="1035"/>
      <c r="D1008" s="1300"/>
      <c r="E1008" s="1300"/>
      <c r="F1008" s="1300"/>
      <c r="G1008" s="1036"/>
      <c r="I1008" s="524"/>
    </row>
    <row r="1009" spans="1:9" ht="12.75" customHeight="1">
      <c r="A1009" s="1035"/>
      <c r="B1009" s="1035"/>
      <c r="C1009" s="1035"/>
      <c r="D1009" s="1019"/>
      <c r="E1009" s="1036"/>
      <c r="F1009" s="1036"/>
      <c r="G1009" s="1036"/>
      <c r="I1009" s="524"/>
    </row>
    <row r="1010" spans="1:9" ht="12.75" customHeight="1">
      <c r="A1010" s="272"/>
      <c r="B1010" s="519" t="s">
        <v>2768</v>
      </c>
      <c r="C1010" s="1035"/>
      <c r="D1010" s="1349" t="s">
        <v>1980</v>
      </c>
      <c r="E1010" s="1349"/>
      <c r="F1010" s="1349"/>
      <c r="G1010" s="1036"/>
      <c r="I1010" s="524"/>
    </row>
    <row r="1011" spans="1:9" ht="12.75" customHeight="1">
      <c r="A1011" s="1035"/>
      <c r="B1011" s="1035"/>
      <c r="C1011" s="1035"/>
      <c r="D1011" s="1019"/>
      <c r="E1011" s="1036"/>
      <c r="F1011" s="1036"/>
      <c r="G1011" s="1036"/>
      <c r="I1011" s="524"/>
    </row>
    <row r="1012" spans="1:9" ht="12.75" customHeight="1">
      <c r="A1012" s="176"/>
      <c r="B1012" s="519" t="s">
        <v>2767</v>
      </c>
      <c r="C1012" s="385"/>
      <c r="D1012" s="1287" t="s">
        <v>1981</v>
      </c>
      <c r="E1012" s="1287"/>
      <c r="F1012" s="1287"/>
      <c r="G1012" s="3"/>
      <c r="I1012" s="524"/>
    </row>
    <row r="1013" spans="1:9" ht="12.75" customHeight="1">
      <c r="A1013" s="176"/>
      <c r="B1013" s="176"/>
      <c r="C1013" s="385"/>
      <c r="D1013" s="118"/>
      <c r="E1013" s="3"/>
      <c r="F1013" s="3"/>
      <c r="G1013" s="3"/>
      <c r="I1013" s="524"/>
    </row>
    <row r="1014" spans="1:9" ht="12.75" customHeight="1">
      <c r="A1014" s="176"/>
      <c r="B1014" s="519" t="s">
        <v>2767</v>
      </c>
      <c r="C1014" s="385"/>
      <c r="D1014" s="1267" t="s">
        <v>1982</v>
      </c>
      <c r="E1014" s="1267"/>
      <c r="F1014" s="1267"/>
      <c r="G1014" s="3"/>
      <c r="I1014" s="524"/>
    </row>
    <row r="1015" spans="1:9" ht="12.75" customHeight="1">
      <c r="A1015" s="176"/>
      <c r="B1015" s="176"/>
      <c r="C1015" s="385"/>
      <c r="D1015" s="1267"/>
      <c r="E1015" s="1267"/>
      <c r="F1015" s="1267"/>
      <c r="G1015" s="3"/>
      <c r="I1015" s="524"/>
    </row>
    <row r="1016" spans="1:9" ht="12.75" customHeight="1">
      <c r="A1016" s="385"/>
      <c r="B1016" s="385"/>
      <c r="C1016" s="385"/>
      <c r="D1016" s="3"/>
      <c r="E1016" s="3"/>
      <c r="F1016" s="3"/>
      <c r="G1016" s="3"/>
      <c r="I1016" s="524"/>
    </row>
    <row r="1017" spans="1:9" ht="12.75" customHeight="1">
      <c r="A1017" s="1295" t="s">
        <v>1983</v>
      </c>
      <c r="B1017" s="1295"/>
      <c r="C1017" s="1295"/>
      <c r="D1017" s="1295"/>
      <c r="E1017" s="1295"/>
      <c r="F1017" s="1295"/>
      <c r="G1017" s="1295"/>
      <c r="H1017" s="1063"/>
      <c r="I1017" s="1256"/>
    </row>
    <row r="1018" spans="1:9" ht="12.75" customHeight="1">
      <c r="A1018" s="385"/>
      <c r="B1018" s="385"/>
      <c r="C1018" s="385"/>
      <c r="D1018" s="3"/>
      <c r="E1018" s="3"/>
      <c r="F1018" s="3"/>
      <c r="G1018" s="3"/>
      <c r="I1018" s="524"/>
    </row>
    <row r="1019" spans="1:9" ht="12.75" customHeight="1">
      <c r="A1019" s="385"/>
      <c r="B1019" s="385"/>
      <c r="C1019" s="385"/>
      <c r="D1019" s="1301" t="s">
        <v>1984</v>
      </c>
      <c r="E1019" s="1301"/>
      <c r="F1019" s="1301"/>
      <c r="G1019" s="3"/>
      <c r="I1019" s="524"/>
    </row>
    <row r="1020" spans="1:9" ht="12.75" customHeight="1">
      <c r="A1020" s="385"/>
      <c r="B1020" s="385"/>
      <c r="C1020" s="385"/>
      <c r="D1020" s="1349" t="s">
        <v>1985</v>
      </c>
      <c r="E1020" s="1349"/>
      <c r="F1020" s="1349"/>
      <c r="G1020" s="3"/>
      <c r="I1020" s="524"/>
    </row>
    <row r="1021" spans="1:9" ht="12.75" customHeight="1">
      <c r="A1021" s="172"/>
      <c r="B1021" s="172"/>
      <c r="C1021" s="172"/>
      <c r="D1021" s="3"/>
      <c r="E1021" s="3"/>
      <c r="F1021" s="3"/>
      <c r="G1021" s="3"/>
      <c r="I1021" s="524"/>
    </row>
    <row r="1022" spans="1:9" ht="12.75" customHeight="1">
      <c r="A1022" s="176"/>
      <c r="B1022" s="176"/>
      <c r="C1022" s="175"/>
      <c r="D1022" s="1301" t="s">
        <v>1999</v>
      </c>
      <c r="E1022" s="1301"/>
      <c r="F1022" s="1301"/>
      <c r="G1022" s="3"/>
      <c r="I1022" s="524" t="s">
        <v>2108</v>
      </c>
    </row>
    <row r="1023" spans="1:9" ht="12.75" customHeight="1">
      <c r="A1023" s="385"/>
      <c r="B1023" s="519" t="s">
        <v>2767</v>
      </c>
      <c r="C1023" s="385"/>
      <c r="D1023" s="1349" t="s">
        <v>1376</v>
      </c>
      <c r="E1023" s="1349"/>
      <c r="F1023" s="1349"/>
      <c r="G1023" s="3"/>
      <c r="I1023" s="524"/>
    </row>
    <row r="1024" spans="1:9" ht="12.75" customHeight="1">
      <c r="A1024" s="385"/>
      <c r="B1024" s="176"/>
      <c r="C1024" s="385"/>
      <c r="D1024" s="1349" t="s">
        <v>1986</v>
      </c>
      <c r="E1024" s="1349"/>
      <c r="F1024" s="1349"/>
      <c r="G1024" s="3"/>
      <c r="I1024" s="524"/>
    </row>
    <row r="1025" spans="1:9" ht="12.75" customHeight="1">
      <c r="A1025" s="385"/>
      <c r="B1025" s="385"/>
      <c r="C1025" s="385"/>
      <c r="D1025" s="1349"/>
      <c r="E1025" s="1349"/>
      <c r="F1025" s="1349"/>
      <c r="G1025" s="3"/>
      <c r="I1025" s="524"/>
    </row>
    <row r="1026" spans="1:9" ht="12.75" customHeight="1">
      <c r="A1026" s="1295" t="s">
        <v>1995</v>
      </c>
      <c r="B1026" s="1295"/>
      <c r="C1026" s="1295"/>
      <c r="D1026" s="1295"/>
      <c r="E1026" s="1295"/>
      <c r="F1026" s="1295"/>
      <c r="G1026" s="1295"/>
      <c r="H1026" s="1063"/>
      <c r="I1026" s="1256"/>
    </row>
    <row r="1027" spans="1:9" ht="12.75" customHeight="1">
      <c r="A1027" s="118"/>
      <c r="B1027" s="118"/>
      <c r="C1027" s="385"/>
      <c r="D1027" s="3"/>
      <c r="E1027" s="3"/>
      <c r="F1027" s="3"/>
      <c r="G1027" s="3"/>
      <c r="I1027" s="524"/>
    </row>
    <row r="1028" spans="1:9" ht="12.75" hidden="1" customHeight="1">
      <c r="A1028" s="118"/>
      <c r="B1028" s="433"/>
      <c r="D1028" s="1296" t="s">
        <v>1377</v>
      </c>
      <c r="E1028" s="1296"/>
      <c r="F1028" s="1296"/>
      <c r="G1028" s="3"/>
      <c r="I1028" s="524"/>
    </row>
    <row r="1029" spans="1:9" ht="12.75" hidden="1" customHeight="1">
      <c r="A1029" s="118"/>
      <c r="B1029" s="519" t="s">
        <v>307</v>
      </c>
      <c r="D1029" s="1281" t="s">
        <v>1376</v>
      </c>
      <c r="E1029" s="1281"/>
      <c r="F1029" s="1281"/>
      <c r="G1029" s="3"/>
      <c r="I1029" s="524"/>
    </row>
    <row r="1030" spans="1:9" ht="12.75" hidden="1" customHeight="1">
      <c r="A1030" s="118"/>
      <c r="B1030" s="433"/>
      <c r="D1030" s="1281" t="s">
        <v>1996</v>
      </c>
      <c r="E1030" s="1281"/>
      <c r="F1030" s="1281"/>
      <c r="G1030" s="3"/>
      <c r="I1030" s="524"/>
    </row>
    <row r="1031" spans="1:9" ht="12.75" hidden="1" customHeight="1">
      <c r="A1031" s="118"/>
      <c r="B1031" s="433"/>
      <c r="D1031" s="478"/>
      <c r="E1031" s="478"/>
      <c r="F1031" s="478"/>
      <c r="G1031" s="3"/>
      <c r="I1031" s="524"/>
    </row>
    <row r="1032" spans="1:9" ht="12.75" customHeight="1">
      <c r="A1032" s="118"/>
      <c r="B1032" s="118"/>
      <c r="C1032" s="385"/>
      <c r="D1032" s="1355" t="s">
        <v>1092</v>
      </c>
      <c r="E1032" s="1355"/>
      <c r="F1032" s="1355"/>
      <c r="G1032" s="3"/>
      <c r="I1032" s="524" t="s">
        <v>2137</v>
      </c>
    </row>
    <row r="1033" spans="1:9" ht="12.75" customHeight="1">
      <c r="A1033" s="345"/>
      <c r="B1033" s="345"/>
      <c r="C1033" s="345"/>
      <c r="D1033" s="1291" t="s">
        <v>1109</v>
      </c>
      <c r="E1033" s="1291"/>
      <c r="F1033" s="1291"/>
      <c r="G1033" s="98"/>
      <c r="I1033" s="524"/>
    </row>
    <row r="1034" spans="1:9" ht="12.75" customHeight="1">
      <c r="A1034" s="176"/>
      <c r="B1034" s="519" t="s">
        <v>2768</v>
      </c>
      <c r="C1034" s="385"/>
      <c r="D1034" s="1291" t="s">
        <v>1002</v>
      </c>
      <c r="E1034" s="1291"/>
      <c r="F1034" s="1291"/>
      <c r="G1034" s="3"/>
      <c r="I1034" s="524"/>
    </row>
    <row r="1035" spans="1:9" ht="12.75" customHeight="1">
      <c r="A1035" s="385"/>
      <c r="B1035" s="385"/>
      <c r="C1035" s="385"/>
      <c r="D1035" s="1071" t="s">
        <v>2213</v>
      </c>
      <c r="E1035" s="96"/>
      <c r="F1035" s="96"/>
      <c r="G1035" s="3"/>
      <c r="I1035" s="524"/>
    </row>
    <row r="1036" spans="1:9">
      <c r="A1036" s="433"/>
      <c r="B1036" s="433"/>
      <c r="C1036" s="433"/>
      <c r="I1036" s="524"/>
    </row>
    <row r="1037" spans="1:9">
      <c r="A1037" s="1295" t="s">
        <v>2016</v>
      </c>
      <c r="B1037" s="1295"/>
      <c r="C1037" s="1295"/>
      <c r="D1037" s="1295"/>
      <c r="E1037" s="1295"/>
      <c r="F1037" s="1295"/>
      <c r="G1037" s="1295"/>
      <c r="H1037" s="1063"/>
      <c r="I1037" s="1256"/>
    </row>
    <row r="1038" spans="1:9">
      <c r="A1038" s="433"/>
      <c r="B1038" s="433"/>
      <c r="C1038" s="433"/>
      <c r="I1038" s="524"/>
    </row>
    <row r="1039" spans="1:9">
      <c r="A1039" s="433"/>
      <c r="B1039" s="433"/>
      <c r="C1039" s="433"/>
      <c r="D1039" s="435" t="s">
        <v>2002</v>
      </c>
      <c r="I1039" s="524"/>
    </row>
    <row r="1040" spans="1:9">
      <c r="A1040" s="433"/>
      <c r="B1040" s="433"/>
      <c r="C1040" s="433"/>
      <c r="D1040" s="433" t="s">
        <v>2001</v>
      </c>
      <c r="I1040" s="524"/>
    </row>
    <row r="1041" spans="1:9">
      <c r="A1041" s="433"/>
      <c r="B1041" s="433"/>
      <c r="C1041" s="433"/>
      <c r="D1041" s="435"/>
      <c r="I1041" s="524"/>
    </row>
    <row r="1042" spans="1:9">
      <c r="A1042" s="433"/>
      <c r="B1042" s="519" t="s">
        <v>2768</v>
      </c>
      <c r="C1042" s="433"/>
      <c r="D1042" s="1352" t="s">
        <v>2000</v>
      </c>
      <c r="E1042" s="1352"/>
      <c r="F1042" s="1352"/>
      <c r="I1042" s="524" t="s">
        <v>2109</v>
      </c>
    </row>
    <row r="1043" spans="1:9">
      <c r="A1043" s="433"/>
      <c r="B1043" s="433"/>
      <c r="C1043" s="433"/>
      <c r="D1043" s="1352"/>
      <c r="E1043" s="1352"/>
      <c r="F1043" s="1352"/>
      <c r="I1043" s="524"/>
    </row>
    <row r="1044" spans="1:9">
      <c r="A1044" s="433"/>
      <c r="B1044" s="433"/>
      <c r="C1044" s="433"/>
      <c r="D1044" s="1352"/>
      <c r="E1044" s="1352"/>
      <c r="F1044" s="1352"/>
      <c r="I1044" s="524"/>
    </row>
    <row r="1045" spans="1:9">
      <c r="A1045" s="433"/>
      <c r="B1045" s="433"/>
      <c r="C1045" s="433"/>
      <c r="D1045" s="1352"/>
      <c r="E1045" s="1352"/>
      <c r="F1045" s="1352"/>
      <c r="I1045" s="524"/>
    </row>
    <row r="1046" spans="1:9">
      <c r="A1046" s="433"/>
      <c r="B1046" s="433"/>
      <c r="C1046" s="433"/>
      <c r="I1046" s="524"/>
    </row>
    <row r="1047" spans="1:9">
      <c r="A1047" s="433"/>
      <c r="B1047" s="433"/>
      <c r="C1047" s="433"/>
      <c r="D1047" s="435" t="s">
        <v>1419</v>
      </c>
      <c r="I1047" s="524"/>
    </row>
    <row r="1048" spans="1:9">
      <c r="A1048" s="433"/>
      <c r="B1048" s="433"/>
      <c r="C1048" s="433"/>
      <c r="D1048" s="433" t="s">
        <v>2003</v>
      </c>
      <c r="I1048" s="524"/>
    </row>
    <row r="1049" spans="1:9">
      <c r="A1049" s="433"/>
      <c r="B1049" s="433"/>
      <c r="C1049" s="433"/>
      <c r="I1049" s="524"/>
    </row>
    <row r="1050" spans="1:9">
      <c r="A1050" s="433"/>
      <c r="B1050" s="519" t="s">
        <v>2767</v>
      </c>
      <c r="C1050" s="433"/>
      <c r="D1050" s="433" t="s">
        <v>1998</v>
      </c>
      <c r="I1050" s="524" t="s">
        <v>2110</v>
      </c>
    </row>
    <row r="1051" spans="1:9">
      <c r="A1051" s="433"/>
      <c r="B1051" s="433"/>
      <c r="C1051" s="433"/>
      <c r="I1051" s="524"/>
    </row>
    <row r="1052" spans="1:9">
      <c r="A1052" s="433"/>
      <c r="B1052" s="519" t="s">
        <v>2767</v>
      </c>
      <c r="C1052" s="433"/>
      <c r="D1052" s="1352" t="s">
        <v>2004</v>
      </c>
      <c r="E1052" s="1352"/>
      <c r="F1052" s="1352"/>
      <c r="I1052" s="524" t="s">
        <v>2111</v>
      </c>
    </row>
    <row r="1053" spans="1:9">
      <c r="A1053" s="433"/>
      <c r="B1053" s="433"/>
      <c r="C1053" s="433"/>
      <c r="D1053" s="1352"/>
      <c r="E1053" s="1352"/>
      <c r="F1053" s="1352"/>
      <c r="I1053" s="524"/>
    </row>
    <row r="1054" spans="1:9">
      <c r="A1054" s="433"/>
      <c r="B1054" s="433"/>
      <c r="C1054" s="433"/>
      <c r="D1054" s="1352"/>
      <c r="E1054" s="1352"/>
      <c r="F1054" s="1352"/>
      <c r="I1054" s="524"/>
    </row>
    <row r="1055" spans="1:9">
      <c r="A1055" s="433"/>
      <c r="B1055" s="433"/>
      <c r="C1055" s="433"/>
      <c r="D1055" s="1352"/>
      <c r="E1055" s="1352"/>
      <c r="F1055" s="1352"/>
      <c r="I1055" s="524"/>
    </row>
    <row r="1056" spans="1:9">
      <c r="A1056" s="433"/>
      <c r="B1056" s="433"/>
      <c r="C1056" s="433"/>
      <c r="D1056" s="1352"/>
      <c r="E1056" s="1352"/>
      <c r="F1056" s="1352"/>
      <c r="I1056" s="524"/>
    </row>
    <row r="1057" spans="1:9">
      <c r="A1057" s="433"/>
      <c r="B1057" s="433"/>
      <c r="C1057" s="433"/>
      <c r="I1057" s="524"/>
    </row>
    <row r="1058" spans="1:9">
      <c r="A1058" s="1295" t="s">
        <v>2005</v>
      </c>
      <c r="B1058" s="1295"/>
      <c r="C1058" s="1295"/>
      <c r="D1058" s="1295"/>
      <c r="E1058" s="1295"/>
      <c r="F1058" s="1295"/>
      <c r="G1058" s="1295"/>
      <c r="H1058" s="1063"/>
      <c r="I1058" s="1256"/>
    </row>
    <row r="1059" spans="1:9">
      <c r="A1059" s="433"/>
      <c r="B1059" s="433"/>
      <c r="C1059" s="433"/>
      <c r="I1059" s="524"/>
    </row>
    <row r="1060" spans="1:9">
      <c r="A1060" s="433"/>
      <c r="B1060" s="433"/>
      <c r="C1060" s="433"/>
      <c r="I1060" s="524"/>
    </row>
    <row r="1061" spans="1:9">
      <c r="A1061" s="433"/>
      <c r="B1061" s="519" t="s">
        <v>2767</v>
      </c>
      <c r="C1061" s="433"/>
      <c r="D1061" s="561" t="s">
        <v>2008</v>
      </c>
      <c r="I1061" s="524" t="s">
        <v>2112</v>
      </c>
    </row>
    <row r="1062" spans="1:9">
      <c r="A1062" s="433"/>
      <c r="B1062" s="433"/>
      <c r="C1062" s="433"/>
      <c r="D1062" s="561" t="s">
        <v>2010</v>
      </c>
      <c r="I1062" s="524"/>
    </row>
    <row r="1063" spans="1:9">
      <c r="A1063" s="433"/>
      <c r="B1063" s="433"/>
      <c r="C1063" s="433"/>
      <c r="D1063" s="561"/>
      <c r="I1063" s="524"/>
    </row>
    <row r="1064" spans="1:9">
      <c r="A1064" s="433"/>
      <c r="B1064" s="519" t="s">
        <v>2768</v>
      </c>
      <c r="C1064" s="433"/>
      <c r="D1064" s="561" t="s">
        <v>2011</v>
      </c>
      <c r="I1064" s="524" t="s">
        <v>2113</v>
      </c>
    </row>
    <row r="1065" spans="1:9">
      <c r="A1065" s="433"/>
      <c r="B1065" s="433"/>
      <c r="C1065" s="433"/>
      <c r="D1065" s="561" t="s">
        <v>2009</v>
      </c>
      <c r="I1065" s="524"/>
    </row>
    <row r="1066" spans="1:9">
      <c r="A1066" s="433"/>
      <c r="B1066" s="433"/>
      <c r="C1066" s="433"/>
      <c r="D1066" s="561"/>
      <c r="I1066" s="524"/>
    </row>
    <row r="1067" spans="1:9">
      <c r="A1067" s="433"/>
      <c r="B1067" s="519" t="s">
        <v>2768</v>
      </c>
      <c r="C1067" s="433"/>
      <c r="D1067" s="119" t="s">
        <v>2014</v>
      </c>
      <c r="I1067" s="524" t="s">
        <v>2114</v>
      </c>
    </row>
    <row r="1068" spans="1:9">
      <c r="A1068" s="433"/>
      <c r="B1068" s="433"/>
      <c r="C1068" s="433"/>
      <c r="D1068" s="1267" t="s">
        <v>2015</v>
      </c>
      <c r="E1068" s="1267"/>
      <c r="F1068" s="1267"/>
      <c r="I1068" s="524"/>
    </row>
    <row r="1069" spans="1:9">
      <c r="A1069" s="433"/>
      <c r="B1069" s="433"/>
      <c r="C1069" s="433"/>
      <c r="D1069" s="1267"/>
      <c r="E1069" s="1267"/>
      <c r="F1069" s="1267"/>
      <c r="I1069" s="524"/>
    </row>
    <row r="1070" spans="1:9">
      <c r="A1070" s="433"/>
      <c r="B1070" s="433"/>
      <c r="C1070" s="433"/>
      <c r="D1070" s="1267"/>
      <c r="E1070" s="1267"/>
      <c r="F1070" s="1267"/>
      <c r="I1070" s="524"/>
    </row>
    <row r="1071" spans="1:9">
      <c r="A1071" s="433"/>
      <c r="B1071" s="433"/>
      <c r="C1071" s="433"/>
      <c r="D1071" s="1267"/>
      <c r="E1071" s="1267"/>
      <c r="F1071" s="1267"/>
      <c r="I1071" s="524"/>
    </row>
    <row r="1072" spans="1:9">
      <c r="A1072" s="433"/>
      <c r="B1072" s="433"/>
      <c r="C1072" s="433"/>
      <c r="D1072" s="119" t="s">
        <v>2013</v>
      </c>
      <c r="I1072" s="524"/>
    </row>
    <row r="1073" spans="1:9">
      <c r="A1073" s="433"/>
      <c r="B1073" s="433"/>
      <c r="C1073" s="433"/>
      <c r="D1073" s="119"/>
      <c r="I1073" s="524"/>
    </row>
    <row r="1074" spans="1:9">
      <c r="A1074" s="433"/>
      <c r="B1074" s="433"/>
      <c r="C1074" s="433"/>
      <c r="D1074" s="561" t="s">
        <v>2006</v>
      </c>
      <c r="I1074" s="524" t="s">
        <v>2115</v>
      </c>
    </row>
    <row r="1075" spans="1:9">
      <c r="A1075" s="433"/>
      <c r="B1075" s="519" t="s">
        <v>2768</v>
      </c>
      <c r="C1075" s="433"/>
      <c r="D1075" s="1351" t="s">
        <v>2007</v>
      </c>
      <c r="E1075" s="1351"/>
      <c r="F1075" s="1351"/>
      <c r="I1075" s="524"/>
    </row>
    <row r="1076" spans="1:9">
      <c r="A1076" s="433"/>
      <c r="B1076" s="433"/>
      <c r="C1076" s="433"/>
      <c r="D1076" s="1351"/>
      <c r="E1076" s="1351"/>
      <c r="F1076" s="1351"/>
      <c r="I1076" s="524"/>
    </row>
    <row r="1077" spans="1:9">
      <c r="A1077" s="433"/>
      <c r="B1077" s="433"/>
      <c r="C1077" s="433"/>
      <c r="D1077" s="1351"/>
      <c r="E1077" s="1351"/>
      <c r="F1077" s="1351"/>
      <c r="I1077" s="524"/>
    </row>
    <row r="1078" spans="1:9">
      <c r="A1078" s="433"/>
      <c r="B1078" s="433"/>
      <c r="C1078" s="433"/>
      <c r="D1078" s="1351"/>
      <c r="E1078" s="1351"/>
      <c r="F1078" s="1351"/>
      <c r="I1078" s="524"/>
    </row>
    <row r="1079" spans="1:9">
      <c r="A1079" s="433"/>
      <c r="B1079" s="433"/>
      <c r="C1079" s="433"/>
      <c r="D1079" s="1351"/>
      <c r="E1079" s="1351"/>
      <c r="F1079" s="1351"/>
      <c r="I1079" s="524"/>
    </row>
    <row r="1080" spans="1:9">
      <c r="A1080" s="433"/>
      <c r="B1080" s="433"/>
      <c r="C1080" s="433"/>
      <c r="D1080" s="561" t="s">
        <v>2012</v>
      </c>
      <c r="I1080" s="524"/>
    </row>
    <row r="1081" spans="1:9">
      <c r="A1081" s="433"/>
      <c r="B1081" s="433"/>
      <c r="C1081" s="433"/>
      <c r="I1081" s="524"/>
    </row>
    <row r="1082" spans="1:9">
      <c r="A1082" s="1295" t="s">
        <v>2017</v>
      </c>
      <c r="B1082" s="1295"/>
      <c r="C1082" s="1295"/>
      <c r="D1082" s="1295"/>
      <c r="E1082" s="1295"/>
      <c r="F1082" s="1295"/>
      <c r="G1082" s="1295"/>
      <c r="H1082" s="1063"/>
      <c r="I1082" s="1256"/>
    </row>
    <row r="1083" spans="1:9">
      <c r="A1083" s="433"/>
      <c r="B1083" s="433"/>
      <c r="C1083" s="433"/>
      <c r="I1083" s="524"/>
    </row>
    <row r="1084" spans="1:9">
      <c r="A1084" s="433"/>
      <c r="B1084" s="433"/>
      <c r="C1084" s="433"/>
      <c r="I1084" s="524"/>
    </row>
    <row r="1085" spans="1:9" ht="12.75" customHeight="1">
      <c r="A1085" s="433"/>
      <c r="B1085" s="519" t="s">
        <v>2768</v>
      </c>
      <c r="C1085" s="433"/>
      <c r="D1085" s="1353" t="s">
        <v>2225</v>
      </c>
      <c r="E1085" s="1353"/>
      <c r="F1085" s="1353"/>
      <c r="I1085" s="524" t="s">
        <v>2116</v>
      </c>
    </row>
    <row r="1086" spans="1:9">
      <c r="A1086" s="433"/>
      <c r="B1086" s="433"/>
      <c r="C1086" s="433"/>
      <c r="D1086" s="1353"/>
      <c r="E1086" s="1353"/>
      <c r="F1086" s="1353"/>
      <c r="I1086" s="524"/>
    </row>
    <row r="1087" spans="1:9">
      <c r="A1087" s="433"/>
      <c r="B1087" s="433"/>
      <c r="C1087" s="433"/>
      <c r="D1087" s="1354" t="s">
        <v>2498</v>
      </c>
      <c r="E1087" s="1267"/>
      <c r="F1087" s="1267"/>
      <c r="I1087" s="524"/>
    </row>
    <row r="1088" spans="1:9">
      <c r="A1088" s="433"/>
      <c r="B1088" s="433"/>
      <c r="C1088" s="433"/>
      <c r="D1088" s="561"/>
      <c r="I1088" s="524"/>
    </row>
    <row r="1089" spans="1:9">
      <c r="A1089" s="433"/>
      <c r="B1089" s="519" t="s">
        <v>2768</v>
      </c>
      <c r="C1089" s="433"/>
      <c r="D1089" s="1351" t="s">
        <v>2018</v>
      </c>
      <c r="E1089" s="1351"/>
      <c r="F1089" s="1351"/>
      <c r="I1089" s="524" t="s">
        <v>2117</v>
      </c>
    </row>
    <row r="1090" spans="1:9">
      <c r="A1090" s="433"/>
      <c r="B1090" s="433"/>
      <c r="C1090" s="433"/>
      <c r="D1090" s="1351"/>
      <c r="E1090" s="1351"/>
      <c r="F1090" s="1351"/>
      <c r="I1090" s="524"/>
    </row>
    <row r="1091" spans="1:9">
      <c r="A1091" s="433"/>
      <c r="B1091" s="433"/>
      <c r="C1091" s="433"/>
      <c r="D1091" s="561"/>
      <c r="I1091" s="524"/>
    </row>
    <row r="1092" spans="1:9">
      <c r="A1092" s="433"/>
      <c r="B1092" s="519" t="s">
        <v>2768</v>
      </c>
      <c r="C1092" s="433"/>
      <c r="D1092" s="1351" t="s">
        <v>2161</v>
      </c>
      <c r="E1092" s="1351"/>
      <c r="F1092" s="1351"/>
      <c r="I1092" s="524" t="s">
        <v>2159</v>
      </c>
    </row>
    <row r="1093" spans="1:9">
      <c r="A1093" s="433"/>
      <c r="B1093" s="433"/>
      <c r="C1093" s="433"/>
      <c r="D1093" s="1351"/>
      <c r="E1093" s="1351"/>
      <c r="F1093" s="1351"/>
      <c r="I1093" s="524"/>
    </row>
    <row r="1094" spans="1:9">
      <c r="A1094" s="433"/>
      <c r="B1094" s="433"/>
      <c r="C1094" s="433"/>
      <c r="D1094" s="1351"/>
      <c r="E1094" s="1351"/>
      <c r="F1094" s="1351"/>
      <c r="I1094" s="524"/>
    </row>
    <row r="1095" spans="1:9">
      <c r="A1095" s="433"/>
      <c r="B1095" s="433"/>
      <c r="C1095" s="433"/>
      <c r="D1095" s="1351"/>
      <c r="E1095" s="1351"/>
      <c r="F1095" s="1351"/>
      <c r="I1095" s="524"/>
    </row>
    <row r="1096" spans="1:9">
      <c r="A1096" s="433"/>
      <c r="B1096" s="433"/>
      <c r="C1096" s="433"/>
      <c r="D1096" s="1351"/>
      <c r="E1096" s="1351"/>
      <c r="F1096" s="1351"/>
      <c r="I1096" s="524"/>
    </row>
    <row r="1097" spans="1:9">
      <c r="A1097" s="433"/>
      <c r="B1097" s="433"/>
      <c r="C1097" s="433"/>
      <c r="D1097" s="1351"/>
      <c r="E1097" s="1351"/>
      <c r="F1097" s="1351"/>
      <c r="I1097" s="524"/>
    </row>
    <row r="1098" spans="1:9">
      <c r="A1098" s="433"/>
      <c r="B1098" s="433"/>
      <c r="C1098" s="433"/>
      <c r="D1098" s="561" t="s">
        <v>2160</v>
      </c>
      <c r="I1098" s="514"/>
    </row>
    <row r="1099" spans="1:9">
      <c r="A1099" s="433"/>
      <c r="B1099" s="519" t="s">
        <v>2768</v>
      </c>
      <c r="C1099" s="433"/>
      <c r="D1099" s="1351" t="s">
        <v>2019</v>
      </c>
      <c r="E1099" s="1351"/>
      <c r="F1099" s="1351"/>
      <c r="I1099" s="524" t="s">
        <v>2118</v>
      </c>
    </row>
    <row r="1100" spans="1:9">
      <c r="A1100" s="433"/>
      <c r="B1100" s="433"/>
      <c r="C1100" s="433"/>
      <c r="D1100" s="1351"/>
      <c r="E1100" s="1351"/>
      <c r="F1100" s="1351"/>
      <c r="I1100" s="524"/>
    </row>
    <row r="1101" spans="1:9">
      <c r="A1101" s="433"/>
      <c r="B1101" s="433"/>
      <c r="C1101" s="433"/>
      <c r="D1101" s="1351"/>
      <c r="E1101" s="1351"/>
      <c r="F1101" s="1351"/>
      <c r="I1101" s="524"/>
    </row>
    <row r="1102" spans="1:9">
      <c r="A1102" s="433"/>
      <c r="B1102" s="433"/>
      <c r="C1102" s="433"/>
      <c r="D1102" s="561"/>
      <c r="I1102" s="524"/>
    </row>
    <row r="1103" spans="1:9">
      <c r="A1103" s="433"/>
      <c r="B1103" s="519" t="s">
        <v>2767</v>
      </c>
      <c r="C1103" s="433"/>
      <c r="D1103" s="1273" t="s">
        <v>2162</v>
      </c>
      <c r="E1103" s="1273"/>
      <c r="F1103" s="1273"/>
      <c r="I1103" s="524" t="s">
        <v>2119</v>
      </c>
    </row>
    <row r="1104" spans="1:9">
      <c r="A1104" s="433"/>
      <c r="B1104" s="433"/>
      <c r="C1104" s="433"/>
      <c r="D1104" s="1273"/>
      <c r="E1104" s="1273"/>
      <c r="F1104" s="1273"/>
      <c r="I1104" s="524"/>
    </row>
    <row r="1105" spans="1:9">
      <c r="A1105" s="433"/>
      <c r="B1105" s="433"/>
      <c r="C1105" s="433"/>
      <c r="D1105" s="1273"/>
      <c r="E1105" s="1273"/>
      <c r="F1105" s="1273"/>
      <c r="I1105" s="524"/>
    </row>
    <row r="1106" spans="1:9">
      <c r="A1106" s="433"/>
      <c r="B1106" s="433"/>
      <c r="C1106" s="433"/>
      <c r="D1106" s="1015"/>
      <c r="E1106" s="1015"/>
      <c r="F1106" s="1015"/>
      <c r="I1106" s="524"/>
    </row>
    <row r="1107" spans="1:9" ht="15.75" customHeight="1">
      <c r="A1107" s="433"/>
      <c r="B1107" s="519" t="s">
        <v>2767</v>
      </c>
      <c r="C1107" s="433"/>
      <c r="D1107" s="1267" t="s">
        <v>2164</v>
      </c>
      <c r="E1107" s="1267"/>
      <c r="F1107" s="1267"/>
      <c r="I1107" s="524" t="s">
        <v>2163</v>
      </c>
    </row>
    <row r="1108" spans="1:9">
      <c r="A1108" s="433"/>
      <c r="B1108" s="433"/>
      <c r="C1108" s="433"/>
      <c r="D1108" s="1267"/>
      <c r="E1108" s="1267"/>
      <c r="F1108" s="1267"/>
      <c r="I1108" s="524"/>
    </row>
    <row r="1109" spans="1:9">
      <c r="A1109" s="433"/>
      <c r="B1109" s="433"/>
      <c r="C1109" s="433"/>
      <c r="D1109" s="1267"/>
      <c r="E1109" s="1267"/>
      <c r="F1109" s="1267"/>
      <c r="I1109" s="524"/>
    </row>
    <row r="1110" spans="1:9">
      <c r="A1110" s="433"/>
      <c r="B1110" s="433"/>
      <c r="C1110" s="433"/>
      <c r="D1110" s="1267"/>
      <c r="E1110" s="1267"/>
      <c r="F1110" s="1267"/>
      <c r="I1110" s="524"/>
    </row>
    <row r="1111" spans="1:9">
      <c r="A1111" s="433"/>
      <c r="B1111" s="433"/>
      <c r="C1111" s="433"/>
      <c r="D1111" s="1015"/>
      <c r="E1111" s="1015"/>
      <c r="F1111" s="1015"/>
      <c r="I1111" s="524"/>
    </row>
    <row r="1112" spans="1:9" ht="38.25">
      <c r="A1112" s="433"/>
      <c r="B1112" s="433"/>
      <c r="C1112" s="433"/>
      <c r="I1112" s="1262" t="s">
        <v>2382</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80"/>
      <c r="H1525" s="1280"/>
      <c r="I1525" s="1280"/>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969" zoomScaleNormal="100" workbookViewId="0">
      <selection activeCell="X773" sqref="X773:AB773"/>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865" t="s">
        <v>100</v>
      </c>
      <c r="B8" s="1865"/>
      <c r="C8" s="1865"/>
      <c r="D8" s="1865"/>
      <c r="E8" s="1865"/>
      <c r="F8" s="1865"/>
      <c r="G8" s="1865"/>
      <c r="H8" s="1865"/>
      <c r="I8" s="1865"/>
      <c r="J8" s="1865"/>
      <c r="K8" s="1865"/>
      <c r="L8" s="1865"/>
      <c r="M8" s="1865"/>
      <c r="N8" s="1865"/>
      <c r="O8" s="1865"/>
      <c r="P8" s="1865"/>
      <c r="Q8" s="1865"/>
      <c r="R8" s="1865"/>
      <c r="S8" s="1865"/>
      <c r="T8" s="1865"/>
      <c r="U8" s="1865"/>
      <c r="V8" s="1865"/>
      <c r="W8" s="1865"/>
      <c r="X8" s="1865"/>
      <c r="Y8" s="1865"/>
      <c r="Z8" s="1865"/>
      <c r="AA8" s="1865"/>
      <c r="AB8" s="1865"/>
      <c r="AC8" s="1865"/>
      <c r="AD8" s="1865"/>
      <c r="AE8" s="1865"/>
      <c r="AF8" s="1865"/>
      <c r="AG8" s="1865"/>
      <c r="AH8" s="1865"/>
      <c r="AI8" s="1865"/>
      <c r="AJ8" s="1865"/>
      <c r="AK8" s="1865"/>
      <c r="AL8" s="1865"/>
      <c r="AM8" s="1865"/>
      <c r="AN8" s="1865"/>
      <c r="AO8" s="1865"/>
      <c r="AP8" s="1865"/>
      <c r="AQ8" s="1865"/>
      <c r="AR8" s="1865"/>
      <c r="AS8" s="1865"/>
      <c r="AT8" s="1865"/>
      <c r="AU8" s="933"/>
      <c r="AV8" s="933"/>
      <c r="AW8" s="933"/>
      <c r="AX8" s="933"/>
      <c r="AY8" s="933"/>
    </row>
    <row r="9" spans="1:51" ht="12.95" customHeight="1">
      <c r="A9" s="1307" t="s">
        <v>2388</v>
      </c>
      <c r="B9" s="1307"/>
      <c r="C9" s="1307"/>
      <c r="D9" s="1307"/>
      <c r="E9" s="1307"/>
      <c r="F9" s="1307"/>
      <c r="G9" s="1307"/>
      <c r="H9" s="1307"/>
      <c r="I9" s="1307"/>
      <c r="J9" s="1307"/>
      <c r="K9" s="1307"/>
      <c r="L9" s="1307"/>
      <c r="M9" s="1307"/>
      <c r="N9" s="1307"/>
      <c r="O9" s="1307"/>
      <c r="P9" s="1307"/>
      <c r="Q9" s="1307"/>
      <c r="R9" s="1307"/>
      <c r="S9" s="1307"/>
      <c r="T9" s="1307"/>
      <c r="U9" s="1307"/>
      <c r="V9" s="1307"/>
      <c r="W9" s="1307"/>
      <c r="X9" s="1307"/>
      <c r="Y9" s="1307"/>
      <c r="Z9" s="1307"/>
      <c r="AA9" s="1307"/>
      <c r="AB9" s="1307"/>
      <c r="AC9" s="1307"/>
      <c r="AD9" s="1307"/>
      <c r="AE9" s="1307"/>
      <c r="AF9" s="1307"/>
      <c r="AG9" s="1307"/>
      <c r="AH9" s="1307"/>
      <c r="AI9" s="1307"/>
      <c r="AJ9" s="1307"/>
      <c r="AK9" s="1307"/>
      <c r="AL9" s="1307"/>
      <c r="AM9" s="1307"/>
      <c r="AN9" s="1307"/>
      <c r="AO9" s="1307"/>
      <c r="AP9" s="1307"/>
      <c r="AQ9" s="1307"/>
      <c r="AR9" s="1307"/>
      <c r="AS9" s="1307"/>
      <c r="AT9" s="1307"/>
      <c r="AU9" s="13"/>
      <c r="AV9" s="13"/>
      <c r="AW9" s="13"/>
      <c r="AX9" s="13"/>
      <c r="AY9" s="13"/>
    </row>
    <row r="10" spans="1:51" ht="12.95" customHeight="1">
      <c r="A10" s="1307" t="s">
        <v>2577</v>
      </c>
      <c r="B10" s="1307"/>
      <c r="C10" s="1307"/>
      <c r="D10" s="1307"/>
      <c r="E10" s="1307"/>
      <c r="F10" s="1307"/>
      <c r="G10" s="1307"/>
      <c r="H10" s="1307"/>
      <c r="I10" s="1307"/>
      <c r="J10" s="1307"/>
      <c r="K10" s="1307"/>
      <c r="L10" s="1307"/>
      <c r="M10" s="1307"/>
      <c r="N10" s="1307"/>
      <c r="O10" s="1307"/>
      <c r="P10" s="1307"/>
      <c r="Q10" s="1307"/>
      <c r="R10" s="1307"/>
      <c r="S10" s="1307"/>
      <c r="T10" s="1307"/>
      <c r="U10" s="1307"/>
      <c r="V10" s="1307"/>
      <c r="W10" s="1307"/>
      <c r="X10" s="1307"/>
      <c r="Y10" s="1307"/>
      <c r="Z10" s="1307"/>
      <c r="AA10" s="1307"/>
      <c r="AB10" s="1307"/>
      <c r="AC10" s="1307"/>
      <c r="AD10" s="1307"/>
      <c r="AE10" s="1307"/>
      <c r="AF10" s="1307"/>
      <c r="AG10" s="1307"/>
      <c r="AH10" s="1307"/>
      <c r="AI10" s="1307"/>
      <c r="AJ10" s="1307"/>
      <c r="AK10" s="1307"/>
      <c r="AL10" s="1307"/>
      <c r="AM10" s="1307"/>
      <c r="AN10" s="1307"/>
      <c r="AO10" s="1307"/>
      <c r="AP10" s="1307"/>
      <c r="AQ10" s="1307"/>
      <c r="AR10" s="1307"/>
      <c r="AS10" s="1307"/>
      <c r="AT10" s="1307"/>
      <c r="AU10" s="13"/>
      <c r="AV10" s="13"/>
      <c r="AW10" s="13"/>
      <c r="AX10" s="13"/>
      <c r="AY10" s="13"/>
    </row>
    <row r="11" spans="1:51" ht="12.95" customHeight="1">
      <c r="A11" s="1307" t="s">
        <v>1766</v>
      </c>
      <c r="B11" s="1307"/>
      <c r="C11" s="1307"/>
      <c r="D11" s="1307"/>
      <c r="E11" s="1307"/>
      <c r="F11" s="1307"/>
      <c r="G11" s="1307"/>
      <c r="H11" s="1307"/>
      <c r="I11" s="1307"/>
      <c r="J11" s="1307"/>
      <c r="K11" s="1307"/>
      <c r="L11" s="1307"/>
      <c r="M11" s="1307"/>
      <c r="N11" s="1307"/>
      <c r="O11" s="1307"/>
      <c r="P11" s="1307"/>
      <c r="Q11" s="1307"/>
      <c r="R11" s="1307"/>
      <c r="S11" s="1307"/>
      <c r="T11" s="1307"/>
      <c r="U11" s="1307"/>
      <c r="V11" s="1307"/>
      <c r="W11" s="1307"/>
      <c r="X11" s="1307"/>
      <c r="Y11" s="1307"/>
      <c r="Z11" s="1307"/>
      <c r="AA11" s="1307"/>
      <c r="AB11" s="1307"/>
      <c r="AC11" s="1307"/>
      <c r="AD11" s="1307"/>
      <c r="AE11" s="1307"/>
      <c r="AF11" s="1307"/>
      <c r="AG11" s="1307"/>
      <c r="AH11" s="1307"/>
      <c r="AI11" s="1307"/>
      <c r="AJ11" s="1307"/>
      <c r="AK11" s="1307"/>
      <c r="AL11" s="1307"/>
      <c r="AM11" s="1307"/>
      <c r="AN11" s="1307"/>
      <c r="AO11" s="1307"/>
      <c r="AP11" s="1307"/>
      <c r="AQ11" s="1307"/>
      <c r="AR11" s="1307"/>
      <c r="AS11" s="1307"/>
      <c r="AT11" s="1307"/>
      <c r="AU11" s="13"/>
      <c r="AV11" s="13"/>
      <c r="AW11" s="13"/>
      <c r="AX11" s="13"/>
      <c r="AY11" s="13"/>
    </row>
    <row r="12" spans="1:51" ht="12.95" customHeight="1">
      <c r="A12" s="1866" t="s">
        <v>2636</v>
      </c>
      <c r="B12" s="1866"/>
      <c r="C12" s="1866"/>
      <c r="D12" s="1866"/>
      <c r="E12" s="1866"/>
      <c r="F12" s="1866"/>
      <c r="G12" s="1866"/>
      <c r="H12" s="1866"/>
      <c r="I12" s="1866"/>
      <c r="J12" s="1866"/>
      <c r="K12" s="1866"/>
      <c r="L12" s="1866"/>
      <c r="M12" s="1866"/>
      <c r="N12" s="1866"/>
      <c r="O12" s="1866"/>
      <c r="P12" s="1866"/>
      <c r="Q12" s="1866"/>
      <c r="R12" s="1866"/>
      <c r="S12" s="1866"/>
      <c r="T12" s="1866"/>
      <c r="U12" s="1866"/>
      <c r="V12" s="1866"/>
      <c r="W12" s="1866"/>
      <c r="X12" s="1866"/>
      <c r="Y12" s="1866"/>
      <c r="Z12" s="1866"/>
      <c r="AA12" s="1866"/>
      <c r="AB12" s="1866"/>
      <c r="AC12" s="1866"/>
      <c r="AD12" s="1866"/>
      <c r="AE12" s="1866"/>
      <c r="AF12" s="1866"/>
      <c r="AG12" s="1866"/>
      <c r="AH12" s="1866"/>
      <c r="AI12" s="1866"/>
      <c r="AJ12" s="1866"/>
      <c r="AK12" s="1866"/>
      <c r="AL12" s="1866"/>
      <c r="AM12" s="1866"/>
      <c r="AN12" s="1866"/>
      <c r="AO12" s="1866"/>
      <c r="AP12" s="1866"/>
      <c r="AQ12" s="1866"/>
      <c r="AR12" s="1866"/>
      <c r="AS12" s="1866"/>
      <c r="AT12" s="1866"/>
      <c r="AU12" s="6"/>
      <c r="AV12" s="6"/>
      <c r="AW12" s="6"/>
      <c r="AX12" s="6"/>
      <c r="AY12" s="6"/>
    </row>
    <row r="13" spans="1:51" ht="12.95" customHeight="1">
      <c r="A13" s="1277" t="s">
        <v>2389</v>
      </c>
      <c r="B13" s="1277"/>
      <c r="C13" s="1277"/>
      <c r="D13" s="1277"/>
      <c r="E13" s="1277"/>
      <c r="F13" s="1277"/>
      <c r="G13" s="1277"/>
      <c r="H13" s="1277"/>
      <c r="I13" s="1277"/>
      <c r="J13" s="1277"/>
      <c r="K13" s="1277"/>
      <c r="L13" s="1277"/>
      <c r="M13" s="1277"/>
      <c r="N13" s="1277"/>
      <c r="O13" s="1277"/>
      <c r="P13" s="1277"/>
      <c r="Q13" s="1277"/>
      <c r="R13" s="1277"/>
      <c r="S13" s="1277"/>
      <c r="T13" s="1277"/>
      <c r="U13" s="1277"/>
      <c r="V13" s="1277"/>
      <c r="W13" s="1277"/>
      <c r="X13" s="1277"/>
      <c r="Y13" s="1277"/>
      <c r="Z13" s="1277"/>
      <c r="AA13" s="1277"/>
      <c r="AB13" s="1277"/>
      <c r="AC13" s="1277"/>
      <c r="AD13" s="1277"/>
      <c r="AE13" s="1277"/>
      <c r="AF13" s="1277"/>
      <c r="AG13" s="1277"/>
      <c r="AH13" s="1277"/>
      <c r="AI13" s="1277"/>
      <c r="AJ13" s="1277"/>
      <c r="AK13" s="1277"/>
      <c r="AL13" s="1277"/>
      <c r="AM13" s="1277"/>
      <c r="AN13" s="1277"/>
      <c r="AO13" s="1277"/>
      <c r="AP13" s="1277"/>
      <c r="AQ13" s="1277"/>
      <c r="AR13" s="1277"/>
      <c r="AS13" s="1277"/>
      <c r="AT13" s="1277"/>
      <c r="AU13" s="934"/>
      <c r="AV13" s="934"/>
      <c r="AW13" s="934"/>
      <c r="AX13" s="934"/>
      <c r="AY13" s="934"/>
    </row>
    <row r="14" spans="1:51" ht="12.95" customHeight="1">
      <c r="A14" s="1277"/>
      <c r="B14" s="1277"/>
      <c r="C14" s="1277"/>
      <c r="D14" s="1277"/>
      <c r="E14" s="1277"/>
      <c r="F14" s="1277"/>
      <c r="G14" s="1277"/>
      <c r="H14" s="1277"/>
      <c r="I14" s="1277"/>
      <c r="J14" s="1277"/>
      <c r="K14" s="1277"/>
      <c r="L14" s="1277"/>
      <c r="M14" s="1277"/>
      <c r="N14" s="1277"/>
      <c r="O14" s="1277"/>
      <c r="P14" s="1277"/>
      <c r="Q14" s="1277"/>
      <c r="R14" s="1277"/>
      <c r="S14" s="1277"/>
      <c r="T14" s="1277"/>
      <c r="U14" s="1277"/>
      <c r="V14" s="1277"/>
      <c r="W14" s="1277"/>
      <c r="X14" s="1277"/>
      <c r="Y14" s="1277"/>
      <c r="Z14" s="1277"/>
      <c r="AA14" s="1277"/>
      <c r="AB14" s="1277"/>
      <c r="AC14" s="1277"/>
      <c r="AD14" s="1277"/>
      <c r="AE14" s="1277"/>
      <c r="AF14" s="1277"/>
      <c r="AG14" s="1277"/>
      <c r="AH14" s="1277"/>
      <c r="AI14" s="1277"/>
      <c r="AJ14" s="1277"/>
      <c r="AK14" s="1277"/>
      <c r="AL14" s="1277"/>
      <c r="AM14" s="1277"/>
      <c r="AN14" s="1277"/>
      <c r="AO14" s="1277"/>
      <c r="AP14" s="1277"/>
      <c r="AQ14" s="1277"/>
      <c r="AR14" s="1277"/>
      <c r="AS14" s="1277"/>
      <c r="AT14" s="1277"/>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2390</v>
      </c>
      <c r="C16" s="4"/>
      <c r="D16" s="4"/>
      <c r="E16" s="4"/>
      <c r="F16" s="4"/>
      <c r="G16" s="4"/>
      <c r="H16" s="1568" t="s">
        <v>2638</v>
      </c>
      <c r="I16" s="1569"/>
      <c r="J16" s="1569"/>
      <c r="K16" s="1569"/>
      <c r="L16" s="1569"/>
      <c r="M16" s="1569"/>
      <c r="N16" s="1569"/>
      <c r="O16" s="1569"/>
      <c r="P16" s="1569"/>
      <c r="Q16" s="1569"/>
      <c r="R16" s="1569"/>
      <c r="S16" s="1569"/>
      <c r="T16" s="1569"/>
      <c r="U16" s="1569"/>
      <c r="V16" s="1569"/>
      <c r="W16" s="1569"/>
      <c r="X16" s="1569"/>
      <c r="Y16" s="1569"/>
      <c r="Z16" s="1569"/>
      <c r="AA16" s="1569"/>
      <c r="AB16" s="1569"/>
      <c r="AC16" s="1569"/>
      <c r="AD16" s="1569"/>
      <c r="AE16" s="1569"/>
      <c r="AF16" s="1569"/>
      <c r="AG16" s="1569"/>
      <c r="AH16" s="1569"/>
      <c r="AI16" s="1569"/>
      <c r="AJ16" s="1569"/>
    </row>
    <row r="17" spans="1:52" ht="12.95" customHeight="1"/>
    <row r="18" spans="1:52" ht="12.95" customHeight="1">
      <c r="A18" s="57" t="s">
        <v>101</v>
      </c>
      <c r="C18" s="4"/>
      <c r="D18" s="4"/>
      <c r="E18" s="4"/>
      <c r="F18" s="4"/>
      <c r="G18" s="4"/>
      <c r="H18" s="1417" t="s">
        <v>2639</v>
      </c>
      <c r="I18" s="1501"/>
      <c r="J18" s="1501"/>
      <c r="K18" s="1501"/>
      <c r="L18" s="1501"/>
      <c r="M18" s="1501"/>
      <c r="N18" s="1501"/>
      <c r="O18" s="1501"/>
      <c r="P18" s="1501"/>
      <c r="Q18" s="1501"/>
      <c r="R18" s="1501"/>
      <c r="S18" s="1501"/>
      <c r="T18" s="1501"/>
      <c r="U18" s="1501"/>
      <c r="V18" s="1501"/>
      <c r="W18" s="1501"/>
      <c r="X18" s="1501"/>
      <c r="Y18" s="1501"/>
      <c r="Z18" s="1501"/>
      <c r="AA18" s="1501"/>
      <c r="AB18" s="1501"/>
      <c r="AC18" s="1501"/>
      <c r="AD18" s="1501"/>
      <c r="AE18" s="1501"/>
      <c r="AF18" s="1501"/>
      <c r="AG18" s="1501"/>
      <c r="AH18" s="1501"/>
      <c r="AI18" s="1501"/>
      <c r="AJ18" s="1501"/>
    </row>
    <row r="19" spans="1:52" ht="12.95" customHeight="1"/>
    <row r="20" spans="1:52" ht="12.95" customHeight="1">
      <c r="A20" s="1867" t="s">
        <v>883</v>
      </c>
      <c r="B20" s="1867"/>
      <c r="C20" s="1867"/>
      <c r="D20" s="1867"/>
      <c r="E20" s="1867"/>
      <c r="F20" s="1867"/>
      <c r="G20" s="1867"/>
      <c r="H20" s="1867"/>
      <c r="I20" s="1867"/>
      <c r="J20" s="1867"/>
      <c r="K20" s="1867"/>
      <c r="L20" s="1867"/>
      <c r="M20" s="1867"/>
      <c r="N20" s="1867"/>
      <c r="O20" s="1867"/>
      <c r="P20" s="1867"/>
      <c r="Q20" s="1867"/>
      <c r="R20" s="1867"/>
      <c r="S20" s="1867"/>
      <c r="T20" s="1867"/>
      <c r="U20" s="1867"/>
      <c r="V20" s="1867"/>
      <c r="W20" s="1867"/>
      <c r="X20" s="1867"/>
      <c r="Y20" s="1867"/>
      <c r="Z20" s="1867"/>
      <c r="AA20" s="1867"/>
      <c r="AB20" s="1867"/>
      <c r="AC20" s="1867"/>
      <c r="AD20" s="1867"/>
      <c r="AE20" s="1867"/>
      <c r="AF20" s="1867"/>
      <c r="AG20" s="1867"/>
      <c r="AH20" s="1867"/>
      <c r="AI20" s="1867"/>
      <c r="AJ20" s="1867"/>
      <c r="AK20" s="1867"/>
      <c r="AL20" s="1867"/>
      <c r="AM20" s="1867"/>
      <c r="AN20" s="1867"/>
      <c r="AO20" s="1867"/>
      <c r="AP20" s="1867"/>
      <c r="AQ20" s="1867"/>
      <c r="AR20" s="1867"/>
      <c r="AS20" s="1867"/>
      <c r="AT20" s="1867"/>
      <c r="AU20" s="935"/>
      <c r="AV20" s="935"/>
      <c r="AW20" s="935"/>
      <c r="AX20" s="935"/>
      <c r="AY20" s="935"/>
    </row>
    <row r="21" spans="1:52" ht="12.95" customHeight="1">
      <c r="A21" s="1870" t="s">
        <v>1030</v>
      </c>
      <c r="B21" s="1870"/>
      <c r="C21" s="1870"/>
      <c r="D21" s="1870"/>
      <c r="E21" s="1870"/>
      <c r="F21" s="1870"/>
      <c r="G21" s="1870"/>
      <c r="H21" s="1870"/>
      <c r="I21" s="1870"/>
      <c r="J21" s="1870"/>
      <c r="K21" s="1870"/>
      <c r="L21" s="1870"/>
      <c r="M21" s="1870"/>
      <c r="N21" s="1870"/>
      <c r="O21" s="1870"/>
      <c r="P21" s="1870"/>
      <c r="Q21" s="1870"/>
      <c r="R21" s="1870"/>
      <c r="S21" s="1870"/>
      <c r="T21" s="1870"/>
      <c r="U21" s="1870"/>
      <c r="V21" s="1870"/>
      <c r="W21" s="1870"/>
      <c r="X21" s="1870"/>
      <c r="Y21" s="1870"/>
      <c r="Z21" s="1870"/>
      <c r="AA21" s="1870"/>
      <c r="AB21" s="1870"/>
      <c r="AC21" s="1870"/>
      <c r="AD21" s="1870"/>
      <c r="AE21" s="1870"/>
      <c r="AF21" s="1870"/>
      <c r="AG21" s="1870"/>
      <c r="AH21" s="1870"/>
      <c r="AI21" s="1870"/>
      <c r="AJ21" s="1870"/>
      <c r="AK21" s="1870"/>
      <c r="AL21" s="1870"/>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53" t="s">
        <v>2502</v>
      </c>
      <c r="B23" s="1353"/>
      <c r="C23" s="1353"/>
      <c r="D23" s="1353"/>
      <c r="E23" s="1353"/>
      <c r="F23" s="1353"/>
      <c r="G23" s="1353"/>
      <c r="H23" s="1353"/>
      <c r="I23" s="1353"/>
      <c r="J23" s="1353"/>
      <c r="K23" s="1353"/>
      <c r="L23" s="1353"/>
      <c r="M23" s="1353"/>
      <c r="N23" s="1353"/>
      <c r="O23" s="1353"/>
      <c r="P23" s="1353"/>
      <c r="Q23" s="1353"/>
      <c r="R23" s="1353"/>
      <c r="S23" s="1353"/>
      <c r="T23" s="1353"/>
      <c r="U23" s="1353"/>
      <c r="V23" s="1353"/>
      <c r="W23" s="1353"/>
      <c r="X23" s="1353"/>
      <c r="Y23" s="1353"/>
      <c r="Z23" s="1353"/>
      <c r="AA23" s="1353"/>
      <c r="AB23" s="1353"/>
      <c r="AC23" s="1353"/>
      <c r="AD23" s="1353"/>
      <c r="AE23" s="1353"/>
      <c r="AF23" s="1353"/>
      <c r="AG23" s="1353"/>
      <c r="AH23" s="1353"/>
      <c r="AI23" s="1353"/>
      <c r="AJ23" s="1353"/>
      <c r="AK23" s="1353"/>
      <c r="AL23" s="1353"/>
      <c r="AM23" s="1353"/>
      <c r="AN23" s="1353"/>
      <c r="AO23" s="1353"/>
      <c r="AP23" s="1353"/>
      <c r="AQ23" s="1353"/>
      <c r="AR23" s="1353"/>
      <c r="AS23" s="1353"/>
      <c r="AT23" s="1353"/>
      <c r="AU23" s="18"/>
      <c r="AV23" s="18"/>
      <c r="AW23" s="18"/>
      <c r="AX23" s="18"/>
      <c r="AY23" s="18"/>
      <c r="AZ23" s="18"/>
    </row>
    <row r="24" spans="1:52" ht="12.95" customHeight="1">
      <c r="A24" s="1353"/>
      <c r="B24" s="1353"/>
      <c r="C24" s="1353"/>
      <c r="D24" s="1353"/>
      <c r="E24" s="1353"/>
      <c r="F24" s="1353"/>
      <c r="G24" s="1353"/>
      <c r="H24" s="1353"/>
      <c r="I24" s="1353"/>
      <c r="J24" s="1353"/>
      <c r="K24" s="1353"/>
      <c r="L24" s="1353"/>
      <c r="M24" s="1353"/>
      <c r="N24" s="1353"/>
      <c r="O24" s="1353"/>
      <c r="P24" s="1353"/>
      <c r="Q24" s="1353"/>
      <c r="R24" s="1353"/>
      <c r="S24" s="1353"/>
      <c r="T24" s="1353"/>
      <c r="U24" s="1353"/>
      <c r="V24" s="1353"/>
      <c r="W24" s="1353"/>
      <c r="X24" s="1353"/>
      <c r="Y24" s="1353"/>
      <c r="Z24" s="1353"/>
      <c r="AA24" s="1353"/>
      <c r="AB24" s="1353"/>
      <c r="AC24" s="1353"/>
      <c r="AD24" s="1353"/>
      <c r="AE24" s="1353"/>
      <c r="AF24" s="1353"/>
      <c r="AG24" s="1353"/>
      <c r="AH24" s="1353"/>
      <c r="AI24" s="1353"/>
      <c r="AJ24" s="1353"/>
      <c r="AK24" s="1353"/>
      <c r="AL24" s="1353"/>
      <c r="AM24" s="1353"/>
      <c r="AN24" s="1353"/>
      <c r="AO24" s="1353"/>
      <c r="AP24" s="1353"/>
      <c r="AQ24" s="1353"/>
      <c r="AR24" s="1353"/>
      <c r="AS24" s="1353"/>
      <c r="AT24" s="1353"/>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869">
        <f>'Basis &amp; Credits'!AB56</f>
        <v>2997138.8</v>
      </c>
      <c r="N26" s="1869"/>
      <c r="O26" s="1869"/>
      <c r="P26" s="1869"/>
      <c r="Q26" s="1869"/>
      <c r="R26" s="4" t="s">
        <v>767</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87">
        <f>'Basis &amp; Credits'!AB78</f>
        <v>0</v>
      </c>
      <c r="N27" s="1387"/>
      <c r="O27" s="1387"/>
      <c r="P27" s="1387"/>
      <c r="Q27" s="1387"/>
      <c r="R27" s="3" t="s">
        <v>1372</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864" t="s">
        <v>2503</v>
      </c>
      <c r="B29" s="1864"/>
      <c r="C29" s="1864"/>
      <c r="D29" s="1864"/>
      <c r="E29" s="1864"/>
      <c r="F29" s="1864"/>
      <c r="G29" s="1864"/>
      <c r="H29" s="1864"/>
      <c r="I29" s="1864"/>
      <c r="J29" s="1864"/>
      <c r="K29" s="1864"/>
      <c r="L29" s="1864"/>
      <c r="M29" s="1864"/>
      <c r="N29" s="1864"/>
      <c r="O29" s="1864"/>
      <c r="P29" s="1864"/>
      <c r="Q29" s="1864"/>
      <c r="R29" s="1864"/>
      <c r="S29" s="1864"/>
      <c r="T29" s="1864"/>
      <c r="U29" s="1864"/>
      <c r="V29" s="1864"/>
      <c r="W29" s="1864"/>
      <c r="X29" s="1864"/>
      <c r="Y29" s="1864"/>
      <c r="Z29" s="1864"/>
      <c r="AA29" s="1864"/>
      <c r="AB29" s="1864"/>
      <c r="AC29" s="1864"/>
      <c r="AD29" s="1864"/>
      <c r="AE29" s="1864"/>
      <c r="AF29" s="1864"/>
      <c r="AG29" s="1864"/>
      <c r="AH29" s="1864"/>
      <c r="AI29" s="1864"/>
      <c r="AJ29" s="1864"/>
      <c r="AK29" s="1864"/>
      <c r="AL29" s="1864"/>
      <c r="AM29" s="1864"/>
      <c r="AN29" s="1864"/>
      <c r="AO29" s="1864"/>
      <c r="AP29" s="1864"/>
      <c r="AQ29" s="1864"/>
      <c r="AR29" s="1864"/>
      <c r="AS29" s="1864"/>
      <c r="AT29" s="1864"/>
    </row>
    <row r="30" spans="1:52" ht="12.95" customHeight="1">
      <c r="A30" s="1864"/>
      <c r="B30" s="1864"/>
      <c r="C30" s="1864"/>
      <c r="D30" s="1864"/>
      <c r="E30" s="1864"/>
      <c r="F30" s="1864"/>
      <c r="G30" s="1864"/>
      <c r="H30" s="1864"/>
      <c r="I30" s="1864"/>
      <c r="J30" s="1864"/>
      <c r="K30" s="1864"/>
      <c r="L30" s="1864"/>
      <c r="M30" s="1864"/>
      <c r="N30" s="1864"/>
      <c r="O30" s="1864"/>
      <c r="P30" s="1864"/>
      <c r="Q30" s="1864"/>
      <c r="R30" s="1864"/>
      <c r="S30" s="1864"/>
      <c r="T30" s="1864"/>
      <c r="U30" s="1864"/>
      <c r="V30" s="1864"/>
      <c r="W30" s="1864"/>
      <c r="X30" s="1864"/>
      <c r="Y30" s="1864"/>
      <c r="Z30" s="1864"/>
      <c r="AA30" s="1864"/>
      <c r="AB30" s="1864"/>
      <c r="AC30" s="1864"/>
      <c r="AD30" s="1864"/>
      <c r="AE30" s="1864"/>
      <c r="AF30" s="1864"/>
      <c r="AG30" s="1864"/>
      <c r="AH30" s="1864"/>
      <c r="AI30" s="1864"/>
      <c r="AJ30" s="1864"/>
      <c r="AK30" s="1864"/>
      <c r="AL30" s="1864"/>
      <c r="AM30" s="1864"/>
      <c r="AN30" s="1864"/>
      <c r="AO30" s="1864"/>
      <c r="AP30" s="1864"/>
      <c r="AQ30" s="1864"/>
      <c r="AR30" s="1864"/>
      <c r="AS30" s="1864"/>
      <c r="AT30" s="1864"/>
      <c r="AZ30" s="20"/>
    </row>
    <row r="31" spans="1:52" ht="12.95" customHeight="1">
      <c r="A31" s="1864"/>
      <c r="B31" s="1864"/>
      <c r="C31" s="1864"/>
      <c r="D31" s="1864"/>
      <c r="E31" s="1864"/>
      <c r="F31" s="1864"/>
      <c r="G31" s="1864"/>
      <c r="H31" s="1864"/>
      <c r="I31" s="1864"/>
      <c r="J31" s="1864"/>
      <c r="K31" s="1864"/>
      <c r="L31" s="1864"/>
      <c r="M31" s="1864"/>
      <c r="N31" s="1864"/>
      <c r="O31" s="1864"/>
      <c r="P31" s="1864"/>
      <c r="Q31" s="1864"/>
      <c r="R31" s="1864"/>
      <c r="S31" s="1864"/>
      <c r="T31" s="1864"/>
      <c r="U31" s="1864"/>
      <c r="V31" s="1864"/>
      <c r="W31" s="1864"/>
      <c r="X31" s="1864"/>
      <c r="Y31" s="1864"/>
      <c r="Z31" s="1864"/>
      <c r="AA31" s="1864"/>
      <c r="AB31" s="1864"/>
      <c r="AC31" s="1864"/>
      <c r="AD31" s="1864"/>
      <c r="AE31" s="1864"/>
      <c r="AF31" s="1864"/>
      <c r="AG31" s="1864"/>
      <c r="AH31" s="1864"/>
      <c r="AI31" s="1864"/>
      <c r="AJ31" s="1864"/>
      <c r="AK31" s="1864"/>
      <c r="AL31" s="1864"/>
      <c r="AM31" s="1864"/>
      <c r="AN31" s="1864"/>
      <c r="AO31" s="1864"/>
      <c r="AP31" s="1864"/>
      <c r="AQ31" s="1864"/>
      <c r="AR31" s="1864"/>
      <c r="AS31" s="1864"/>
      <c r="AT31" s="1864"/>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1383</v>
      </c>
      <c r="C33" s="553"/>
      <c r="D33" s="553"/>
      <c r="E33" s="553"/>
      <c r="F33" s="553"/>
      <c r="G33" s="553"/>
      <c r="H33" s="553"/>
      <c r="I33" s="553"/>
      <c r="J33" s="553"/>
      <c r="K33" s="553"/>
      <c r="L33" s="553"/>
      <c r="M33" s="553"/>
      <c r="N33" s="553"/>
      <c r="O33" s="1413"/>
      <c r="P33" s="1413"/>
      <c r="Q33" s="1868" t="s">
        <v>2504</v>
      </c>
      <c r="R33" s="1868"/>
      <c r="S33" s="1868"/>
      <c r="T33" s="1868"/>
      <c r="U33" s="1868"/>
      <c r="V33" s="1868"/>
      <c r="W33" s="1868"/>
      <c r="X33" s="1868"/>
      <c r="Y33" s="1868"/>
      <c r="Z33" s="1868"/>
      <c r="AA33" s="1868"/>
      <c r="AB33" s="1868"/>
      <c r="AC33" s="1868"/>
      <c r="AD33" s="1868"/>
      <c r="AE33" s="1868"/>
      <c r="AF33" s="1868"/>
      <c r="AG33" s="1868"/>
      <c r="AH33" s="1868"/>
      <c r="AI33" s="1868"/>
      <c r="AJ33" s="1868"/>
      <c r="AK33" s="1868"/>
      <c r="AL33" s="1868"/>
      <c r="AM33" s="1868"/>
      <c r="AN33" s="1868"/>
      <c r="AO33" s="1868"/>
      <c r="AP33" s="1868"/>
      <c r="AQ33" s="1868"/>
      <c r="AR33" s="1868"/>
      <c r="AS33" s="1868"/>
      <c r="AT33" s="1868"/>
      <c r="AU33" s="20"/>
      <c r="AV33" s="20"/>
      <c r="AW33" s="20"/>
      <c r="AX33" s="20"/>
      <c r="AY33" s="20"/>
    </row>
    <row r="34" spans="1:52" ht="12.95" customHeight="1">
      <c r="A34" s="1864" t="s">
        <v>2505</v>
      </c>
      <c r="B34" s="1864"/>
      <c r="C34" s="1864"/>
      <c r="D34" s="1864"/>
      <c r="E34" s="1864"/>
      <c r="F34" s="1864"/>
      <c r="G34" s="1864"/>
      <c r="H34" s="1864"/>
      <c r="I34" s="1864"/>
      <c r="J34" s="1864"/>
      <c r="K34" s="1864"/>
      <c r="L34" s="1864"/>
      <c r="M34" s="1864"/>
      <c r="N34" s="1864"/>
      <c r="O34" s="1864"/>
      <c r="P34" s="1864"/>
      <c r="Q34" s="1864"/>
      <c r="R34" s="1864"/>
      <c r="S34" s="1864"/>
      <c r="T34" s="1864"/>
      <c r="U34" s="1864"/>
      <c r="V34" s="1864"/>
      <c r="W34" s="1864"/>
      <c r="X34" s="1864"/>
      <c r="Y34" s="1864"/>
      <c r="Z34" s="1864"/>
      <c r="AA34" s="1864"/>
      <c r="AB34" s="1864"/>
      <c r="AC34" s="1864"/>
      <c r="AD34" s="1864"/>
      <c r="AE34" s="1864"/>
      <c r="AF34" s="1864"/>
      <c r="AG34" s="1864"/>
      <c r="AH34" s="1864"/>
      <c r="AI34" s="1864"/>
      <c r="AJ34" s="1864"/>
      <c r="AK34" s="1864"/>
      <c r="AL34" s="1864"/>
      <c r="AM34" s="1864"/>
      <c r="AN34" s="1864"/>
      <c r="AO34" s="1864"/>
      <c r="AP34" s="1864"/>
      <c r="AQ34" s="1864"/>
      <c r="AR34" s="1864"/>
      <c r="AS34" s="1864"/>
      <c r="AT34" s="1864"/>
      <c r="AU34" s="20"/>
      <c r="AV34" s="20"/>
      <c r="AW34" s="20"/>
      <c r="AX34" s="20"/>
      <c r="AY34" s="20"/>
      <c r="AZ34" s="20"/>
    </row>
    <row r="35" spans="1:52" ht="12.95" customHeight="1">
      <c r="A35" s="1864"/>
      <c r="B35" s="1864"/>
      <c r="C35" s="1864"/>
      <c r="D35" s="1864"/>
      <c r="E35" s="1864"/>
      <c r="F35" s="1864"/>
      <c r="G35" s="1864"/>
      <c r="H35" s="1864"/>
      <c r="I35" s="1864"/>
      <c r="J35" s="1864"/>
      <c r="K35" s="1864"/>
      <c r="L35" s="1864"/>
      <c r="M35" s="1864"/>
      <c r="N35" s="1864"/>
      <c r="O35" s="1864"/>
      <c r="P35" s="1864"/>
      <c r="Q35" s="1864"/>
      <c r="R35" s="1864"/>
      <c r="S35" s="1864"/>
      <c r="T35" s="1864"/>
      <c r="U35" s="1864"/>
      <c r="V35" s="1864"/>
      <c r="W35" s="1864"/>
      <c r="X35" s="1864"/>
      <c r="Y35" s="1864"/>
      <c r="Z35" s="1864"/>
      <c r="AA35" s="1864"/>
      <c r="AB35" s="1864"/>
      <c r="AC35" s="1864"/>
      <c r="AD35" s="1864"/>
      <c r="AE35" s="1864"/>
      <c r="AF35" s="1864"/>
      <c r="AG35" s="1864"/>
      <c r="AH35" s="1864"/>
      <c r="AI35" s="1864"/>
      <c r="AJ35" s="1864"/>
      <c r="AK35" s="1864"/>
      <c r="AL35" s="1864"/>
      <c r="AM35" s="1864"/>
      <c r="AN35" s="1864"/>
      <c r="AO35" s="1864"/>
      <c r="AP35" s="1864"/>
      <c r="AQ35" s="1864"/>
      <c r="AR35" s="1864"/>
      <c r="AS35" s="1864"/>
      <c r="AT35" s="1864"/>
      <c r="AU35" s="20"/>
      <c r="AV35" s="20"/>
      <c r="AW35" s="20"/>
      <c r="AX35" s="20"/>
      <c r="AY35" s="20"/>
      <c r="AZ35" s="20"/>
    </row>
    <row r="36" spans="1:52" ht="12.95" customHeight="1">
      <c r="A36" s="1864"/>
      <c r="B36" s="1864"/>
      <c r="C36" s="1864"/>
      <c r="D36" s="1864"/>
      <c r="E36" s="1864"/>
      <c r="F36" s="1864"/>
      <c r="G36" s="1864"/>
      <c r="H36" s="1864"/>
      <c r="I36" s="1864"/>
      <c r="J36" s="1864"/>
      <c r="K36" s="1864"/>
      <c r="L36" s="1864"/>
      <c r="M36" s="1864"/>
      <c r="N36" s="1864"/>
      <c r="O36" s="1864"/>
      <c r="P36" s="1864"/>
      <c r="Q36" s="1864"/>
      <c r="R36" s="1864"/>
      <c r="S36" s="1864"/>
      <c r="T36" s="1864"/>
      <c r="U36" s="1864"/>
      <c r="V36" s="1864"/>
      <c r="W36" s="1864"/>
      <c r="X36" s="1864"/>
      <c r="Y36" s="1864"/>
      <c r="Z36" s="1864"/>
      <c r="AA36" s="1864"/>
      <c r="AB36" s="1864"/>
      <c r="AC36" s="1864"/>
      <c r="AD36" s="1864"/>
      <c r="AE36" s="1864"/>
      <c r="AF36" s="1864"/>
      <c r="AG36" s="1864"/>
      <c r="AH36" s="1864"/>
      <c r="AI36" s="1864"/>
      <c r="AJ36" s="1864"/>
      <c r="AK36" s="1864"/>
      <c r="AL36" s="1864"/>
      <c r="AM36" s="1864"/>
      <c r="AN36" s="1864"/>
      <c r="AO36" s="1864"/>
      <c r="AP36" s="1864"/>
      <c r="AQ36" s="1864"/>
      <c r="AR36" s="1864"/>
      <c r="AS36" s="1864"/>
      <c r="AT36" s="1864"/>
      <c r="AU36" s="20"/>
      <c r="AV36" s="20"/>
      <c r="AW36" s="20"/>
      <c r="AX36" s="20"/>
      <c r="AY36" s="20"/>
      <c r="AZ36" s="20"/>
    </row>
    <row r="37" spans="1:52" ht="12.95" customHeight="1">
      <c r="A37" s="1864"/>
      <c r="B37" s="1864"/>
      <c r="C37" s="1864"/>
      <c r="D37" s="1864"/>
      <c r="E37" s="1864"/>
      <c r="F37" s="1864"/>
      <c r="G37" s="1864"/>
      <c r="H37" s="1864"/>
      <c r="I37" s="1864"/>
      <c r="J37" s="1864"/>
      <c r="K37" s="1864"/>
      <c r="L37" s="1864"/>
      <c r="M37" s="1864"/>
      <c r="N37" s="1864"/>
      <c r="O37" s="1864"/>
      <c r="P37" s="1864"/>
      <c r="Q37" s="1864"/>
      <c r="R37" s="1864"/>
      <c r="S37" s="1864"/>
      <c r="T37" s="1864"/>
      <c r="U37" s="1864"/>
      <c r="V37" s="1864"/>
      <c r="W37" s="1864"/>
      <c r="X37" s="1864"/>
      <c r="Y37" s="1864"/>
      <c r="Z37" s="1864"/>
      <c r="AA37" s="1864"/>
      <c r="AB37" s="1864"/>
      <c r="AC37" s="1864"/>
      <c r="AD37" s="1864"/>
      <c r="AE37" s="1864"/>
      <c r="AF37" s="1864"/>
      <c r="AG37" s="1864"/>
      <c r="AH37" s="1864"/>
      <c r="AI37" s="1864"/>
      <c r="AJ37" s="1864"/>
      <c r="AK37" s="1864"/>
      <c r="AL37" s="1864"/>
      <c r="AM37" s="1864"/>
      <c r="AN37" s="1864"/>
      <c r="AO37" s="1864"/>
      <c r="AP37" s="1864"/>
      <c r="AQ37" s="1864"/>
      <c r="AR37" s="1864"/>
      <c r="AS37" s="1864"/>
      <c r="AT37" s="1864"/>
      <c r="AZ37" s="20"/>
    </row>
    <row r="38" spans="1:52" ht="12.95" customHeight="1">
      <c r="A38" s="3"/>
      <c r="AZ38" s="20"/>
    </row>
    <row r="39" spans="1:52" ht="12.95" customHeight="1">
      <c r="A39" s="1267" t="s">
        <v>2506</v>
      </c>
      <c r="B39" s="1267"/>
      <c r="C39" s="1267"/>
      <c r="D39" s="1267"/>
      <c r="E39" s="1267"/>
      <c r="F39" s="1267"/>
      <c r="G39" s="1267"/>
      <c r="H39" s="1267"/>
      <c r="I39" s="1267"/>
      <c r="J39" s="1267"/>
      <c r="K39" s="1267"/>
      <c r="L39" s="1267"/>
      <c r="M39" s="1267"/>
      <c r="N39" s="1267"/>
      <c r="O39" s="1267"/>
      <c r="P39" s="1267"/>
      <c r="Q39" s="1267"/>
      <c r="R39" s="1267"/>
      <c r="S39" s="1267"/>
      <c r="T39" s="1267"/>
      <c r="U39" s="1267"/>
      <c r="V39" s="1267"/>
      <c r="W39" s="1267"/>
      <c r="X39" s="1267"/>
      <c r="Y39" s="1267"/>
      <c r="Z39" s="1267"/>
      <c r="AA39" s="1267"/>
      <c r="AB39" s="1267"/>
      <c r="AC39" s="1267"/>
      <c r="AD39" s="1267"/>
      <c r="AE39" s="1267"/>
      <c r="AF39" s="1267"/>
      <c r="AG39" s="1267"/>
      <c r="AH39" s="1267"/>
      <c r="AI39" s="1267"/>
      <c r="AJ39" s="1267"/>
      <c r="AK39" s="1267"/>
      <c r="AL39" s="1267"/>
      <c r="AM39" s="1267"/>
      <c r="AN39" s="1267"/>
      <c r="AO39" s="1267"/>
      <c r="AP39" s="1267"/>
      <c r="AQ39" s="1267"/>
      <c r="AR39" s="1267"/>
      <c r="AS39" s="1267"/>
      <c r="AT39" s="1267"/>
      <c r="AZ39" s="20"/>
    </row>
    <row r="40" spans="1:52" ht="12.95" customHeight="1">
      <c r="A40" s="1267"/>
      <c r="B40" s="1267"/>
      <c r="C40" s="1267"/>
      <c r="D40" s="1267"/>
      <c r="E40" s="1267"/>
      <c r="F40" s="1267"/>
      <c r="G40" s="1267"/>
      <c r="H40" s="1267"/>
      <c r="I40" s="1267"/>
      <c r="J40" s="1267"/>
      <c r="K40" s="1267"/>
      <c r="L40" s="1267"/>
      <c r="M40" s="1267"/>
      <c r="N40" s="1267"/>
      <c r="O40" s="1267"/>
      <c r="P40" s="1267"/>
      <c r="Q40" s="1267"/>
      <c r="R40" s="1267"/>
      <c r="S40" s="1267"/>
      <c r="T40" s="1267"/>
      <c r="U40" s="1267"/>
      <c r="V40" s="1267"/>
      <c r="W40" s="1267"/>
      <c r="X40" s="1267"/>
      <c r="Y40" s="1267"/>
      <c r="Z40" s="1267"/>
      <c r="AA40" s="1267"/>
      <c r="AB40" s="1267"/>
      <c r="AC40" s="1267"/>
      <c r="AD40" s="1267"/>
      <c r="AE40" s="1267"/>
      <c r="AF40" s="1267"/>
      <c r="AG40" s="1267"/>
      <c r="AH40" s="1267"/>
      <c r="AI40" s="1267"/>
      <c r="AJ40" s="1267"/>
      <c r="AK40" s="1267"/>
      <c r="AL40" s="1267"/>
      <c r="AM40" s="1267"/>
      <c r="AN40" s="1267"/>
      <c r="AO40" s="1267"/>
      <c r="AP40" s="1267"/>
      <c r="AQ40" s="1267"/>
      <c r="AR40" s="1267"/>
      <c r="AS40" s="1267"/>
      <c r="AT40" s="1267"/>
      <c r="AU40" s="20"/>
      <c r="AV40" s="20"/>
      <c r="AW40" s="20"/>
      <c r="AX40" s="20"/>
      <c r="AY40" s="20"/>
      <c r="AZ40" s="20"/>
    </row>
    <row r="41" spans="1:52" ht="12.95" customHeight="1">
      <c r="A41" s="1267"/>
      <c r="B41" s="1267"/>
      <c r="C41" s="1267"/>
      <c r="D41" s="1267"/>
      <c r="E41" s="1267"/>
      <c r="F41" s="1267"/>
      <c r="G41" s="1267"/>
      <c r="H41" s="1267"/>
      <c r="I41" s="1267"/>
      <c r="J41" s="1267"/>
      <c r="K41" s="1267"/>
      <c r="L41" s="1267"/>
      <c r="M41" s="1267"/>
      <c r="N41" s="1267"/>
      <c r="O41" s="1267"/>
      <c r="P41" s="1267"/>
      <c r="Q41" s="1267"/>
      <c r="R41" s="1267"/>
      <c r="S41" s="1267"/>
      <c r="T41" s="1267"/>
      <c r="U41" s="1267"/>
      <c r="V41" s="1267"/>
      <c r="W41" s="1267"/>
      <c r="X41" s="1267"/>
      <c r="Y41" s="1267"/>
      <c r="Z41" s="1267"/>
      <c r="AA41" s="1267"/>
      <c r="AB41" s="1267"/>
      <c r="AC41" s="1267"/>
      <c r="AD41" s="1267"/>
      <c r="AE41" s="1267"/>
      <c r="AF41" s="1267"/>
      <c r="AG41" s="1267"/>
      <c r="AH41" s="1267"/>
      <c r="AI41" s="1267"/>
      <c r="AJ41" s="1267"/>
      <c r="AK41" s="1267"/>
      <c r="AL41" s="1267"/>
      <c r="AM41" s="1267"/>
      <c r="AN41" s="1267"/>
      <c r="AO41" s="1267"/>
      <c r="AP41" s="1267"/>
      <c r="AQ41" s="1267"/>
      <c r="AR41" s="1267"/>
      <c r="AS41" s="1267"/>
      <c r="AT41" s="1267"/>
      <c r="AU41" s="20"/>
      <c r="AV41" s="20"/>
      <c r="AW41" s="20"/>
      <c r="AX41" s="20"/>
      <c r="AY41" s="20"/>
      <c r="AZ41" s="20"/>
    </row>
    <row r="42" spans="1:52" ht="12.95" customHeight="1">
      <c r="A42" s="1267"/>
      <c r="B42" s="1267"/>
      <c r="C42" s="1267"/>
      <c r="D42" s="1267"/>
      <c r="E42" s="1267"/>
      <c r="F42" s="1267"/>
      <c r="G42" s="1267"/>
      <c r="H42" s="1267"/>
      <c r="I42" s="1267"/>
      <c r="J42" s="1267"/>
      <c r="K42" s="1267"/>
      <c r="L42" s="1267"/>
      <c r="M42" s="1267"/>
      <c r="N42" s="1267"/>
      <c r="O42" s="1267"/>
      <c r="P42" s="1267"/>
      <c r="Q42" s="1267"/>
      <c r="R42" s="1267"/>
      <c r="S42" s="1267"/>
      <c r="T42" s="1267"/>
      <c r="U42" s="1267"/>
      <c r="V42" s="1267"/>
      <c r="W42" s="1267"/>
      <c r="X42" s="1267"/>
      <c r="Y42" s="1267"/>
      <c r="Z42" s="1267"/>
      <c r="AA42" s="1267"/>
      <c r="AB42" s="1267"/>
      <c r="AC42" s="1267"/>
      <c r="AD42" s="1267"/>
      <c r="AE42" s="1267"/>
      <c r="AF42" s="1267"/>
      <c r="AG42" s="1267"/>
      <c r="AH42" s="1267"/>
      <c r="AI42" s="1267"/>
      <c r="AJ42" s="1267"/>
      <c r="AK42" s="1267"/>
      <c r="AL42" s="1267"/>
      <c r="AM42" s="1267"/>
      <c r="AN42" s="1267"/>
      <c r="AO42" s="1267"/>
      <c r="AP42" s="1267"/>
      <c r="AQ42" s="1267"/>
      <c r="AR42" s="1267"/>
      <c r="AS42" s="1267"/>
      <c r="AT42" s="1267"/>
      <c r="AZ42" s="20"/>
    </row>
    <row r="43" spans="1:52" ht="12.95" customHeight="1">
      <c r="A43" s="1267"/>
      <c r="B43" s="1267"/>
      <c r="C43" s="1267"/>
      <c r="D43" s="1267"/>
      <c r="E43" s="1267"/>
      <c r="F43" s="1267"/>
      <c r="G43" s="1267"/>
      <c r="H43" s="1267"/>
      <c r="I43" s="1267"/>
      <c r="J43" s="1267"/>
      <c r="K43" s="1267"/>
      <c r="L43" s="1267"/>
      <c r="M43" s="1267"/>
      <c r="N43" s="1267"/>
      <c r="O43" s="1267"/>
      <c r="P43" s="1267"/>
      <c r="Q43" s="1267"/>
      <c r="R43" s="1267"/>
      <c r="S43" s="1267"/>
      <c r="T43" s="1267"/>
      <c r="U43" s="1267"/>
      <c r="V43" s="1267"/>
      <c r="W43" s="1267"/>
      <c r="X43" s="1267"/>
      <c r="Y43" s="1267"/>
      <c r="Z43" s="1267"/>
      <c r="AA43" s="1267"/>
      <c r="AB43" s="1267"/>
      <c r="AC43" s="1267"/>
      <c r="AD43" s="1267"/>
      <c r="AE43" s="1267"/>
      <c r="AF43" s="1267"/>
      <c r="AG43" s="1267"/>
      <c r="AH43" s="1267"/>
      <c r="AI43" s="1267"/>
      <c r="AJ43" s="1267"/>
      <c r="AK43" s="1267"/>
      <c r="AL43" s="1267"/>
      <c r="AM43" s="1267"/>
      <c r="AN43" s="1267"/>
      <c r="AO43" s="1267"/>
      <c r="AP43" s="1267"/>
      <c r="AQ43" s="1267"/>
      <c r="AR43" s="1267"/>
      <c r="AS43" s="1267"/>
      <c r="AT43" s="1267"/>
      <c r="AU43" s="20"/>
      <c r="AV43" s="20"/>
      <c r="AW43" s="20"/>
      <c r="AX43" s="20"/>
      <c r="AY43" s="20"/>
      <c r="AZ43" s="20"/>
    </row>
    <row r="44" spans="1:52" ht="12.95" customHeight="1">
      <c r="A44" s="1267"/>
      <c r="B44" s="1267"/>
      <c r="C44" s="1267"/>
      <c r="D44" s="1267"/>
      <c r="E44" s="1267"/>
      <c r="F44" s="1267"/>
      <c r="G44" s="1267"/>
      <c r="H44" s="1267"/>
      <c r="I44" s="1267"/>
      <c r="J44" s="1267"/>
      <c r="K44" s="1267"/>
      <c r="L44" s="1267"/>
      <c r="M44" s="1267"/>
      <c r="N44" s="1267"/>
      <c r="O44" s="1267"/>
      <c r="P44" s="1267"/>
      <c r="Q44" s="1267"/>
      <c r="R44" s="1267"/>
      <c r="S44" s="1267"/>
      <c r="T44" s="1267"/>
      <c r="U44" s="1267"/>
      <c r="V44" s="1267"/>
      <c r="W44" s="1267"/>
      <c r="X44" s="1267"/>
      <c r="Y44" s="1267"/>
      <c r="Z44" s="1267"/>
      <c r="AA44" s="1267"/>
      <c r="AB44" s="1267"/>
      <c r="AC44" s="1267"/>
      <c r="AD44" s="1267"/>
      <c r="AE44" s="1267"/>
      <c r="AF44" s="1267"/>
      <c r="AG44" s="1267"/>
      <c r="AH44" s="1267"/>
      <c r="AI44" s="1267"/>
      <c r="AJ44" s="1267"/>
      <c r="AK44" s="1267"/>
      <c r="AL44" s="1267"/>
      <c r="AM44" s="1267"/>
      <c r="AN44" s="1267"/>
      <c r="AO44" s="1267"/>
      <c r="AP44" s="1267"/>
      <c r="AQ44" s="1267"/>
      <c r="AR44" s="1267"/>
      <c r="AS44" s="1267"/>
      <c r="AT44" s="1267"/>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53" t="s">
        <v>2507</v>
      </c>
      <c r="B46" s="1353"/>
      <c r="C46" s="1353"/>
      <c r="D46" s="1353"/>
      <c r="E46" s="1353"/>
      <c r="F46" s="1353"/>
      <c r="G46" s="1353"/>
      <c r="H46" s="1353"/>
      <c r="I46" s="1353"/>
      <c r="J46" s="1353"/>
      <c r="K46" s="1353"/>
      <c r="L46" s="1353"/>
      <c r="M46" s="1353"/>
      <c r="N46" s="1353"/>
      <c r="O46" s="1353"/>
      <c r="P46" s="1353"/>
      <c r="Q46" s="1353"/>
      <c r="R46" s="1353"/>
      <c r="S46" s="1353"/>
      <c r="T46" s="1353"/>
      <c r="U46" s="1353"/>
      <c r="V46" s="1353"/>
      <c r="W46" s="1353"/>
      <c r="X46" s="1353"/>
      <c r="Y46" s="1353"/>
      <c r="Z46" s="1353"/>
      <c r="AA46" s="1353"/>
      <c r="AB46" s="1353"/>
      <c r="AC46" s="1353"/>
      <c r="AD46" s="1353"/>
      <c r="AE46" s="1353"/>
      <c r="AF46" s="1353"/>
      <c r="AG46" s="1353"/>
      <c r="AH46" s="1353"/>
      <c r="AI46" s="1353"/>
      <c r="AJ46" s="1353"/>
      <c r="AK46" s="1353"/>
      <c r="AL46" s="1353"/>
      <c r="AM46" s="1353"/>
      <c r="AN46" s="1353"/>
      <c r="AO46" s="1353"/>
      <c r="AP46" s="1353"/>
      <c r="AQ46" s="1353"/>
      <c r="AR46" s="1353"/>
      <c r="AS46" s="1353"/>
      <c r="AT46" s="1353"/>
      <c r="AU46" s="20"/>
      <c r="AV46" s="20"/>
      <c r="AW46" s="20"/>
      <c r="AX46" s="20"/>
      <c r="AY46" s="20"/>
      <c r="AZ46" s="20"/>
    </row>
    <row r="47" spans="1:52" ht="12.95" customHeight="1">
      <c r="A47" s="1353"/>
      <c r="B47" s="1353"/>
      <c r="C47" s="1353"/>
      <c r="D47" s="1353"/>
      <c r="E47" s="1353"/>
      <c r="F47" s="1353"/>
      <c r="G47" s="1353"/>
      <c r="H47" s="1353"/>
      <c r="I47" s="1353"/>
      <c r="J47" s="1353"/>
      <c r="K47" s="1353"/>
      <c r="L47" s="1353"/>
      <c r="M47" s="1353"/>
      <c r="N47" s="1353"/>
      <c r="O47" s="1353"/>
      <c r="P47" s="1353"/>
      <c r="Q47" s="1353"/>
      <c r="R47" s="1353"/>
      <c r="S47" s="1353"/>
      <c r="T47" s="1353"/>
      <c r="U47" s="1353"/>
      <c r="V47" s="1353"/>
      <c r="W47" s="1353"/>
      <c r="X47" s="1353"/>
      <c r="Y47" s="1353"/>
      <c r="Z47" s="1353"/>
      <c r="AA47" s="1353"/>
      <c r="AB47" s="1353"/>
      <c r="AC47" s="1353"/>
      <c r="AD47" s="1353"/>
      <c r="AE47" s="1353"/>
      <c r="AF47" s="1353"/>
      <c r="AG47" s="1353"/>
      <c r="AH47" s="1353"/>
      <c r="AI47" s="1353"/>
      <c r="AJ47" s="1353"/>
      <c r="AK47" s="1353"/>
      <c r="AL47" s="1353"/>
      <c r="AM47" s="1353"/>
      <c r="AN47" s="1353"/>
      <c r="AO47" s="1353"/>
      <c r="AP47" s="1353"/>
      <c r="AQ47" s="1353"/>
      <c r="AR47" s="1353"/>
      <c r="AS47" s="1353"/>
      <c r="AT47" s="1353"/>
      <c r="AU47" s="20"/>
      <c r="AV47" s="20"/>
      <c r="AW47" s="20"/>
      <c r="AX47" s="20"/>
      <c r="AY47" s="20"/>
      <c r="AZ47" s="20"/>
    </row>
    <row r="48" spans="1:52" ht="12.95" customHeight="1">
      <c r="A48" s="1353"/>
      <c r="B48" s="1353"/>
      <c r="C48" s="1353"/>
      <c r="D48" s="1353"/>
      <c r="E48" s="1353"/>
      <c r="F48" s="1353"/>
      <c r="G48" s="1353"/>
      <c r="H48" s="1353"/>
      <c r="I48" s="1353"/>
      <c r="J48" s="1353"/>
      <c r="K48" s="1353"/>
      <c r="L48" s="1353"/>
      <c r="M48" s="1353"/>
      <c r="N48" s="1353"/>
      <c r="O48" s="1353"/>
      <c r="P48" s="1353"/>
      <c r="Q48" s="1353"/>
      <c r="R48" s="1353"/>
      <c r="S48" s="1353"/>
      <c r="T48" s="1353"/>
      <c r="U48" s="1353"/>
      <c r="V48" s="1353"/>
      <c r="W48" s="1353"/>
      <c r="X48" s="1353"/>
      <c r="Y48" s="1353"/>
      <c r="Z48" s="1353"/>
      <c r="AA48" s="1353"/>
      <c r="AB48" s="1353"/>
      <c r="AC48" s="1353"/>
      <c r="AD48" s="1353"/>
      <c r="AE48" s="1353"/>
      <c r="AF48" s="1353"/>
      <c r="AG48" s="1353"/>
      <c r="AH48" s="1353"/>
      <c r="AI48" s="1353"/>
      <c r="AJ48" s="1353"/>
      <c r="AK48" s="1353"/>
      <c r="AL48" s="1353"/>
      <c r="AM48" s="1353"/>
      <c r="AN48" s="1353"/>
      <c r="AO48" s="1353"/>
      <c r="AP48" s="1353"/>
      <c r="AQ48" s="1353"/>
      <c r="AR48" s="1353"/>
      <c r="AS48" s="1353"/>
      <c r="AT48" s="1353"/>
      <c r="AU48" s="20"/>
      <c r="AV48" s="20"/>
      <c r="AW48" s="20"/>
      <c r="AX48" s="20"/>
      <c r="AY48" s="20"/>
      <c r="AZ48" s="20"/>
    </row>
    <row r="49" spans="1:52" ht="12.95" customHeight="1">
      <c r="A49" s="1353"/>
      <c r="B49" s="1353"/>
      <c r="C49" s="1353"/>
      <c r="D49" s="1353"/>
      <c r="E49" s="1353"/>
      <c r="F49" s="1353"/>
      <c r="G49" s="1353"/>
      <c r="H49" s="1353"/>
      <c r="I49" s="1353"/>
      <c r="J49" s="1353"/>
      <c r="K49" s="1353"/>
      <c r="L49" s="1353"/>
      <c r="M49" s="1353"/>
      <c r="N49" s="1353"/>
      <c r="O49" s="1353"/>
      <c r="P49" s="1353"/>
      <c r="Q49" s="1353"/>
      <c r="R49" s="1353"/>
      <c r="S49" s="1353"/>
      <c r="T49" s="1353"/>
      <c r="U49" s="1353"/>
      <c r="V49" s="1353"/>
      <c r="W49" s="1353"/>
      <c r="X49" s="1353"/>
      <c r="Y49" s="1353"/>
      <c r="Z49" s="1353"/>
      <c r="AA49" s="1353"/>
      <c r="AB49" s="1353"/>
      <c r="AC49" s="1353"/>
      <c r="AD49" s="1353"/>
      <c r="AE49" s="1353"/>
      <c r="AF49" s="1353"/>
      <c r="AG49" s="1353"/>
      <c r="AH49" s="1353"/>
      <c r="AI49" s="1353"/>
      <c r="AJ49" s="1353"/>
      <c r="AK49" s="1353"/>
      <c r="AL49" s="1353"/>
      <c r="AM49" s="1353"/>
      <c r="AN49" s="1353"/>
      <c r="AO49" s="1353"/>
      <c r="AP49" s="1353"/>
      <c r="AQ49" s="1353"/>
      <c r="AR49" s="1353"/>
      <c r="AS49" s="1353"/>
      <c r="AT49" s="1353"/>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7" t="s">
        <v>2508</v>
      </c>
      <c r="B51" s="1267"/>
      <c r="C51" s="1267"/>
      <c r="D51" s="1267"/>
      <c r="E51" s="1267"/>
      <c r="F51" s="1267"/>
      <c r="G51" s="1267"/>
      <c r="H51" s="1267"/>
      <c r="I51" s="1267"/>
      <c r="J51" s="1267"/>
      <c r="K51" s="1267"/>
      <c r="L51" s="1267"/>
      <c r="M51" s="1267"/>
      <c r="N51" s="1267"/>
      <c r="O51" s="1267"/>
      <c r="P51" s="1267"/>
      <c r="Q51" s="1267"/>
      <c r="R51" s="1267"/>
      <c r="S51" s="1267"/>
      <c r="T51" s="1267"/>
      <c r="U51" s="1267"/>
      <c r="V51" s="1267"/>
      <c r="W51" s="1267"/>
      <c r="X51" s="1267"/>
      <c r="Y51" s="1267"/>
      <c r="Z51" s="1267"/>
      <c r="AA51" s="1267"/>
      <c r="AB51" s="1267"/>
      <c r="AC51" s="1267"/>
      <c r="AD51" s="1267"/>
      <c r="AE51" s="1267"/>
      <c r="AF51" s="1267"/>
      <c r="AG51" s="1267"/>
      <c r="AH51" s="1267"/>
      <c r="AI51" s="1267"/>
      <c r="AJ51" s="1267"/>
      <c r="AK51" s="1267"/>
      <c r="AL51" s="1267"/>
      <c r="AM51" s="1267"/>
      <c r="AN51" s="1267"/>
      <c r="AO51" s="1267"/>
      <c r="AP51" s="1267"/>
      <c r="AQ51" s="1267"/>
      <c r="AR51" s="1267"/>
      <c r="AS51" s="1267"/>
      <c r="AT51" s="1267"/>
      <c r="AU51" s="20"/>
      <c r="AV51" s="20"/>
      <c r="AW51" s="20"/>
      <c r="AX51" s="20"/>
      <c r="AY51" s="20"/>
      <c r="AZ51" s="20"/>
    </row>
    <row r="52" spans="1:52" ht="12.95" customHeight="1">
      <c r="A52" s="1267"/>
      <c r="B52" s="1267"/>
      <c r="C52" s="1267"/>
      <c r="D52" s="1267"/>
      <c r="E52" s="1267"/>
      <c r="F52" s="1267"/>
      <c r="G52" s="1267"/>
      <c r="H52" s="1267"/>
      <c r="I52" s="1267"/>
      <c r="J52" s="1267"/>
      <c r="K52" s="1267"/>
      <c r="L52" s="1267"/>
      <c r="M52" s="1267"/>
      <c r="N52" s="1267"/>
      <c r="O52" s="1267"/>
      <c r="P52" s="1267"/>
      <c r="Q52" s="1267"/>
      <c r="R52" s="1267"/>
      <c r="S52" s="1267"/>
      <c r="T52" s="1267"/>
      <c r="U52" s="1267"/>
      <c r="V52" s="1267"/>
      <c r="W52" s="1267"/>
      <c r="X52" s="1267"/>
      <c r="Y52" s="1267"/>
      <c r="Z52" s="1267"/>
      <c r="AA52" s="1267"/>
      <c r="AB52" s="1267"/>
      <c r="AC52" s="1267"/>
      <c r="AD52" s="1267"/>
      <c r="AE52" s="1267"/>
      <c r="AF52" s="1267"/>
      <c r="AG52" s="1267"/>
      <c r="AH52" s="1267"/>
      <c r="AI52" s="1267"/>
      <c r="AJ52" s="1267"/>
      <c r="AK52" s="1267"/>
      <c r="AL52" s="1267"/>
      <c r="AM52" s="1267"/>
      <c r="AN52" s="1267"/>
      <c r="AO52" s="1267"/>
      <c r="AP52" s="1267"/>
      <c r="AQ52" s="1267"/>
      <c r="AR52" s="1267"/>
      <c r="AS52" s="1267"/>
      <c r="AT52" s="1267"/>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7" t="s">
        <v>2509</v>
      </c>
      <c r="B54" s="1267"/>
      <c r="C54" s="1267"/>
      <c r="D54" s="1267"/>
      <c r="E54" s="1267"/>
      <c r="F54" s="1267"/>
      <c r="G54" s="1267"/>
      <c r="H54" s="1267"/>
      <c r="I54" s="1267"/>
      <c r="J54" s="1267"/>
      <c r="K54" s="1267"/>
      <c r="L54" s="1267"/>
      <c r="M54" s="1267"/>
      <c r="N54" s="1267"/>
      <c r="O54" s="1267"/>
      <c r="P54" s="1267"/>
      <c r="Q54" s="1267"/>
      <c r="R54" s="1267"/>
      <c r="S54" s="1267"/>
      <c r="T54" s="1267"/>
      <c r="U54" s="1267"/>
      <c r="V54" s="1267"/>
      <c r="W54" s="1267"/>
      <c r="X54" s="1267"/>
      <c r="Y54" s="1267"/>
      <c r="Z54" s="1267"/>
      <c r="AA54" s="1267"/>
      <c r="AB54" s="1267"/>
      <c r="AC54" s="1267"/>
      <c r="AD54" s="1267"/>
      <c r="AE54" s="1267"/>
      <c r="AF54" s="1267"/>
      <c r="AG54" s="1267"/>
      <c r="AH54" s="1267"/>
      <c r="AI54" s="1267"/>
      <c r="AJ54" s="1267"/>
      <c r="AK54" s="1267"/>
      <c r="AL54" s="1267"/>
      <c r="AM54" s="1267"/>
      <c r="AN54" s="1267"/>
      <c r="AO54" s="1267"/>
      <c r="AP54" s="1267"/>
      <c r="AQ54" s="1267"/>
      <c r="AR54" s="1267"/>
      <c r="AS54" s="1267"/>
      <c r="AT54" s="1267"/>
      <c r="AU54" s="20"/>
      <c r="AV54" s="20"/>
      <c r="AW54" s="20"/>
      <c r="AX54" s="20"/>
      <c r="AY54" s="20"/>
      <c r="AZ54" s="21"/>
    </row>
    <row r="55" spans="1:52" ht="12.95" customHeight="1">
      <c r="A55" s="1267"/>
      <c r="B55" s="1267"/>
      <c r="C55" s="1267"/>
      <c r="D55" s="1267"/>
      <c r="E55" s="1267"/>
      <c r="F55" s="1267"/>
      <c r="G55" s="1267"/>
      <c r="H55" s="1267"/>
      <c r="I55" s="1267"/>
      <c r="J55" s="1267"/>
      <c r="K55" s="1267"/>
      <c r="L55" s="1267"/>
      <c r="M55" s="1267"/>
      <c r="N55" s="1267"/>
      <c r="O55" s="1267"/>
      <c r="P55" s="1267"/>
      <c r="Q55" s="1267"/>
      <c r="R55" s="1267"/>
      <c r="S55" s="1267"/>
      <c r="T55" s="1267"/>
      <c r="U55" s="1267"/>
      <c r="V55" s="1267"/>
      <c r="W55" s="1267"/>
      <c r="X55" s="1267"/>
      <c r="Y55" s="1267"/>
      <c r="Z55" s="1267"/>
      <c r="AA55" s="1267"/>
      <c r="AB55" s="1267"/>
      <c r="AC55" s="1267"/>
      <c r="AD55" s="1267"/>
      <c r="AE55" s="1267"/>
      <c r="AF55" s="1267"/>
      <c r="AG55" s="1267"/>
      <c r="AH55" s="1267"/>
      <c r="AI55" s="1267"/>
      <c r="AJ55" s="1267"/>
      <c r="AK55" s="1267"/>
      <c r="AL55" s="1267"/>
      <c r="AM55" s="1267"/>
      <c r="AN55" s="1267"/>
      <c r="AO55" s="1267"/>
      <c r="AP55" s="1267"/>
      <c r="AQ55" s="1267"/>
      <c r="AR55" s="1267"/>
      <c r="AS55" s="1267"/>
      <c r="AT55" s="1267"/>
      <c r="AZ55" s="21"/>
    </row>
    <row r="56" spans="1:52" ht="12.95" customHeight="1">
      <c r="A56" s="1267"/>
      <c r="B56" s="1267"/>
      <c r="C56" s="1267"/>
      <c r="D56" s="1267"/>
      <c r="E56" s="1267"/>
      <c r="F56" s="1267"/>
      <c r="G56" s="1267"/>
      <c r="H56" s="1267"/>
      <c r="I56" s="1267"/>
      <c r="J56" s="1267"/>
      <c r="K56" s="1267"/>
      <c r="L56" s="1267"/>
      <c r="M56" s="1267"/>
      <c r="N56" s="1267"/>
      <c r="O56" s="1267"/>
      <c r="P56" s="1267"/>
      <c r="Q56" s="1267"/>
      <c r="R56" s="1267"/>
      <c r="S56" s="1267"/>
      <c r="T56" s="1267"/>
      <c r="U56" s="1267"/>
      <c r="V56" s="1267"/>
      <c r="W56" s="1267"/>
      <c r="X56" s="1267"/>
      <c r="Y56" s="1267"/>
      <c r="Z56" s="1267"/>
      <c r="AA56" s="1267"/>
      <c r="AB56" s="1267"/>
      <c r="AC56" s="1267"/>
      <c r="AD56" s="1267"/>
      <c r="AE56" s="1267"/>
      <c r="AF56" s="1267"/>
      <c r="AG56" s="1267"/>
      <c r="AH56" s="1267"/>
      <c r="AI56" s="1267"/>
      <c r="AJ56" s="1267"/>
      <c r="AK56" s="1267"/>
      <c r="AL56" s="1267"/>
      <c r="AM56" s="1267"/>
      <c r="AN56" s="1267"/>
      <c r="AO56" s="1267"/>
      <c r="AP56" s="1267"/>
      <c r="AQ56" s="1267"/>
      <c r="AR56" s="1267"/>
      <c r="AS56" s="1267"/>
      <c r="AT56" s="1267"/>
    </row>
    <row r="57" spans="1:52" ht="12.95" customHeight="1">
      <c r="A57" s="1267"/>
      <c r="B57" s="1267"/>
      <c r="C57" s="1267"/>
      <c r="D57" s="1267"/>
      <c r="E57" s="1267"/>
      <c r="F57" s="1267"/>
      <c r="G57" s="1267"/>
      <c r="H57" s="1267"/>
      <c r="I57" s="1267"/>
      <c r="J57" s="1267"/>
      <c r="K57" s="1267"/>
      <c r="L57" s="1267"/>
      <c r="M57" s="1267"/>
      <c r="N57" s="1267"/>
      <c r="O57" s="1267"/>
      <c r="P57" s="1267"/>
      <c r="Q57" s="1267"/>
      <c r="R57" s="1267"/>
      <c r="S57" s="1267"/>
      <c r="T57" s="1267"/>
      <c r="U57" s="1267"/>
      <c r="V57" s="1267"/>
      <c r="W57" s="1267"/>
      <c r="X57" s="1267"/>
      <c r="Y57" s="1267"/>
      <c r="Z57" s="1267"/>
      <c r="AA57" s="1267"/>
      <c r="AB57" s="1267"/>
      <c r="AC57" s="1267"/>
      <c r="AD57" s="1267"/>
      <c r="AE57" s="1267"/>
      <c r="AF57" s="1267"/>
      <c r="AG57" s="1267"/>
      <c r="AH57" s="1267"/>
      <c r="AI57" s="1267"/>
      <c r="AJ57" s="1267"/>
      <c r="AK57" s="1267"/>
      <c r="AL57" s="1267"/>
      <c r="AM57" s="1267"/>
      <c r="AN57" s="1267"/>
      <c r="AO57" s="1267"/>
      <c r="AP57" s="1267"/>
      <c r="AQ57" s="1267"/>
      <c r="AR57" s="1267"/>
      <c r="AS57" s="1267"/>
      <c r="AT57" s="1267"/>
    </row>
    <row r="58" spans="1:52" ht="12.95" customHeight="1">
      <c r="A58" s="1267"/>
      <c r="B58" s="1267"/>
      <c r="C58" s="1267"/>
      <c r="D58" s="1267"/>
      <c r="E58" s="1267"/>
      <c r="F58" s="1267"/>
      <c r="G58" s="1267"/>
      <c r="H58" s="1267"/>
      <c r="I58" s="1267"/>
      <c r="J58" s="1267"/>
      <c r="K58" s="1267"/>
      <c r="L58" s="1267"/>
      <c r="M58" s="1267"/>
      <c r="N58" s="1267"/>
      <c r="O58" s="1267"/>
      <c r="P58" s="1267"/>
      <c r="Q58" s="1267"/>
      <c r="R58" s="1267"/>
      <c r="S58" s="1267"/>
      <c r="T58" s="1267"/>
      <c r="U58" s="1267"/>
      <c r="V58" s="1267"/>
      <c r="W58" s="1267"/>
      <c r="X58" s="1267"/>
      <c r="Y58" s="1267"/>
      <c r="Z58" s="1267"/>
      <c r="AA58" s="1267"/>
      <c r="AB58" s="1267"/>
      <c r="AC58" s="1267"/>
      <c r="AD58" s="1267"/>
      <c r="AE58" s="1267"/>
      <c r="AF58" s="1267"/>
      <c r="AG58" s="1267"/>
      <c r="AH58" s="1267"/>
      <c r="AI58" s="1267"/>
      <c r="AJ58" s="1267"/>
      <c r="AK58" s="1267"/>
      <c r="AL58" s="1267"/>
      <c r="AM58" s="1267"/>
      <c r="AN58" s="1267"/>
      <c r="AO58" s="1267"/>
      <c r="AP58" s="1267"/>
      <c r="AQ58" s="1267"/>
      <c r="AR58" s="1267"/>
      <c r="AS58" s="1267"/>
      <c r="AT58" s="1267"/>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7" t="s">
        <v>2510</v>
      </c>
      <c r="B60" s="1267"/>
      <c r="C60" s="1267"/>
      <c r="D60" s="1267"/>
      <c r="E60" s="1267"/>
      <c r="F60" s="1267"/>
      <c r="G60" s="1267"/>
      <c r="H60" s="1267"/>
      <c r="I60" s="1267"/>
      <c r="J60" s="1267"/>
      <c r="K60" s="1267"/>
      <c r="L60" s="1267"/>
      <c r="M60" s="1267"/>
      <c r="N60" s="1267"/>
      <c r="O60" s="1267"/>
      <c r="P60" s="1267"/>
      <c r="Q60" s="1267"/>
      <c r="R60" s="1267"/>
      <c r="S60" s="1267"/>
      <c r="T60" s="1267"/>
      <c r="U60" s="1267"/>
      <c r="V60" s="1267"/>
      <c r="W60" s="1267"/>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267"/>
      <c r="AS60" s="1267"/>
      <c r="AT60" s="1267"/>
      <c r="AU60" s="20"/>
      <c r="AV60" s="20"/>
      <c r="AW60" s="20"/>
      <c r="AX60" s="20"/>
      <c r="AY60" s="20"/>
      <c r="AZ60" s="20"/>
    </row>
    <row r="61" spans="1:52" ht="12.95" customHeight="1">
      <c r="A61" s="1267"/>
      <c r="B61" s="1267"/>
      <c r="C61" s="1267"/>
      <c r="D61" s="1267"/>
      <c r="E61" s="1267"/>
      <c r="F61" s="1267"/>
      <c r="G61" s="1267"/>
      <c r="H61" s="1267"/>
      <c r="I61" s="1267"/>
      <c r="J61" s="1267"/>
      <c r="K61" s="1267"/>
      <c r="L61" s="1267"/>
      <c r="M61" s="1267"/>
      <c r="N61" s="1267"/>
      <c r="O61" s="1267"/>
      <c r="P61" s="1267"/>
      <c r="Q61" s="1267"/>
      <c r="R61" s="1267"/>
      <c r="S61" s="1267"/>
      <c r="T61" s="1267"/>
      <c r="U61" s="1267"/>
      <c r="V61" s="1267"/>
      <c r="W61" s="1267"/>
      <c r="X61" s="1267"/>
      <c r="Y61" s="1267"/>
      <c r="Z61" s="1267"/>
      <c r="AA61" s="1267"/>
      <c r="AB61" s="1267"/>
      <c r="AC61" s="1267"/>
      <c r="AD61" s="1267"/>
      <c r="AE61" s="1267"/>
      <c r="AF61" s="1267"/>
      <c r="AG61" s="1267"/>
      <c r="AH61" s="1267"/>
      <c r="AI61" s="1267"/>
      <c r="AJ61" s="1267"/>
      <c r="AK61" s="1267"/>
      <c r="AL61" s="1267"/>
      <c r="AM61" s="1267"/>
      <c r="AN61" s="1267"/>
      <c r="AO61" s="1267"/>
      <c r="AP61" s="1267"/>
      <c r="AQ61" s="1267"/>
      <c r="AR61" s="1267"/>
      <c r="AS61" s="1267"/>
      <c r="AT61" s="1267"/>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2511</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579" t="s">
        <v>2512</v>
      </c>
      <c r="B65" s="1579"/>
      <c r="C65" s="1579"/>
      <c r="D65" s="1579"/>
      <c r="E65" s="1579"/>
      <c r="F65" s="1579"/>
      <c r="G65" s="1579"/>
      <c r="H65" s="1579"/>
      <c r="I65" s="1579"/>
      <c r="J65" s="1579"/>
      <c r="K65" s="1579"/>
      <c r="L65" s="1579"/>
      <c r="M65" s="1579"/>
      <c r="N65" s="1579"/>
      <c r="O65" s="1579"/>
      <c r="P65" s="1579"/>
      <c r="Q65" s="1579"/>
      <c r="R65" s="1579"/>
      <c r="S65" s="1579"/>
      <c r="T65" s="1579"/>
      <c r="U65" s="1579"/>
      <c r="V65" s="1579"/>
      <c r="W65" s="1579"/>
      <c r="X65" s="1579"/>
      <c r="Y65" s="1579"/>
      <c r="Z65" s="1579"/>
      <c r="AA65" s="1579"/>
      <c r="AB65" s="1579"/>
      <c r="AC65" s="1579"/>
      <c r="AD65" s="1579"/>
      <c r="AE65" s="1579"/>
      <c r="AF65" s="1579"/>
      <c r="AG65" s="1579"/>
      <c r="AH65" s="1579"/>
      <c r="AI65" s="1579"/>
      <c r="AJ65" s="1579"/>
      <c r="AK65" s="1579"/>
      <c r="AL65" s="1579"/>
      <c r="AM65" s="1579"/>
      <c r="AN65" s="1579"/>
      <c r="AO65" s="1579"/>
      <c r="AP65" s="1579"/>
      <c r="AQ65" s="1579"/>
      <c r="AR65" s="1579"/>
      <c r="AS65" s="1579"/>
      <c r="AT65" s="1579"/>
      <c r="AU65" s="21"/>
      <c r="AV65" s="21"/>
      <c r="AW65" s="21"/>
      <c r="AX65" s="21"/>
      <c r="AY65" s="21"/>
      <c r="AZ65" s="20"/>
    </row>
    <row r="66" spans="1:52" ht="12.95" customHeight="1">
      <c r="A66" s="1579"/>
      <c r="B66" s="1579"/>
      <c r="C66" s="1579"/>
      <c r="D66" s="1579"/>
      <c r="E66" s="1579"/>
      <c r="F66" s="1579"/>
      <c r="G66" s="1579"/>
      <c r="H66" s="1579"/>
      <c r="I66" s="1579"/>
      <c r="J66" s="1579"/>
      <c r="K66" s="1579"/>
      <c r="L66" s="1579"/>
      <c r="M66" s="1579"/>
      <c r="N66" s="1579"/>
      <c r="O66" s="1579"/>
      <c r="P66" s="1579"/>
      <c r="Q66" s="1579"/>
      <c r="R66" s="1579"/>
      <c r="S66" s="1579"/>
      <c r="T66" s="1579"/>
      <c r="U66" s="1579"/>
      <c r="V66" s="1579"/>
      <c r="W66" s="1579"/>
      <c r="X66" s="1579"/>
      <c r="Y66" s="1579"/>
      <c r="Z66" s="1579"/>
      <c r="AA66" s="1579"/>
      <c r="AB66" s="1579"/>
      <c r="AC66" s="1579"/>
      <c r="AD66" s="1579"/>
      <c r="AE66" s="1579"/>
      <c r="AF66" s="1579"/>
      <c r="AG66" s="1579"/>
      <c r="AH66" s="1579"/>
      <c r="AI66" s="1579"/>
      <c r="AJ66" s="1579"/>
      <c r="AK66" s="1579"/>
      <c r="AL66" s="1579"/>
      <c r="AM66" s="1579"/>
      <c r="AN66" s="1579"/>
      <c r="AO66" s="1579"/>
      <c r="AP66" s="1579"/>
      <c r="AQ66" s="1579"/>
      <c r="AR66" s="1579"/>
      <c r="AS66" s="1579"/>
      <c r="AT66" s="1579"/>
      <c r="AU66" s="21"/>
      <c r="AV66" s="21"/>
      <c r="AW66" s="21"/>
      <c r="AX66" s="21"/>
      <c r="AY66" s="21"/>
      <c r="AZ66" s="20"/>
    </row>
    <row r="67" spans="1:52" ht="12.95" customHeight="1">
      <c r="A67" s="1579"/>
      <c r="B67" s="1579"/>
      <c r="C67" s="1579"/>
      <c r="D67" s="1579"/>
      <c r="E67" s="1579"/>
      <c r="F67" s="1579"/>
      <c r="G67" s="1579"/>
      <c r="H67" s="1579"/>
      <c r="I67" s="1579"/>
      <c r="J67" s="1579"/>
      <c r="K67" s="1579"/>
      <c r="L67" s="1579"/>
      <c r="M67" s="1579"/>
      <c r="N67" s="1579"/>
      <c r="O67" s="1579"/>
      <c r="P67" s="1579"/>
      <c r="Q67" s="1579"/>
      <c r="R67" s="1579"/>
      <c r="S67" s="1579"/>
      <c r="T67" s="1579"/>
      <c r="U67" s="1579"/>
      <c r="V67" s="1579"/>
      <c r="W67" s="1579"/>
      <c r="X67" s="1579"/>
      <c r="Y67" s="1579"/>
      <c r="Z67" s="1579"/>
      <c r="AA67" s="1579"/>
      <c r="AB67" s="1579"/>
      <c r="AC67" s="1579"/>
      <c r="AD67" s="1579"/>
      <c r="AE67" s="1579"/>
      <c r="AF67" s="1579"/>
      <c r="AG67" s="1579"/>
      <c r="AH67" s="1579"/>
      <c r="AI67" s="1579"/>
      <c r="AJ67" s="1579"/>
      <c r="AK67" s="1579"/>
      <c r="AL67" s="1579"/>
      <c r="AM67" s="1579"/>
      <c r="AN67" s="1579"/>
      <c r="AO67" s="1579"/>
      <c r="AP67" s="1579"/>
      <c r="AQ67" s="1579"/>
      <c r="AR67" s="1579"/>
      <c r="AS67" s="1579"/>
      <c r="AT67" s="1579"/>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579" t="s">
        <v>2513</v>
      </c>
      <c r="B69" s="1579"/>
      <c r="C69" s="1579"/>
      <c r="D69" s="1579"/>
      <c r="E69" s="1579"/>
      <c r="F69" s="1579"/>
      <c r="G69" s="1579"/>
      <c r="H69" s="1579"/>
      <c r="I69" s="1579"/>
      <c r="J69" s="1579"/>
      <c r="K69" s="1579"/>
      <c r="L69" s="1579"/>
      <c r="M69" s="1579"/>
      <c r="N69" s="1579"/>
      <c r="O69" s="1579"/>
      <c r="P69" s="1579"/>
      <c r="Q69" s="1579"/>
      <c r="R69" s="1579"/>
      <c r="S69" s="1579"/>
      <c r="T69" s="1579"/>
      <c r="U69" s="1579"/>
      <c r="V69" s="1579"/>
      <c r="W69" s="1579"/>
      <c r="X69" s="1579"/>
      <c r="Y69" s="1579"/>
      <c r="Z69" s="1579"/>
      <c r="AA69" s="1579"/>
      <c r="AB69" s="1579"/>
      <c r="AC69" s="1579"/>
      <c r="AD69" s="1579"/>
      <c r="AE69" s="1579"/>
      <c r="AF69" s="1579"/>
      <c r="AG69" s="1579"/>
      <c r="AH69" s="1579"/>
      <c r="AI69" s="1579"/>
      <c r="AJ69" s="1579"/>
      <c r="AK69" s="1579"/>
      <c r="AL69" s="1579"/>
      <c r="AM69" s="1579"/>
      <c r="AN69" s="1579"/>
      <c r="AO69" s="1579"/>
      <c r="AP69" s="1579"/>
      <c r="AQ69" s="1579"/>
      <c r="AR69" s="1579"/>
      <c r="AS69" s="1579"/>
      <c r="AT69" s="1579"/>
      <c r="AZ69" s="20"/>
    </row>
    <row r="70" spans="1:52" ht="12.95" customHeight="1">
      <c r="A70" s="1579"/>
      <c r="B70" s="1579"/>
      <c r="C70" s="1579"/>
      <c r="D70" s="1579"/>
      <c r="E70" s="1579"/>
      <c r="F70" s="1579"/>
      <c r="G70" s="1579"/>
      <c r="H70" s="1579"/>
      <c r="I70" s="1579"/>
      <c r="J70" s="1579"/>
      <c r="K70" s="1579"/>
      <c r="L70" s="1579"/>
      <c r="M70" s="1579"/>
      <c r="N70" s="1579"/>
      <c r="O70" s="1579"/>
      <c r="P70" s="1579"/>
      <c r="Q70" s="1579"/>
      <c r="R70" s="1579"/>
      <c r="S70" s="1579"/>
      <c r="T70" s="1579"/>
      <c r="U70" s="1579"/>
      <c r="V70" s="1579"/>
      <c r="W70" s="1579"/>
      <c r="X70" s="1579"/>
      <c r="Y70" s="1579"/>
      <c r="Z70" s="1579"/>
      <c r="AA70" s="1579"/>
      <c r="AB70" s="1579"/>
      <c r="AC70" s="1579"/>
      <c r="AD70" s="1579"/>
      <c r="AE70" s="1579"/>
      <c r="AF70" s="1579"/>
      <c r="AG70" s="1579"/>
      <c r="AH70" s="1579"/>
      <c r="AI70" s="1579"/>
      <c r="AJ70" s="1579"/>
      <c r="AK70" s="1579"/>
      <c r="AL70" s="1579"/>
      <c r="AM70" s="1579"/>
      <c r="AN70" s="1579"/>
      <c r="AO70" s="1579"/>
      <c r="AP70" s="1579"/>
      <c r="AQ70" s="1579"/>
      <c r="AR70" s="1579"/>
      <c r="AS70" s="1579"/>
      <c r="AT70" s="1579"/>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864" t="s">
        <v>2514</v>
      </c>
      <c r="B72" s="1864"/>
      <c r="C72" s="1864"/>
      <c r="D72" s="1864"/>
      <c r="E72" s="1864"/>
      <c r="F72" s="1864"/>
      <c r="G72" s="1864"/>
      <c r="H72" s="1864"/>
      <c r="I72" s="1864"/>
      <c r="J72" s="1864"/>
      <c r="K72" s="1864"/>
      <c r="L72" s="1864"/>
      <c r="M72" s="1864"/>
      <c r="N72" s="1864"/>
      <c r="O72" s="1864"/>
      <c r="P72" s="1864"/>
      <c r="Q72" s="1864"/>
      <c r="R72" s="1864"/>
      <c r="S72" s="1864"/>
      <c r="T72" s="1864"/>
      <c r="U72" s="1864"/>
      <c r="V72" s="1864"/>
      <c r="W72" s="1864"/>
      <c r="X72" s="1864"/>
      <c r="Y72" s="1864"/>
      <c r="Z72" s="1864"/>
      <c r="AA72" s="1864"/>
      <c r="AB72" s="1864"/>
      <c r="AC72" s="1864"/>
      <c r="AD72" s="1864"/>
      <c r="AE72" s="1864"/>
      <c r="AF72" s="1864"/>
      <c r="AG72" s="1864"/>
      <c r="AH72" s="1864"/>
      <c r="AI72" s="1864"/>
      <c r="AJ72" s="1864"/>
      <c r="AK72" s="1864"/>
      <c r="AL72" s="1864"/>
      <c r="AM72" s="1864"/>
      <c r="AN72" s="1864"/>
      <c r="AO72" s="1864"/>
      <c r="AP72" s="1864"/>
      <c r="AQ72" s="1864"/>
      <c r="AR72" s="1864"/>
      <c r="AS72" s="1864"/>
      <c r="AT72" s="1864"/>
      <c r="AU72" s="20"/>
      <c r="AV72" s="20"/>
      <c r="AW72" s="20"/>
      <c r="AX72" s="20"/>
      <c r="AY72" s="20"/>
      <c r="AZ72" s="20"/>
    </row>
    <row r="73" spans="1:52" ht="12.95" customHeight="1">
      <c r="A73" s="1864"/>
      <c r="B73" s="1864"/>
      <c r="C73" s="1864"/>
      <c r="D73" s="1864"/>
      <c r="E73" s="1864"/>
      <c r="F73" s="1864"/>
      <c r="G73" s="1864"/>
      <c r="H73" s="1864"/>
      <c r="I73" s="1864"/>
      <c r="J73" s="1864"/>
      <c r="K73" s="1864"/>
      <c r="L73" s="1864"/>
      <c r="M73" s="1864"/>
      <c r="N73" s="1864"/>
      <c r="O73" s="1864"/>
      <c r="P73" s="1864"/>
      <c r="Q73" s="1864"/>
      <c r="R73" s="1864"/>
      <c r="S73" s="1864"/>
      <c r="T73" s="1864"/>
      <c r="U73" s="1864"/>
      <c r="V73" s="1864"/>
      <c r="W73" s="1864"/>
      <c r="X73" s="1864"/>
      <c r="Y73" s="1864"/>
      <c r="Z73" s="1864"/>
      <c r="AA73" s="1864"/>
      <c r="AB73" s="1864"/>
      <c r="AC73" s="1864"/>
      <c r="AD73" s="1864"/>
      <c r="AE73" s="1864"/>
      <c r="AF73" s="1864"/>
      <c r="AG73" s="1864"/>
      <c r="AH73" s="1864"/>
      <c r="AI73" s="1864"/>
      <c r="AJ73" s="1864"/>
      <c r="AK73" s="1864"/>
      <c r="AL73" s="1864"/>
      <c r="AM73" s="1864"/>
      <c r="AN73" s="1864"/>
      <c r="AO73" s="1864"/>
      <c r="AP73" s="1864"/>
      <c r="AQ73" s="1864"/>
      <c r="AR73" s="1864"/>
      <c r="AS73" s="1864"/>
      <c r="AT73" s="1864"/>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577" t="s">
        <v>2515</v>
      </c>
      <c r="B75" s="1577"/>
      <c r="C75" s="1577"/>
      <c r="D75" s="1577"/>
      <c r="E75" s="1577"/>
      <c r="F75" s="1577"/>
      <c r="G75" s="1577"/>
      <c r="H75" s="1577"/>
      <c r="I75" s="1577"/>
      <c r="J75" s="1577"/>
      <c r="K75" s="1577"/>
      <c r="L75" s="1577"/>
      <c r="M75" s="1577"/>
      <c r="N75" s="1577"/>
      <c r="O75" s="1577"/>
      <c r="P75" s="1577"/>
      <c r="Q75" s="1577"/>
      <c r="R75" s="1577"/>
      <c r="S75" s="1577"/>
      <c r="T75" s="1577"/>
      <c r="U75" s="1577"/>
      <c r="V75" s="1577"/>
      <c r="W75" s="1577"/>
      <c r="X75" s="1577"/>
      <c r="Y75" s="1577"/>
      <c r="Z75" s="1577"/>
      <c r="AA75" s="1577"/>
      <c r="AB75" s="1577"/>
      <c r="AC75" s="1577"/>
      <c r="AD75" s="1577"/>
      <c r="AE75" s="1577"/>
      <c r="AF75" s="1577"/>
      <c r="AG75" s="1577"/>
      <c r="AH75" s="1577"/>
      <c r="AI75" s="1577"/>
      <c r="AJ75" s="1577"/>
      <c r="AK75" s="1577"/>
      <c r="AL75" s="1577"/>
      <c r="AM75" s="1577"/>
      <c r="AN75" s="1577"/>
      <c r="AO75" s="1577"/>
      <c r="AP75" s="1577"/>
      <c r="AQ75" s="1577"/>
      <c r="AR75" s="1577"/>
      <c r="AS75" s="1577"/>
      <c r="AT75" s="1577"/>
      <c r="AU75" s="20"/>
      <c r="AV75" s="20"/>
      <c r="AW75" s="20"/>
      <c r="AX75" s="20"/>
      <c r="AY75" s="20"/>
      <c r="AZ75" s="20"/>
    </row>
    <row r="76" spans="1:52" ht="12.95" customHeight="1">
      <c r="A76" s="1577"/>
      <c r="B76" s="1577"/>
      <c r="C76" s="1577"/>
      <c r="D76" s="1577"/>
      <c r="E76" s="1577"/>
      <c r="F76" s="1577"/>
      <c r="G76" s="1577"/>
      <c r="H76" s="1577"/>
      <c r="I76" s="1577"/>
      <c r="J76" s="1577"/>
      <c r="K76" s="1577"/>
      <c r="L76" s="1577"/>
      <c r="M76" s="1577"/>
      <c r="N76" s="1577"/>
      <c r="O76" s="1577"/>
      <c r="P76" s="1577"/>
      <c r="Q76" s="1577"/>
      <c r="R76" s="1577"/>
      <c r="S76" s="1577"/>
      <c r="T76" s="1577"/>
      <c r="U76" s="1577"/>
      <c r="V76" s="1577"/>
      <c r="W76" s="1577"/>
      <c r="X76" s="1577"/>
      <c r="Y76" s="1577"/>
      <c r="Z76" s="1577"/>
      <c r="AA76" s="1577"/>
      <c r="AB76" s="1577"/>
      <c r="AC76" s="1577"/>
      <c r="AD76" s="1577"/>
      <c r="AE76" s="1577"/>
      <c r="AF76" s="1577"/>
      <c r="AG76" s="1577"/>
      <c r="AH76" s="1577"/>
      <c r="AI76" s="1577"/>
      <c r="AJ76" s="1577"/>
      <c r="AK76" s="1577"/>
      <c r="AL76" s="1577"/>
      <c r="AM76" s="1577"/>
      <c r="AN76" s="1577"/>
      <c r="AO76" s="1577"/>
      <c r="AP76" s="1577"/>
      <c r="AQ76" s="1577"/>
      <c r="AR76" s="1577"/>
      <c r="AS76" s="1577"/>
      <c r="AT76" s="1577"/>
      <c r="AU76" s="20"/>
      <c r="AV76" s="20"/>
      <c r="AW76" s="20"/>
      <c r="AX76" s="20"/>
      <c r="AY76" s="20"/>
      <c r="AZ76" s="17"/>
    </row>
    <row r="77" spans="1:52" ht="12.95" customHeight="1">
      <c r="A77" s="1577"/>
      <c r="B77" s="1577"/>
      <c r="C77" s="1577"/>
      <c r="D77" s="1577"/>
      <c r="E77" s="1577"/>
      <c r="F77" s="1577"/>
      <c r="G77" s="1577"/>
      <c r="H77" s="1577"/>
      <c r="I77" s="1577"/>
      <c r="J77" s="1577"/>
      <c r="K77" s="1577"/>
      <c r="L77" s="1577"/>
      <c r="M77" s="1577"/>
      <c r="N77" s="1577"/>
      <c r="O77" s="1577"/>
      <c r="P77" s="1577"/>
      <c r="Q77" s="1577"/>
      <c r="R77" s="1577"/>
      <c r="S77" s="1577"/>
      <c r="T77" s="1577"/>
      <c r="U77" s="1577"/>
      <c r="V77" s="1577"/>
      <c r="W77" s="1577"/>
      <c r="X77" s="1577"/>
      <c r="Y77" s="1577"/>
      <c r="Z77" s="1577"/>
      <c r="AA77" s="1577"/>
      <c r="AB77" s="1577"/>
      <c r="AC77" s="1577"/>
      <c r="AD77" s="1577"/>
      <c r="AE77" s="1577"/>
      <c r="AF77" s="1577"/>
      <c r="AG77" s="1577"/>
      <c r="AH77" s="1577"/>
      <c r="AI77" s="1577"/>
      <c r="AJ77" s="1577"/>
      <c r="AK77" s="1577"/>
      <c r="AL77" s="1577"/>
      <c r="AM77" s="1577"/>
      <c r="AN77" s="1577"/>
      <c r="AO77" s="1577"/>
      <c r="AP77" s="1577"/>
      <c r="AQ77" s="1577"/>
      <c r="AR77" s="1577"/>
      <c r="AS77" s="1577"/>
      <c r="AT77" s="1577"/>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579" t="s">
        <v>2516</v>
      </c>
      <c r="B79" s="1579"/>
      <c r="C79" s="1579"/>
      <c r="D79" s="1579"/>
      <c r="E79" s="1579"/>
      <c r="F79" s="1579"/>
      <c r="G79" s="1579"/>
      <c r="H79" s="1579"/>
      <c r="I79" s="1579"/>
      <c r="J79" s="1579"/>
      <c r="K79" s="1579"/>
      <c r="L79" s="1579"/>
      <c r="M79" s="1579"/>
      <c r="N79" s="1579"/>
      <c r="O79" s="1579"/>
      <c r="P79" s="1579"/>
      <c r="Q79" s="1579"/>
      <c r="R79" s="1579"/>
      <c r="S79" s="1579"/>
      <c r="T79" s="1579"/>
      <c r="U79" s="1579"/>
      <c r="V79" s="1579"/>
      <c r="W79" s="1579"/>
      <c r="X79" s="1579"/>
      <c r="Y79" s="1579"/>
      <c r="Z79" s="1579"/>
      <c r="AA79" s="1579"/>
      <c r="AB79" s="1579"/>
      <c r="AC79" s="1579"/>
      <c r="AD79" s="1579"/>
      <c r="AE79" s="1579"/>
      <c r="AF79" s="1579"/>
      <c r="AG79" s="1579"/>
      <c r="AH79" s="1579"/>
      <c r="AI79" s="1579"/>
      <c r="AJ79" s="1579"/>
      <c r="AK79" s="1579"/>
      <c r="AL79" s="1579"/>
      <c r="AM79" s="1579"/>
      <c r="AN79" s="1579"/>
      <c r="AO79" s="1579"/>
      <c r="AP79" s="1579"/>
      <c r="AQ79" s="1579"/>
      <c r="AR79" s="1579"/>
      <c r="AS79" s="1579"/>
      <c r="AT79" s="1579"/>
      <c r="AU79" s="20"/>
      <c r="AV79" s="20"/>
      <c r="AW79" s="20"/>
      <c r="AX79" s="20"/>
      <c r="AY79" s="20"/>
      <c r="AZ79" s="20"/>
    </row>
    <row r="80" spans="1:52" ht="12.95" customHeight="1">
      <c r="A80" s="1579"/>
      <c r="B80" s="1579"/>
      <c r="C80" s="1579"/>
      <c r="D80" s="1579"/>
      <c r="E80" s="1579"/>
      <c r="F80" s="1579"/>
      <c r="G80" s="1579"/>
      <c r="H80" s="1579"/>
      <c r="I80" s="1579"/>
      <c r="J80" s="1579"/>
      <c r="K80" s="1579"/>
      <c r="L80" s="1579"/>
      <c r="M80" s="1579"/>
      <c r="N80" s="1579"/>
      <c r="O80" s="1579"/>
      <c r="P80" s="1579"/>
      <c r="Q80" s="1579"/>
      <c r="R80" s="1579"/>
      <c r="S80" s="1579"/>
      <c r="T80" s="1579"/>
      <c r="U80" s="1579"/>
      <c r="V80" s="1579"/>
      <c r="W80" s="1579"/>
      <c r="X80" s="1579"/>
      <c r="Y80" s="1579"/>
      <c r="Z80" s="1579"/>
      <c r="AA80" s="1579"/>
      <c r="AB80" s="1579"/>
      <c r="AC80" s="1579"/>
      <c r="AD80" s="1579"/>
      <c r="AE80" s="1579"/>
      <c r="AF80" s="1579"/>
      <c r="AG80" s="1579"/>
      <c r="AH80" s="1579"/>
      <c r="AI80" s="1579"/>
      <c r="AJ80" s="1579"/>
      <c r="AK80" s="1579"/>
      <c r="AL80" s="1579"/>
      <c r="AM80" s="1579"/>
      <c r="AN80" s="1579"/>
      <c r="AO80" s="1579"/>
      <c r="AP80" s="1579"/>
      <c r="AQ80" s="1579"/>
      <c r="AR80" s="1579"/>
      <c r="AS80" s="1579"/>
      <c r="AT80" s="1579"/>
      <c r="AU80" s="20"/>
      <c r="AV80" s="20"/>
      <c r="AW80" s="20"/>
      <c r="AX80" s="20"/>
      <c r="AY80" s="20"/>
      <c r="AZ80" s="20"/>
    </row>
    <row r="81" spans="1:52" ht="12.95" customHeight="1">
      <c r="A81" s="1579"/>
      <c r="B81" s="1579"/>
      <c r="C81" s="1579"/>
      <c r="D81" s="1579"/>
      <c r="E81" s="1579"/>
      <c r="F81" s="1579"/>
      <c r="G81" s="1579"/>
      <c r="H81" s="1579"/>
      <c r="I81" s="1579"/>
      <c r="J81" s="1579"/>
      <c r="K81" s="1579"/>
      <c r="L81" s="1579"/>
      <c r="M81" s="1579"/>
      <c r="N81" s="1579"/>
      <c r="O81" s="1579"/>
      <c r="P81" s="1579"/>
      <c r="Q81" s="1579"/>
      <c r="R81" s="1579"/>
      <c r="S81" s="1579"/>
      <c r="T81" s="1579"/>
      <c r="U81" s="1579"/>
      <c r="V81" s="1579"/>
      <c r="W81" s="1579"/>
      <c r="X81" s="1579"/>
      <c r="Y81" s="1579"/>
      <c r="Z81" s="1579"/>
      <c r="AA81" s="1579"/>
      <c r="AB81" s="1579"/>
      <c r="AC81" s="1579"/>
      <c r="AD81" s="1579"/>
      <c r="AE81" s="1579"/>
      <c r="AF81" s="1579"/>
      <c r="AG81" s="1579"/>
      <c r="AH81" s="1579"/>
      <c r="AI81" s="1579"/>
      <c r="AJ81" s="1579"/>
      <c r="AK81" s="1579"/>
      <c r="AL81" s="1579"/>
      <c r="AM81" s="1579"/>
      <c r="AN81" s="1579"/>
      <c r="AO81" s="1579"/>
      <c r="AP81" s="1579"/>
      <c r="AQ81" s="1579"/>
      <c r="AR81" s="1579"/>
      <c r="AS81" s="1579"/>
      <c r="AT81" s="1579"/>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7" t="s">
        <v>2517</v>
      </c>
      <c r="B83" s="1267"/>
      <c r="C83" s="1267"/>
      <c r="D83" s="1267"/>
      <c r="E83" s="1267"/>
      <c r="F83" s="1267"/>
      <c r="G83" s="1267"/>
      <c r="H83" s="1267"/>
      <c r="I83" s="1267"/>
      <c r="J83" s="1267"/>
      <c r="K83" s="1267"/>
      <c r="L83" s="1267"/>
      <c r="M83" s="1267"/>
      <c r="N83" s="1267"/>
      <c r="O83" s="1267"/>
      <c r="P83" s="1267"/>
      <c r="Q83" s="1267"/>
      <c r="R83" s="1267"/>
      <c r="S83" s="1267"/>
      <c r="T83" s="1267"/>
      <c r="U83" s="1267"/>
      <c r="V83" s="1267"/>
      <c r="W83" s="1267"/>
      <c r="X83" s="1267"/>
      <c r="Y83" s="1267"/>
      <c r="Z83" s="1267"/>
      <c r="AA83" s="1267"/>
      <c r="AB83" s="1267"/>
      <c r="AC83" s="1267"/>
      <c r="AD83" s="1267"/>
      <c r="AE83" s="1267"/>
      <c r="AF83" s="1267"/>
      <c r="AG83" s="1267"/>
      <c r="AH83" s="1267"/>
      <c r="AI83" s="1267"/>
      <c r="AJ83" s="1267"/>
      <c r="AK83" s="1267"/>
      <c r="AL83" s="1267"/>
      <c r="AM83" s="1267"/>
      <c r="AN83" s="1267"/>
      <c r="AO83" s="1267"/>
      <c r="AP83" s="1267"/>
      <c r="AQ83" s="1267"/>
      <c r="AR83" s="1267"/>
      <c r="AS83" s="1267"/>
      <c r="AT83" s="1267"/>
      <c r="AU83" s="20"/>
      <c r="AV83" s="20"/>
      <c r="AW83" s="20"/>
      <c r="AX83" s="20"/>
      <c r="AY83" s="20"/>
      <c r="AZ83" s="20"/>
    </row>
    <row r="84" spans="1:52" ht="12.95" customHeight="1">
      <c r="A84" s="1267"/>
      <c r="B84" s="1267"/>
      <c r="C84" s="1267"/>
      <c r="D84" s="1267"/>
      <c r="E84" s="1267"/>
      <c r="F84" s="1267"/>
      <c r="G84" s="1267"/>
      <c r="H84" s="1267"/>
      <c r="I84" s="1267"/>
      <c r="J84" s="1267"/>
      <c r="K84" s="1267"/>
      <c r="L84" s="1267"/>
      <c r="M84" s="1267"/>
      <c r="N84" s="1267"/>
      <c r="O84" s="1267"/>
      <c r="P84" s="1267"/>
      <c r="Q84" s="1267"/>
      <c r="R84" s="1267"/>
      <c r="S84" s="1267"/>
      <c r="T84" s="1267"/>
      <c r="U84" s="1267"/>
      <c r="V84" s="1267"/>
      <c r="W84" s="1267"/>
      <c r="X84" s="1267"/>
      <c r="Y84" s="1267"/>
      <c r="Z84" s="1267"/>
      <c r="AA84" s="1267"/>
      <c r="AB84" s="1267"/>
      <c r="AC84" s="1267"/>
      <c r="AD84" s="1267"/>
      <c r="AE84" s="1267"/>
      <c r="AF84" s="1267"/>
      <c r="AG84" s="1267"/>
      <c r="AH84" s="1267"/>
      <c r="AI84" s="1267"/>
      <c r="AJ84" s="1267"/>
      <c r="AK84" s="1267"/>
      <c r="AL84" s="1267"/>
      <c r="AM84" s="1267"/>
      <c r="AN84" s="1267"/>
      <c r="AO84" s="1267"/>
      <c r="AP84" s="1267"/>
      <c r="AQ84" s="1267"/>
      <c r="AR84" s="1267"/>
      <c r="AS84" s="1267"/>
      <c r="AT84" s="1267"/>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7" t="s">
        <v>2518</v>
      </c>
      <c r="B86" s="1267"/>
      <c r="C86" s="1267"/>
      <c r="D86" s="1267"/>
      <c r="E86" s="1267"/>
      <c r="F86" s="1267"/>
      <c r="G86" s="1267"/>
      <c r="H86" s="1267"/>
      <c r="I86" s="1267"/>
      <c r="J86" s="1267"/>
      <c r="K86" s="1267"/>
      <c r="L86" s="1267"/>
      <c r="M86" s="1267"/>
      <c r="N86" s="1267"/>
      <c r="O86" s="1267"/>
      <c r="P86" s="1267"/>
      <c r="Q86" s="1267"/>
      <c r="R86" s="1267"/>
      <c r="S86" s="1267"/>
      <c r="T86" s="1267"/>
      <c r="U86" s="1267"/>
      <c r="V86" s="1267"/>
      <c r="W86" s="1267"/>
      <c r="X86" s="1267"/>
      <c r="Y86" s="1267"/>
      <c r="Z86" s="1267"/>
      <c r="AA86" s="1267"/>
      <c r="AB86" s="1267"/>
      <c r="AC86" s="1267"/>
      <c r="AD86" s="1267"/>
      <c r="AE86" s="1267"/>
      <c r="AF86" s="1267"/>
      <c r="AG86" s="1267"/>
      <c r="AH86" s="1267"/>
      <c r="AI86" s="1267"/>
      <c r="AJ86" s="1267"/>
      <c r="AK86" s="1267"/>
      <c r="AL86" s="1267"/>
      <c r="AM86" s="1267"/>
      <c r="AN86" s="1267"/>
      <c r="AO86" s="1267"/>
      <c r="AP86" s="1267"/>
      <c r="AQ86" s="1267"/>
      <c r="AR86" s="1267"/>
      <c r="AS86" s="1267"/>
      <c r="AT86" s="1267"/>
      <c r="AU86" s="20"/>
      <c r="AV86" s="20"/>
      <c r="AW86" s="20"/>
      <c r="AX86" s="20"/>
      <c r="AY86" s="20"/>
      <c r="AZ86" s="20"/>
    </row>
    <row r="87" spans="1:52" ht="12.95" customHeight="1">
      <c r="A87" s="1267"/>
      <c r="B87" s="1267"/>
      <c r="C87" s="1267"/>
      <c r="D87" s="1267"/>
      <c r="E87" s="1267"/>
      <c r="F87" s="1267"/>
      <c r="G87" s="1267"/>
      <c r="H87" s="1267"/>
      <c r="I87" s="1267"/>
      <c r="J87" s="1267"/>
      <c r="K87" s="1267"/>
      <c r="L87" s="1267"/>
      <c r="M87" s="1267"/>
      <c r="N87" s="1267"/>
      <c r="O87" s="1267"/>
      <c r="P87" s="1267"/>
      <c r="Q87" s="1267"/>
      <c r="R87" s="1267"/>
      <c r="S87" s="1267"/>
      <c r="T87" s="1267"/>
      <c r="U87" s="1267"/>
      <c r="V87" s="1267"/>
      <c r="W87" s="1267"/>
      <c r="X87" s="1267"/>
      <c r="Y87" s="1267"/>
      <c r="Z87" s="1267"/>
      <c r="AA87" s="1267"/>
      <c r="AB87" s="1267"/>
      <c r="AC87" s="1267"/>
      <c r="AD87" s="1267"/>
      <c r="AE87" s="1267"/>
      <c r="AF87" s="1267"/>
      <c r="AG87" s="1267"/>
      <c r="AH87" s="1267"/>
      <c r="AI87" s="1267"/>
      <c r="AJ87" s="1267"/>
      <c r="AK87" s="1267"/>
      <c r="AL87" s="1267"/>
      <c r="AM87" s="1267"/>
      <c r="AN87" s="1267"/>
      <c r="AO87" s="1267"/>
      <c r="AP87" s="1267"/>
      <c r="AQ87" s="1267"/>
      <c r="AR87" s="1267"/>
      <c r="AS87" s="1267"/>
      <c r="AT87" s="1267"/>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576" t="s">
        <v>2519</v>
      </c>
      <c r="B89" s="1576"/>
      <c r="C89" s="1576"/>
      <c r="D89" s="1576"/>
      <c r="E89" s="1576"/>
      <c r="F89" s="1576"/>
      <c r="G89" s="1576"/>
      <c r="H89" s="1576"/>
      <c r="I89" s="1576"/>
      <c r="J89" s="1576"/>
      <c r="K89" s="1576"/>
      <c r="L89" s="1576"/>
      <c r="M89" s="1576"/>
      <c r="N89" s="1576"/>
      <c r="O89" s="1576"/>
      <c r="P89" s="1576"/>
      <c r="Q89" s="1576"/>
      <c r="R89" s="1576"/>
      <c r="S89" s="1576"/>
      <c r="T89" s="1576"/>
      <c r="U89" s="1576"/>
      <c r="V89" s="1576"/>
      <c r="W89" s="1576"/>
      <c r="X89" s="1576"/>
      <c r="Y89" s="1576"/>
      <c r="Z89" s="1576"/>
      <c r="AA89" s="1576"/>
      <c r="AB89" s="1576"/>
      <c r="AC89" s="1576"/>
      <c r="AD89" s="1576"/>
      <c r="AE89" s="1576"/>
      <c r="AF89" s="1576"/>
      <c r="AG89" s="1576"/>
      <c r="AH89" s="1576"/>
      <c r="AI89" s="1576"/>
      <c r="AJ89" s="1576"/>
      <c r="AK89" s="1576"/>
      <c r="AL89" s="1576"/>
      <c r="AM89" s="1576"/>
      <c r="AN89" s="1576"/>
      <c r="AO89" s="1576"/>
      <c r="AP89" s="1576"/>
      <c r="AQ89" s="1576"/>
      <c r="AR89" s="1576"/>
      <c r="AS89" s="1576"/>
      <c r="AT89" s="1576"/>
      <c r="AU89" s="17"/>
      <c r="AV89" s="17"/>
      <c r="AW89" s="17"/>
      <c r="AX89" s="17"/>
      <c r="AY89" s="17"/>
      <c r="AZ89" s="20"/>
    </row>
    <row r="90" spans="1:52" ht="12.95" customHeight="1">
      <c r="A90" s="1576"/>
      <c r="B90" s="1576"/>
      <c r="C90" s="1576"/>
      <c r="D90" s="1576"/>
      <c r="E90" s="1576"/>
      <c r="F90" s="1576"/>
      <c r="G90" s="1576"/>
      <c r="H90" s="1576"/>
      <c r="I90" s="1576"/>
      <c r="J90" s="1576"/>
      <c r="K90" s="1576"/>
      <c r="L90" s="1576"/>
      <c r="M90" s="1576"/>
      <c r="N90" s="1576"/>
      <c r="O90" s="1576"/>
      <c r="P90" s="1576"/>
      <c r="Q90" s="1576"/>
      <c r="R90" s="1576"/>
      <c r="S90" s="1576"/>
      <c r="T90" s="1576"/>
      <c r="U90" s="1576"/>
      <c r="V90" s="1576"/>
      <c r="W90" s="1576"/>
      <c r="X90" s="1576"/>
      <c r="Y90" s="1576"/>
      <c r="Z90" s="1576"/>
      <c r="AA90" s="1576"/>
      <c r="AB90" s="1576"/>
      <c r="AC90" s="1576"/>
      <c r="AD90" s="1576"/>
      <c r="AE90" s="1576"/>
      <c r="AF90" s="1576"/>
      <c r="AG90" s="1576"/>
      <c r="AH90" s="1576"/>
      <c r="AI90" s="1576"/>
      <c r="AJ90" s="1576"/>
      <c r="AK90" s="1576"/>
      <c r="AL90" s="1576"/>
      <c r="AM90" s="1576"/>
      <c r="AN90" s="1576"/>
      <c r="AO90" s="1576"/>
      <c r="AP90" s="1576"/>
      <c r="AQ90" s="1576"/>
      <c r="AR90" s="1576"/>
      <c r="AS90" s="1576"/>
      <c r="AT90" s="1576"/>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577" t="s">
        <v>2520</v>
      </c>
      <c r="B92" s="1577"/>
      <c r="C92" s="1577"/>
      <c r="D92" s="1577"/>
      <c r="E92" s="1577"/>
      <c r="F92" s="1577"/>
      <c r="G92" s="1577"/>
      <c r="H92" s="1577"/>
      <c r="I92" s="1577"/>
      <c r="J92" s="1577"/>
      <c r="K92" s="1577"/>
      <c r="L92" s="1577"/>
      <c r="M92" s="1577"/>
      <c r="N92" s="1577"/>
      <c r="O92" s="1577"/>
      <c r="P92" s="1577"/>
      <c r="Q92" s="1577"/>
      <c r="R92" s="1577"/>
      <c r="S92" s="1577"/>
      <c r="T92" s="1577"/>
      <c r="U92" s="1577"/>
      <c r="V92" s="1577"/>
      <c r="W92" s="1577"/>
      <c r="X92" s="1577"/>
      <c r="Y92" s="1577"/>
      <c r="Z92" s="1577"/>
      <c r="AA92" s="1577"/>
      <c r="AB92" s="1577"/>
      <c r="AC92" s="1577"/>
      <c r="AD92" s="1577"/>
      <c r="AE92" s="1577"/>
      <c r="AF92" s="1577"/>
      <c r="AG92" s="1577"/>
      <c r="AH92" s="1577"/>
      <c r="AI92" s="1577"/>
      <c r="AJ92" s="1577"/>
      <c r="AK92" s="1577"/>
      <c r="AL92" s="1577"/>
      <c r="AM92" s="1577"/>
      <c r="AN92" s="1577"/>
      <c r="AO92" s="1577"/>
      <c r="AP92" s="1577"/>
      <c r="AQ92" s="1577"/>
      <c r="AR92" s="1577"/>
      <c r="AS92" s="1577"/>
      <c r="AT92" s="1577"/>
      <c r="AU92" s="20"/>
      <c r="AV92" s="20"/>
      <c r="AW92" s="20"/>
      <c r="AX92" s="20"/>
      <c r="AY92" s="20"/>
      <c r="AZ92" s="20"/>
    </row>
    <row r="93" spans="1:52" ht="12.95" customHeight="1">
      <c r="A93" s="1577"/>
      <c r="B93" s="1577"/>
      <c r="C93" s="1577"/>
      <c r="D93" s="1577"/>
      <c r="E93" s="1577"/>
      <c r="F93" s="1577"/>
      <c r="G93" s="1577"/>
      <c r="H93" s="1577"/>
      <c r="I93" s="1577"/>
      <c r="J93" s="1577"/>
      <c r="K93" s="1577"/>
      <c r="L93" s="1577"/>
      <c r="M93" s="1577"/>
      <c r="N93" s="1577"/>
      <c r="O93" s="1577"/>
      <c r="P93" s="1577"/>
      <c r="Q93" s="1577"/>
      <c r="R93" s="1577"/>
      <c r="S93" s="1577"/>
      <c r="T93" s="1577"/>
      <c r="U93" s="1577"/>
      <c r="V93" s="1577"/>
      <c r="W93" s="1577"/>
      <c r="X93" s="1577"/>
      <c r="Y93" s="1577"/>
      <c r="Z93" s="1577"/>
      <c r="AA93" s="1577"/>
      <c r="AB93" s="1577"/>
      <c r="AC93" s="1577"/>
      <c r="AD93" s="1577"/>
      <c r="AE93" s="1577"/>
      <c r="AF93" s="1577"/>
      <c r="AG93" s="1577"/>
      <c r="AH93" s="1577"/>
      <c r="AI93" s="1577"/>
      <c r="AJ93" s="1577"/>
      <c r="AK93" s="1577"/>
      <c r="AL93" s="1577"/>
      <c r="AM93" s="1577"/>
      <c r="AN93" s="1577"/>
      <c r="AO93" s="1577"/>
      <c r="AP93" s="1577"/>
      <c r="AQ93" s="1577"/>
      <c r="AR93" s="1577"/>
      <c r="AS93" s="1577"/>
      <c r="AT93" s="1577"/>
      <c r="AU93" s="20"/>
      <c r="AV93" s="20"/>
      <c r="AW93" s="20"/>
      <c r="AX93" s="20"/>
      <c r="AY93" s="20"/>
      <c r="AZ93" s="20"/>
    </row>
    <row r="94" spans="1:52" ht="12.95" customHeight="1">
      <c r="A94" s="1577"/>
      <c r="B94" s="1577"/>
      <c r="C94" s="1577"/>
      <c r="D94" s="1577"/>
      <c r="E94" s="1577"/>
      <c r="F94" s="1577"/>
      <c r="G94" s="1577"/>
      <c r="H94" s="1577"/>
      <c r="I94" s="1577"/>
      <c r="J94" s="1577"/>
      <c r="K94" s="1577"/>
      <c r="L94" s="1577"/>
      <c r="M94" s="1577"/>
      <c r="N94" s="1577"/>
      <c r="O94" s="1577"/>
      <c r="P94" s="1577"/>
      <c r="Q94" s="1577"/>
      <c r="R94" s="1577"/>
      <c r="S94" s="1577"/>
      <c r="T94" s="1577"/>
      <c r="U94" s="1577"/>
      <c r="V94" s="1577"/>
      <c r="W94" s="1577"/>
      <c r="X94" s="1577"/>
      <c r="Y94" s="1577"/>
      <c r="Z94" s="1577"/>
      <c r="AA94" s="1577"/>
      <c r="AB94" s="1577"/>
      <c r="AC94" s="1577"/>
      <c r="AD94" s="1577"/>
      <c r="AE94" s="1577"/>
      <c r="AF94" s="1577"/>
      <c r="AG94" s="1577"/>
      <c r="AH94" s="1577"/>
      <c r="AI94" s="1577"/>
      <c r="AJ94" s="1577"/>
      <c r="AK94" s="1577"/>
      <c r="AL94" s="1577"/>
      <c r="AM94" s="1577"/>
      <c r="AN94" s="1577"/>
      <c r="AO94" s="1577"/>
      <c r="AP94" s="1577"/>
      <c r="AQ94" s="1577"/>
      <c r="AR94" s="1577"/>
      <c r="AS94" s="1577"/>
      <c r="AT94" s="1577"/>
      <c r="AU94" s="20"/>
      <c r="AV94" s="20"/>
      <c r="AW94" s="20"/>
      <c r="AX94" s="20"/>
      <c r="AY94" s="20"/>
      <c r="AZ94" s="20"/>
    </row>
    <row r="95" spans="1:52" ht="12.95" customHeight="1">
      <c r="A95" s="1577"/>
      <c r="B95" s="1577"/>
      <c r="C95" s="1577"/>
      <c r="D95" s="1577"/>
      <c r="E95" s="1577"/>
      <c r="F95" s="1577"/>
      <c r="G95" s="1577"/>
      <c r="H95" s="1577"/>
      <c r="I95" s="1577"/>
      <c r="J95" s="1577"/>
      <c r="K95" s="1577"/>
      <c r="L95" s="1577"/>
      <c r="M95" s="1577"/>
      <c r="N95" s="1577"/>
      <c r="O95" s="1577"/>
      <c r="P95" s="1577"/>
      <c r="Q95" s="1577"/>
      <c r="R95" s="1577"/>
      <c r="S95" s="1577"/>
      <c r="T95" s="1577"/>
      <c r="U95" s="1577"/>
      <c r="V95" s="1577"/>
      <c r="W95" s="1577"/>
      <c r="X95" s="1577"/>
      <c r="Y95" s="1577"/>
      <c r="Z95" s="1577"/>
      <c r="AA95" s="1577"/>
      <c r="AB95" s="1577"/>
      <c r="AC95" s="1577"/>
      <c r="AD95" s="1577"/>
      <c r="AE95" s="1577"/>
      <c r="AF95" s="1577"/>
      <c r="AG95" s="1577"/>
      <c r="AH95" s="1577"/>
      <c r="AI95" s="1577"/>
      <c r="AJ95" s="1577"/>
      <c r="AK95" s="1577"/>
      <c r="AL95" s="1577"/>
      <c r="AM95" s="1577"/>
      <c r="AN95" s="1577"/>
      <c r="AO95" s="1577"/>
      <c r="AP95" s="1577"/>
      <c r="AQ95" s="1577"/>
      <c r="AR95" s="1577"/>
      <c r="AS95" s="1577"/>
      <c r="AT95" s="1577"/>
      <c r="AU95" s="20"/>
      <c r="AV95" s="20"/>
      <c r="AW95" s="20"/>
      <c r="AX95" s="20"/>
      <c r="AY95" s="20"/>
      <c r="AZ95" s="20"/>
    </row>
    <row r="96" spans="1:52" ht="12.95" customHeight="1">
      <c r="A96" s="1577"/>
      <c r="B96" s="1577"/>
      <c r="C96" s="1577"/>
      <c r="D96" s="1577"/>
      <c r="E96" s="1577"/>
      <c r="F96" s="1577"/>
      <c r="G96" s="1577"/>
      <c r="H96" s="1577"/>
      <c r="I96" s="1577"/>
      <c r="J96" s="1577"/>
      <c r="K96" s="1577"/>
      <c r="L96" s="1577"/>
      <c r="M96" s="1577"/>
      <c r="N96" s="1577"/>
      <c r="O96" s="1577"/>
      <c r="P96" s="1577"/>
      <c r="Q96" s="1577"/>
      <c r="R96" s="1577"/>
      <c r="S96" s="1577"/>
      <c r="T96" s="1577"/>
      <c r="U96" s="1577"/>
      <c r="V96" s="1577"/>
      <c r="W96" s="1577"/>
      <c r="X96" s="1577"/>
      <c r="Y96" s="1577"/>
      <c r="Z96" s="1577"/>
      <c r="AA96" s="1577"/>
      <c r="AB96" s="1577"/>
      <c r="AC96" s="1577"/>
      <c r="AD96" s="1577"/>
      <c r="AE96" s="1577"/>
      <c r="AF96" s="1577"/>
      <c r="AG96" s="1577"/>
      <c r="AH96" s="1577"/>
      <c r="AI96" s="1577"/>
      <c r="AJ96" s="1577"/>
      <c r="AK96" s="1577"/>
      <c r="AL96" s="1577"/>
      <c r="AM96" s="1577"/>
      <c r="AN96" s="1577"/>
      <c r="AO96" s="1577"/>
      <c r="AP96" s="1577"/>
      <c r="AQ96" s="1577"/>
      <c r="AR96" s="1577"/>
      <c r="AS96" s="1577"/>
      <c r="AT96" s="1577"/>
      <c r="AU96" s="20"/>
      <c r="AV96" s="20"/>
      <c r="AW96" s="20"/>
      <c r="AX96" s="20"/>
      <c r="AY96" s="20"/>
      <c r="AZ96" s="20"/>
    </row>
    <row r="97" spans="1:52" ht="12.95" customHeight="1">
      <c r="A97" s="1577"/>
      <c r="B97" s="1577"/>
      <c r="C97" s="1577"/>
      <c r="D97" s="1577"/>
      <c r="E97" s="1577"/>
      <c r="F97" s="1577"/>
      <c r="G97" s="1577"/>
      <c r="H97" s="1577"/>
      <c r="I97" s="1577"/>
      <c r="J97" s="1577"/>
      <c r="K97" s="1577"/>
      <c r="L97" s="1577"/>
      <c r="M97" s="1577"/>
      <c r="N97" s="1577"/>
      <c r="O97" s="1577"/>
      <c r="P97" s="1577"/>
      <c r="Q97" s="1577"/>
      <c r="R97" s="1577"/>
      <c r="S97" s="1577"/>
      <c r="T97" s="1577"/>
      <c r="U97" s="1577"/>
      <c r="V97" s="1577"/>
      <c r="W97" s="1577"/>
      <c r="X97" s="1577"/>
      <c r="Y97" s="1577"/>
      <c r="Z97" s="1577"/>
      <c r="AA97" s="1577"/>
      <c r="AB97" s="1577"/>
      <c r="AC97" s="1577"/>
      <c r="AD97" s="1577"/>
      <c r="AE97" s="1577"/>
      <c r="AF97" s="1577"/>
      <c r="AG97" s="1577"/>
      <c r="AH97" s="1577"/>
      <c r="AI97" s="1577"/>
      <c r="AJ97" s="1577"/>
      <c r="AK97" s="1577"/>
      <c r="AL97" s="1577"/>
      <c r="AM97" s="1577"/>
      <c r="AN97" s="1577"/>
      <c r="AO97" s="1577"/>
      <c r="AP97" s="1577"/>
      <c r="AQ97" s="1577"/>
      <c r="AR97" s="1577"/>
      <c r="AS97" s="1577"/>
      <c r="AT97" s="1577"/>
      <c r="AU97" s="20"/>
      <c r="AV97" s="20"/>
      <c r="AW97" s="20"/>
      <c r="AX97" s="20"/>
      <c r="AY97" s="20"/>
      <c r="AZ97" s="20"/>
    </row>
    <row r="98" spans="1:52" ht="12.95" customHeight="1">
      <c r="A98" s="1577"/>
      <c r="B98" s="1577"/>
      <c r="C98" s="1577"/>
      <c r="D98" s="1577"/>
      <c r="E98" s="1577"/>
      <c r="F98" s="1577"/>
      <c r="G98" s="1577"/>
      <c r="H98" s="1577"/>
      <c r="I98" s="1577"/>
      <c r="J98" s="1577"/>
      <c r="K98" s="1577"/>
      <c r="L98" s="1577"/>
      <c r="M98" s="1577"/>
      <c r="N98" s="1577"/>
      <c r="O98" s="1577"/>
      <c r="P98" s="1577"/>
      <c r="Q98" s="1577"/>
      <c r="R98" s="1577"/>
      <c r="S98" s="1577"/>
      <c r="T98" s="1577"/>
      <c r="U98" s="1577"/>
      <c r="V98" s="1577"/>
      <c r="W98" s="1577"/>
      <c r="X98" s="1577"/>
      <c r="Y98" s="1577"/>
      <c r="Z98" s="1577"/>
      <c r="AA98" s="1577"/>
      <c r="AB98" s="1577"/>
      <c r="AC98" s="1577"/>
      <c r="AD98" s="1577"/>
      <c r="AE98" s="1577"/>
      <c r="AF98" s="1577"/>
      <c r="AG98" s="1577"/>
      <c r="AH98" s="1577"/>
      <c r="AI98" s="1577"/>
      <c r="AJ98" s="1577"/>
      <c r="AK98" s="1577"/>
      <c r="AL98" s="1577"/>
      <c r="AM98" s="1577"/>
      <c r="AN98" s="1577"/>
      <c r="AO98" s="1577"/>
      <c r="AP98" s="1577"/>
      <c r="AQ98" s="1577"/>
      <c r="AR98" s="1577"/>
      <c r="AS98" s="1577"/>
      <c r="AT98" s="1577"/>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303" t="s">
        <v>2521</v>
      </c>
      <c r="B100" s="1303"/>
      <c r="C100" s="1303"/>
      <c r="D100" s="1303"/>
      <c r="E100" s="1303"/>
      <c r="F100" s="1303"/>
      <c r="G100" s="1303"/>
      <c r="H100" s="1303"/>
      <c r="I100" s="1303"/>
      <c r="J100" s="1303"/>
      <c r="K100" s="1303"/>
      <c r="L100" s="1303"/>
      <c r="M100" s="1303"/>
      <c r="N100" s="1303"/>
      <c r="O100" s="1303"/>
      <c r="P100" s="1303"/>
      <c r="Q100" s="1303"/>
      <c r="R100" s="1303"/>
      <c r="S100" s="1303"/>
      <c r="T100" s="1303"/>
      <c r="U100" s="1303"/>
      <c r="V100" s="1303"/>
      <c r="W100" s="1303"/>
      <c r="X100" s="1303"/>
      <c r="Y100" s="1303"/>
      <c r="Z100" s="1303"/>
      <c r="AA100" s="1303"/>
      <c r="AB100" s="1303"/>
      <c r="AC100" s="1303"/>
      <c r="AD100" s="1303"/>
      <c r="AE100" s="1303"/>
      <c r="AF100" s="1303"/>
      <c r="AG100" s="1303"/>
      <c r="AH100" s="1303"/>
      <c r="AI100" s="1303"/>
      <c r="AJ100" s="1303"/>
      <c r="AK100" s="1303"/>
      <c r="AL100" s="1303"/>
      <c r="AM100" s="1303"/>
      <c r="AN100" s="1303"/>
      <c r="AO100" s="1303"/>
      <c r="AP100" s="1303"/>
      <c r="AQ100" s="1303"/>
      <c r="AR100" s="1303"/>
      <c r="AS100" s="1303"/>
      <c r="AT100" s="1303"/>
      <c r="AU100" s="20"/>
      <c r="AV100" s="20"/>
      <c r="AW100" s="20"/>
      <c r="AX100" s="20"/>
      <c r="AY100" s="20"/>
      <c r="AZ100" s="20"/>
    </row>
    <row r="101" spans="1:52" ht="12.95" customHeight="1">
      <c r="A101" s="1303"/>
      <c r="B101" s="1303"/>
      <c r="C101" s="1303"/>
      <c r="D101" s="1303"/>
      <c r="E101" s="1303"/>
      <c r="F101" s="1303"/>
      <c r="G101" s="1303"/>
      <c r="H101" s="1303"/>
      <c r="I101" s="1303"/>
      <c r="J101" s="1303"/>
      <c r="K101" s="1303"/>
      <c r="L101" s="1303"/>
      <c r="M101" s="1303"/>
      <c r="N101" s="1303"/>
      <c r="O101" s="1303"/>
      <c r="P101" s="1303"/>
      <c r="Q101" s="1303"/>
      <c r="R101" s="1303"/>
      <c r="S101" s="1303"/>
      <c r="T101" s="1303"/>
      <c r="U101" s="1303"/>
      <c r="V101" s="1303"/>
      <c r="W101" s="1303"/>
      <c r="X101" s="1303"/>
      <c r="Y101" s="1303"/>
      <c r="Z101" s="1303"/>
      <c r="AA101" s="1303"/>
      <c r="AB101" s="1303"/>
      <c r="AC101" s="1303"/>
      <c r="AD101" s="1303"/>
      <c r="AE101" s="1303"/>
      <c r="AF101" s="1303"/>
      <c r="AG101" s="1303"/>
      <c r="AH101" s="1303"/>
      <c r="AI101" s="1303"/>
      <c r="AJ101" s="1303"/>
      <c r="AK101" s="1303"/>
      <c r="AL101" s="1303"/>
      <c r="AM101" s="1303"/>
      <c r="AN101" s="1303"/>
      <c r="AO101" s="1303"/>
      <c r="AP101" s="1303"/>
      <c r="AQ101" s="1303"/>
      <c r="AR101" s="1303"/>
      <c r="AS101" s="1303"/>
      <c r="AT101" s="1303"/>
      <c r="AU101" s="20"/>
      <c r="AV101" s="20"/>
      <c r="AW101" s="20"/>
      <c r="AX101" s="20"/>
      <c r="AY101" s="20"/>
      <c r="AZ101" s="20"/>
    </row>
    <row r="102" spans="1:52" ht="12.95" customHeight="1">
      <c r="A102" s="1303"/>
      <c r="B102" s="1303"/>
      <c r="C102" s="1303"/>
      <c r="D102" s="1303"/>
      <c r="E102" s="1303"/>
      <c r="F102" s="1303"/>
      <c r="G102" s="1303"/>
      <c r="H102" s="1303"/>
      <c r="I102" s="1303"/>
      <c r="J102" s="1303"/>
      <c r="K102" s="1303"/>
      <c r="L102" s="1303"/>
      <c r="M102" s="1303"/>
      <c r="N102" s="1303"/>
      <c r="O102" s="1303"/>
      <c r="P102" s="1303"/>
      <c r="Q102" s="1303"/>
      <c r="R102" s="1303"/>
      <c r="S102" s="1303"/>
      <c r="T102" s="1303"/>
      <c r="U102" s="1303"/>
      <c r="V102" s="1303"/>
      <c r="W102" s="1303"/>
      <c r="X102" s="1303"/>
      <c r="Y102" s="1303"/>
      <c r="Z102" s="1303"/>
      <c r="AA102" s="1303"/>
      <c r="AB102" s="1303"/>
      <c r="AC102" s="1303"/>
      <c r="AD102" s="1303"/>
      <c r="AE102" s="1303"/>
      <c r="AF102" s="1303"/>
      <c r="AG102" s="1303"/>
      <c r="AH102" s="1303"/>
      <c r="AI102" s="1303"/>
      <c r="AJ102" s="1303"/>
      <c r="AK102" s="1303"/>
      <c r="AL102" s="1303"/>
      <c r="AM102" s="1303"/>
      <c r="AN102" s="1303"/>
      <c r="AO102" s="1303"/>
      <c r="AP102" s="1303"/>
      <c r="AQ102" s="1303"/>
      <c r="AR102" s="1303"/>
      <c r="AS102" s="1303"/>
      <c r="AT102" s="1303"/>
      <c r="AU102" s="20"/>
      <c r="AV102" s="20"/>
      <c r="AW102" s="20"/>
      <c r="AX102" s="20"/>
      <c r="AY102" s="20"/>
      <c r="AZ102" s="20"/>
    </row>
    <row r="103" spans="1:52" ht="12.95" customHeight="1">
      <c r="A103" s="1303"/>
      <c r="B103" s="1303"/>
      <c r="C103" s="1303"/>
      <c r="D103" s="1303"/>
      <c r="E103" s="1303"/>
      <c r="F103" s="1303"/>
      <c r="G103" s="1303"/>
      <c r="H103" s="1303"/>
      <c r="I103" s="1303"/>
      <c r="J103" s="1303"/>
      <c r="K103" s="1303"/>
      <c r="L103" s="1303"/>
      <c r="M103" s="1303"/>
      <c r="N103" s="1303"/>
      <c r="O103" s="1303"/>
      <c r="P103" s="1303"/>
      <c r="Q103" s="1303"/>
      <c r="R103" s="1303"/>
      <c r="S103" s="1303"/>
      <c r="T103" s="1303"/>
      <c r="U103" s="1303"/>
      <c r="V103" s="1303"/>
      <c r="W103" s="1303"/>
      <c r="X103" s="1303"/>
      <c r="Y103" s="1303"/>
      <c r="Z103" s="1303"/>
      <c r="AA103" s="1303"/>
      <c r="AB103" s="1303"/>
      <c r="AC103" s="1303"/>
      <c r="AD103" s="1303"/>
      <c r="AE103" s="1303"/>
      <c r="AF103" s="1303"/>
      <c r="AG103" s="1303"/>
      <c r="AH103" s="1303"/>
      <c r="AI103" s="1303"/>
      <c r="AJ103" s="1303"/>
      <c r="AK103" s="1303"/>
      <c r="AL103" s="1303"/>
      <c r="AM103" s="1303"/>
      <c r="AN103" s="1303"/>
      <c r="AO103" s="1303"/>
      <c r="AP103" s="1303"/>
      <c r="AQ103" s="1303"/>
      <c r="AR103" s="1303"/>
      <c r="AS103" s="1303"/>
      <c r="AT103" s="1303"/>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303" t="s">
        <v>2522</v>
      </c>
      <c r="B105" s="1303"/>
      <c r="C105" s="1303"/>
      <c r="D105" s="1303"/>
      <c r="E105" s="1303"/>
      <c r="F105" s="1303"/>
      <c r="G105" s="1303"/>
      <c r="H105" s="1303"/>
      <c r="I105" s="1303"/>
      <c r="J105" s="1303"/>
      <c r="K105" s="1303"/>
      <c r="L105" s="1303"/>
      <c r="M105" s="1303"/>
      <c r="N105" s="1303"/>
      <c r="O105" s="1303"/>
      <c r="P105" s="1303"/>
      <c r="Q105" s="1303"/>
      <c r="R105" s="1303"/>
      <c r="S105" s="1303"/>
      <c r="T105" s="1303"/>
      <c r="U105" s="1303"/>
      <c r="V105" s="1303"/>
      <c r="W105" s="1303"/>
      <c r="X105" s="1303"/>
      <c r="Y105" s="1303"/>
      <c r="Z105" s="1303"/>
      <c r="AA105" s="1303"/>
      <c r="AB105" s="1303"/>
      <c r="AC105" s="1303"/>
      <c r="AD105" s="1303"/>
      <c r="AE105" s="1303"/>
      <c r="AF105" s="1303"/>
      <c r="AG105" s="1303"/>
      <c r="AH105" s="1303"/>
      <c r="AI105" s="1303"/>
      <c r="AJ105" s="1303"/>
      <c r="AK105" s="1303"/>
      <c r="AL105" s="1303"/>
      <c r="AM105" s="1303"/>
      <c r="AN105" s="1303"/>
      <c r="AO105" s="1303"/>
      <c r="AP105" s="1303"/>
      <c r="AQ105" s="1303"/>
      <c r="AR105" s="1303"/>
      <c r="AS105" s="1303"/>
      <c r="AT105" s="1303"/>
      <c r="AU105" s="20"/>
      <c r="AV105" s="20"/>
      <c r="AW105" s="20"/>
      <c r="AX105" s="20"/>
      <c r="AY105" s="20"/>
    </row>
    <row r="106" spans="1:52" ht="12.95" customHeight="1">
      <c r="A106" s="1303"/>
      <c r="B106" s="1303"/>
      <c r="C106" s="1303"/>
      <c r="D106" s="1303"/>
      <c r="E106" s="1303"/>
      <c r="F106" s="1303"/>
      <c r="G106" s="1303"/>
      <c r="H106" s="1303"/>
      <c r="I106" s="1303"/>
      <c r="J106" s="1303"/>
      <c r="K106" s="1303"/>
      <c r="L106" s="1303"/>
      <c r="M106" s="1303"/>
      <c r="N106" s="1303"/>
      <c r="O106" s="1303"/>
      <c r="P106" s="1303"/>
      <c r="Q106" s="1303"/>
      <c r="R106" s="1303"/>
      <c r="S106" s="1303"/>
      <c r="T106" s="1303"/>
      <c r="U106" s="1303"/>
      <c r="V106" s="1303"/>
      <c r="W106" s="1303"/>
      <c r="X106" s="1303"/>
      <c r="Y106" s="1303"/>
      <c r="Z106" s="1303"/>
      <c r="AA106" s="1303"/>
      <c r="AB106" s="1303"/>
      <c r="AC106" s="1303"/>
      <c r="AD106" s="1303"/>
      <c r="AE106" s="1303"/>
      <c r="AF106" s="1303"/>
      <c r="AG106" s="1303"/>
      <c r="AH106" s="1303"/>
      <c r="AI106" s="1303"/>
      <c r="AJ106" s="1303"/>
      <c r="AK106" s="1303"/>
      <c r="AL106" s="1303"/>
      <c r="AM106" s="1303"/>
      <c r="AN106" s="1303"/>
      <c r="AO106" s="1303"/>
      <c r="AP106" s="1303"/>
      <c r="AQ106" s="1303"/>
      <c r="AR106" s="1303"/>
      <c r="AS106" s="1303"/>
      <c r="AT106" s="1303"/>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2523</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180</v>
      </c>
      <c r="G113" s="1433"/>
      <c r="H113" s="1433"/>
      <c r="I113" s="3" t="s">
        <v>181</v>
      </c>
      <c r="L113" s="1433"/>
      <c r="M113" s="1433"/>
      <c r="N113" s="1433"/>
      <c r="O113" s="1433"/>
      <c r="P113" s="1594" t="s">
        <v>2524</v>
      </c>
      <c r="Q113" s="1594"/>
      <c r="R113" s="1594"/>
      <c r="S113" s="1594"/>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581"/>
      <c r="D115" s="1581"/>
      <c r="E115" s="1581"/>
      <c r="F115" s="1581"/>
      <c r="G115" s="1581"/>
      <c r="H115" s="1581"/>
      <c r="I115" s="1581"/>
      <c r="J115" s="1581"/>
      <c r="K115" s="1581"/>
      <c r="L115" s="216" t="s">
        <v>634</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635</v>
      </c>
      <c r="Y117" s="1433"/>
      <c r="Z117" s="1433"/>
      <c r="AA117" s="1433"/>
      <c r="AB117" s="1433"/>
      <c r="AC117" s="1433"/>
      <c r="AD117" s="1433"/>
      <c r="AE117" s="1433"/>
      <c r="AF117" s="1433"/>
      <c r="AG117" s="1433"/>
      <c r="AH117" s="1433"/>
      <c r="AI117" s="1433"/>
      <c r="AJ117" s="1433"/>
      <c r="AK117" s="1433"/>
    </row>
    <row r="118" spans="1:51" ht="12.95" customHeight="1">
      <c r="X118" s="3"/>
      <c r="Y118" s="3"/>
      <c r="Z118" s="3" t="s">
        <v>636</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433"/>
      <c r="Z120" s="1433"/>
      <c r="AA120" s="1433"/>
      <c r="AB120" s="1433"/>
      <c r="AC120" s="1433"/>
      <c r="AD120" s="1433"/>
      <c r="AE120" s="1433"/>
      <c r="AF120" s="1433"/>
      <c r="AG120" s="1433"/>
      <c r="AH120" s="1433"/>
      <c r="AI120" s="1433"/>
      <c r="AJ120" s="1433"/>
      <c r="AK120" s="1433"/>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637</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433"/>
      <c r="Z123" s="1433"/>
      <c r="AA123" s="1433"/>
      <c r="AB123" s="1433"/>
      <c r="AC123" s="1433"/>
      <c r="AD123" s="1433"/>
      <c r="AE123" s="1433"/>
      <c r="AF123" s="1433"/>
      <c r="AG123" s="1433"/>
      <c r="AH123" s="1433"/>
      <c r="AI123" s="1433"/>
      <c r="AJ123" s="1433"/>
      <c r="AK123" s="1433"/>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638</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6"/>
      <c r="G150" s="1306"/>
      <c r="H150" s="1306"/>
      <c r="I150" s="1306"/>
      <c r="J150" s="1306"/>
      <c r="K150" s="1306"/>
      <c r="L150" s="1306"/>
      <c r="M150" s="1306"/>
      <c r="N150" s="1306"/>
      <c r="O150" s="1306"/>
      <c r="P150" s="1306"/>
      <c r="Q150" s="1306"/>
      <c r="R150" s="1306"/>
      <c r="S150" s="1306"/>
      <c r="T150" s="1306"/>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652</v>
      </c>
      <c r="O153" s="1501" t="s">
        <v>2640</v>
      </c>
      <c r="P153" s="1501"/>
      <c r="Q153" s="1501"/>
      <c r="R153" s="1501"/>
      <c r="S153" s="1501"/>
      <c r="T153" s="1501"/>
      <c r="U153" s="1501"/>
      <c r="V153" s="1501"/>
      <c r="W153" s="1501"/>
      <c r="X153" s="1501"/>
      <c r="Y153" s="1501"/>
      <c r="Z153" s="1501"/>
      <c r="AA153" s="1501"/>
      <c r="AB153" s="1501"/>
      <c r="AC153" s="1501"/>
      <c r="AD153" s="1501"/>
      <c r="AE153" s="1501"/>
      <c r="AF153" s="1501"/>
      <c r="AG153" s="1501"/>
      <c r="AH153" s="1501"/>
    </row>
    <row r="154" spans="1:72" ht="12.95" customHeight="1">
      <c r="D154" s="325" t="s">
        <v>441</v>
      </c>
      <c r="O154" s="1522" t="s">
        <v>2641</v>
      </c>
      <c r="P154" s="1405"/>
      <c r="Q154" s="1405"/>
      <c r="R154" s="1405"/>
      <c r="S154" s="1405"/>
      <c r="T154" s="1405"/>
      <c r="U154" s="1405"/>
      <c r="V154" s="1405"/>
      <c r="W154" s="1405"/>
      <c r="X154" s="1405"/>
      <c r="Y154" s="1405"/>
      <c r="Z154" s="1405"/>
      <c r="AA154" s="1405"/>
      <c r="AB154" s="1405"/>
      <c r="AC154" s="1405"/>
      <c r="AD154" s="1405"/>
      <c r="AE154" s="1405"/>
      <c r="AF154" s="1405"/>
      <c r="AG154" s="1405"/>
      <c r="AH154" s="1405"/>
    </row>
    <row r="155" spans="1:72" ht="12.95" customHeight="1">
      <c r="D155" s="8" t="s">
        <v>442</v>
      </c>
      <c r="F155" s="8"/>
      <c r="G155" s="8"/>
      <c r="H155" s="8"/>
      <c r="I155" s="8"/>
      <c r="J155" s="8"/>
      <c r="K155" s="8"/>
      <c r="L155" s="8"/>
      <c r="M155" s="8"/>
      <c r="N155" s="8"/>
      <c r="O155" s="1589" t="s">
        <v>2779</v>
      </c>
      <c r="P155" s="1590"/>
      <c r="Q155" s="1590"/>
      <c r="R155" s="1590"/>
      <c r="S155" s="1590"/>
      <c r="T155" s="1590"/>
      <c r="U155" s="1590"/>
      <c r="V155" s="1590"/>
      <c r="W155" s="1590"/>
      <c r="X155" s="1590"/>
      <c r="Y155" s="1590"/>
      <c r="Z155" s="1590"/>
      <c r="AA155" s="1590"/>
      <c r="AB155" s="1590"/>
      <c r="AC155" s="1590"/>
      <c r="AD155" s="1590"/>
      <c r="AE155" s="1590"/>
      <c r="AF155" s="1590"/>
      <c r="AG155" s="1590"/>
      <c r="AH155" s="1590"/>
    </row>
    <row r="156" spans="1:72" ht="12.95" customHeight="1">
      <c r="D156" t="s">
        <v>313</v>
      </c>
      <c r="O156" s="1412" t="s">
        <v>2642</v>
      </c>
      <c r="P156" s="1412"/>
      <c r="Q156" s="1412"/>
      <c r="R156" s="1412"/>
      <c r="S156" s="1412"/>
      <c r="T156" s="1412"/>
      <c r="U156" s="1412"/>
      <c r="V156" s="1412"/>
      <c r="W156" s="1412"/>
      <c r="X156" s="1412"/>
      <c r="Y156" s="1412"/>
      <c r="Z156" s="1412"/>
      <c r="AA156" s="1412"/>
      <c r="AB156" s="1412"/>
      <c r="AC156" s="1412"/>
      <c r="AD156" s="1412"/>
      <c r="AE156" s="1412"/>
      <c r="AF156" s="1412"/>
      <c r="AG156" s="1412"/>
      <c r="AH156" s="1412"/>
      <c r="BT156" t="s">
        <v>307</v>
      </c>
    </row>
    <row r="157" spans="1:72" ht="12.95" customHeight="1">
      <c r="D157" t="s">
        <v>314</v>
      </c>
      <c r="O157" s="1417" t="s">
        <v>2643</v>
      </c>
      <c r="P157" s="1501"/>
      <c r="Q157" s="1501"/>
      <c r="R157" s="1501"/>
      <c r="S157" s="1501"/>
      <c r="T157" s="1501"/>
      <c r="U157" s="1501"/>
      <c r="V157" s="1501"/>
      <c r="W157" s="1501"/>
      <c r="X157" s="1501"/>
      <c r="Y157" s="8"/>
      <c r="Z157" s="8"/>
      <c r="AA157" s="8"/>
      <c r="AB157" s="8"/>
      <c r="AC157" s="8"/>
      <c r="AD157" s="8"/>
      <c r="AE157" s="8"/>
      <c r="AF157" s="8"/>
      <c r="BN157" s="23" t="s">
        <v>643</v>
      </c>
      <c r="BT157" t="s">
        <v>483</v>
      </c>
    </row>
    <row r="158" spans="1:72" ht="12.95" customHeight="1">
      <c r="D158" t="s">
        <v>315</v>
      </c>
      <c r="O158" s="1591">
        <v>94002</v>
      </c>
      <c r="P158" s="1591"/>
      <c r="Q158" s="1591"/>
      <c r="R158" s="1591"/>
      <c r="S158" s="9"/>
      <c r="T158" s="9"/>
      <c r="U158" s="9"/>
      <c r="V158" s="9"/>
      <c r="W158" s="9"/>
      <c r="X158" s="9"/>
      <c r="Y158" s="9"/>
      <c r="Z158" s="9"/>
      <c r="AA158" s="9"/>
      <c r="AB158" s="9"/>
      <c r="AC158" s="9"/>
      <c r="AD158" s="9"/>
      <c r="AE158" s="9"/>
      <c r="AF158" s="9"/>
      <c r="BN158" s="23" t="s">
        <v>644</v>
      </c>
      <c r="BT158" t="s">
        <v>484</v>
      </c>
    </row>
    <row r="159" spans="1:72" ht="12.95" customHeight="1">
      <c r="D159" t="s">
        <v>316</v>
      </c>
      <c r="O159" s="1593" t="s">
        <v>2644</v>
      </c>
      <c r="P159" s="1593"/>
      <c r="Q159" s="1593"/>
      <c r="R159" s="1593"/>
      <c r="S159" s="1593"/>
      <c r="T159" s="1593"/>
      <c r="V159" s="97" t="s">
        <v>271</v>
      </c>
      <c r="W159" s="1592"/>
      <c r="X159" s="1592"/>
      <c r="Y159" s="10"/>
      <c r="Z159" s="10"/>
      <c r="AA159" s="10"/>
      <c r="AB159" s="10"/>
      <c r="AC159" s="10"/>
      <c r="AD159" s="10"/>
      <c r="AE159" s="10"/>
      <c r="AF159" s="10"/>
      <c r="BN159" s="23" t="s">
        <v>339</v>
      </c>
      <c r="BT159" t="s">
        <v>485</v>
      </c>
    </row>
    <row r="160" spans="1:72" ht="12.95" customHeight="1">
      <c r="D160" t="s">
        <v>317</v>
      </c>
      <c r="O160" s="1593" t="s">
        <v>2645</v>
      </c>
      <c r="P160" s="1593"/>
      <c r="Q160" s="1593"/>
      <c r="R160" s="1593"/>
      <c r="S160" s="1593"/>
      <c r="T160" s="1593"/>
      <c r="U160" s="10"/>
      <c r="V160" s="10"/>
      <c r="W160" s="10"/>
      <c r="X160" s="10"/>
      <c r="Y160" s="10"/>
      <c r="Z160" s="10"/>
      <c r="AA160" s="10"/>
      <c r="AB160" s="10"/>
      <c r="AC160" s="10"/>
      <c r="AD160" s="10"/>
      <c r="AE160" s="10"/>
      <c r="AF160" s="10"/>
      <c r="BN160" s="23" t="s">
        <v>667</v>
      </c>
      <c r="BT160" t="s">
        <v>486</v>
      </c>
    </row>
    <row r="161" spans="1:72" ht="12.95" customHeight="1">
      <c r="D161" t="s">
        <v>318</v>
      </c>
      <c r="O161" s="1566" t="s">
        <v>2646</v>
      </c>
      <c r="P161" s="1566"/>
      <c r="Q161" s="1566"/>
      <c r="R161" s="1566"/>
      <c r="S161" s="1566"/>
      <c r="T161" s="1566"/>
      <c r="U161" s="1566"/>
      <c r="V161" s="1566"/>
      <c r="W161" s="1566"/>
      <c r="X161" s="1566"/>
      <c r="Y161" s="1566"/>
      <c r="Z161" s="1566"/>
      <c r="AA161" s="1566"/>
      <c r="AB161" s="1566"/>
      <c r="AC161" s="1566"/>
      <c r="AD161" s="1566"/>
      <c r="AE161" s="1566"/>
      <c r="AF161" s="1566"/>
      <c r="AG161" s="1566"/>
      <c r="AH161" s="1566"/>
      <c r="BJ161" t="s">
        <v>676</v>
      </c>
      <c r="BN161" s="23" t="s">
        <v>668</v>
      </c>
      <c r="BT161" t="s">
        <v>487</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552</v>
      </c>
      <c r="BN162" s="23" t="s">
        <v>669</v>
      </c>
      <c r="BT162" t="s">
        <v>488</v>
      </c>
    </row>
    <row r="163" spans="1:72" ht="12.95" customHeight="1">
      <c r="C163" s="27" t="s">
        <v>82</v>
      </c>
      <c r="D163" s="3" t="s">
        <v>2410</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670</v>
      </c>
      <c r="BT163" t="s">
        <v>489</v>
      </c>
    </row>
    <row r="164" spans="1:72" ht="12.95" customHeight="1">
      <c r="C164" s="27"/>
      <c r="D164" s="1582" t="s">
        <v>2619</v>
      </c>
      <c r="E164" s="1582"/>
      <c r="F164" s="1582"/>
      <c r="G164" s="1582"/>
      <c r="H164" s="1582"/>
      <c r="I164" s="1582"/>
      <c r="J164" s="1582"/>
      <c r="K164" s="1582"/>
      <c r="L164" s="1582"/>
      <c r="M164" s="1582"/>
      <c r="N164" s="1582"/>
      <c r="O164" s="1582"/>
      <c r="P164" s="1582"/>
      <c r="Q164" s="1582"/>
      <c r="R164" s="1582"/>
      <c r="S164" s="1582"/>
      <c r="T164" s="1582"/>
      <c r="U164" s="1582"/>
      <c r="V164" s="1582"/>
      <c r="W164" s="1582"/>
      <c r="X164" s="1582"/>
      <c r="Y164" s="1582"/>
      <c r="Z164" s="1582"/>
      <c r="AA164" s="1582"/>
      <c r="AB164" s="1582"/>
      <c r="AC164" s="1582"/>
      <c r="AD164" s="1582"/>
      <c r="AE164" s="1582"/>
      <c r="AF164" s="1582"/>
      <c r="AG164" s="1582"/>
      <c r="AH164" s="1582"/>
      <c r="BN164" s="23" t="s">
        <v>671</v>
      </c>
      <c r="BT164" t="s">
        <v>490</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672</v>
      </c>
      <c r="BT165" t="s">
        <v>491</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674</v>
      </c>
      <c r="BT166" t="s">
        <v>492</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677</v>
      </c>
      <c r="BT167" t="s">
        <v>493</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678</v>
      </c>
      <c r="BT168" t="s">
        <v>494</v>
      </c>
    </row>
    <row r="169" spans="1:72" ht="12.95" customHeight="1">
      <c r="A169" s="1696" t="s">
        <v>546</v>
      </c>
      <c r="B169" s="1696"/>
      <c r="C169" s="1696"/>
      <c r="D169" s="1696"/>
      <c r="E169" s="1696"/>
      <c r="F169" s="1696"/>
      <c r="G169" s="1696"/>
      <c r="H169" s="1696"/>
      <c r="I169" s="1696"/>
      <c r="J169" s="1696"/>
      <c r="K169" s="1696"/>
      <c r="L169" s="1696"/>
      <c r="M169" s="1696"/>
      <c r="N169" s="1696"/>
      <c r="O169" s="1696"/>
      <c r="P169" s="1696"/>
      <c r="Q169" s="1696"/>
      <c r="R169" s="1696"/>
      <c r="S169" s="1696"/>
      <c r="T169" s="1696"/>
      <c r="U169" s="1696"/>
      <c r="V169" s="1696"/>
      <c r="W169" s="1696"/>
      <c r="X169" s="1696"/>
      <c r="Y169" s="1696"/>
      <c r="Z169" s="1696"/>
      <c r="AA169" s="1696"/>
      <c r="AB169" s="1696"/>
      <c r="AC169" s="1696"/>
      <c r="AD169" s="1696"/>
      <c r="AE169" s="1696"/>
      <c r="AF169" s="1696"/>
      <c r="AG169" s="1696"/>
      <c r="AH169" s="1696"/>
      <c r="AI169" s="1696"/>
      <c r="AJ169" s="1696"/>
      <c r="AK169" s="1696"/>
      <c r="AL169" s="1696"/>
      <c r="AM169" s="1696"/>
      <c r="AN169" s="1696"/>
      <c r="AO169" s="1696"/>
      <c r="AP169" s="1696"/>
      <c r="AQ169" s="1696"/>
      <c r="AR169" s="1696"/>
      <c r="AS169" s="1696"/>
      <c r="AT169" s="1696"/>
      <c r="AU169" s="95"/>
      <c r="AV169" s="95"/>
      <c r="AW169" s="95"/>
      <c r="AX169" s="95"/>
      <c r="AY169" s="95"/>
      <c r="BN169" s="23" t="s">
        <v>680</v>
      </c>
      <c r="BT169" t="s">
        <v>495</v>
      </c>
    </row>
    <row r="170" spans="1:72" ht="12.95" customHeight="1">
      <c r="A170" s="1696"/>
      <c r="B170" s="1696"/>
      <c r="C170" s="1696"/>
      <c r="D170" s="1696"/>
      <c r="E170" s="1696"/>
      <c r="F170" s="1696"/>
      <c r="G170" s="1696"/>
      <c r="H170" s="1696"/>
      <c r="I170" s="1696"/>
      <c r="J170" s="1696"/>
      <c r="K170" s="1696"/>
      <c r="L170" s="1696"/>
      <c r="M170" s="1696"/>
      <c r="N170" s="1696"/>
      <c r="O170" s="1696"/>
      <c r="P170" s="1696"/>
      <c r="Q170" s="1696"/>
      <c r="R170" s="1696"/>
      <c r="S170" s="1696"/>
      <c r="T170" s="1696"/>
      <c r="U170" s="1696"/>
      <c r="V170" s="1696"/>
      <c r="W170" s="1696"/>
      <c r="X170" s="1696"/>
      <c r="Y170" s="1696"/>
      <c r="Z170" s="1696"/>
      <c r="AA170" s="1696"/>
      <c r="AB170" s="1696"/>
      <c r="AC170" s="1696"/>
      <c r="AD170" s="1696"/>
      <c r="AE170" s="1696"/>
      <c r="AF170" s="1696"/>
      <c r="AG170" s="1696"/>
      <c r="AH170" s="1696"/>
      <c r="AI170" s="1696"/>
      <c r="AJ170" s="1696"/>
      <c r="AK170" s="1696"/>
      <c r="AL170" s="1696"/>
      <c r="AM170" s="1696"/>
      <c r="AN170" s="1696"/>
      <c r="AO170" s="1696"/>
      <c r="AP170" s="1696"/>
      <c r="AQ170" s="1696"/>
      <c r="AR170" s="1696"/>
      <c r="AS170" s="1696"/>
      <c r="AT170" s="1696"/>
      <c r="AU170" s="95"/>
      <c r="AV170" s="95"/>
      <c r="AW170" s="95"/>
      <c r="AX170" s="95"/>
      <c r="AY170" s="95"/>
      <c r="BN170" s="23" t="s">
        <v>681</v>
      </c>
      <c r="BT170" t="s">
        <v>496</v>
      </c>
    </row>
    <row r="171" spans="1:72" ht="12.95" customHeight="1">
      <c r="BN171" s="23" t="s">
        <v>211</v>
      </c>
      <c r="BT171" t="s">
        <v>497</v>
      </c>
    </row>
    <row r="172" spans="1:72" ht="12.95" customHeight="1">
      <c r="A172" s="2" t="s">
        <v>319</v>
      </c>
      <c r="C172" s="2" t="s">
        <v>320</v>
      </c>
      <c r="BN172" s="23" t="s">
        <v>213</v>
      </c>
      <c r="BT172" t="s">
        <v>498</v>
      </c>
    </row>
    <row r="173" spans="1:72" ht="12.95" customHeight="1">
      <c r="C173" s="24"/>
      <c r="D173" t="s">
        <v>321</v>
      </c>
      <c r="J173" s="1588" t="s">
        <v>371</v>
      </c>
      <c r="K173" s="1588"/>
      <c r="L173" s="1588"/>
      <c r="M173" s="1588"/>
      <c r="N173" s="1588"/>
      <c r="O173" s="1588"/>
      <c r="P173" s="1588"/>
      <c r="Q173" s="1588"/>
      <c r="R173" s="1588"/>
      <c r="S173" s="1588"/>
      <c r="U173" s="25"/>
      <c r="X173" s="25"/>
      <c r="BB173" s="3" t="s">
        <v>307</v>
      </c>
      <c r="BN173" s="23" t="s">
        <v>214</v>
      </c>
      <c r="BT173" t="s">
        <v>499</v>
      </c>
    </row>
    <row r="174" spans="1:72" ht="12.95" customHeight="1">
      <c r="C174" s="24"/>
      <c r="D174" s="3" t="s">
        <v>1305</v>
      </c>
      <c r="J174" s="1412" t="s">
        <v>2416</v>
      </c>
      <c r="K174" s="1412"/>
      <c r="L174" s="1412"/>
      <c r="M174" s="1412"/>
      <c r="N174" s="1412"/>
      <c r="O174" s="1412"/>
      <c r="P174" s="1412"/>
      <c r="Q174" s="1412"/>
      <c r="R174" s="1412"/>
      <c r="S174" s="1412"/>
      <c r="T174" s="1412"/>
      <c r="U174" s="1412"/>
      <c r="V174" s="1412"/>
      <c r="W174" s="1412"/>
      <c r="X174" s="1412"/>
      <c r="Y174" s="1412"/>
      <c r="Z174" s="1412"/>
      <c r="AA174" s="1412"/>
      <c r="AB174" s="1412"/>
      <c r="BB174" t="s">
        <v>2269</v>
      </c>
      <c r="BN174" s="23" t="s">
        <v>216</v>
      </c>
      <c r="BT174" t="s">
        <v>500</v>
      </c>
    </row>
    <row r="175" spans="1:72" ht="12.95" customHeight="1">
      <c r="C175" s="8"/>
      <c r="D175" s="3" t="s">
        <v>322</v>
      </c>
      <c r="O175" s="27"/>
      <c r="U175" s="1413" t="s">
        <v>552</v>
      </c>
      <c r="V175" s="1413"/>
      <c r="BB175" t="s">
        <v>2233</v>
      </c>
      <c r="BN175" s="23" t="s">
        <v>217</v>
      </c>
      <c r="BT175" t="s">
        <v>501</v>
      </c>
    </row>
    <row r="176" spans="1:72" ht="12.95" customHeight="1">
      <c r="C176" s="8"/>
      <c r="D176" s="26"/>
      <c r="E176" t="s">
        <v>304</v>
      </c>
      <c r="O176" s="27"/>
      <c r="P176" t="s">
        <v>2391</v>
      </c>
      <c r="T176" s="27" t="s">
        <v>305</v>
      </c>
      <c r="U176" s="1543">
        <v>24</v>
      </c>
      <c r="V176" s="1543"/>
      <c r="W176" s="1" t="s">
        <v>306</v>
      </c>
      <c r="X176" s="1578">
        <v>410</v>
      </c>
      <c r="Y176" s="1578"/>
      <c r="BB176" t="s">
        <v>2270</v>
      </c>
      <c r="BN176" s="23" t="s">
        <v>219</v>
      </c>
      <c r="BT176" t="s">
        <v>502</v>
      </c>
    </row>
    <row r="177" spans="1:72" ht="12.95" customHeight="1">
      <c r="C177" s="24"/>
      <c r="D177" t="s">
        <v>249</v>
      </c>
      <c r="R177" s="1413" t="s">
        <v>676</v>
      </c>
      <c r="S177" s="1413"/>
      <c r="BB177" t="s">
        <v>2573</v>
      </c>
      <c r="BN177" s="23" t="s">
        <v>220</v>
      </c>
      <c r="BT177" t="s">
        <v>503</v>
      </c>
    </row>
    <row r="178" spans="1:72" ht="12.95" customHeight="1">
      <c r="C178" s="24"/>
      <c r="D178" s="3" t="s">
        <v>1306</v>
      </c>
      <c r="AA178" t="s">
        <v>2391</v>
      </c>
      <c r="AE178" s="27" t="s">
        <v>305</v>
      </c>
      <c r="AF178" s="1767" t="s">
        <v>598</v>
      </c>
      <c r="AG178" s="1767"/>
      <c r="AH178" s="1" t="s">
        <v>306</v>
      </c>
      <c r="AI178" s="1563" t="s">
        <v>598</v>
      </c>
      <c r="AJ178" s="1563"/>
      <c r="AK178" s="1563"/>
      <c r="BB178" t="s">
        <v>2574</v>
      </c>
      <c r="BN178" s="23" t="s">
        <v>221</v>
      </c>
      <c r="BT178" t="s">
        <v>53</v>
      </c>
    </row>
    <row r="179" spans="1:72" ht="12.95" customHeight="1">
      <c r="C179" s="24"/>
      <c r="BN179" s="23" t="s">
        <v>222</v>
      </c>
      <c r="BT179" t="s">
        <v>54</v>
      </c>
    </row>
    <row r="180" spans="1:72" ht="12.95" customHeight="1">
      <c r="C180" s="24"/>
      <c r="D180" t="s">
        <v>2392</v>
      </c>
      <c r="X180" s="1413" t="s">
        <v>676</v>
      </c>
      <c r="Y180" s="1413"/>
      <c r="BN180" s="23" t="s">
        <v>224</v>
      </c>
      <c r="BT180" t="s">
        <v>55</v>
      </c>
    </row>
    <row r="181" spans="1:72" ht="12.95" customHeight="1">
      <c r="C181" s="8"/>
      <c r="E181" s="4" t="s">
        <v>992</v>
      </c>
      <c r="BN181" s="23" t="s">
        <v>225</v>
      </c>
      <c r="BT181" t="s">
        <v>56</v>
      </c>
    </row>
    <row r="182" spans="1:72" ht="12.95" customHeight="1">
      <c r="C182" s="564"/>
      <c r="BN182" s="23" t="s">
        <v>226</v>
      </c>
      <c r="BT182" t="s">
        <v>60</v>
      </c>
    </row>
    <row r="183" spans="1:72" ht="12.95" customHeight="1">
      <c r="A183" s="2" t="s">
        <v>583</v>
      </c>
      <c r="C183" s="2" t="s">
        <v>584</v>
      </c>
      <c r="BN183" s="23" t="s">
        <v>228</v>
      </c>
      <c r="BT183" t="s">
        <v>61</v>
      </c>
    </row>
    <row r="184" spans="1:72" ht="12.95" customHeight="1">
      <c r="C184" s="21"/>
      <c r="D184" t="s">
        <v>585</v>
      </c>
      <c r="I184" s="1418" t="str">
        <f>H18</f>
        <v>North Fair Oaks Apartments</v>
      </c>
      <c r="J184" s="1418"/>
      <c r="K184" s="1418"/>
      <c r="L184" s="1418"/>
      <c r="M184" s="1418"/>
      <c r="N184" s="1418"/>
      <c r="O184" s="1418"/>
      <c r="P184" s="1418"/>
      <c r="Q184" s="1418"/>
      <c r="R184" s="1418"/>
      <c r="S184" s="1418"/>
      <c r="T184" s="1418"/>
      <c r="U184" s="1418"/>
      <c r="V184" s="1418"/>
      <c r="W184" s="1418"/>
      <c r="X184" s="1418"/>
      <c r="Y184" s="1418"/>
      <c r="Z184" s="1418"/>
      <c r="AA184" s="1418"/>
      <c r="AB184" s="1418"/>
      <c r="AC184" s="1418"/>
      <c r="AD184" s="1418"/>
      <c r="AE184" s="1418"/>
      <c r="BC184" t="s">
        <v>594</v>
      </c>
      <c r="BN184" s="23" t="s">
        <v>230</v>
      </c>
      <c r="BT184" t="s">
        <v>62</v>
      </c>
    </row>
    <row r="185" spans="1:72" ht="12.95" customHeight="1">
      <c r="C185" s="21"/>
      <c r="D185" t="s">
        <v>586</v>
      </c>
      <c r="I185" s="1479" t="s">
        <v>2647</v>
      </c>
      <c r="J185" s="1479"/>
      <c r="K185" s="1479"/>
      <c r="L185" s="1479"/>
      <c r="M185" s="1479"/>
      <c r="N185" s="1479"/>
      <c r="O185" s="1479"/>
      <c r="P185" s="1479"/>
      <c r="Q185" s="1479"/>
      <c r="R185" s="1479"/>
      <c r="S185" s="1479"/>
      <c r="T185" s="1479"/>
      <c r="U185" s="1479"/>
      <c r="V185" s="1479"/>
      <c r="W185" s="1479"/>
      <c r="X185" s="1479"/>
      <c r="Y185" s="1479"/>
      <c r="Z185" s="1479"/>
      <c r="AA185" s="1479"/>
      <c r="AB185" s="1479"/>
      <c r="AC185" s="1479"/>
      <c r="AD185" s="1479"/>
      <c r="AE185" s="1479"/>
      <c r="BC185" t="s">
        <v>595</v>
      </c>
      <c r="BN185" s="23" t="s">
        <v>231</v>
      </c>
      <c r="BT185" t="s">
        <v>63</v>
      </c>
    </row>
    <row r="186" spans="1:72" ht="12.95" customHeight="1">
      <c r="C186" s="21"/>
      <c r="E186" t="s">
        <v>167</v>
      </c>
      <c r="BN186" s="23" t="s">
        <v>232</v>
      </c>
      <c r="BT186" t="s">
        <v>64</v>
      </c>
    </row>
    <row r="187" spans="1:72" ht="12.95" customHeight="1">
      <c r="C187" s="21"/>
      <c r="E187" s="1521"/>
      <c r="F187" s="1521"/>
      <c r="G187" s="1521"/>
      <c r="H187" s="1521"/>
      <c r="I187" s="1521"/>
      <c r="J187" s="1521"/>
      <c r="K187" s="1521"/>
      <c r="L187" s="1521"/>
      <c r="M187" s="1521"/>
      <c r="N187" s="1521"/>
      <c r="O187" s="1521"/>
      <c r="P187" s="1521"/>
      <c r="Q187" s="1521"/>
      <c r="R187" s="1521"/>
      <c r="S187" s="1521"/>
      <c r="T187" s="1521"/>
      <c r="U187" s="1521"/>
      <c r="V187" s="1521"/>
      <c r="W187" s="1521"/>
      <c r="X187" s="1521"/>
      <c r="Y187" s="1521"/>
      <c r="Z187" s="1521"/>
      <c r="AA187" s="1521"/>
      <c r="AB187" s="1521"/>
      <c r="AC187" s="1521"/>
      <c r="AD187" s="1521"/>
      <c r="AE187" s="1521"/>
      <c r="BN187" s="23" t="s">
        <v>233</v>
      </c>
      <c r="BT187" t="s">
        <v>65</v>
      </c>
    </row>
    <row r="188" spans="1:72" ht="12.95" customHeight="1">
      <c r="C188" s="21"/>
      <c r="E188" s="1424"/>
      <c r="F188" s="1424"/>
      <c r="G188" s="1424"/>
      <c r="H188" s="1424"/>
      <c r="I188" s="1424"/>
      <c r="J188" s="1424"/>
      <c r="K188" s="1424"/>
      <c r="L188" s="1424"/>
      <c r="M188" s="1424"/>
      <c r="N188" s="1424"/>
      <c r="O188" s="1424"/>
      <c r="P188" s="1424"/>
      <c r="Q188" s="1424"/>
      <c r="R188" s="1424"/>
      <c r="S188" s="1424"/>
      <c r="T188" s="1424"/>
      <c r="U188" s="1424"/>
      <c r="V188" s="1424"/>
      <c r="W188" s="1424"/>
      <c r="X188" s="1424"/>
      <c r="Y188" s="1424"/>
      <c r="Z188" s="1424"/>
      <c r="AA188" s="1424"/>
      <c r="AB188" s="1424"/>
      <c r="AC188" s="1424"/>
      <c r="AD188" s="1424"/>
      <c r="AE188" s="1424"/>
      <c r="BN188" s="23" t="s">
        <v>235</v>
      </c>
      <c r="BT188" t="s">
        <v>66</v>
      </c>
    </row>
    <row r="189" spans="1:72" ht="12.95" customHeight="1">
      <c r="C189" s="21"/>
      <c r="D189" t="s">
        <v>587</v>
      </c>
      <c r="I189" s="1417" t="s">
        <v>2785</v>
      </c>
      <c r="J189" s="1412"/>
      <c r="K189" s="1412"/>
      <c r="L189" s="1412"/>
      <c r="M189" s="1412"/>
      <c r="N189" s="1412"/>
      <c r="O189" s="1412"/>
      <c r="P189" s="1412"/>
      <c r="Q189" t="s">
        <v>589</v>
      </c>
      <c r="T189" s="1412" t="s">
        <v>70</v>
      </c>
      <c r="U189" s="1412"/>
      <c r="V189" s="1412"/>
      <c r="W189" s="1412"/>
      <c r="X189" s="1412"/>
      <c r="Y189" s="1412"/>
      <c r="Z189" s="1412"/>
      <c r="AA189" s="1412"/>
      <c r="AB189" s="1412"/>
      <c r="AC189" s="1412"/>
      <c r="AD189" s="1412"/>
      <c r="AE189" s="1412"/>
      <c r="BC189" t="s">
        <v>307</v>
      </c>
      <c r="BH189" s="3" t="s">
        <v>598</v>
      </c>
      <c r="BN189" s="23" t="s">
        <v>236</v>
      </c>
      <c r="BT189" t="s">
        <v>67</v>
      </c>
    </row>
    <row r="190" spans="1:72" ht="12.95" customHeight="1">
      <c r="C190" s="21"/>
      <c r="D190" t="s">
        <v>590</v>
      </c>
      <c r="I190" s="1479">
        <v>94063</v>
      </c>
      <c r="J190" s="1479"/>
      <c r="K190" s="1479"/>
      <c r="L190" s="1479"/>
      <c r="M190" s="1479"/>
      <c r="N190" s="1479"/>
      <c r="O190" t="s">
        <v>592</v>
      </c>
      <c r="T190" s="1585">
        <v>6105</v>
      </c>
      <c r="U190" s="1585"/>
      <c r="V190" s="1585"/>
      <c r="W190" s="1585"/>
      <c r="X190" s="1585"/>
      <c r="Y190" s="1585"/>
      <c r="Z190" s="1585"/>
      <c r="AA190" s="1585"/>
      <c r="AB190" s="1585"/>
      <c r="AC190" s="1585"/>
      <c r="AD190" s="1585"/>
      <c r="AE190" s="1585"/>
      <c r="BC190" t="s">
        <v>1062</v>
      </c>
      <c r="BH190" t="s">
        <v>1062</v>
      </c>
      <c r="BN190" s="23" t="s">
        <v>642</v>
      </c>
      <c r="BT190" t="s">
        <v>68</v>
      </c>
    </row>
    <row r="191" spans="1:72" ht="12.95" customHeight="1">
      <c r="C191" s="21"/>
      <c r="D191" t="s">
        <v>469</v>
      </c>
      <c r="N191" s="1521" t="s">
        <v>2648</v>
      </c>
      <c r="O191" s="1521"/>
      <c r="P191" s="1521"/>
      <c r="Q191" s="1521"/>
      <c r="R191" s="1521"/>
      <c r="S191" s="1521"/>
      <c r="T191" s="1521"/>
      <c r="U191" s="1521"/>
      <c r="V191" s="1521"/>
      <c r="W191" s="1521"/>
      <c r="X191" s="1521"/>
      <c r="Y191" s="1521"/>
      <c r="Z191" s="1521"/>
      <c r="AA191" s="1521"/>
      <c r="AB191" s="1521"/>
      <c r="AC191" s="1521"/>
      <c r="AD191" s="1521"/>
      <c r="AE191" s="1521"/>
      <c r="BC191" t="s">
        <v>1061</v>
      </c>
      <c r="BH191" t="s">
        <v>1061</v>
      </c>
      <c r="BN191" s="23" t="s">
        <v>696</v>
      </c>
      <c r="BT191" t="s">
        <v>735</v>
      </c>
    </row>
    <row r="192" spans="1:72" ht="12.95" customHeight="1">
      <c r="C192" s="21"/>
      <c r="M192" s="40"/>
      <c r="N192" s="1424"/>
      <c r="O192" s="1424"/>
      <c r="P192" s="1424"/>
      <c r="Q192" s="1424"/>
      <c r="R192" s="1424"/>
      <c r="S192" s="1424"/>
      <c r="T192" s="1424"/>
      <c r="U192" s="1424"/>
      <c r="V192" s="1424"/>
      <c r="W192" s="1424"/>
      <c r="X192" s="1424"/>
      <c r="Y192" s="1424"/>
      <c r="Z192" s="1424"/>
      <c r="AA192" s="1424"/>
      <c r="AB192" s="1424"/>
      <c r="AC192" s="1424"/>
      <c r="AD192" s="1424"/>
      <c r="AE192" s="1424"/>
      <c r="BC192" t="s">
        <v>1064</v>
      </c>
      <c r="BH192" s="3" t="s">
        <v>1470</v>
      </c>
      <c r="BN192" s="23" t="s">
        <v>697</v>
      </c>
      <c r="BT192" t="s">
        <v>736</v>
      </c>
    </row>
    <row r="193" spans="1:74" ht="12.95" customHeight="1">
      <c r="C193" s="21"/>
      <c r="D193" t="s">
        <v>2393</v>
      </c>
      <c r="M193" s="40"/>
      <c r="N193" s="928"/>
      <c r="O193" s="928"/>
      <c r="P193" s="928"/>
      <c r="Q193" s="928"/>
      <c r="R193" s="928"/>
      <c r="S193" s="928"/>
      <c r="T193" s="1598" t="s">
        <v>2573</v>
      </c>
      <c r="U193" s="1598"/>
      <c r="V193" s="1598"/>
      <c r="W193" s="1598"/>
      <c r="X193" s="1598"/>
      <c r="Y193" s="1598"/>
      <c r="Z193" s="1598"/>
      <c r="AA193" s="1598"/>
      <c r="AB193" s="1598"/>
      <c r="AC193" s="1598"/>
      <c r="AD193" s="1598"/>
      <c r="AE193" s="1598"/>
      <c r="AF193" s="1598"/>
      <c r="AG193" s="1598"/>
      <c r="AH193" s="1598"/>
      <c r="AI193" s="1598"/>
      <c r="BC193" t="s">
        <v>1063</v>
      </c>
      <c r="BH193" s="3" t="s">
        <v>1737</v>
      </c>
      <c r="BN193" s="23" t="s">
        <v>698</v>
      </c>
      <c r="BT193" t="s">
        <v>737</v>
      </c>
    </row>
    <row r="194" spans="1:74" ht="12.95" customHeight="1">
      <c r="C194" s="21"/>
      <c r="D194" s="3" t="s">
        <v>2575</v>
      </c>
      <c r="M194" s="40"/>
      <c r="N194" s="928"/>
      <c r="O194" s="928"/>
      <c r="P194" s="928"/>
      <c r="Q194" s="928"/>
      <c r="R194" s="928"/>
      <c r="S194" s="928"/>
      <c r="AH194" s="1413" t="s">
        <v>676</v>
      </c>
      <c r="AI194" s="1413"/>
      <c r="BC194" t="s">
        <v>1470</v>
      </c>
      <c r="BN194" s="23" t="s">
        <v>699</v>
      </c>
      <c r="BT194" t="s">
        <v>738</v>
      </c>
    </row>
    <row r="195" spans="1:74" ht="12.95" customHeight="1">
      <c r="C195" s="21"/>
      <c r="D195" t="s">
        <v>331</v>
      </c>
      <c r="T195" s="1413" t="s">
        <v>676</v>
      </c>
      <c r="U195" s="1413"/>
      <c r="W195" t="s">
        <v>692</v>
      </c>
      <c r="AH195" s="1413">
        <v>15</v>
      </c>
      <c r="AI195" s="1413"/>
      <c r="BC195" t="s">
        <v>2043</v>
      </c>
      <c r="BN195" s="23" t="s">
        <v>242</v>
      </c>
      <c r="BT195" t="s">
        <v>739</v>
      </c>
    </row>
    <row r="196" spans="1:74" ht="12.95" customHeight="1">
      <c r="C196" s="21"/>
      <c r="D196" t="s">
        <v>386</v>
      </c>
      <c r="T196" s="1426" t="s">
        <v>552</v>
      </c>
      <c r="U196" s="1426"/>
      <c r="W196" t="s">
        <v>693</v>
      </c>
      <c r="AH196" s="1413">
        <v>21</v>
      </c>
      <c r="AI196" s="1413"/>
      <c r="BN196" s="23" t="s">
        <v>243</v>
      </c>
      <c r="BT196" t="s">
        <v>69</v>
      </c>
    </row>
    <row r="197" spans="1:74" ht="12.95" customHeight="1">
      <c r="C197" s="21"/>
      <c r="D197" s="3" t="s">
        <v>168</v>
      </c>
      <c r="T197" s="1426" t="s">
        <v>676</v>
      </c>
      <c r="U197" s="1426"/>
      <c r="W197" t="s">
        <v>694</v>
      </c>
      <c r="AH197" s="1413">
        <v>13</v>
      </c>
      <c r="AI197" s="1413"/>
      <c r="BC197" t="s">
        <v>307</v>
      </c>
      <c r="BN197" s="23" t="s">
        <v>244</v>
      </c>
      <c r="BT197" t="s">
        <v>70</v>
      </c>
    </row>
    <row r="198" spans="1:74" s="14" customFormat="1" ht="12.95" customHeight="1">
      <c r="A198"/>
      <c r="B198"/>
      <c r="C198" s="21"/>
      <c r="D198" s="3" t="s">
        <v>1760</v>
      </c>
      <c r="E198"/>
      <c r="F198"/>
      <c r="G198"/>
      <c r="H198"/>
      <c r="I198"/>
      <c r="J198"/>
      <c r="K198"/>
      <c r="L198"/>
      <c r="M198"/>
      <c r="N198"/>
      <c r="O198"/>
      <c r="P198"/>
      <c r="Q198"/>
      <c r="R198"/>
      <c r="S198"/>
      <c r="T198" s="1426">
        <v>0</v>
      </c>
      <c r="U198" s="1426"/>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886</v>
      </c>
      <c r="BD198"/>
      <c r="BN198" s="23" t="s">
        <v>705</v>
      </c>
      <c r="BO198"/>
      <c r="BP198"/>
      <c r="BQ198"/>
      <c r="BR198"/>
      <c r="BS198"/>
      <c r="BT198" t="s">
        <v>191</v>
      </c>
      <c r="BU198"/>
      <c r="BV198" s="31"/>
    </row>
    <row r="199" spans="1:74" s="14" customFormat="1" ht="12.95" customHeight="1">
      <c r="A199"/>
      <c r="B199"/>
      <c r="C199" s="21"/>
      <c r="D199" s="118" t="s">
        <v>2525</v>
      </c>
      <c r="E199"/>
      <c r="F199"/>
      <c r="G199"/>
      <c r="H199"/>
      <c r="I199"/>
      <c r="J199"/>
      <c r="K199"/>
      <c r="L199"/>
      <c r="M199"/>
      <c r="N199"/>
      <c r="O199"/>
      <c r="P199"/>
      <c r="Q199"/>
      <c r="R199"/>
      <c r="S199"/>
      <c r="T199"/>
      <c r="U199"/>
      <c r="V199"/>
      <c r="W199"/>
      <c r="Z199" s="1413" t="s">
        <v>676</v>
      </c>
      <c r="AA199" s="1413"/>
      <c r="AC199"/>
      <c r="AD199"/>
      <c r="AE199"/>
      <c r="AF199"/>
      <c r="AG199"/>
      <c r="AJ199"/>
      <c r="AK199"/>
      <c r="AL199"/>
      <c r="AM199"/>
      <c r="AN199"/>
      <c r="AO199"/>
      <c r="AP199"/>
      <c r="AQ199"/>
      <c r="AR199"/>
      <c r="AS199"/>
      <c r="AT199"/>
      <c r="AU199"/>
      <c r="AV199"/>
      <c r="AW199"/>
      <c r="AX199"/>
      <c r="AY199"/>
      <c r="AZ199" s="30"/>
      <c r="BA199" s="30"/>
      <c r="BC199" s="3" t="s">
        <v>885</v>
      </c>
      <c r="BD199"/>
      <c r="BN199" s="23" t="s">
        <v>706</v>
      </c>
      <c r="BO199"/>
      <c r="BP199"/>
      <c r="BQ199"/>
      <c r="BR199"/>
      <c r="BS199"/>
      <c r="BT199" s="32" t="s">
        <v>192</v>
      </c>
      <c r="BU199"/>
      <c r="BV199" s="31"/>
    </row>
    <row r="200" spans="1:74" s="14" customFormat="1" ht="12.95" customHeight="1">
      <c r="A200"/>
      <c r="B200"/>
      <c r="C200" s="21"/>
      <c r="D200" t="s">
        <v>691</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1087</v>
      </c>
      <c r="BD200" s="469"/>
      <c r="BN200" s="23" t="s">
        <v>707</v>
      </c>
      <c r="BO200"/>
      <c r="BP200"/>
      <c r="BQ200"/>
      <c r="BR200"/>
      <c r="BS200"/>
      <c r="BT200" s="32" t="s">
        <v>193</v>
      </c>
      <c r="BU200"/>
    </row>
    <row r="201" spans="1:74" s="14" customFormat="1" ht="12.95" customHeight="1">
      <c r="A201"/>
      <c r="B201"/>
      <c r="C201" s="21"/>
      <c r="D201" s="221" t="s">
        <v>935</v>
      </c>
      <c r="E201"/>
      <c r="F201"/>
      <c r="G201"/>
      <c r="H201"/>
      <c r="I201"/>
      <c r="J201"/>
      <c r="K201"/>
      <c r="L201"/>
      <c r="M201"/>
      <c r="N201"/>
      <c r="O201"/>
      <c r="P201"/>
      <c r="Q201"/>
      <c r="R201"/>
      <c r="S201"/>
      <c r="T201" s="1"/>
      <c r="U201" s="1"/>
      <c r="V201"/>
      <c r="W201" s="221" t="s">
        <v>934</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618</v>
      </c>
      <c r="BD201" s="469"/>
      <c r="BN201" s="23" t="s">
        <v>708</v>
      </c>
      <c r="BO201" s="31"/>
      <c r="BP201" s="32"/>
      <c r="BQ201" s="32"/>
      <c r="BR201" s="32"/>
      <c r="BS201" s="32"/>
      <c r="BT201" s="32" t="s">
        <v>194</v>
      </c>
      <c r="BU201"/>
    </row>
    <row r="202" spans="1:74" ht="12.95" customHeight="1">
      <c r="C202" s="21"/>
      <c r="D202" s="546"/>
      <c r="BC202" t="s">
        <v>1088</v>
      </c>
      <c r="BD202" s="469"/>
      <c r="BN202" s="23" t="s">
        <v>709</v>
      </c>
      <c r="BO202" s="14"/>
      <c r="BP202" s="32"/>
      <c r="BQ202" s="32"/>
      <c r="BR202" s="32"/>
      <c r="BS202" s="32"/>
      <c r="BT202" s="32" t="s">
        <v>195</v>
      </c>
    </row>
    <row r="203" spans="1:74" ht="12.95" customHeight="1">
      <c r="A203" s="2" t="s">
        <v>593</v>
      </c>
      <c r="C203" s="2" t="s">
        <v>136</v>
      </c>
      <c r="BC203" t="s">
        <v>1089</v>
      </c>
      <c r="BN203" s="23" t="s">
        <v>710</v>
      </c>
      <c r="BO203" s="14"/>
      <c r="BP203" s="32"/>
      <c r="BQ203" s="32"/>
      <c r="BR203" s="32"/>
      <c r="BS203" s="32"/>
      <c r="BT203" s="32" t="s">
        <v>196</v>
      </c>
    </row>
    <row r="204" spans="1:74" ht="12.95" customHeight="1">
      <c r="D204" s="1418" t="s">
        <v>385</v>
      </c>
      <c r="E204" s="1418"/>
      <c r="F204" s="1418"/>
      <c r="G204" s="1418"/>
      <c r="H204" s="1418"/>
      <c r="I204" s="1418"/>
      <c r="J204" s="1418"/>
      <c r="K204" s="1418"/>
      <c r="L204" s="1418"/>
      <c r="M204" s="1418"/>
      <c r="P204" s="1583">
        <f>M26</f>
        <v>2997138.8</v>
      </c>
      <c r="Q204" s="1584"/>
      <c r="R204" s="1584"/>
      <c r="S204" s="1584"/>
      <c r="T204" s="1584"/>
      <c r="U204" s="1584"/>
      <c r="BC204" t="s">
        <v>617</v>
      </c>
      <c r="BN204" s="23" t="s">
        <v>711</v>
      </c>
      <c r="BT204" s="32" t="s">
        <v>197</v>
      </c>
      <c r="BU204" s="14"/>
    </row>
    <row r="205" spans="1:74" ht="12.95" customHeight="1">
      <c r="C205" s="21"/>
      <c r="D205" s="1595" t="s">
        <v>1352</v>
      </c>
      <c r="E205" s="1418"/>
      <c r="F205" s="1418"/>
      <c r="G205" s="1418"/>
      <c r="H205" s="1418"/>
      <c r="I205" s="1418"/>
      <c r="J205" s="1418"/>
      <c r="K205" s="1418"/>
      <c r="L205" s="1418"/>
      <c r="M205" s="1418"/>
      <c r="P205" s="1584">
        <f>M27</f>
        <v>0</v>
      </c>
      <c r="Q205" s="1584"/>
      <c r="R205" s="1584"/>
      <c r="S205" s="1584"/>
      <c r="T205" s="1584"/>
      <c r="U205" s="1584"/>
      <c r="V205" s="28"/>
      <c r="W205" s="3" t="s">
        <v>1905</v>
      </c>
      <c r="Z205" s="1587" t="s">
        <v>1287</v>
      </c>
      <c r="AA205" s="1587"/>
      <c r="AB205" s="1587"/>
      <c r="AC205" s="1587"/>
      <c r="AD205" s="1587"/>
      <c r="AE205" s="1587"/>
      <c r="AF205" s="1587"/>
      <c r="AG205" s="1587"/>
      <c r="AH205" s="1587"/>
      <c r="AI205" s="1587"/>
      <c r="AJ205" s="1587"/>
      <c r="AK205" s="1587"/>
      <c r="AL205" s="1587"/>
      <c r="AM205" s="1587"/>
      <c r="AN205" s="1587"/>
      <c r="AP205" s="1306"/>
      <c r="AQ205" s="1306"/>
      <c r="BC205" t="s">
        <v>1047</v>
      </c>
      <c r="BN205" s="23" t="s">
        <v>109</v>
      </c>
      <c r="BT205" s="32" t="s">
        <v>173</v>
      </c>
      <c r="BU205" s="14"/>
    </row>
    <row r="206" spans="1:74" ht="12.95" customHeight="1">
      <c r="D206" s="29"/>
      <c r="E206" s="29"/>
      <c r="F206" s="29"/>
      <c r="G206" s="29"/>
      <c r="H206" s="29"/>
      <c r="I206" s="29"/>
      <c r="J206" s="29"/>
      <c r="K206" s="29"/>
      <c r="L206" s="29"/>
      <c r="M206" s="29"/>
      <c r="N206" s="29"/>
      <c r="O206" s="29"/>
      <c r="P206" s="29"/>
      <c r="BC206" s="470" t="s">
        <v>1090</v>
      </c>
      <c r="BN206" s="23" t="s">
        <v>110</v>
      </c>
      <c r="BT206" s="32" t="s">
        <v>198</v>
      </c>
      <c r="BU206" s="14"/>
    </row>
    <row r="207" spans="1:74" ht="12.95" customHeight="1">
      <c r="A207" s="2" t="s">
        <v>596</v>
      </c>
      <c r="C207" s="2" t="s">
        <v>558</v>
      </c>
      <c r="BC207" s="3" t="s">
        <v>2565</v>
      </c>
      <c r="BN207" s="23" t="s">
        <v>45</v>
      </c>
      <c r="BT207" s="32" t="s">
        <v>199</v>
      </c>
    </row>
    <row r="208" spans="1:74" ht="12.95" customHeight="1">
      <c r="C208" s="21"/>
      <c r="D208" s="1501" t="s">
        <v>2649</v>
      </c>
      <c r="E208" s="1501"/>
      <c r="F208" s="1501"/>
      <c r="G208" s="1501"/>
      <c r="H208" s="1501"/>
      <c r="I208" s="1501"/>
      <c r="J208" s="1501"/>
      <c r="K208" s="1501"/>
      <c r="L208" s="1501"/>
      <c r="M208" s="1501"/>
      <c r="BC208" t="s">
        <v>1091</v>
      </c>
      <c r="BN208" s="23" t="s">
        <v>46</v>
      </c>
      <c r="BT208" s="32" t="s">
        <v>200</v>
      </c>
    </row>
    <row r="209" spans="1:72" ht="12.95" customHeight="1">
      <c r="BC209" t="s">
        <v>666</v>
      </c>
      <c r="BN209" s="23" t="s">
        <v>47</v>
      </c>
      <c r="BT209" s="32" t="s">
        <v>201</v>
      </c>
    </row>
    <row r="210" spans="1:72" ht="12.95" customHeight="1">
      <c r="A210" s="2" t="s">
        <v>597</v>
      </c>
      <c r="C210" s="2" t="s">
        <v>388</v>
      </c>
      <c r="BN210" s="23" t="s">
        <v>48</v>
      </c>
      <c r="BT210" s="32" t="s">
        <v>202</v>
      </c>
    </row>
    <row r="211" spans="1:72" ht="12.95" customHeight="1">
      <c r="C211" s="21"/>
      <c r="D211" s="1501" t="s">
        <v>1064</v>
      </c>
      <c r="E211" s="1501"/>
      <c r="F211" s="1501"/>
      <c r="G211" s="1501"/>
      <c r="H211" s="1501"/>
      <c r="I211" s="1501"/>
      <c r="J211" s="1501"/>
      <c r="K211" s="1501"/>
      <c r="L211" s="1501"/>
      <c r="M211" s="1501"/>
      <c r="BN211" s="23" t="s">
        <v>129</v>
      </c>
      <c r="BT211" s="32" t="s">
        <v>130</v>
      </c>
    </row>
    <row r="212" spans="1:72" ht="12.95" customHeight="1">
      <c r="C212" s="21"/>
      <c r="D212" t="s">
        <v>1349</v>
      </c>
      <c r="Y212" s="1413">
        <v>39</v>
      </c>
      <c r="Z212" s="1413"/>
      <c r="AB212" s="1596">
        <f>IFERROR(Y212/AG440,"")</f>
        <v>0.45882352941176469</v>
      </c>
      <c r="AC212" s="1597"/>
      <c r="BC212" t="s">
        <v>307</v>
      </c>
      <c r="BI212" t="s">
        <v>1287</v>
      </c>
      <c r="BN212" s="23" t="s">
        <v>49</v>
      </c>
      <c r="BT212" s="32" t="s">
        <v>203</v>
      </c>
    </row>
    <row r="213" spans="1:72" ht="12.95" customHeight="1">
      <c r="D213" s="1189" t="s">
        <v>1736</v>
      </c>
      <c r="BC213" t="s">
        <v>533</v>
      </c>
      <c r="BI213" t="s">
        <v>2623</v>
      </c>
      <c r="BN213" s="23" t="s">
        <v>50</v>
      </c>
      <c r="BT213" s="32" t="s">
        <v>204</v>
      </c>
    </row>
    <row r="214" spans="1:72" ht="12.95" customHeight="1">
      <c r="D214" s="1580" t="s">
        <v>1737</v>
      </c>
      <c r="E214" s="1580"/>
      <c r="F214" s="1580"/>
      <c r="G214" s="1580"/>
      <c r="H214" s="1580"/>
      <c r="I214" s="1580"/>
      <c r="J214" s="1580"/>
      <c r="K214" s="1580"/>
      <c r="L214" s="1580"/>
      <c r="M214" s="1580"/>
      <c r="N214" s="1580"/>
      <c r="O214" s="1580"/>
      <c r="P214" s="1580"/>
      <c r="Q214" s="1580"/>
      <c r="R214" s="1580"/>
      <c r="S214" s="1580"/>
      <c r="T214" s="1580"/>
      <c r="U214" s="1580"/>
      <c r="V214" s="1580"/>
      <c r="W214" s="1580"/>
      <c r="X214" s="1580"/>
      <c r="Y214" s="1580"/>
      <c r="Z214" s="1580"/>
      <c r="AU214" s="21"/>
      <c r="AV214" s="21"/>
      <c r="AW214" s="21"/>
      <c r="AX214" s="21"/>
      <c r="AY214" s="21"/>
      <c r="BC214" t="s">
        <v>537</v>
      </c>
      <c r="BI214" t="s">
        <v>2629</v>
      </c>
      <c r="BN214" s="23" t="s">
        <v>326</v>
      </c>
      <c r="BT214" s="32" t="s">
        <v>205</v>
      </c>
    </row>
    <row r="215" spans="1:72" ht="12.95" customHeight="1">
      <c r="D215" s="3" t="s">
        <v>1761</v>
      </c>
      <c r="Z215" s="40"/>
      <c r="AB215" s="1523"/>
      <c r="AC215" s="1523"/>
      <c r="AD215" s="1523"/>
      <c r="AE215" s="1523"/>
      <c r="AF215" s="1523"/>
      <c r="AG215" s="1523"/>
      <c r="AH215" s="1523"/>
      <c r="AI215" s="1523"/>
      <c r="AJ215" s="1523"/>
      <c r="AK215" s="1523"/>
      <c r="AL215" s="1523"/>
      <c r="AM215" s="21"/>
      <c r="AN215" s="21"/>
      <c r="AO215" s="21"/>
      <c r="AP215" s="21"/>
      <c r="AQ215" s="21"/>
      <c r="AR215" s="21"/>
      <c r="AS215" s="21"/>
      <c r="AT215" s="21"/>
      <c r="AU215" s="21"/>
      <c r="AV215" s="21"/>
      <c r="AW215" s="21"/>
      <c r="AX215" s="21"/>
      <c r="AY215" s="21"/>
      <c r="BC215" t="s">
        <v>534</v>
      </c>
      <c r="BI215" s="3" t="s">
        <v>2635</v>
      </c>
    </row>
    <row r="216" spans="1:72" ht="12.95" customHeight="1">
      <c r="D216" s="3" t="s">
        <v>1759</v>
      </c>
      <c r="Z216" s="40"/>
      <c r="AB216" s="1523"/>
      <c r="AC216" s="1523"/>
      <c r="AD216" s="1523"/>
      <c r="AE216" s="1523"/>
      <c r="AF216" s="1523"/>
      <c r="AG216" s="1523"/>
      <c r="AH216" s="1523"/>
      <c r="AI216" s="1523"/>
      <c r="AJ216" s="1523"/>
      <c r="AK216" s="1523"/>
      <c r="AL216" s="1523"/>
      <c r="AM216" s="21"/>
      <c r="AN216" s="21"/>
      <c r="AO216" s="21"/>
      <c r="AP216" s="21"/>
      <c r="AQ216" s="21"/>
      <c r="AR216" s="21"/>
      <c r="AS216" s="21"/>
      <c r="AT216" s="21"/>
      <c r="AU216" s="21"/>
      <c r="AV216" s="21"/>
      <c r="AW216" s="21"/>
      <c r="AX216" s="21"/>
      <c r="AY216" s="21"/>
      <c r="BC216" t="s">
        <v>573</v>
      </c>
      <c r="BI216" s="3" t="s">
        <v>2624</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535</v>
      </c>
      <c r="BI217" s="3" t="s">
        <v>2625</v>
      </c>
    </row>
    <row r="218" spans="1:72" ht="12.95" customHeight="1">
      <c r="A218" s="2" t="s">
        <v>599</v>
      </c>
      <c r="C218" s="2" t="s">
        <v>1325</v>
      </c>
      <c r="D218" s="28"/>
      <c r="BC218" t="s">
        <v>536</v>
      </c>
    </row>
    <row r="219" spans="1:72" ht="12.95" customHeight="1">
      <c r="A219" s="2"/>
      <c r="C219" s="2"/>
      <c r="D219" s="4" t="s">
        <v>1005</v>
      </c>
      <c r="AZ219" s="3"/>
      <c r="BA219" s="3"/>
      <c r="BC219" t="s">
        <v>377</v>
      </c>
    </row>
    <row r="220" spans="1:72" ht="12.95" customHeight="1">
      <c r="A220" s="2"/>
      <c r="C220" s="2"/>
      <c r="D220" s="1501" t="s">
        <v>1047</v>
      </c>
      <c r="E220" s="1501"/>
      <c r="F220" s="1501"/>
      <c r="G220" s="1501"/>
      <c r="H220" s="1501"/>
      <c r="I220" s="1501"/>
      <c r="J220" s="1501"/>
      <c r="K220" s="1501"/>
      <c r="L220" s="1501"/>
      <c r="M220" s="1501"/>
      <c r="N220" s="1501"/>
      <c r="O220" s="1501"/>
      <c r="P220" s="1501"/>
      <c r="Q220" s="1501"/>
      <c r="R220" s="1501"/>
      <c r="S220" s="1501"/>
      <c r="T220" s="1501"/>
      <c r="U220" s="1501"/>
      <c r="V220" s="1501"/>
      <c r="W220" s="1501"/>
      <c r="X220" s="1501"/>
      <c r="Y220" s="1501"/>
      <c r="Z220" s="1501"/>
      <c r="BA220" s="3"/>
      <c r="BC220" t="s">
        <v>300</v>
      </c>
    </row>
    <row r="221" spans="1:72" ht="12.95" customHeight="1">
      <c r="A221" s="2"/>
      <c r="B221" s="14"/>
      <c r="C221" s="2"/>
      <c r="AU221" s="95"/>
      <c r="AV221" s="95"/>
      <c r="AW221" s="95"/>
      <c r="AX221" s="95"/>
      <c r="AY221" s="95"/>
      <c r="BA221" s="3"/>
    </row>
    <row r="222" spans="1:72" ht="12.95" customHeight="1">
      <c r="A222" s="1696" t="s">
        <v>547</v>
      </c>
      <c r="B222" s="1696"/>
      <c r="C222" s="1696"/>
      <c r="D222" s="1696"/>
      <c r="E222" s="1696"/>
      <c r="F222" s="1696"/>
      <c r="G222" s="1696"/>
      <c r="H222" s="1696"/>
      <c r="I222" s="1696"/>
      <c r="J222" s="1696"/>
      <c r="K222" s="1696"/>
      <c r="L222" s="1696"/>
      <c r="M222" s="1696"/>
      <c r="N222" s="1696"/>
      <c r="O222" s="1696"/>
      <c r="P222" s="1696"/>
      <c r="Q222" s="1696"/>
      <c r="R222" s="1696"/>
      <c r="S222" s="1696"/>
      <c r="T222" s="1696"/>
      <c r="U222" s="1696"/>
      <c r="V222" s="1696"/>
      <c r="W222" s="1696"/>
      <c r="X222" s="1696"/>
      <c r="Y222" s="1696"/>
      <c r="Z222" s="1696"/>
      <c r="AA222" s="1696"/>
      <c r="AB222" s="1696"/>
      <c r="AC222" s="1696"/>
      <c r="AD222" s="1696"/>
      <c r="AE222" s="1696"/>
      <c r="AF222" s="1696"/>
      <c r="AG222" s="1696"/>
      <c r="AH222" s="1696"/>
      <c r="AI222" s="1696"/>
      <c r="AJ222" s="1696"/>
      <c r="AK222" s="1696"/>
      <c r="AL222" s="1696"/>
      <c r="AM222" s="1696"/>
      <c r="AN222" s="1696"/>
      <c r="AO222" s="1696"/>
      <c r="AP222" s="1696"/>
      <c r="AQ222" s="1696"/>
      <c r="AR222" s="1696"/>
      <c r="AS222" s="1696"/>
      <c r="AT222" s="1696"/>
      <c r="AU222" s="95"/>
      <c r="AV222" s="95"/>
      <c r="AW222" s="95"/>
      <c r="AX222" s="95"/>
      <c r="AY222" s="95"/>
      <c r="AZ222" s="3"/>
      <c r="BA222" s="3"/>
      <c r="BP222" s="34"/>
    </row>
    <row r="223" spans="1:72" ht="12.95" customHeight="1">
      <c r="A223" s="1696"/>
      <c r="B223" s="1696"/>
      <c r="C223" s="1696"/>
      <c r="D223" s="1696"/>
      <c r="E223" s="1696"/>
      <c r="F223" s="1696"/>
      <c r="G223" s="1696"/>
      <c r="H223" s="1696"/>
      <c r="I223" s="1696"/>
      <c r="J223" s="1696"/>
      <c r="K223" s="1696"/>
      <c r="L223" s="1696"/>
      <c r="M223" s="1696"/>
      <c r="N223" s="1696"/>
      <c r="O223" s="1696"/>
      <c r="P223" s="1696"/>
      <c r="Q223" s="1696"/>
      <c r="R223" s="1696"/>
      <c r="S223" s="1696"/>
      <c r="T223" s="1696"/>
      <c r="U223" s="1696"/>
      <c r="V223" s="1696"/>
      <c r="W223" s="1696"/>
      <c r="X223" s="1696"/>
      <c r="Y223" s="1696"/>
      <c r="Z223" s="1696"/>
      <c r="AA223" s="1696"/>
      <c r="AB223" s="1696"/>
      <c r="AC223" s="1696"/>
      <c r="AD223" s="1696"/>
      <c r="AE223" s="1696"/>
      <c r="AF223" s="1696"/>
      <c r="AG223" s="1696"/>
      <c r="AH223" s="1696"/>
      <c r="AI223" s="1696"/>
      <c r="AJ223" s="1696"/>
      <c r="AK223" s="1696"/>
      <c r="AL223" s="1696"/>
      <c r="AM223" s="1696"/>
      <c r="AN223" s="1696"/>
      <c r="AO223" s="1696"/>
      <c r="AP223" s="1696"/>
      <c r="AQ223" s="1696"/>
      <c r="AR223" s="1696"/>
      <c r="AS223" s="1696"/>
      <c r="AT223" s="1696"/>
      <c r="BA223" s="3"/>
      <c r="BB223" s="3"/>
      <c r="BQ223" s="34"/>
    </row>
    <row r="224" spans="1:72" ht="12.95" customHeight="1">
      <c r="AZ224" s="4"/>
      <c r="BA224" s="3"/>
      <c r="BB224" s="3"/>
      <c r="BQ224" s="34"/>
    </row>
    <row r="225" spans="1:69" ht="12.95" customHeight="1">
      <c r="A225" s="2" t="s">
        <v>319</v>
      </c>
      <c r="B225" s="2"/>
      <c r="C225" s="2" t="s">
        <v>2394</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614</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3" t="s">
        <v>598</v>
      </c>
      <c r="AJ226" s="1413"/>
      <c r="AL226" s="3"/>
      <c r="AM226" s="3"/>
      <c r="AN226" s="3"/>
      <c r="AO226" s="3"/>
      <c r="AP226" s="3"/>
      <c r="AQ226" s="3"/>
      <c r="AR226" s="3"/>
      <c r="AS226" s="3"/>
      <c r="AT226" s="3"/>
      <c r="AU226" s="3"/>
      <c r="AV226" s="3"/>
      <c r="AW226" s="3"/>
      <c r="AX226" s="3"/>
      <c r="AY226" s="3"/>
      <c r="AZ226" s="4"/>
      <c r="BB226" s="218" t="s">
        <v>545</v>
      </c>
      <c r="BG226" s="259">
        <f>IF(AND(AND($M$249="for profit",$M$257="for profit",$M$265="nonprofit")),2,0)</f>
        <v>0</v>
      </c>
      <c r="BO226" s="34"/>
    </row>
    <row r="227" spans="1:69" ht="12.95" customHeight="1">
      <c r="B227" s="4"/>
      <c r="D227" s="4" t="s">
        <v>561</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3" t="s">
        <v>552</v>
      </c>
      <c r="AJ227" s="1413"/>
      <c r="AL227" s="3"/>
      <c r="AM227" s="3"/>
      <c r="AN227" s="3"/>
      <c r="AO227" s="3"/>
      <c r="AP227" s="3"/>
      <c r="AQ227" s="3"/>
      <c r="AR227" s="3"/>
      <c r="AS227" s="3"/>
      <c r="AT227" s="3"/>
      <c r="AU227" s="3"/>
      <c r="AV227" s="3"/>
      <c r="AW227" s="3"/>
      <c r="AX227" s="3"/>
      <c r="AY227" s="3"/>
      <c r="BA227" s="3"/>
      <c r="BB227" s="218" t="s">
        <v>545</v>
      </c>
      <c r="BG227" s="259">
        <f>IF(AND(AND($M$249="for profit",$M$257="nonprofit",$M$265="for profit")),2,0)</f>
        <v>0</v>
      </c>
      <c r="BQ227" s="34"/>
    </row>
    <row r="228" spans="1:69" ht="12.95"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3" t="s">
        <v>598</v>
      </c>
      <c r="AJ228" s="1413"/>
      <c r="AL228" s="3"/>
      <c r="AM228" s="3"/>
      <c r="AN228" s="3"/>
      <c r="AO228" s="3"/>
      <c r="AP228" s="3"/>
      <c r="AQ228" s="3"/>
      <c r="AR228" s="3"/>
      <c r="AS228" s="3"/>
      <c r="AT228" s="3"/>
      <c r="AU228" s="3"/>
      <c r="AV228" s="3"/>
      <c r="AW228" s="3"/>
      <c r="AX228" s="3"/>
      <c r="AY228" s="3"/>
      <c r="AZ228" s="4"/>
      <c r="BA228" s="3"/>
      <c r="BB228" s="218" t="s">
        <v>545</v>
      </c>
      <c r="BG228" s="259">
        <f>IF(AND(AND($M$249="nonprofit",$M$257="for profit",$M$265="for profit")),2,0)</f>
        <v>0</v>
      </c>
      <c r="BQ228" s="34"/>
    </row>
    <row r="229" spans="1:6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3" t="s">
        <v>598</v>
      </c>
      <c r="AJ229" s="1413"/>
      <c r="AL229" s="3"/>
      <c r="AM229" s="3"/>
      <c r="AN229" s="3"/>
      <c r="AO229" s="3"/>
      <c r="AP229" s="3"/>
      <c r="AQ229" s="3"/>
      <c r="AR229" s="3"/>
      <c r="AS229" s="3"/>
      <c r="AT229" s="3"/>
      <c r="AU229" s="3"/>
      <c r="AV229" s="3"/>
      <c r="AW229" s="3"/>
      <c r="AX229" s="3"/>
      <c r="AY229" s="3"/>
      <c r="BA229" s="3"/>
      <c r="BB229" s="218" t="s">
        <v>545</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545</v>
      </c>
      <c r="BG230" s="258">
        <f>IF(AND(AND($M$249="nonprofit",$M$257="for profit",$M$265="(select one)")),2,0)</f>
        <v>2</v>
      </c>
      <c r="BO230" s="34"/>
    </row>
    <row r="231" spans="1:69" ht="12.95" customHeight="1">
      <c r="A231" s="2" t="s">
        <v>583</v>
      </c>
      <c r="B231" s="4"/>
      <c r="C231" s="2" t="s">
        <v>2395</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477</v>
      </c>
      <c r="E232" s="4"/>
      <c r="F232" s="4"/>
      <c r="G232" s="4"/>
      <c r="H232" s="4"/>
      <c r="I232" s="4"/>
      <c r="J232" s="4"/>
      <c r="K232" s="4"/>
      <c r="M232" s="1586" t="str">
        <f>H16</f>
        <v>Compass for Affordable Housing</v>
      </c>
      <c r="N232" s="1586"/>
      <c r="O232" s="1586"/>
      <c r="P232" s="1586"/>
      <c r="Q232" s="1586"/>
      <c r="R232" s="1586"/>
      <c r="S232" s="1586"/>
      <c r="T232" s="1586"/>
      <c r="U232" s="1586"/>
      <c r="V232" s="1586"/>
      <c r="W232" s="1586"/>
      <c r="X232" s="1586"/>
      <c r="Y232" s="1586"/>
      <c r="Z232" s="1586"/>
      <c r="AA232" s="1586"/>
      <c r="AB232" s="1586"/>
      <c r="AC232" s="1586"/>
      <c r="AD232" s="1586"/>
      <c r="AE232" s="1586"/>
      <c r="AF232" s="1586"/>
      <c r="AG232" s="1586"/>
      <c r="AH232" s="1586"/>
      <c r="AI232" s="1586"/>
      <c r="AJ232" s="1586"/>
      <c r="AK232" s="1586"/>
      <c r="AZ232" s="4"/>
      <c r="BA232" s="3"/>
      <c r="BB232" s="219" t="s">
        <v>545</v>
      </c>
      <c r="BG232" s="259">
        <f>IF(AND(AND($M$249="nonprofit",$M$257="nonprofit",$M$265="for profit")),2,0)</f>
        <v>0</v>
      </c>
      <c r="BQ232" s="34"/>
    </row>
    <row r="233" spans="1:69" ht="12.95" customHeight="1">
      <c r="D233" s="4" t="s">
        <v>85</v>
      </c>
      <c r="E233" s="4"/>
      <c r="F233" s="4"/>
      <c r="G233" s="4"/>
      <c r="H233" s="4"/>
      <c r="I233" s="4"/>
      <c r="J233" s="4"/>
      <c r="K233" s="4"/>
      <c r="M233" s="1501" t="s">
        <v>2650</v>
      </c>
      <c r="N233" s="1501"/>
      <c r="O233" s="1501"/>
      <c r="P233" s="1501"/>
      <c r="Q233" s="1501"/>
      <c r="R233" s="1501"/>
      <c r="S233" s="1501"/>
      <c r="T233" s="1501"/>
      <c r="U233" s="1501"/>
      <c r="V233" s="1501"/>
      <c r="W233" s="1501"/>
      <c r="X233" s="1501"/>
      <c r="Y233" s="1501"/>
      <c r="Z233" s="1501"/>
      <c r="AA233" s="1501"/>
      <c r="AB233" s="1501"/>
      <c r="AC233" s="1501"/>
      <c r="AD233" s="1501"/>
      <c r="AE233" s="1501"/>
      <c r="BB233" s="219" t="s">
        <v>545</v>
      </c>
      <c r="BG233" s="259">
        <f>IF(AND(AND($M$249="nonprofit",$M$257="for profit",$M$265="nonprofit")),2,0)</f>
        <v>0</v>
      </c>
    </row>
    <row r="234" spans="1:69" ht="12.95" customHeight="1">
      <c r="D234" s="4" t="s">
        <v>587</v>
      </c>
      <c r="E234" s="4"/>
      <c r="M234" s="1417" t="s">
        <v>737</v>
      </c>
      <c r="N234" s="1501"/>
      <c r="O234" s="1501"/>
      <c r="P234" s="1501"/>
      <c r="Q234" s="1501"/>
      <c r="R234" s="1501"/>
      <c r="S234" s="1501"/>
      <c r="T234" s="1501"/>
      <c r="V234" s="33" t="s">
        <v>86</v>
      </c>
      <c r="W234" s="1522" t="s">
        <v>2651</v>
      </c>
      <c r="X234" s="1405"/>
      <c r="Y234" s="4" t="s">
        <v>590</v>
      </c>
      <c r="AC234" s="1501">
        <v>92128</v>
      </c>
      <c r="AD234" s="1501"/>
      <c r="AE234" s="1501"/>
      <c r="AU234" s="4"/>
      <c r="AV234" s="4"/>
      <c r="AW234" s="4"/>
      <c r="AX234" s="4"/>
      <c r="AY234" s="4"/>
      <c r="AZ234" s="4"/>
      <c r="BB234" s="219" t="s">
        <v>545</v>
      </c>
      <c r="BG234" s="258">
        <f>IF(AND(AND($M$249="for profit",$M$257="nonprofit",$M$265="nonprofit")),2,0)</f>
        <v>0</v>
      </c>
      <c r="BO234" s="34"/>
    </row>
    <row r="235" spans="1:69" ht="12.95" customHeight="1">
      <c r="D235" s="4" t="s">
        <v>87</v>
      </c>
      <c r="E235" s="4"/>
      <c r="F235" s="4"/>
      <c r="G235" s="4"/>
      <c r="H235" s="4"/>
      <c r="I235" s="4"/>
      <c r="J235" s="4"/>
      <c r="K235" s="19"/>
      <c r="M235" s="1417" t="s">
        <v>2652</v>
      </c>
      <c r="N235" s="1501"/>
      <c r="O235" s="1501"/>
      <c r="P235" s="1501"/>
      <c r="Q235" s="1501"/>
      <c r="R235" s="1501"/>
      <c r="S235" s="1501"/>
      <c r="T235" s="1501"/>
      <c r="U235" s="1501"/>
      <c r="V235" s="1501"/>
      <c r="W235" s="1501"/>
      <c r="X235" s="1501"/>
      <c r="Y235" s="1501"/>
      <c r="Z235" s="1501"/>
      <c r="AA235" s="1501"/>
      <c r="AB235" s="1501"/>
      <c r="AC235" s="1501"/>
      <c r="AD235" s="1501"/>
      <c r="AE235" s="1501"/>
      <c r="AI235" s="4"/>
      <c r="AJ235" s="4"/>
      <c r="AK235" s="4"/>
      <c r="AL235" s="4"/>
      <c r="AM235" s="4"/>
      <c r="AN235" s="4"/>
      <c r="AO235" s="4"/>
      <c r="AP235" s="4"/>
      <c r="AQ235" s="4"/>
      <c r="AR235" s="4"/>
      <c r="AS235" s="4"/>
      <c r="AT235" s="4"/>
      <c r="BB235" s="219"/>
      <c r="BG235" s="218"/>
    </row>
    <row r="236" spans="1:69" ht="12.95" customHeight="1">
      <c r="D236" s="4" t="s">
        <v>88</v>
      </c>
      <c r="E236" s="4"/>
      <c r="F236" s="4"/>
      <c r="M236" s="1517">
        <v>8583864211</v>
      </c>
      <c r="N236" s="1517"/>
      <c r="O236" s="1517"/>
      <c r="P236" s="1517"/>
      <c r="Q236" s="1517"/>
      <c r="R236" s="1517"/>
      <c r="S236" s="4" t="s">
        <v>206</v>
      </c>
      <c r="T236" s="4"/>
      <c r="U236" s="1522" t="s">
        <v>598</v>
      </c>
      <c r="V236" s="1405"/>
      <c r="W236" s="1405"/>
      <c r="X236" s="4" t="s">
        <v>89</v>
      </c>
      <c r="Z236" s="1532" t="s">
        <v>598</v>
      </c>
      <c r="AA236" s="1517"/>
      <c r="AB236" s="1517"/>
      <c r="AC236" s="1517"/>
      <c r="AD236" s="1517"/>
      <c r="AE236" s="1517"/>
      <c r="AU236" s="4"/>
      <c r="AV236" s="4"/>
      <c r="AW236" s="4"/>
      <c r="AX236" s="4"/>
      <c r="AY236" s="4"/>
      <c r="AZ236" s="4"/>
      <c r="BB236" s="218" t="s">
        <v>544</v>
      </c>
      <c r="BG236" s="259">
        <f>IF(AND(AND($M$249="nonprofit",$M$257="nonprofit",$M$265="(select one)")),1,0)</f>
        <v>0</v>
      </c>
    </row>
    <row r="237" spans="1:69" ht="12.95" customHeight="1">
      <c r="D237" s="4" t="s">
        <v>90</v>
      </c>
      <c r="E237" s="4"/>
      <c r="F237" s="4"/>
      <c r="M237" s="1566" t="s">
        <v>2653</v>
      </c>
      <c r="N237" s="1566"/>
      <c r="O237" s="1566"/>
      <c r="P237" s="1566"/>
      <c r="Q237" s="1566"/>
      <c r="R237" s="1566"/>
      <c r="S237" s="1566"/>
      <c r="T237" s="1566"/>
      <c r="U237" s="1566"/>
      <c r="V237" s="1566"/>
      <c r="W237" s="1566"/>
      <c r="X237" s="1566"/>
      <c r="Y237" s="1566"/>
      <c r="Z237" s="1566"/>
      <c r="AA237" s="1566"/>
      <c r="AB237" s="1566"/>
      <c r="AC237" s="1566"/>
      <c r="AD237" s="1566"/>
      <c r="AE237" s="1566"/>
      <c r="AF237" s="4"/>
      <c r="AG237" s="4"/>
      <c r="AH237" s="4"/>
      <c r="AI237" s="4"/>
      <c r="AJ237" s="4"/>
      <c r="AK237" s="4"/>
      <c r="AL237" s="4"/>
      <c r="AM237" s="4"/>
      <c r="AN237" s="4"/>
      <c r="AO237" s="4"/>
      <c r="AP237" s="4"/>
      <c r="AQ237" s="4"/>
      <c r="AR237" s="4"/>
      <c r="AS237" s="4"/>
      <c r="AT237" s="4"/>
      <c r="AU237" s="3"/>
      <c r="AV237" s="3"/>
      <c r="AW237" s="3"/>
      <c r="AX237" s="3"/>
      <c r="AY237" s="3"/>
      <c r="BB237" s="218" t="s">
        <v>544</v>
      </c>
      <c r="BG237" s="259">
        <f>IF(AND(AND($M$249="nonprofit",$M$257="nonprofit",$M$265="nonprofit")),1,0)</f>
        <v>0</v>
      </c>
    </row>
    <row r="238" spans="1:69" ht="12.95" customHeight="1">
      <c r="A238" s="2" t="s">
        <v>593</v>
      </c>
      <c r="C238" s="2" t="s">
        <v>532</v>
      </c>
      <c r="M238" s="1479" t="s">
        <v>377</v>
      </c>
      <c r="N238" s="1479"/>
      <c r="O238" s="1479"/>
      <c r="P238" s="1479"/>
      <c r="Q238" s="1479"/>
      <c r="R238" s="1479"/>
      <c r="S238" s="1479"/>
      <c r="T238" s="1479"/>
      <c r="U238" s="218" t="s">
        <v>920</v>
      </c>
      <c r="V238" s="218"/>
      <c r="W238" s="218"/>
      <c r="X238" s="218"/>
      <c r="Y238" s="218"/>
      <c r="Z238" s="218"/>
      <c r="AA238" s="1572" t="s">
        <v>598</v>
      </c>
      <c r="AB238" s="1573"/>
      <c r="AC238" s="1573"/>
      <c r="AD238" s="1573"/>
      <c r="AE238" s="1573"/>
      <c r="AF238" s="1573"/>
      <c r="AG238" s="1573"/>
      <c r="AH238" s="1573"/>
      <c r="AI238" s="1573"/>
      <c r="AJ238" s="1573"/>
      <c r="AK238" s="1573"/>
      <c r="AL238" s="3"/>
      <c r="AM238" s="3"/>
      <c r="AN238" s="3"/>
      <c r="AO238" s="3"/>
      <c r="AP238" s="3"/>
      <c r="AQ238" s="3"/>
      <c r="AR238" s="3"/>
      <c r="AS238" s="3"/>
      <c r="AT238" s="3"/>
      <c r="AU238" s="3"/>
      <c r="AV238" s="3"/>
      <c r="AW238" s="3"/>
      <c r="AX238" s="3"/>
      <c r="AY238" s="3"/>
      <c r="BB238" s="218" t="s">
        <v>544</v>
      </c>
      <c r="BG238" s="259">
        <f>IF(AND(AND($M$249="nonprofit",$M$257="(select one)",$M$265="(select one)")),1,0)</f>
        <v>0</v>
      </c>
      <c r="BN238" s="34"/>
    </row>
    <row r="239" spans="1:69" ht="12.95" customHeight="1">
      <c r="D239" t="s">
        <v>538</v>
      </c>
      <c r="M239" s="1412" t="s">
        <v>598</v>
      </c>
      <c r="N239" s="1412"/>
      <c r="O239" s="1412"/>
      <c r="P239" s="1412"/>
      <c r="Q239" s="1412"/>
      <c r="R239" s="1412"/>
      <c r="S239" s="1412"/>
      <c r="T239" s="1412"/>
      <c r="U239" s="1412"/>
      <c r="V239" s="1412"/>
      <c r="W239" s="1412"/>
      <c r="X239" s="1412"/>
      <c r="Y239" s="1412"/>
      <c r="Z239" s="1412"/>
      <c r="AA239" s="1412"/>
      <c r="AB239" s="1412"/>
      <c r="AC239" s="1412"/>
      <c r="AD239" s="1412"/>
      <c r="AE239" s="1412"/>
      <c r="AF239" s="4"/>
      <c r="AG239" s="4"/>
      <c r="AH239" s="4"/>
      <c r="AI239" s="4"/>
      <c r="AJ239" s="4"/>
      <c r="AK239" s="3"/>
      <c r="AL239" s="3"/>
      <c r="AM239" s="3"/>
      <c r="AN239" s="3"/>
      <c r="AO239" s="3"/>
      <c r="AP239" s="3"/>
      <c r="AQ239" s="3"/>
      <c r="AR239" s="3"/>
      <c r="AS239" s="3"/>
      <c r="AT239" s="3"/>
      <c r="BB239" s="218" t="s">
        <v>888</v>
      </c>
      <c r="BG239" s="259">
        <f>IF(AND(AND($M$249="for profit",$M$257="for profit",$M$265="(select one)")),3,0)</f>
        <v>0</v>
      </c>
    </row>
    <row r="240" spans="1:69" ht="12.95" customHeight="1">
      <c r="D240" s="4"/>
      <c r="BB240" s="218" t="s">
        <v>888</v>
      </c>
      <c r="BG240" s="259">
        <f>IF(AND(AND($M$249="for profit",$M$257="for profit",$M$265="for profit")),3,0)</f>
        <v>0</v>
      </c>
    </row>
    <row r="241" spans="1:71" ht="12.95" customHeight="1">
      <c r="A241" s="2" t="s">
        <v>596</v>
      </c>
      <c r="C241" s="2" t="s">
        <v>1286</v>
      </c>
      <c r="D241" s="4"/>
      <c r="L241" s="8"/>
      <c r="M241" s="8"/>
      <c r="N241" s="8"/>
      <c r="AU241" s="3"/>
      <c r="AV241" s="3"/>
      <c r="AW241" s="3"/>
      <c r="AX241" s="3"/>
      <c r="AY241" s="3"/>
      <c r="BB241" s="218" t="s">
        <v>888</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480</v>
      </c>
      <c r="D243" s="4" t="s">
        <v>539</v>
      </c>
      <c r="E243" s="4"/>
      <c r="F243" s="4"/>
      <c r="G243" s="4"/>
      <c r="H243" s="4"/>
      <c r="I243" s="4"/>
      <c r="J243" s="4"/>
      <c r="K243" s="4"/>
      <c r="L243" s="4"/>
      <c r="M243" s="1568" t="s">
        <v>2654</v>
      </c>
      <c r="N243" s="1569"/>
      <c r="O243" s="1569"/>
      <c r="P243" s="1569"/>
      <c r="Q243" s="1569"/>
      <c r="R243" s="1569"/>
      <c r="S243" s="1569"/>
      <c r="T243" s="1569"/>
      <c r="U243" s="1569"/>
      <c r="V243" s="1569"/>
      <c r="W243" s="1569"/>
      <c r="X243" s="1569"/>
      <c r="Y243" s="1569"/>
      <c r="Z243" s="1569"/>
      <c r="AA243" s="1569"/>
      <c r="AB243" s="1569"/>
      <c r="AC243" s="1569"/>
      <c r="AD243" s="1569"/>
      <c r="AE243" s="1569"/>
      <c r="AF243" s="1569" t="s">
        <v>2655</v>
      </c>
      <c r="AG243" s="1569"/>
      <c r="AH243" s="1569"/>
      <c r="AI243" s="1569"/>
      <c r="AJ243" s="1569"/>
      <c r="AK243" s="1569"/>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417" t="s">
        <v>2656</v>
      </c>
      <c r="N244" s="1501"/>
      <c r="O244" s="1501"/>
      <c r="P244" s="1501"/>
      <c r="Q244" s="1501"/>
      <c r="R244" s="1501"/>
      <c r="S244" s="1501"/>
      <c r="T244" s="1501"/>
      <c r="U244" s="1501"/>
      <c r="V244" s="1501"/>
      <c r="W244" s="1501"/>
      <c r="X244" s="1501"/>
      <c r="Y244" s="1501"/>
      <c r="Z244" s="1501"/>
      <c r="AA244" s="1501"/>
      <c r="AB244" s="1501"/>
      <c r="AC244" s="1501"/>
      <c r="AD244" s="1501"/>
      <c r="AE244" s="1501"/>
      <c r="AF244" s="3" t="s">
        <v>1282</v>
      </c>
      <c r="AL244" s="4"/>
      <c r="AM244" s="4"/>
      <c r="AN244" s="4"/>
      <c r="AO244" s="4"/>
      <c r="AP244" s="4"/>
      <c r="AQ244" s="4"/>
      <c r="AR244" s="4"/>
      <c r="AS244" s="4"/>
      <c r="AT244" s="4"/>
      <c r="BB244" t="s">
        <v>307</v>
      </c>
      <c r="BG244">
        <v>1</v>
      </c>
      <c r="BH244" t="s">
        <v>541</v>
      </c>
    </row>
    <row r="245" spans="1:71" ht="12.95" customHeight="1">
      <c r="A245" s="19"/>
      <c r="B245" s="4"/>
      <c r="C245" s="4"/>
      <c r="D245" s="4" t="s">
        <v>587</v>
      </c>
      <c r="E245" s="4"/>
      <c r="M245" s="1417" t="s">
        <v>737</v>
      </c>
      <c r="N245" s="1501"/>
      <c r="O245" s="1501"/>
      <c r="P245" s="1501"/>
      <c r="Q245" s="1501"/>
      <c r="R245" s="1501"/>
      <c r="S245" s="1501"/>
      <c r="T245" s="1501"/>
      <c r="V245" s="33" t="s">
        <v>86</v>
      </c>
      <c r="W245" s="1522" t="s">
        <v>2651</v>
      </c>
      <c r="X245" s="1405"/>
      <c r="Y245" s="4" t="s">
        <v>590</v>
      </c>
      <c r="AC245" s="1501">
        <v>92128</v>
      </c>
      <c r="AD245" s="1501"/>
      <c r="AE245" s="1501"/>
      <c r="AF245" s="3" t="s">
        <v>1283</v>
      </c>
      <c r="AU245" s="4"/>
      <c r="AV245" s="4"/>
      <c r="AW245" s="4"/>
      <c r="AX245" s="4"/>
      <c r="AY245" s="4"/>
      <c r="BB245" s="4" t="s">
        <v>280</v>
      </c>
      <c r="BG245">
        <v>2</v>
      </c>
      <c r="BH245" t="s">
        <v>573</v>
      </c>
      <c r="BO245" s="257" t="str">
        <f>VLOOKUP(BG243,BG244:BH247,2,FALSE)</f>
        <v>Joint Venture</v>
      </c>
    </row>
    <row r="246" spans="1:71" ht="12.95" customHeight="1">
      <c r="A246" s="19"/>
      <c r="B246" s="4"/>
      <c r="C246" s="4"/>
      <c r="D246" s="4" t="s">
        <v>87</v>
      </c>
      <c r="E246" s="4"/>
      <c r="F246" s="4"/>
      <c r="G246" s="4"/>
      <c r="H246" s="4"/>
      <c r="I246" s="4"/>
      <c r="J246" s="4"/>
      <c r="K246" s="4"/>
      <c r="L246" s="19"/>
      <c r="M246" s="1417" t="s">
        <v>2652</v>
      </c>
      <c r="N246" s="1501"/>
      <c r="O246" s="1501"/>
      <c r="P246" s="1501"/>
      <c r="Q246" s="1501"/>
      <c r="R246" s="1501"/>
      <c r="S246" s="1501"/>
      <c r="T246" s="1501"/>
      <c r="U246" s="1501"/>
      <c r="V246" s="1501"/>
      <c r="W246" s="1501"/>
      <c r="X246" s="1501"/>
      <c r="Y246" s="1501"/>
      <c r="Z246" s="1501"/>
      <c r="AA246" s="1501"/>
      <c r="AB246" s="1501"/>
      <c r="AC246" s="1501"/>
      <c r="AD246" s="1501"/>
      <c r="AE246" s="1501"/>
      <c r="AH246" s="1514">
        <v>0.01</v>
      </c>
      <c r="AI246" s="1514"/>
      <c r="AJ246" s="1514"/>
      <c r="AK246" s="1514"/>
      <c r="AL246" s="4"/>
      <c r="AM246" s="4"/>
      <c r="AN246" s="4"/>
      <c r="AO246" s="4"/>
      <c r="AP246" s="4"/>
      <c r="AQ246" s="4"/>
      <c r="AR246" s="4"/>
      <c r="AS246" s="4"/>
      <c r="AT246" s="4"/>
      <c r="BB246" s="4" t="s">
        <v>172</v>
      </c>
      <c r="BG246">
        <v>3</v>
      </c>
      <c r="BH246" t="s">
        <v>543</v>
      </c>
      <c r="BN246" s="34"/>
    </row>
    <row r="247" spans="1:71" ht="12.95" customHeight="1">
      <c r="A247" s="19"/>
      <c r="B247" s="4"/>
      <c r="C247" s="4"/>
      <c r="D247" s="4" t="s">
        <v>88</v>
      </c>
      <c r="E247" s="4"/>
      <c r="F247" s="4"/>
      <c r="M247" s="1517">
        <v>8583864211</v>
      </c>
      <c r="N247" s="1517"/>
      <c r="O247" s="1517"/>
      <c r="P247" s="1517"/>
      <c r="Q247" s="1517"/>
      <c r="R247" s="1517"/>
      <c r="S247" s="4" t="s">
        <v>206</v>
      </c>
      <c r="T247" s="4"/>
      <c r="U247" s="1522" t="s">
        <v>598</v>
      </c>
      <c r="V247" s="1405"/>
      <c r="W247" s="1405"/>
      <c r="X247" s="4" t="s">
        <v>89</v>
      </c>
      <c r="Z247" s="1532" t="s">
        <v>598</v>
      </c>
      <c r="AA247" s="1517"/>
      <c r="AB247" s="1517"/>
      <c r="AC247" s="1517"/>
      <c r="AD247" s="1517"/>
      <c r="AE247" s="1517"/>
      <c r="AU247" s="4"/>
      <c r="AV247" s="4"/>
      <c r="AW247" s="4"/>
      <c r="AX247" s="4"/>
      <c r="AY247" s="4"/>
      <c r="BG247">
        <v>0</v>
      </c>
      <c r="BH247" s="3"/>
      <c r="BN247" s="34"/>
    </row>
    <row r="248" spans="1:71" ht="12.95" customHeight="1">
      <c r="A248" s="19"/>
      <c r="B248" s="4"/>
      <c r="C248" s="4"/>
      <c r="D248" s="4" t="s">
        <v>90</v>
      </c>
      <c r="E248" s="4"/>
      <c r="F248" s="4"/>
      <c r="M248" s="1566" t="s">
        <v>2653</v>
      </c>
      <c r="N248" s="1566"/>
      <c r="O248" s="1566"/>
      <c r="P248" s="1566"/>
      <c r="Q248" s="1566"/>
      <c r="R248" s="1566"/>
      <c r="S248" s="1566"/>
      <c r="T248" s="1566"/>
      <c r="U248" s="1566"/>
      <c r="V248" s="1566"/>
      <c r="W248" s="1566"/>
      <c r="X248" s="1566"/>
      <c r="Y248" s="1566"/>
      <c r="Z248" s="1566"/>
      <c r="AA248" s="1566"/>
      <c r="AB248" s="1566"/>
      <c r="AC248" s="1566"/>
      <c r="AD248" s="1566"/>
      <c r="AE248" s="1566"/>
      <c r="AG248" s="4"/>
      <c r="AH248" s="4"/>
      <c r="AI248" s="4"/>
      <c r="AJ248" s="4"/>
      <c r="AK248" s="4"/>
      <c r="AL248" s="4"/>
      <c r="AM248" s="4"/>
      <c r="AN248" s="4"/>
      <c r="AO248" s="4"/>
      <c r="AP248" s="4"/>
      <c r="AQ248" s="4"/>
      <c r="AR248" s="4"/>
      <c r="AS248" s="4"/>
      <c r="AT248" s="4"/>
      <c r="BN248" s="34"/>
    </row>
    <row r="249" spans="1:71" ht="12.95" customHeight="1">
      <c r="A249" s="13"/>
      <c r="B249" s="4"/>
      <c r="C249" s="56"/>
      <c r="D249" s="4" t="s">
        <v>542</v>
      </c>
      <c r="E249" s="4"/>
      <c r="F249" s="4"/>
      <c r="G249" s="4"/>
      <c r="H249" s="4"/>
      <c r="I249" s="4"/>
      <c r="J249" s="4"/>
      <c r="K249" s="4"/>
      <c r="L249" s="4"/>
      <c r="M249" s="1479" t="s">
        <v>541</v>
      </c>
      <c r="N249" s="1479"/>
      <c r="O249" s="1479"/>
      <c r="P249" s="1479"/>
      <c r="Q249" s="1479"/>
      <c r="R249" s="1479"/>
      <c r="S249" s="1479"/>
      <c r="T249" s="1479"/>
      <c r="U249" s="218" t="s">
        <v>920</v>
      </c>
      <c r="V249" s="218"/>
      <c r="W249" s="218"/>
      <c r="X249" s="218"/>
      <c r="Y249" s="218"/>
      <c r="Z249" s="218"/>
      <c r="AA249" s="1572" t="s">
        <v>2638</v>
      </c>
      <c r="AB249" s="1573"/>
      <c r="AC249" s="1573"/>
      <c r="AD249" s="1573"/>
      <c r="AE249" s="1573"/>
      <c r="AF249" s="1573"/>
      <c r="AG249" s="1573"/>
      <c r="AH249" s="1573"/>
      <c r="AI249" s="1573"/>
      <c r="AJ249" s="1573"/>
      <c r="AK249" s="1573"/>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971</v>
      </c>
      <c r="E251" s="4"/>
      <c r="F251" s="4"/>
      <c r="G251" s="4"/>
      <c r="H251" s="4"/>
      <c r="I251" s="4"/>
      <c r="J251" s="4"/>
      <c r="K251" s="4"/>
      <c r="L251" s="4"/>
      <c r="M251" s="1568" t="s">
        <v>2657</v>
      </c>
      <c r="N251" s="1569"/>
      <c r="O251" s="1569"/>
      <c r="P251" s="1569"/>
      <c r="Q251" s="1569"/>
      <c r="R251" s="1569"/>
      <c r="S251" s="1569"/>
      <c r="T251" s="1569"/>
      <c r="U251" s="1569"/>
      <c r="V251" s="1569"/>
      <c r="W251" s="1569"/>
      <c r="X251" s="1569"/>
      <c r="Y251" s="1569"/>
      <c r="Z251" s="1569"/>
      <c r="AA251" s="1569"/>
      <c r="AB251" s="1569"/>
      <c r="AC251" s="1569"/>
      <c r="AD251" s="1569"/>
      <c r="AE251" s="1569"/>
      <c r="AF251" s="1569" t="s">
        <v>2658</v>
      </c>
      <c r="AG251" s="1569"/>
      <c r="AH251" s="1569"/>
      <c r="AI251" s="1569"/>
      <c r="AJ251" s="1569"/>
      <c r="AK251" s="1569"/>
      <c r="AU251" s="4"/>
      <c r="AV251" s="4"/>
      <c r="AW251" s="4"/>
      <c r="AX251" s="4"/>
      <c r="AY251" s="4"/>
      <c r="BN251" s="34"/>
    </row>
    <row r="252" spans="1:71" ht="12.95" customHeight="1">
      <c r="A252" s="19"/>
      <c r="B252" s="4"/>
      <c r="C252" s="4"/>
      <c r="D252" s="4" t="s">
        <v>85</v>
      </c>
      <c r="E252" s="4"/>
      <c r="F252" s="4"/>
      <c r="G252" s="4"/>
      <c r="H252" s="4"/>
      <c r="I252" s="4"/>
      <c r="J252" s="4"/>
      <c r="K252" s="4"/>
      <c r="L252" s="4"/>
      <c r="M252" s="1417" t="s">
        <v>2659</v>
      </c>
      <c r="N252" s="1501"/>
      <c r="O252" s="1501"/>
      <c r="P252" s="1501"/>
      <c r="Q252" s="1501"/>
      <c r="R252" s="1501"/>
      <c r="S252" s="1501"/>
      <c r="T252" s="1501"/>
      <c r="U252" s="1501"/>
      <c r="V252" s="1501"/>
      <c r="W252" s="1501"/>
      <c r="X252" s="1501"/>
      <c r="Y252" s="1501"/>
      <c r="Z252" s="1501"/>
      <c r="AA252" s="1501"/>
      <c r="AB252" s="1501"/>
      <c r="AC252" s="1501"/>
      <c r="AD252" s="1501"/>
      <c r="AE252" s="1501"/>
      <c r="AF252" s="3" t="s">
        <v>1282</v>
      </c>
      <c r="AL252" s="4"/>
      <c r="AM252" s="4"/>
      <c r="AN252" s="4"/>
      <c r="AO252" s="4"/>
      <c r="AP252" s="4"/>
      <c r="AQ252" s="4"/>
      <c r="AR252" s="4"/>
      <c r="AS252" s="4"/>
      <c r="AT252" s="4"/>
      <c r="BN252" s="34"/>
    </row>
    <row r="253" spans="1:71" ht="12.95" customHeight="1">
      <c r="A253" s="19"/>
      <c r="B253" s="4"/>
      <c r="C253" s="4"/>
      <c r="D253" s="4" t="s">
        <v>587</v>
      </c>
      <c r="E253" s="4"/>
      <c r="M253" s="1417" t="s">
        <v>737</v>
      </c>
      <c r="N253" s="1501"/>
      <c r="O253" s="1501"/>
      <c r="P253" s="1501"/>
      <c r="Q253" s="1501"/>
      <c r="R253" s="1501"/>
      <c r="S253" s="1501"/>
      <c r="T253" s="1501"/>
      <c r="V253" s="33" t="s">
        <v>86</v>
      </c>
      <c r="W253" s="1522" t="s">
        <v>2651</v>
      </c>
      <c r="X253" s="1405"/>
      <c r="Y253" s="4" t="s">
        <v>590</v>
      </c>
      <c r="AC253" s="1501">
        <v>92128</v>
      </c>
      <c r="AD253" s="1501"/>
      <c r="AE253" s="1501"/>
      <c r="AF253" s="3" t="s">
        <v>1283</v>
      </c>
      <c r="AU253" s="4"/>
      <c r="AV253" s="4"/>
      <c r="AW253" s="4"/>
      <c r="AX253" s="4"/>
      <c r="AY253" s="4"/>
      <c r="BN253" s="34"/>
    </row>
    <row r="254" spans="1:71" ht="12.95" customHeight="1">
      <c r="A254" s="19"/>
      <c r="B254" s="4"/>
      <c r="C254" s="4"/>
      <c r="D254" s="4" t="s">
        <v>87</v>
      </c>
      <c r="E254" s="4"/>
      <c r="F254" s="4"/>
      <c r="G254" s="4"/>
      <c r="H254" s="4"/>
      <c r="I254" s="4"/>
      <c r="J254" s="4"/>
      <c r="K254" s="4"/>
      <c r="L254" s="19"/>
      <c r="M254" s="1417" t="s">
        <v>2660</v>
      </c>
      <c r="N254" s="1501"/>
      <c r="O254" s="1501"/>
      <c r="P254" s="1501"/>
      <c r="Q254" s="1501"/>
      <c r="R254" s="1501"/>
      <c r="S254" s="1501"/>
      <c r="T254" s="1501"/>
      <c r="U254" s="1501"/>
      <c r="V254" s="1501"/>
      <c r="W254" s="1501"/>
      <c r="X254" s="1501"/>
      <c r="Y254" s="1501"/>
      <c r="Z254" s="1501"/>
      <c r="AA254" s="1501"/>
      <c r="AB254" s="1501"/>
      <c r="AC254" s="1501"/>
      <c r="AD254" s="1501"/>
      <c r="AE254" s="1501"/>
      <c r="AH254" s="1514">
        <v>0.99</v>
      </c>
      <c r="AI254" s="1514"/>
      <c r="AJ254" s="1514"/>
      <c r="AK254" s="1514"/>
      <c r="AL254" s="4"/>
      <c r="AM254" s="4"/>
      <c r="AN254" s="4"/>
      <c r="AO254" s="4"/>
      <c r="AP254" s="4"/>
      <c r="AQ254" s="4"/>
      <c r="AR254" s="4"/>
      <c r="AS254" s="4"/>
      <c r="AT254" s="4"/>
    </row>
    <row r="255" spans="1:71" ht="12.95" customHeight="1">
      <c r="A255" s="19"/>
      <c r="B255" s="4"/>
      <c r="C255" s="4"/>
      <c r="D255" s="4" t="s">
        <v>88</v>
      </c>
      <c r="E255" s="4"/>
      <c r="F255" s="4"/>
      <c r="M255" s="1517">
        <v>8586792828</v>
      </c>
      <c r="N255" s="1517"/>
      <c r="O255" s="1517"/>
      <c r="P255" s="1517"/>
      <c r="Q255" s="1517"/>
      <c r="R255" s="1517"/>
      <c r="S255" s="4" t="s">
        <v>206</v>
      </c>
      <c r="T255" s="4"/>
      <c r="U255" s="1522" t="s">
        <v>598</v>
      </c>
      <c r="V255" s="1405"/>
      <c r="W255" s="1405"/>
      <c r="X255" s="4" t="s">
        <v>89</v>
      </c>
      <c r="Z255" s="1517">
        <v>8586799076</v>
      </c>
      <c r="AA255" s="1517"/>
      <c r="AB255" s="1517"/>
      <c r="AC255" s="1517"/>
      <c r="AD255" s="1517"/>
      <c r="AE255" s="1517"/>
      <c r="AU255" s="4"/>
      <c r="AV255" s="4"/>
      <c r="AW255" s="4"/>
      <c r="AX255" s="4"/>
      <c r="AY255" s="4"/>
      <c r="BN255" s="34"/>
    </row>
    <row r="256" spans="1:71" ht="12.95" customHeight="1">
      <c r="A256" s="19"/>
      <c r="B256" s="4"/>
      <c r="C256" s="4"/>
      <c r="D256" s="4" t="s">
        <v>90</v>
      </c>
      <c r="E256" s="4"/>
      <c r="F256" s="4"/>
      <c r="M256" s="1566" t="s">
        <v>2661</v>
      </c>
      <c r="N256" s="1566"/>
      <c r="O256" s="1566"/>
      <c r="P256" s="1566"/>
      <c r="Q256" s="1566"/>
      <c r="R256" s="1566"/>
      <c r="S256" s="1566"/>
      <c r="T256" s="1566"/>
      <c r="U256" s="1566"/>
      <c r="V256" s="1566"/>
      <c r="W256" s="1566"/>
      <c r="X256" s="1566"/>
      <c r="Y256" s="1566"/>
      <c r="Z256" s="1566"/>
      <c r="AA256" s="1566"/>
      <c r="AB256" s="1566"/>
      <c r="AC256" s="1566"/>
      <c r="AD256" s="1566"/>
      <c r="AE256" s="1566"/>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542</v>
      </c>
      <c r="E257" s="4"/>
      <c r="F257" s="4"/>
      <c r="G257" s="4"/>
      <c r="H257" s="4"/>
      <c r="I257" s="4"/>
      <c r="J257" s="4"/>
      <c r="K257" s="4"/>
      <c r="L257" s="4"/>
      <c r="M257" s="1479" t="s">
        <v>543</v>
      </c>
      <c r="N257" s="1479"/>
      <c r="O257" s="1479"/>
      <c r="P257" s="1479"/>
      <c r="Q257" s="1479"/>
      <c r="R257" s="1479"/>
      <c r="S257" s="1479"/>
      <c r="T257" s="1479"/>
      <c r="U257" s="218" t="s">
        <v>920</v>
      </c>
      <c r="V257" s="218"/>
      <c r="W257" s="218"/>
      <c r="X257" s="218"/>
      <c r="Y257" s="218"/>
      <c r="Z257" s="218"/>
      <c r="AA257" s="1572" t="s">
        <v>2662</v>
      </c>
      <c r="AB257" s="1573"/>
      <c r="AC257" s="1573"/>
      <c r="AD257" s="1573"/>
      <c r="AE257" s="1573"/>
      <c r="AF257" s="1573"/>
      <c r="AG257" s="1573"/>
      <c r="AH257" s="1573"/>
      <c r="AI257" s="1573"/>
      <c r="AJ257" s="1573"/>
      <c r="AK257" s="1573"/>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887</v>
      </c>
      <c r="D259" s="4" t="s">
        <v>539</v>
      </c>
      <c r="E259" s="4"/>
      <c r="F259" s="4"/>
      <c r="G259" s="4"/>
      <c r="H259" s="4"/>
      <c r="I259" s="4"/>
      <c r="J259" s="4"/>
      <c r="K259" s="4"/>
      <c r="L259" s="4"/>
      <c r="M259" s="1568" t="s">
        <v>598</v>
      </c>
      <c r="N259" s="1569"/>
      <c r="O259" s="1569"/>
      <c r="P259" s="1569"/>
      <c r="Q259" s="1569"/>
      <c r="R259" s="1569"/>
      <c r="S259" s="1569"/>
      <c r="T259" s="1569"/>
      <c r="U259" s="1569"/>
      <c r="V259" s="1569"/>
      <c r="W259" s="1569"/>
      <c r="X259" s="1569"/>
      <c r="Y259" s="1569"/>
      <c r="Z259" s="1569"/>
      <c r="AA259" s="1569"/>
      <c r="AB259" s="1569"/>
      <c r="AC259" s="1569"/>
      <c r="AD259" s="1569"/>
      <c r="AE259" s="1569"/>
      <c r="AF259" s="1569" t="s">
        <v>307</v>
      </c>
      <c r="AG259" s="1569"/>
      <c r="AH259" s="1569"/>
      <c r="AI259" s="1569"/>
      <c r="AJ259" s="1569"/>
      <c r="AK259" s="1569"/>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501"/>
      <c r="N260" s="1501"/>
      <c r="O260" s="1501"/>
      <c r="P260" s="1501"/>
      <c r="Q260" s="1501"/>
      <c r="R260" s="1501"/>
      <c r="S260" s="1501"/>
      <c r="T260" s="1501"/>
      <c r="U260" s="1501"/>
      <c r="V260" s="1501"/>
      <c r="W260" s="1501"/>
      <c r="X260" s="1501"/>
      <c r="Y260" s="1501"/>
      <c r="Z260" s="1501"/>
      <c r="AA260" s="1501"/>
      <c r="AB260" s="1501"/>
      <c r="AC260" s="1501"/>
      <c r="AD260" s="1501"/>
      <c r="AE260" s="1501"/>
      <c r="AF260" s="3" t="s">
        <v>1282</v>
      </c>
      <c r="AL260" s="3"/>
      <c r="AM260" s="3"/>
      <c r="AN260" s="3"/>
      <c r="AO260" s="3"/>
      <c r="AP260" s="3"/>
      <c r="AQ260" s="3"/>
      <c r="AR260" s="3"/>
      <c r="AS260" s="3"/>
      <c r="AT260" s="3"/>
      <c r="AU260" s="3"/>
      <c r="AV260" s="3"/>
      <c r="AW260" s="3"/>
      <c r="AX260" s="3"/>
      <c r="AY260" s="3"/>
      <c r="BN260" s="34"/>
    </row>
    <row r="261" spans="1:66" ht="12.95" customHeight="1">
      <c r="A261" s="13"/>
      <c r="B261" s="4"/>
      <c r="C261" s="4"/>
      <c r="D261" s="4" t="s">
        <v>587</v>
      </c>
      <c r="E261" s="4"/>
      <c r="M261" s="1501"/>
      <c r="N261" s="1501"/>
      <c r="O261" s="1501"/>
      <c r="P261" s="1501"/>
      <c r="Q261" s="1501"/>
      <c r="R261" s="1501"/>
      <c r="S261" s="1501"/>
      <c r="T261" s="1501"/>
      <c r="V261" s="33" t="s">
        <v>86</v>
      </c>
      <c r="W261" s="1405"/>
      <c r="X261" s="1405"/>
      <c r="Y261" s="4" t="s">
        <v>590</v>
      </c>
      <c r="AC261" s="1501"/>
      <c r="AD261" s="1501"/>
      <c r="AE261" s="1501"/>
      <c r="AF261" s="3" t="s">
        <v>1283</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501"/>
      <c r="N262" s="1501"/>
      <c r="O262" s="1501"/>
      <c r="P262" s="1501"/>
      <c r="Q262" s="1501"/>
      <c r="R262" s="1501"/>
      <c r="S262" s="1501"/>
      <c r="T262" s="1501"/>
      <c r="U262" s="1501"/>
      <c r="V262" s="1501"/>
      <c r="W262" s="1501"/>
      <c r="X262" s="1501"/>
      <c r="Y262" s="1501"/>
      <c r="Z262" s="1501"/>
      <c r="AA262" s="1501"/>
      <c r="AB262" s="1501"/>
      <c r="AC262" s="1501"/>
      <c r="AD262" s="1501"/>
      <c r="AE262" s="1501"/>
      <c r="AH262" s="1514"/>
      <c r="AI262" s="1514"/>
      <c r="AJ262" s="1514"/>
      <c r="AK262" s="1514"/>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517"/>
      <c r="N263" s="1517"/>
      <c r="O263" s="1517"/>
      <c r="P263" s="1517"/>
      <c r="Q263" s="1517"/>
      <c r="R263" s="1517"/>
      <c r="S263" s="4" t="s">
        <v>206</v>
      </c>
      <c r="T263" s="4"/>
      <c r="U263" s="1405"/>
      <c r="V263" s="1405"/>
      <c r="W263" s="1405"/>
      <c r="X263" s="4" t="s">
        <v>89</v>
      </c>
      <c r="Z263" s="1517"/>
      <c r="AA263" s="1517"/>
      <c r="AB263" s="1517"/>
      <c r="AC263" s="1517"/>
      <c r="AD263" s="1517"/>
      <c r="AE263" s="1517"/>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566"/>
      <c r="N264" s="1566"/>
      <c r="O264" s="1566"/>
      <c r="P264" s="1566"/>
      <c r="Q264" s="1566"/>
      <c r="R264" s="1566"/>
      <c r="S264" s="1566"/>
      <c r="T264" s="1566"/>
      <c r="U264" s="1566"/>
      <c r="V264" s="1566"/>
      <c r="W264" s="1566"/>
      <c r="X264" s="1566"/>
      <c r="Y264" s="1566"/>
      <c r="Z264" s="1566"/>
      <c r="AA264" s="1567"/>
      <c r="AB264" s="1567"/>
      <c r="AC264" s="1567"/>
      <c r="AD264" s="1567"/>
      <c r="AE264" s="1567"/>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542</v>
      </c>
      <c r="E265" s="4"/>
      <c r="F265" s="4"/>
      <c r="G265" s="4"/>
      <c r="H265" s="4"/>
      <c r="I265" s="4"/>
      <c r="J265" s="4"/>
      <c r="K265" s="4"/>
      <c r="L265" s="4"/>
      <c r="M265" s="1479" t="s">
        <v>307</v>
      </c>
      <c r="N265" s="1479"/>
      <c r="O265" s="1479"/>
      <c r="P265" s="1479"/>
      <c r="Q265" s="1479"/>
      <c r="R265" s="1479"/>
      <c r="S265" s="1479"/>
      <c r="T265" s="1479"/>
      <c r="U265" s="218" t="s">
        <v>920</v>
      </c>
      <c r="V265" s="218"/>
      <c r="W265" s="218"/>
      <c r="X265" s="218"/>
      <c r="Y265" s="218"/>
      <c r="Z265" s="218"/>
      <c r="AA265" s="1574"/>
      <c r="AB265" s="1574"/>
      <c r="AC265" s="1574"/>
      <c r="AD265" s="1574"/>
      <c r="AE265" s="1574"/>
      <c r="AF265" s="1574"/>
      <c r="AG265" s="1574"/>
      <c r="AH265" s="1574"/>
      <c r="AI265" s="1574"/>
      <c r="AJ265" s="1574"/>
      <c r="AK265" s="1574"/>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597</v>
      </c>
      <c r="B267" s="4"/>
      <c r="C267" s="2" t="s">
        <v>295</v>
      </c>
      <c r="D267" s="4"/>
      <c r="E267" s="4"/>
      <c r="F267" s="4"/>
      <c r="G267" s="4"/>
      <c r="H267" s="4"/>
      <c r="I267" s="4"/>
      <c r="J267" s="4"/>
      <c r="K267" s="4"/>
      <c r="L267" s="4"/>
      <c r="M267" s="35"/>
      <c r="N267" s="35"/>
      <c r="O267" s="35"/>
      <c r="P267" s="35"/>
      <c r="Q267" s="35"/>
      <c r="T267" s="1571" t="str">
        <f>IFERROR(BO245,"")</f>
        <v>Joint Venture</v>
      </c>
      <c r="U267" s="1571"/>
      <c r="V267" s="1571"/>
      <c r="W267" s="1571"/>
      <c r="X267" s="1571"/>
      <c r="Z267" s="331" t="s">
        <v>970</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815</v>
      </c>
      <c r="AF268" s="4"/>
      <c r="AG268" s="4"/>
      <c r="AH268" s="4"/>
      <c r="AI268" s="4"/>
      <c r="AJ268" s="4"/>
      <c r="AL268" s="65"/>
      <c r="BN268" s="34"/>
    </row>
    <row r="269" spans="1:66" ht="12.95" customHeight="1">
      <c r="A269" s="2" t="s">
        <v>599</v>
      </c>
      <c r="B269" s="4"/>
      <c r="C269" s="2" t="s">
        <v>171</v>
      </c>
      <c r="D269" s="4"/>
      <c r="E269" s="4"/>
      <c r="F269" s="4"/>
      <c r="G269" s="4"/>
      <c r="H269" s="4"/>
      <c r="I269" s="4"/>
      <c r="J269" s="4"/>
      <c r="K269" s="4"/>
      <c r="L269" s="4"/>
      <c r="M269" s="4"/>
      <c r="N269" s="4"/>
      <c r="O269" s="4"/>
      <c r="P269" s="4"/>
      <c r="Q269" s="4"/>
      <c r="R269" s="4"/>
      <c r="S269" s="4"/>
      <c r="T269" s="4"/>
      <c r="U269" s="4"/>
      <c r="V269" s="4"/>
      <c r="W269" s="4"/>
      <c r="Z269" s="335" t="s">
        <v>969</v>
      </c>
      <c r="AA269" s="48"/>
      <c r="AB269" s="48"/>
      <c r="AC269" s="48"/>
      <c r="AD269" s="48"/>
      <c r="AE269" s="48"/>
      <c r="AF269" s="104"/>
      <c r="AG269" s="104"/>
      <c r="AH269" s="104"/>
      <c r="AI269" s="104"/>
      <c r="AJ269" s="104"/>
      <c r="AK269" s="48"/>
      <c r="AL269" s="49"/>
      <c r="BN269" s="34"/>
    </row>
    <row r="270" spans="1:66" ht="12.95" customHeight="1">
      <c r="A270" s="4"/>
      <c r="B270" s="36">
        <v>0</v>
      </c>
      <c r="D270" s="1501" t="s">
        <v>280</v>
      </c>
      <c r="E270" s="1501"/>
      <c r="F270" s="1501"/>
      <c r="G270" s="1501"/>
      <c r="H270" s="1501"/>
      <c r="J270" t="s">
        <v>279</v>
      </c>
      <c r="X270" s="1575" t="s">
        <v>598</v>
      </c>
      <c r="Y270" s="1575"/>
      <c r="Z270" s="1575"/>
      <c r="AA270" s="1575"/>
      <c r="AB270" s="1575"/>
      <c r="AC270" s="1575"/>
      <c r="AU270" s="3"/>
      <c r="AV270" s="3"/>
      <c r="AW270" s="3"/>
      <c r="AX270" s="3"/>
      <c r="AY270" s="3"/>
      <c r="BN270" s="34"/>
    </row>
    <row r="271" spans="1:66"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474</v>
      </c>
      <c r="B273" s="2"/>
      <c r="C273" s="2" t="s">
        <v>629</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296</v>
      </c>
      <c r="E274" s="4"/>
      <c r="F274" s="4"/>
      <c r="G274" s="4"/>
      <c r="H274" s="4"/>
      <c r="I274" s="4"/>
      <c r="J274" s="4"/>
      <c r="K274" s="4"/>
      <c r="L274" s="1568" t="s">
        <v>2662</v>
      </c>
      <c r="M274" s="1569"/>
      <c r="N274" s="1569"/>
      <c r="O274" s="1569"/>
      <c r="P274" s="1569"/>
      <c r="Q274" s="1569"/>
      <c r="R274" s="1569"/>
      <c r="S274" s="1569"/>
      <c r="T274" s="1569"/>
      <c r="U274" s="1569"/>
      <c r="V274" s="1569"/>
      <c r="W274" s="1569"/>
      <c r="X274" s="1569"/>
      <c r="Y274" s="1569"/>
      <c r="Z274" s="1569"/>
      <c r="AA274" s="1569"/>
      <c r="AB274" s="1569"/>
      <c r="AC274" s="1569"/>
      <c r="AD274" s="1569"/>
      <c r="AE274" s="1569"/>
      <c r="AF274" s="1569"/>
      <c r="AG274" s="1569"/>
      <c r="AH274" s="1569"/>
      <c r="AI274" s="1569"/>
      <c r="AJ274" s="1569"/>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417" t="s">
        <v>2663</v>
      </c>
      <c r="M275" s="1501"/>
      <c r="N275" s="1501"/>
      <c r="O275" s="1501"/>
      <c r="P275" s="1501"/>
      <c r="Q275" s="1501"/>
      <c r="R275" s="1501"/>
      <c r="S275" s="1501"/>
      <c r="T275" s="1501"/>
      <c r="U275" s="1501"/>
      <c r="V275" s="1501"/>
      <c r="W275" s="1501"/>
      <c r="X275" s="1501"/>
      <c r="Y275" s="1501"/>
      <c r="Z275" s="1501"/>
      <c r="AA275" s="1501"/>
      <c r="AB275" s="1501"/>
      <c r="AC275" s="1501"/>
      <c r="AD275" s="1501"/>
      <c r="AK275" s="3"/>
      <c r="AL275" s="3"/>
      <c r="AM275" s="3"/>
      <c r="AN275" s="3"/>
      <c r="AO275" s="3"/>
      <c r="AP275" s="3"/>
      <c r="AQ275" s="3"/>
      <c r="AR275" s="3"/>
      <c r="AS275" s="3"/>
      <c r="AT275" s="3"/>
      <c r="AU275" s="3"/>
      <c r="AV275" s="3"/>
      <c r="AW275" s="3"/>
      <c r="AX275" s="3"/>
      <c r="AY275" s="3"/>
      <c r="BN275" s="34"/>
    </row>
    <row r="276" spans="1:66" ht="12.95" customHeight="1">
      <c r="D276" s="4" t="s">
        <v>587</v>
      </c>
      <c r="E276" s="4"/>
      <c r="L276" s="1417" t="s">
        <v>737</v>
      </c>
      <c r="M276" s="1501"/>
      <c r="N276" s="1501"/>
      <c r="O276" s="1501"/>
      <c r="P276" s="1501"/>
      <c r="Q276" s="1501"/>
      <c r="R276" s="1501"/>
      <c r="S276" s="1501"/>
      <c r="U276" s="33" t="s">
        <v>86</v>
      </c>
      <c r="V276" s="1522" t="s">
        <v>2651</v>
      </c>
      <c r="W276" s="1405"/>
      <c r="X276" s="4" t="s">
        <v>590</v>
      </c>
      <c r="AB276" s="1501">
        <v>92128</v>
      </c>
      <c r="AC276" s="1501"/>
      <c r="AD276" s="1501"/>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417" t="s">
        <v>2664</v>
      </c>
      <c r="M277" s="1501"/>
      <c r="N277" s="1501"/>
      <c r="O277" s="1501"/>
      <c r="P277" s="1501"/>
      <c r="Q277" s="1501"/>
      <c r="R277" s="1501"/>
      <c r="S277" s="1501"/>
      <c r="T277" s="1501"/>
      <c r="U277" s="1501"/>
      <c r="V277" s="1501"/>
      <c r="W277" s="1501"/>
      <c r="X277" s="1501"/>
      <c r="Y277" s="1501"/>
      <c r="Z277" s="1501"/>
      <c r="AA277" s="1501"/>
      <c r="AB277" s="1501"/>
      <c r="AC277" s="1501"/>
      <c r="AD277" s="1501"/>
      <c r="AI277" s="4"/>
      <c r="AJ277" s="4"/>
      <c r="AK277" s="3"/>
      <c r="AL277" s="3"/>
      <c r="AM277" s="3"/>
      <c r="AN277" s="3"/>
      <c r="AO277" s="3"/>
      <c r="AP277" s="3"/>
      <c r="AQ277" s="3"/>
      <c r="AR277" s="3"/>
      <c r="AS277" s="3"/>
      <c r="AT277" s="3"/>
      <c r="BN277" s="34"/>
    </row>
    <row r="278" spans="1:66" ht="12.95" customHeight="1">
      <c r="D278" s="4" t="s">
        <v>88</v>
      </c>
      <c r="E278" s="4"/>
      <c r="F278" s="4"/>
      <c r="L278" s="1517">
        <v>4154887743</v>
      </c>
      <c r="M278" s="1517"/>
      <c r="N278" s="1517"/>
      <c r="O278" s="1517"/>
      <c r="P278" s="1517"/>
      <c r="Q278" s="1517"/>
      <c r="R278" s="4" t="s">
        <v>206</v>
      </c>
      <c r="S278" s="4"/>
      <c r="T278" s="1522" t="s">
        <v>598</v>
      </c>
      <c r="U278" s="1405"/>
      <c r="V278" s="1405"/>
      <c r="W278" s="4" t="s">
        <v>89</v>
      </c>
      <c r="Y278" s="1517">
        <v>8586799076</v>
      </c>
      <c r="Z278" s="1517"/>
      <c r="AA278" s="1517"/>
      <c r="AB278" s="1517"/>
      <c r="AC278" s="1517"/>
      <c r="AD278" s="1517"/>
      <c r="BN278" s="34"/>
    </row>
    <row r="279" spans="1:66" ht="12.95" customHeight="1">
      <c r="D279" s="4" t="s">
        <v>90</v>
      </c>
      <c r="E279" s="4"/>
      <c r="F279" s="4"/>
      <c r="L279" s="1566" t="s">
        <v>2769</v>
      </c>
      <c r="M279" s="1566"/>
      <c r="N279" s="1566"/>
      <c r="O279" s="1566"/>
      <c r="P279" s="1566"/>
      <c r="Q279" s="1566"/>
      <c r="R279" s="1566"/>
      <c r="S279" s="1566"/>
      <c r="T279" s="1566"/>
      <c r="U279" s="1566"/>
      <c r="V279" s="1566"/>
      <c r="W279" s="1566"/>
      <c r="X279" s="1566"/>
      <c r="Y279" s="1566"/>
      <c r="Z279" s="1566"/>
      <c r="AA279" s="1566"/>
      <c r="AB279" s="1566"/>
      <c r="AC279" s="1566"/>
      <c r="AD279" s="1566"/>
      <c r="AF279" s="4"/>
      <c r="AG279" s="4"/>
      <c r="AH279" s="4"/>
      <c r="AI279" s="4"/>
      <c r="AJ279" s="4"/>
      <c r="AU279" s="3"/>
      <c r="AV279" s="3"/>
      <c r="AW279" s="3"/>
      <c r="AX279" s="3"/>
      <c r="AY279" s="3"/>
      <c r="BN279" s="34"/>
    </row>
    <row r="280" spans="1:66" ht="12.95" customHeight="1">
      <c r="D280" s="3" t="s">
        <v>630</v>
      </c>
      <c r="E280" s="3"/>
      <c r="F280" s="3"/>
      <c r="G280" s="3"/>
      <c r="H280" s="3"/>
      <c r="I280" s="3"/>
      <c r="L280" s="1522" t="s">
        <v>2665</v>
      </c>
      <c r="M280" s="1522"/>
      <c r="N280" s="1522"/>
      <c r="O280" s="1522"/>
      <c r="P280" s="1522"/>
      <c r="Q280" s="1522"/>
      <c r="R280" s="1522"/>
      <c r="S280" s="1522"/>
      <c r="T280" s="1522"/>
      <c r="U280" s="1522"/>
      <c r="V280" s="1522"/>
      <c r="W280" s="1522"/>
      <c r="X280" s="1522"/>
      <c r="Y280" s="1522"/>
      <c r="Z280" s="1522"/>
      <c r="AA280" s="1522"/>
      <c r="AB280" s="1522"/>
      <c r="AC280" s="1522"/>
      <c r="AD280" s="1522"/>
      <c r="AK280" s="3"/>
      <c r="AL280" s="3"/>
      <c r="AM280" s="3"/>
      <c r="AN280" s="3"/>
      <c r="AO280" s="3"/>
      <c r="AP280" s="3"/>
      <c r="AQ280" s="3"/>
      <c r="AR280" s="3"/>
      <c r="AS280" s="3"/>
      <c r="AT280" s="3"/>
      <c r="BN280" s="34"/>
    </row>
    <row r="281" spans="1:66" ht="12.95" customHeight="1">
      <c r="L281" s="22" t="s">
        <v>631</v>
      </c>
      <c r="AU281" s="95"/>
      <c r="AV281" s="95"/>
      <c r="AW281" s="95"/>
      <c r="AX281" s="95"/>
      <c r="AY281" s="95"/>
      <c r="BN281" s="34"/>
    </row>
    <row r="282" spans="1:66" ht="12.95" customHeight="1">
      <c r="A282" s="1696" t="s">
        <v>548</v>
      </c>
      <c r="B282" s="1696"/>
      <c r="C282" s="1696"/>
      <c r="D282" s="1696"/>
      <c r="E282" s="1696"/>
      <c r="F282" s="1696"/>
      <c r="G282" s="1696"/>
      <c r="H282" s="1696"/>
      <c r="I282" s="1696"/>
      <c r="J282" s="1696"/>
      <c r="K282" s="1696"/>
      <c r="L282" s="1696"/>
      <c r="M282" s="1696"/>
      <c r="N282" s="1696"/>
      <c r="O282" s="1696"/>
      <c r="P282" s="1696"/>
      <c r="Q282" s="1696"/>
      <c r="R282" s="1696"/>
      <c r="S282" s="1696"/>
      <c r="T282" s="1696"/>
      <c r="U282" s="1696"/>
      <c r="V282" s="1696"/>
      <c r="W282" s="1696"/>
      <c r="X282" s="1696"/>
      <c r="Y282" s="1696"/>
      <c r="Z282" s="1696"/>
      <c r="AA282" s="1696"/>
      <c r="AB282" s="1696"/>
      <c r="AC282" s="1696"/>
      <c r="AD282" s="1696"/>
      <c r="AE282" s="1696"/>
      <c r="AF282" s="1696"/>
      <c r="AG282" s="1696"/>
      <c r="AH282" s="1696"/>
      <c r="AI282" s="1696"/>
      <c r="AJ282" s="1696"/>
      <c r="AK282" s="1696"/>
      <c r="AL282" s="1696"/>
      <c r="AM282" s="1696"/>
      <c r="AN282" s="1696"/>
      <c r="AO282" s="1696"/>
      <c r="AP282" s="1696"/>
      <c r="AQ282" s="1696"/>
      <c r="AR282" s="1696"/>
      <c r="AS282" s="1696"/>
      <c r="AT282" s="1696"/>
      <c r="AU282" s="95"/>
      <c r="AV282" s="95"/>
      <c r="AW282" s="95"/>
      <c r="AX282" s="95"/>
      <c r="AY282" s="95"/>
      <c r="BN282" s="34"/>
    </row>
    <row r="283" spans="1:66" ht="12.95" customHeight="1">
      <c r="A283" s="1696"/>
      <c r="B283" s="1696"/>
      <c r="C283" s="1696"/>
      <c r="D283" s="1696"/>
      <c r="E283" s="1696"/>
      <c r="F283" s="1696"/>
      <c r="G283" s="1696"/>
      <c r="H283" s="1696"/>
      <c r="I283" s="1696"/>
      <c r="J283" s="1696"/>
      <c r="K283" s="1696"/>
      <c r="L283" s="1696"/>
      <c r="M283" s="1696"/>
      <c r="N283" s="1696"/>
      <c r="O283" s="1696"/>
      <c r="P283" s="1696"/>
      <c r="Q283" s="1696"/>
      <c r="R283" s="1696"/>
      <c r="S283" s="1696"/>
      <c r="T283" s="1696"/>
      <c r="U283" s="1696"/>
      <c r="V283" s="1696"/>
      <c r="W283" s="1696"/>
      <c r="X283" s="1696"/>
      <c r="Y283" s="1696"/>
      <c r="Z283" s="1696"/>
      <c r="AA283" s="1696"/>
      <c r="AB283" s="1696"/>
      <c r="AC283" s="1696"/>
      <c r="AD283" s="1696"/>
      <c r="AE283" s="1696"/>
      <c r="AF283" s="1696"/>
      <c r="AG283" s="1696"/>
      <c r="AH283" s="1696"/>
      <c r="AI283" s="1696"/>
      <c r="AJ283" s="1696"/>
      <c r="AK283" s="1696"/>
      <c r="AL283" s="1696"/>
      <c r="AM283" s="1696"/>
      <c r="AN283" s="1696"/>
      <c r="AO283" s="1696"/>
      <c r="AP283" s="1696"/>
      <c r="AQ283" s="1696"/>
      <c r="AR283" s="1696"/>
      <c r="AS283" s="1696"/>
      <c r="AT283" s="1696"/>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319</v>
      </c>
      <c r="C285" s="2" t="s">
        <v>632</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633</v>
      </c>
      <c r="C287" s="3"/>
      <c r="D287" s="3"/>
      <c r="E287" s="3"/>
      <c r="F287" s="3"/>
      <c r="H287" s="1412" t="str">
        <f>L274</f>
        <v>Affirmed Housing Group, Inc.</v>
      </c>
      <c r="I287" s="1412"/>
      <c r="J287" s="1412"/>
      <c r="K287" s="1412"/>
      <c r="L287" s="1412"/>
      <c r="M287" s="1412"/>
      <c r="N287" s="1412"/>
      <c r="O287" s="1412"/>
      <c r="P287" s="1412"/>
      <c r="Q287" s="1412"/>
      <c r="R287" s="1412"/>
      <c r="T287" s="3" t="s">
        <v>574</v>
      </c>
      <c r="V287" s="3"/>
      <c r="W287" s="3"/>
      <c r="X287" s="3"/>
      <c r="Y287" s="3"/>
      <c r="AA287" s="1412" t="s">
        <v>2667</v>
      </c>
      <c r="AB287" s="1412"/>
      <c r="AC287" s="1412"/>
      <c r="AD287" s="1412"/>
      <c r="AE287" s="1412"/>
      <c r="AF287" s="1412"/>
      <c r="AG287" s="1412"/>
      <c r="AH287" s="1412"/>
      <c r="AI287" s="1412"/>
      <c r="AJ287" s="1412"/>
      <c r="AK287" s="1412"/>
      <c r="BN287" s="34"/>
    </row>
    <row r="288" spans="1:66" ht="12.95" customHeight="1">
      <c r="B288" s="3" t="s">
        <v>478</v>
      </c>
      <c r="C288" s="3"/>
      <c r="D288" s="3"/>
      <c r="E288" s="3"/>
      <c r="F288" s="3"/>
      <c r="H288" s="1479" t="str">
        <f>L275</f>
        <v>13520 Evening Creek Dr. N. Ste. 160</v>
      </c>
      <c r="I288" s="1479"/>
      <c r="J288" s="1479"/>
      <c r="K288" s="1479"/>
      <c r="L288" s="1479"/>
      <c r="M288" s="1479"/>
      <c r="N288" s="1479"/>
      <c r="O288" s="1479"/>
      <c r="P288" s="1479"/>
      <c r="Q288" s="1479"/>
      <c r="R288" s="1479"/>
      <c r="T288" s="3" t="s">
        <v>478</v>
      </c>
      <c r="V288" s="3"/>
      <c r="W288" s="3"/>
      <c r="X288" s="3"/>
      <c r="Y288" s="3"/>
      <c r="AA288" s="1479" t="s">
        <v>2668</v>
      </c>
      <c r="AB288" s="1479"/>
      <c r="AC288" s="1479"/>
      <c r="AD288" s="1479"/>
      <c r="AE288" s="1479"/>
      <c r="AF288" s="1479"/>
      <c r="AG288" s="1479"/>
      <c r="AH288" s="1479"/>
      <c r="AI288" s="1479"/>
      <c r="AJ288" s="1479"/>
      <c r="AK288" s="1479"/>
      <c r="BN288" s="34"/>
    </row>
    <row r="289" spans="2:66" ht="12.95" customHeight="1">
      <c r="B289" s="3" t="s">
        <v>479</v>
      </c>
      <c r="C289" s="3"/>
      <c r="D289" s="3"/>
      <c r="E289" s="3"/>
      <c r="F289" s="3"/>
      <c r="H289" s="1522" t="s">
        <v>2666</v>
      </c>
      <c r="I289" s="1479"/>
      <c r="J289" s="1479"/>
      <c r="K289" s="1479"/>
      <c r="L289" s="1479"/>
      <c r="M289" s="1479"/>
      <c r="N289" s="1479"/>
      <c r="O289" s="1479"/>
      <c r="P289" s="1479"/>
      <c r="Q289" s="1479"/>
      <c r="R289" s="1479"/>
      <c r="T289" s="3" t="s">
        <v>75</v>
      </c>
      <c r="V289" s="3"/>
      <c r="W289" s="3"/>
      <c r="X289" s="3"/>
      <c r="Y289" s="3"/>
      <c r="AA289" s="1479" t="s">
        <v>2669</v>
      </c>
      <c r="AB289" s="1479"/>
      <c r="AC289" s="1479"/>
      <c r="AD289" s="1479"/>
      <c r="AE289" s="1479"/>
      <c r="AF289" s="1479"/>
      <c r="AG289" s="1479"/>
      <c r="AH289" s="1479"/>
      <c r="AI289" s="1479"/>
      <c r="AJ289" s="1479"/>
      <c r="AK289" s="1479"/>
      <c r="BN289" s="34"/>
    </row>
    <row r="290" spans="2:66" ht="12.95" customHeight="1">
      <c r="B290" s="3" t="s">
        <v>87</v>
      </c>
      <c r="C290" s="3"/>
      <c r="D290" s="3"/>
      <c r="E290" s="3"/>
      <c r="F290" s="3"/>
      <c r="H290" s="1479" t="str">
        <f>L279</f>
        <v>rob@affirmedhousing.com</v>
      </c>
      <c r="I290" s="1479"/>
      <c r="J290" s="1479"/>
      <c r="K290" s="1479"/>
      <c r="L290" s="1479"/>
      <c r="M290" s="1479"/>
      <c r="N290" s="1479"/>
      <c r="O290" s="1479"/>
      <c r="P290" s="1479"/>
      <c r="Q290" s="1479"/>
      <c r="R290" s="1479"/>
      <c r="T290" s="3" t="s">
        <v>87</v>
      </c>
      <c r="V290" s="3"/>
      <c r="W290" s="3"/>
      <c r="X290" s="3"/>
      <c r="Y290" s="3"/>
      <c r="AA290" s="1479" t="s">
        <v>2670</v>
      </c>
      <c r="AB290" s="1479"/>
      <c r="AC290" s="1479"/>
      <c r="AD290" s="1479"/>
      <c r="AE290" s="1479"/>
      <c r="AF290" s="1479"/>
      <c r="AG290" s="1479"/>
      <c r="AH290" s="1479"/>
      <c r="AI290" s="1479"/>
      <c r="AJ290" s="1479"/>
      <c r="AK290" s="1479"/>
      <c r="BN290" s="34"/>
    </row>
    <row r="291" spans="2:66" ht="12.95" customHeight="1">
      <c r="B291" s="3" t="s">
        <v>88</v>
      </c>
      <c r="C291" s="3"/>
      <c r="D291" s="3"/>
      <c r="E291" s="3"/>
      <c r="F291" s="3"/>
      <c r="G291" s="3"/>
      <c r="H291" s="1553">
        <f>L278</f>
        <v>4154887743</v>
      </c>
      <c r="I291" s="1553"/>
      <c r="J291" s="1553"/>
      <c r="K291" s="1553"/>
      <c r="L291" s="1553"/>
      <c r="M291" s="1553"/>
      <c r="N291" s="4" t="s">
        <v>206</v>
      </c>
      <c r="O291" s="4"/>
      <c r="P291" s="1417" t="s">
        <v>598</v>
      </c>
      <c r="Q291" s="1501"/>
      <c r="R291" s="1501"/>
      <c r="S291" s="3"/>
      <c r="T291" s="3" t="s">
        <v>88</v>
      </c>
      <c r="V291" s="3"/>
      <c r="W291" s="3"/>
      <c r="X291" s="3"/>
      <c r="Y291" s="3"/>
      <c r="AA291" s="1553" t="s">
        <v>2671</v>
      </c>
      <c r="AB291" s="1553"/>
      <c r="AC291" s="1553"/>
      <c r="AD291" s="1553"/>
      <c r="AE291" s="1553"/>
      <c r="AF291" s="1553"/>
      <c r="AG291" s="4" t="s">
        <v>206</v>
      </c>
      <c r="AH291" s="4"/>
      <c r="AI291" s="1417">
        <v>220</v>
      </c>
      <c r="AJ291" s="1501"/>
      <c r="AK291" s="1501"/>
      <c r="BN291" s="34"/>
    </row>
    <row r="292" spans="2:66" ht="12.95" customHeight="1">
      <c r="B292" s="3" t="s">
        <v>89</v>
      </c>
      <c r="C292" s="3"/>
      <c r="D292" s="3"/>
      <c r="E292" s="3"/>
      <c r="F292" s="3"/>
      <c r="G292" s="3"/>
      <c r="H292" s="1517">
        <f>Y278</f>
        <v>8586799076</v>
      </c>
      <c r="I292" s="1517"/>
      <c r="J292" s="1517"/>
      <c r="K292" s="1517"/>
      <c r="L292" s="1517"/>
      <c r="M292" s="1517"/>
      <c r="N292" s="4"/>
      <c r="O292" s="4"/>
      <c r="P292" s="35"/>
      <c r="Q292" s="35"/>
      <c r="R292" s="35"/>
      <c r="S292" s="3"/>
      <c r="T292" s="3" t="s">
        <v>89</v>
      </c>
      <c r="V292" s="3"/>
      <c r="W292" s="3"/>
      <c r="X292" s="3"/>
      <c r="Y292" s="3"/>
      <c r="AA292" s="1532" t="s">
        <v>598</v>
      </c>
      <c r="AB292" s="1517"/>
      <c r="AC292" s="1517"/>
      <c r="AD292" s="1517"/>
      <c r="AE292" s="1517"/>
      <c r="AF292" s="1517"/>
      <c r="AG292" s="4"/>
      <c r="AH292" s="4"/>
      <c r="AI292" s="35"/>
      <c r="AJ292" s="35"/>
      <c r="AK292" s="35"/>
      <c r="BN292" s="34"/>
    </row>
    <row r="293" spans="2:66" ht="12.95" customHeight="1">
      <c r="B293" s="3" t="s">
        <v>76</v>
      </c>
      <c r="C293" s="3"/>
      <c r="D293" s="3"/>
      <c r="E293" s="3"/>
      <c r="F293" s="3"/>
      <c r="G293" s="3"/>
      <c r="H293" s="1479" t="str">
        <f>L279</f>
        <v>rob@affirmedhousing.com</v>
      </c>
      <c r="I293" s="1479"/>
      <c r="J293" s="1479"/>
      <c r="K293" s="1479"/>
      <c r="L293" s="1479"/>
      <c r="M293" s="1479"/>
      <c r="N293" s="1412"/>
      <c r="O293" s="1412"/>
      <c r="P293" s="1412"/>
      <c r="Q293" s="1412"/>
      <c r="R293" s="1412"/>
      <c r="S293" s="3"/>
      <c r="T293" s="3" t="s">
        <v>76</v>
      </c>
      <c r="V293" s="3"/>
      <c r="W293" s="3"/>
      <c r="X293" s="3"/>
      <c r="Y293" s="3"/>
      <c r="AA293" s="1479" t="s">
        <v>2672</v>
      </c>
      <c r="AB293" s="1479"/>
      <c r="AC293" s="1479"/>
      <c r="AD293" s="1479"/>
      <c r="AE293" s="1479"/>
      <c r="AF293" s="1479"/>
      <c r="AG293" s="1412"/>
      <c r="AH293" s="1412"/>
      <c r="AI293" s="1412"/>
      <c r="AJ293" s="1412"/>
      <c r="AK293" s="1412"/>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323</v>
      </c>
      <c r="C295" s="3"/>
      <c r="D295" s="3"/>
      <c r="E295" s="3"/>
      <c r="F295" s="3"/>
      <c r="H295" s="1412" t="s">
        <v>2673</v>
      </c>
      <c r="I295" s="1412"/>
      <c r="J295" s="1412"/>
      <c r="K295" s="1412"/>
      <c r="L295" s="1412"/>
      <c r="M295" s="1412"/>
      <c r="N295" s="1412"/>
      <c r="O295" s="1412"/>
      <c r="P295" s="1412"/>
      <c r="Q295" s="1412"/>
      <c r="R295" s="1412"/>
      <c r="T295" s="3" t="s">
        <v>364</v>
      </c>
      <c r="V295" s="3"/>
      <c r="W295" s="3"/>
      <c r="X295" s="3"/>
      <c r="Y295" s="3"/>
      <c r="AA295" s="1417" t="s">
        <v>2765</v>
      </c>
      <c r="AB295" s="1412"/>
      <c r="AC295" s="1412"/>
      <c r="AD295" s="1412"/>
      <c r="AE295" s="1412"/>
      <c r="AF295" s="1412"/>
      <c r="AG295" s="1412"/>
      <c r="AH295" s="1412"/>
      <c r="AI295" s="1412"/>
      <c r="AJ295" s="1412"/>
      <c r="AK295" s="1412"/>
      <c r="BN295" s="34"/>
    </row>
    <row r="296" spans="2:66" ht="12.95" customHeight="1">
      <c r="B296" s="3" t="s">
        <v>478</v>
      </c>
      <c r="C296" s="3"/>
      <c r="D296" s="3"/>
      <c r="E296" s="3"/>
      <c r="F296" s="3"/>
      <c r="H296" s="1479" t="s">
        <v>2674</v>
      </c>
      <c r="I296" s="1479"/>
      <c r="J296" s="1479"/>
      <c r="K296" s="1479"/>
      <c r="L296" s="1479"/>
      <c r="M296" s="1479"/>
      <c r="N296" s="1479"/>
      <c r="O296" s="1479"/>
      <c r="P296" s="1479"/>
      <c r="Q296" s="1479"/>
      <c r="R296" s="1479"/>
      <c r="T296" s="3" t="s">
        <v>478</v>
      </c>
      <c r="V296" s="3"/>
      <c r="W296" s="3"/>
      <c r="X296" s="3"/>
      <c r="Y296" s="3"/>
      <c r="AA296" s="1479"/>
      <c r="AB296" s="1479"/>
      <c r="AC296" s="1479"/>
      <c r="AD296" s="1479"/>
      <c r="AE296" s="1479"/>
      <c r="AF296" s="1479"/>
      <c r="AG296" s="1479"/>
      <c r="AH296" s="1479"/>
      <c r="AI296" s="1479"/>
      <c r="AJ296" s="1479"/>
      <c r="AK296" s="1479"/>
      <c r="BN296" s="34"/>
    </row>
    <row r="297" spans="2:66" ht="12.95" customHeight="1">
      <c r="B297" s="3" t="s">
        <v>479</v>
      </c>
      <c r="C297" s="3"/>
      <c r="D297" s="3"/>
      <c r="E297" s="3"/>
      <c r="F297" s="3"/>
      <c r="H297" s="1479" t="s">
        <v>2675</v>
      </c>
      <c r="I297" s="1479"/>
      <c r="J297" s="1479"/>
      <c r="K297" s="1479"/>
      <c r="L297" s="1479"/>
      <c r="M297" s="1479"/>
      <c r="N297" s="1479"/>
      <c r="O297" s="1479"/>
      <c r="P297" s="1479"/>
      <c r="Q297" s="1479"/>
      <c r="R297" s="1479"/>
      <c r="T297" s="3" t="s">
        <v>75</v>
      </c>
      <c r="V297" s="3"/>
      <c r="W297" s="3"/>
      <c r="X297" s="3"/>
      <c r="Y297" s="3"/>
      <c r="AA297" s="1479"/>
      <c r="AB297" s="1479"/>
      <c r="AC297" s="1479"/>
      <c r="AD297" s="1479"/>
      <c r="AE297" s="1479"/>
      <c r="AF297" s="1479"/>
      <c r="AG297" s="1479"/>
      <c r="AH297" s="1479"/>
      <c r="AI297" s="1479"/>
      <c r="AJ297" s="1479"/>
      <c r="AK297" s="1479"/>
      <c r="BN297" s="34"/>
    </row>
    <row r="298" spans="2:66" ht="12.95" customHeight="1">
      <c r="B298" s="3" t="s">
        <v>87</v>
      </c>
      <c r="C298" s="3"/>
      <c r="D298" s="3"/>
      <c r="E298" s="3"/>
      <c r="F298" s="3"/>
      <c r="H298" s="1479" t="s">
        <v>2676</v>
      </c>
      <c r="I298" s="1479"/>
      <c r="J298" s="1479"/>
      <c r="K298" s="1479"/>
      <c r="L298" s="1479"/>
      <c r="M298" s="1479"/>
      <c r="N298" s="1479"/>
      <c r="O298" s="1479"/>
      <c r="P298" s="1479"/>
      <c r="Q298" s="1479"/>
      <c r="R298" s="1479"/>
      <c r="T298" s="3" t="s">
        <v>87</v>
      </c>
      <c r="V298" s="3"/>
      <c r="W298" s="3"/>
      <c r="X298" s="3"/>
      <c r="Y298" s="3"/>
      <c r="AA298" s="1479"/>
      <c r="AB298" s="1479"/>
      <c r="AC298" s="1479"/>
      <c r="AD298" s="1479"/>
      <c r="AE298" s="1479"/>
      <c r="AF298" s="1479"/>
      <c r="AG298" s="1479"/>
      <c r="AH298" s="1479"/>
      <c r="AI298" s="1479"/>
      <c r="AJ298" s="1479"/>
      <c r="AK298" s="1479"/>
      <c r="BN298" s="34"/>
    </row>
    <row r="299" spans="2:66" ht="12.95" customHeight="1">
      <c r="B299" s="3" t="s">
        <v>88</v>
      </c>
      <c r="C299" s="3"/>
      <c r="D299" s="3"/>
      <c r="E299" s="3"/>
      <c r="F299" s="3"/>
      <c r="G299" s="3"/>
      <c r="H299" s="1553" t="s">
        <v>2677</v>
      </c>
      <c r="I299" s="1553"/>
      <c r="J299" s="1553"/>
      <c r="K299" s="1553"/>
      <c r="L299" s="1553"/>
      <c r="M299" s="1553"/>
      <c r="N299" s="4" t="s">
        <v>206</v>
      </c>
      <c r="O299" s="4"/>
      <c r="P299" s="1417" t="s">
        <v>598</v>
      </c>
      <c r="Q299" s="1501"/>
      <c r="R299" s="1501"/>
      <c r="S299" s="3"/>
      <c r="T299" s="3" t="s">
        <v>88</v>
      </c>
      <c r="V299" s="3"/>
      <c r="W299" s="3"/>
      <c r="X299" s="3"/>
      <c r="Y299" s="3"/>
      <c r="AA299" s="1553"/>
      <c r="AB299" s="1553"/>
      <c r="AC299" s="1553"/>
      <c r="AD299" s="1553"/>
      <c r="AE299" s="1553"/>
      <c r="AF299" s="1553"/>
      <c r="AG299" s="4" t="s">
        <v>206</v>
      </c>
      <c r="AH299" s="4"/>
      <c r="AI299" s="1501"/>
      <c r="AJ299" s="1501"/>
      <c r="AK299" s="1501"/>
      <c r="BN299" s="34"/>
    </row>
    <row r="300" spans="2:66" ht="12.95" customHeight="1">
      <c r="B300" s="3" t="s">
        <v>89</v>
      </c>
      <c r="C300" s="3"/>
      <c r="D300" s="3"/>
      <c r="E300" s="3"/>
      <c r="F300" s="3"/>
      <c r="G300" s="3"/>
      <c r="H300" s="1517" t="s">
        <v>2678</v>
      </c>
      <c r="I300" s="1517"/>
      <c r="J300" s="1517"/>
      <c r="K300" s="1517"/>
      <c r="L300" s="1517"/>
      <c r="M300" s="1517"/>
      <c r="N300" s="4"/>
      <c r="O300" s="4"/>
      <c r="P300" s="35"/>
      <c r="Q300" s="35"/>
      <c r="R300" s="35"/>
      <c r="S300" s="3"/>
      <c r="T300" s="3" t="s">
        <v>89</v>
      </c>
      <c r="V300" s="3"/>
      <c r="W300" s="3"/>
      <c r="X300" s="3"/>
      <c r="Y300" s="3"/>
      <c r="AA300" s="1517"/>
      <c r="AB300" s="1517"/>
      <c r="AC300" s="1517"/>
      <c r="AD300" s="1517"/>
      <c r="AE300" s="1517"/>
      <c r="AF300" s="1517"/>
      <c r="AG300" s="4"/>
      <c r="AH300" s="4"/>
      <c r="AI300" s="35"/>
      <c r="AJ300" s="35"/>
      <c r="AK300" s="35"/>
      <c r="BN300" s="34"/>
    </row>
    <row r="301" spans="2:66" ht="12.95" customHeight="1">
      <c r="B301" s="3" t="s">
        <v>76</v>
      </c>
      <c r="C301" s="3"/>
      <c r="D301" s="3"/>
      <c r="E301" s="3"/>
      <c r="F301" s="3"/>
      <c r="G301" s="3"/>
      <c r="H301" s="1522" t="s">
        <v>2770</v>
      </c>
      <c r="I301" s="1479"/>
      <c r="J301" s="1479"/>
      <c r="K301" s="1479"/>
      <c r="L301" s="1479"/>
      <c r="M301" s="1479"/>
      <c r="N301" s="1412"/>
      <c r="O301" s="1412"/>
      <c r="P301" s="1412"/>
      <c r="Q301" s="1412"/>
      <c r="R301" s="1412"/>
      <c r="S301" s="3"/>
      <c r="T301" s="3" t="s">
        <v>76</v>
      </c>
      <c r="V301" s="3"/>
      <c r="W301" s="3"/>
      <c r="X301" s="3"/>
      <c r="Y301" s="3"/>
      <c r="AA301" s="1479"/>
      <c r="AB301" s="1479"/>
      <c r="AC301" s="1479"/>
      <c r="AD301" s="1479"/>
      <c r="AE301" s="1479"/>
      <c r="AF301" s="1479"/>
      <c r="AG301" s="1412"/>
      <c r="AH301" s="1412"/>
      <c r="AI301" s="1412"/>
      <c r="AJ301" s="1412"/>
      <c r="AK301" s="1412"/>
      <c r="BN301" s="34"/>
    </row>
    <row r="302" spans="2:66" ht="12.95" customHeight="1">
      <c r="BN302" s="34"/>
    </row>
    <row r="303" spans="2:66" ht="12.95" customHeight="1">
      <c r="B303" s="3" t="s">
        <v>77</v>
      </c>
      <c r="C303" s="3"/>
      <c r="D303" s="3"/>
      <c r="E303" s="3"/>
      <c r="F303" s="3"/>
      <c r="H303" s="1412" t="s">
        <v>2687</v>
      </c>
      <c r="I303" s="1412"/>
      <c r="J303" s="1412"/>
      <c r="K303" s="1412"/>
      <c r="L303" s="1412"/>
      <c r="M303" s="1412"/>
      <c r="N303" s="1412"/>
      <c r="O303" s="1412"/>
      <c r="P303" s="1412"/>
      <c r="Q303" s="1412"/>
      <c r="R303" s="1412"/>
      <c r="T303" s="4" t="s">
        <v>889</v>
      </c>
      <c r="V303" s="3"/>
      <c r="W303" s="3"/>
      <c r="X303" s="3"/>
      <c r="Y303" s="3"/>
      <c r="AA303" s="1412" t="s">
        <v>2680</v>
      </c>
      <c r="AB303" s="1412"/>
      <c r="AC303" s="1412"/>
      <c r="AD303" s="1412"/>
      <c r="AE303" s="1412"/>
      <c r="AF303" s="1412"/>
      <c r="AG303" s="1412"/>
      <c r="AH303" s="1412"/>
      <c r="AI303" s="1412"/>
      <c r="AJ303" s="1412"/>
      <c r="AK303" s="1412"/>
      <c r="BN303" s="34"/>
    </row>
    <row r="304" spans="2:66" ht="12.95" customHeight="1">
      <c r="B304" s="3" t="s">
        <v>478</v>
      </c>
      <c r="C304" s="3"/>
      <c r="D304" s="3"/>
      <c r="E304" s="3"/>
      <c r="F304" s="3"/>
      <c r="H304" s="1479" t="s">
        <v>2688</v>
      </c>
      <c r="I304" s="1479"/>
      <c r="J304" s="1479"/>
      <c r="K304" s="1479"/>
      <c r="L304" s="1479"/>
      <c r="M304" s="1479"/>
      <c r="N304" s="1479"/>
      <c r="O304" s="1479"/>
      <c r="P304" s="1479"/>
      <c r="Q304" s="1479"/>
      <c r="R304" s="1479"/>
      <c r="T304" s="3" t="s">
        <v>478</v>
      </c>
      <c r="V304" s="3"/>
      <c r="W304" s="3"/>
      <c r="X304" s="3"/>
      <c r="Y304" s="3"/>
      <c r="AA304" s="1479" t="s">
        <v>2681</v>
      </c>
      <c r="AB304" s="1479"/>
      <c r="AC304" s="1479"/>
      <c r="AD304" s="1479"/>
      <c r="AE304" s="1479"/>
      <c r="AF304" s="1479"/>
      <c r="AG304" s="1479"/>
      <c r="AH304" s="1479"/>
      <c r="AI304" s="1479"/>
      <c r="AJ304" s="1479"/>
      <c r="AK304" s="1479"/>
      <c r="BN304" s="34"/>
    </row>
    <row r="305" spans="2:66" ht="12.95" customHeight="1">
      <c r="B305" s="3" t="s">
        <v>479</v>
      </c>
      <c r="C305" s="3"/>
      <c r="D305" s="3"/>
      <c r="E305" s="3"/>
      <c r="F305" s="3"/>
      <c r="H305" s="1479" t="s">
        <v>2689</v>
      </c>
      <c r="I305" s="1479"/>
      <c r="J305" s="1479"/>
      <c r="K305" s="1479"/>
      <c r="L305" s="1479"/>
      <c r="M305" s="1479"/>
      <c r="N305" s="1479"/>
      <c r="O305" s="1479"/>
      <c r="P305" s="1479"/>
      <c r="Q305" s="1479"/>
      <c r="R305" s="1479"/>
      <c r="T305" s="3" t="s">
        <v>75</v>
      </c>
      <c r="V305" s="3"/>
      <c r="W305" s="3"/>
      <c r="X305" s="3"/>
      <c r="Y305" s="3"/>
      <c r="AA305" s="1479" t="s">
        <v>2682</v>
      </c>
      <c r="AB305" s="1479"/>
      <c r="AC305" s="1479"/>
      <c r="AD305" s="1479"/>
      <c r="AE305" s="1479"/>
      <c r="AF305" s="1479"/>
      <c r="AG305" s="1479"/>
      <c r="AH305" s="1479"/>
      <c r="AI305" s="1479"/>
      <c r="AJ305" s="1479"/>
      <c r="AK305" s="1479"/>
      <c r="BN305" s="34"/>
    </row>
    <row r="306" spans="2:66" ht="12.95" customHeight="1">
      <c r="B306" s="3" t="s">
        <v>87</v>
      </c>
      <c r="C306" s="3"/>
      <c r="D306" s="3"/>
      <c r="E306" s="3"/>
      <c r="F306" s="3"/>
      <c r="H306" s="1479" t="s">
        <v>2690</v>
      </c>
      <c r="I306" s="1479"/>
      <c r="J306" s="1479"/>
      <c r="K306" s="1479"/>
      <c r="L306" s="1479"/>
      <c r="M306" s="1479"/>
      <c r="N306" s="1479"/>
      <c r="O306" s="1479"/>
      <c r="P306" s="1479"/>
      <c r="Q306" s="1479"/>
      <c r="R306" s="1479"/>
      <c r="T306" s="3" t="s">
        <v>87</v>
      </c>
      <c r="V306" s="3"/>
      <c r="W306" s="3"/>
      <c r="X306" s="3"/>
      <c r="Y306" s="3"/>
      <c r="AA306" s="1479" t="s">
        <v>2683</v>
      </c>
      <c r="AB306" s="1479"/>
      <c r="AC306" s="1479"/>
      <c r="AD306" s="1479"/>
      <c r="AE306" s="1479"/>
      <c r="AF306" s="1479"/>
      <c r="AG306" s="1479"/>
      <c r="AH306" s="1479"/>
      <c r="AI306" s="1479"/>
      <c r="AJ306" s="1479"/>
      <c r="AK306" s="1479"/>
      <c r="BN306" s="34"/>
    </row>
    <row r="307" spans="2:66" ht="12.95" customHeight="1">
      <c r="B307" s="3" t="s">
        <v>88</v>
      </c>
      <c r="C307" s="3"/>
      <c r="D307" s="3"/>
      <c r="E307" s="3"/>
      <c r="F307" s="3"/>
      <c r="G307" s="3"/>
      <c r="H307" s="1553" t="s">
        <v>2691</v>
      </c>
      <c r="I307" s="1553"/>
      <c r="J307" s="1553"/>
      <c r="K307" s="1553"/>
      <c r="L307" s="1553"/>
      <c r="M307" s="1553"/>
      <c r="N307" s="4" t="s">
        <v>206</v>
      </c>
      <c r="O307" s="4"/>
      <c r="P307" s="1417" t="s">
        <v>598</v>
      </c>
      <c r="Q307" s="1501"/>
      <c r="R307" s="1501"/>
      <c r="S307" s="3"/>
      <c r="T307" s="3" t="s">
        <v>88</v>
      </c>
      <c r="V307" s="3"/>
      <c r="W307" s="3"/>
      <c r="X307" s="3"/>
      <c r="Y307" s="3"/>
      <c r="AA307" s="1553" t="s">
        <v>2684</v>
      </c>
      <c r="AB307" s="1553"/>
      <c r="AC307" s="1553"/>
      <c r="AD307" s="1553"/>
      <c r="AE307" s="1553"/>
      <c r="AF307" s="1553"/>
      <c r="AG307" s="4" t="s">
        <v>206</v>
      </c>
      <c r="AH307" s="4"/>
      <c r="AI307" s="1501">
        <v>1005</v>
      </c>
      <c r="AJ307" s="1501"/>
      <c r="AK307" s="1501"/>
      <c r="BN307" s="34"/>
    </row>
    <row r="308" spans="2:66" ht="12.95" customHeight="1">
      <c r="B308" s="3" t="s">
        <v>89</v>
      </c>
      <c r="C308" s="3"/>
      <c r="D308" s="3"/>
      <c r="E308" s="3"/>
      <c r="F308" s="3"/>
      <c r="G308" s="3"/>
      <c r="H308" s="1532" t="s">
        <v>598</v>
      </c>
      <c r="I308" s="1517"/>
      <c r="J308" s="1517"/>
      <c r="K308" s="1517"/>
      <c r="L308" s="1517"/>
      <c r="M308" s="1517"/>
      <c r="N308" s="4"/>
      <c r="O308" s="4"/>
      <c r="P308" s="35"/>
      <c r="Q308" s="35"/>
      <c r="R308" s="35"/>
      <c r="S308" s="3"/>
      <c r="T308" s="3" t="s">
        <v>89</v>
      </c>
      <c r="V308" s="3"/>
      <c r="W308" s="3"/>
      <c r="X308" s="3"/>
      <c r="Y308" s="3"/>
      <c r="AA308" s="1517" t="s">
        <v>2685</v>
      </c>
      <c r="AB308" s="1517"/>
      <c r="AC308" s="1517"/>
      <c r="AD308" s="1517"/>
      <c r="AE308" s="1517"/>
      <c r="AF308" s="1517"/>
      <c r="AG308" s="4"/>
      <c r="AH308" s="4"/>
      <c r="AI308" s="35"/>
      <c r="AJ308" s="35"/>
      <c r="AK308" s="35"/>
      <c r="BN308" s="34"/>
    </row>
    <row r="309" spans="2:66" ht="12.95" customHeight="1">
      <c r="B309" s="3" t="s">
        <v>76</v>
      </c>
      <c r="C309" s="3"/>
      <c r="D309" s="3"/>
      <c r="E309" s="3"/>
      <c r="F309" s="3"/>
      <c r="G309" s="3"/>
      <c r="H309" s="1479" t="s">
        <v>2679</v>
      </c>
      <c r="I309" s="1479"/>
      <c r="J309" s="1479"/>
      <c r="K309" s="1479"/>
      <c r="L309" s="1479"/>
      <c r="M309" s="1479"/>
      <c r="N309" s="1412"/>
      <c r="O309" s="1412"/>
      <c r="P309" s="1412"/>
      <c r="Q309" s="1412"/>
      <c r="R309" s="1412"/>
      <c r="S309" s="3"/>
      <c r="T309" s="3" t="s">
        <v>76</v>
      </c>
      <c r="V309" s="3"/>
      <c r="W309" s="3"/>
      <c r="X309" s="3"/>
      <c r="Y309" s="3"/>
      <c r="AA309" s="1479" t="s">
        <v>2686</v>
      </c>
      <c r="AB309" s="1479"/>
      <c r="AC309" s="1479"/>
      <c r="AD309" s="1479"/>
      <c r="AE309" s="1479"/>
      <c r="AF309" s="1479"/>
      <c r="AG309" s="1412"/>
      <c r="AH309" s="1412"/>
      <c r="AI309" s="1412"/>
      <c r="AJ309" s="1412"/>
      <c r="AK309" s="1412"/>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921</v>
      </c>
      <c r="C311" s="3"/>
      <c r="D311" s="3"/>
      <c r="E311" s="3"/>
      <c r="F311" s="3"/>
      <c r="H311" s="1412" t="str">
        <f>H303</f>
        <v>Novogradac and Company LLP</v>
      </c>
      <c r="I311" s="1412"/>
      <c r="J311" s="1412"/>
      <c r="K311" s="1412"/>
      <c r="L311" s="1412"/>
      <c r="M311" s="1412"/>
      <c r="N311" s="1412"/>
      <c r="O311" s="1412"/>
      <c r="P311" s="1412"/>
      <c r="Q311" s="1412"/>
      <c r="R311" s="1412"/>
      <c r="S311" s="3"/>
      <c r="T311" s="3" t="s">
        <v>365</v>
      </c>
      <c r="V311" s="3"/>
      <c r="W311" s="3"/>
      <c r="X311" s="3"/>
      <c r="Y311" s="3"/>
      <c r="AA311" s="1570" t="s">
        <v>2692</v>
      </c>
      <c r="AB311" s="1570"/>
      <c r="AC311" s="1570"/>
      <c r="AD311" s="1570"/>
      <c r="AE311" s="1570"/>
      <c r="AF311" s="1570"/>
      <c r="AG311" s="1570"/>
      <c r="AH311" s="1570"/>
      <c r="AI311" s="1570"/>
      <c r="AJ311" s="1570"/>
      <c r="AK311" s="1570"/>
      <c r="BN311" s="34"/>
    </row>
    <row r="312" spans="2:66" ht="12.95" customHeight="1">
      <c r="B312" s="3" t="s">
        <v>478</v>
      </c>
      <c r="C312" s="3"/>
      <c r="D312" s="3"/>
      <c r="E312" s="3"/>
      <c r="F312" s="3"/>
      <c r="H312" s="1479" t="str">
        <f t="shared" ref="H312:H314" si="0">H304</f>
        <v>2033 N. Main Street, Suite 400</v>
      </c>
      <c r="I312" s="1479"/>
      <c r="J312" s="1479"/>
      <c r="K312" s="1479"/>
      <c r="L312" s="1479"/>
      <c r="M312" s="1479"/>
      <c r="N312" s="1479"/>
      <c r="O312" s="1479"/>
      <c r="P312" s="1479"/>
      <c r="Q312" s="1479"/>
      <c r="R312" s="1479"/>
      <c r="S312" s="3"/>
      <c r="T312" s="3" t="s">
        <v>478</v>
      </c>
      <c r="V312" s="3"/>
      <c r="W312" s="3"/>
      <c r="X312" s="3"/>
      <c r="Y312" s="3"/>
      <c r="AA312" s="1356" t="s">
        <v>2693</v>
      </c>
      <c r="AB312" s="1356"/>
      <c r="AC312" s="1356"/>
      <c r="AD312" s="1356"/>
      <c r="AE312" s="1356"/>
      <c r="AF312" s="1356"/>
      <c r="AG312" s="1356"/>
      <c r="AH312" s="1356"/>
      <c r="AI312" s="1356"/>
      <c r="AJ312" s="1356"/>
      <c r="AK312" s="1356"/>
      <c r="BN312" s="34"/>
    </row>
    <row r="313" spans="2:66" ht="12.95" customHeight="1">
      <c r="B313" s="3" t="s">
        <v>479</v>
      </c>
      <c r="C313" s="3"/>
      <c r="D313" s="3"/>
      <c r="E313" s="3"/>
      <c r="F313" s="3"/>
      <c r="H313" s="1479" t="str">
        <f t="shared" si="0"/>
        <v>Walnut Creek, CA 94596</v>
      </c>
      <c r="I313" s="1479"/>
      <c r="J313" s="1479"/>
      <c r="K313" s="1479"/>
      <c r="L313" s="1479"/>
      <c r="M313" s="1479"/>
      <c r="N313" s="1479"/>
      <c r="O313" s="1479"/>
      <c r="P313" s="1479"/>
      <c r="Q313" s="1479"/>
      <c r="R313" s="1479"/>
      <c r="S313" s="3"/>
      <c r="T313" s="3" t="s">
        <v>75</v>
      </c>
      <c r="V313" s="3"/>
      <c r="W313" s="3"/>
      <c r="X313" s="3"/>
      <c r="Y313" s="3"/>
      <c r="AA313" s="1356" t="s">
        <v>2694</v>
      </c>
      <c r="AB313" s="1356"/>
      <c r="AC313" s="1356"/>
      <c r="AD313" s="1356"/>
      <c r="AE313" s="1356"/>
      <c r="AF313" s="1356"/>
      <c r="AG313" s="1356"/>
      <c r="AH313" s="1356"/>
      <c r="AI313" s="1356"/>
      <c r="AJ313" s="1356"/>
      <c r="AK313" s="1356"/>
      <c r="BN313" s="34"/>
    </row>
    <row r="314" spans="2:66" ht="12.95" customHeight="1">
      <c r="B314" s="3" t="s">
        <v>87</v>
      </c>
      <c r="C314" s="3"/>
      <c r="D314" s="3"/>
      <c r="E314" s="3"/>
      <c r="F314" s="3"/>
      <c r="H314" s="1479" t="str">
        <f t="shared" si="0"/>
        <v>Sun-Ae Woo</v>
      </c>
      <c r="I314" s="1479"/>
      <c r="J314" s="1479"/>
      <c r="K314" s="1479"/>
      <c r="L314" s="1479"/>
      <c r="M314" s="1479"/>
      <c r="N314" s="1479"/>
      <c r="O314" s="1479"/>
      <c r="P314" s="1479"/>
      <c r="Q314" s="1479"/>
      <c r="R314" s="1479"/>
      <c r="S314" s="3"/>
      <c r="T314" s="3" t="s">
        <v>87</v>
      </c>
      <c r="V314" s="3"/>
      <c r="W314" s="3"/>
      <c r="X314" s="3"/>
      <c r="Y314" s="3"/>
      <c r="AA314" s="1356" t="s">
        <v>2695</v>
      </c>
      <c r="AB314" s="1356"/>
      <c r="AC314" s="1356"/>
      <c r="AD314" s="1356"/>
      <c r="AE314" s="1356"/>
      <c r="AF314" s="1356"/>
      <c r="AG314" s="1356"/>
      <c r="AH314" s="1356"/>
      <c r="AI314" s="1356"/>
      <c r="AJ314" s="1356"/>
      <c r="AK314" s="1356"/>
      <c r="BN314" s="34"/>
    </row>
    <row r="315" spans="2:66" ht="12.95" customHeight="1">
      <c r="B315" s="3" t="s">
        <v>88</v>
      </c>
      <c r="C315" s="3"/>
      <c r="D315" s="3"/>
      <c r="E315" s="3"/>
      <c r="F315" s="3"/>
      <c r="G315" s="3"/>
      <c r="H315" s="1553" t="str">
        <f>H307</f>
        <v>925-949-4223</v>
      </c>
      <c r="I315" s="1553"/>
      <c r="J315" s="1553"/>
      <c r="K315" s="1553"/>
      <c r="L315" s="1553"/>
      <c r="M315" s="1553"/>
      <c r="N315" s="4" t="s">
        <v>206</v>
      </c>
      <c r="O315" s="4"/>
      <c r="P315" s="1501" t="str">
        <f>P307</f>
        <v>N/A</v>
      </c>
      <c r="Q315" s="1501"/>
      <c r="R315" s="1501"/>
      <c r="S315" s="3"/>
      <c r="T315" s="3" t="s">
        <v>88</v>
      </c>
      <c r="V315" s="3"/>
      <c r="W315" s="3"/>
      <c r="X315" s="3"/>
      <c r="Y315" s="3"/>
      <c r="AA315" s="1358" t="s">
        <v>2696</v>
      </c>
      <c r="AB315" s="1358"/>
      <c r="AC315" s="1358"/>
      <c r="AD315" s="1358"/>
      <c r="AE315" s="1358"/>
      <c r="AF315" s="1358"/>
      <c r="AG315" s="4" t="s">
        <v>206</v>
      </c>
      <c r="AH315" s="4"/>
      <c r="AI315" s="1417" t="s">
        <v>598</v>
      </c>
      <c r="AJ315" s="1501"/>
      <c r="AK315" s="1501"/>
      <c r="BN315" s="34"/>
    </row>
    <row r="316" spans="2:66" ht="12.95" customHeight="1">
      <c r="B316" s="3" t="s">
        <v>89</v>
      </c>
      <c r="C316" s="3"/>
      <c r="D316" s="3"/>
      <c r="E316" s="3"/>
      <c r="F316" s="3"/>
      <c r="G316" s="3"/>
      <c r="H316" s="1517" t="str">
        <f>H308</f>
        <v>N/A</v>
      </c>
      <c r="I316" s="1517"/>
      <c r="J316" s="1517"/>
      <c r="K316" s="1517"/>
      <c r="L316" s="1517"/>
      <c r="M316" s="1517"/>
      <c r="N316" s="4"/>
      <c r="O316" s="4"/>
      <c r="P316" s="35"/>
      <c r="Q316" s="35"/>
      <c r="R316" s="35"/>
      <c r="S316" s="3"/>
      <c r="T316" s="3" t="s">
        <v>89</v>
      </c>
      <c r="V316" s="3"/>
      <c r="W316" s="3"/>
      <c r="X316" s="3"/>
      <c r="Y316" s="3"/>
      <c r="AA316" s="1357" t="s">
        <v>598</v>
      </c>
      <c r="AB316" s="1357"/>
      <c r="AC316" s="1357"/>
      <c r="AD316" s="1357"/>
      <c r="AE316" s="1357"/>
      <c r="AF316" s="1357"/>
      <c r="AG316" s="4"/>
      <c r="AH316" s="4"/>
      <c r="AI316" s="35"/>
      <c r="AJ316" s="35"/>
      <c r="AK316" s="35"/>
      <c r="BN316" s="34"/>
    </row>
    <row r="317" spans="2:66" ht="12.95" customHeight="1">
      <c r="B317" s="3" t="s">
        <v>76</v>
      </c>
      <c r="C317" s="3"/>
      <c r="D317" s="3"/>
      <c r="E317" s="3"/>
      <c r="F317" s="3"/>
      <c r="G317" s="3"/>
      <c r="H317" s="1479" t="str">
        <f>H309</f>
        <v>sun-ae.woo@novoco.com</v>
      </c>
      <c r="I317" s="1479"/>
      <c r="J317" s="1479"/>
      <c r="K317" s="1479"/>
      <c r="L317" s="1479"/>
      <c r="M317" s="1479"/>
      <c r="N317" s="1412"/>
      <c r="O317" s="1412"/>
      <c r="P317" s="1412"/>
      <c r="Q317" s="1412"/>
      <c r="R317" s="1412"/>
      <c r="S317" s="3"/>
      <c r="T317" s="3" t="s">
        <v>76</v>
      </c>
      <c r="V317" s="3"/>
      <c r="W317" s="3"/>
      <c r="X317" s="3"/>
      <c r="Y317" s="3"/>
      <c r="AA317" s="1356" t="s">
        <v>2697</v>
      </c>
      <c r="AB317" s="1356"/>
      <c r="AC317" s="1356"/>
      <c r="AD317" s="1356"/>
      <c r="AE317" s="1356"/>
      <c r="AF317" s="1356"/>
      <c r="AG317" s="1359"/>
      <c r="AH317" s="1359"/>
      <c r="AI317" s="1359"/>
      <c r="AJ317" s="1359"/>
      <c r="AK317" s="1359"/>
      <c r="BN317" s="34"/>
    </row>
    <row r="318" spans="2:66" ht="12.95" customHeight="1">
      <c r="BN318" s="34"/>
    </row>
    <row r="319" spans="2:66" ht="12.95" customHeight="1">
      <c r="B319" s="4" t="s">
        <v>922</v>
      </c>
      <c r="C319" s="3"/>
      <c r="D319" s="3"/>
      <c r="E319" s="3"/>
      <c r="F319" s="3"/>
      <c r="H319" s="1417" t="s">
        <v>598</v>
      </c>
      <c r="I319" s="1412"/>
      <c r="J319" s="1412"/>
      <c r="K319" s="1412"/>
      <c r="L319" s="1412"/>
      <c r="M319" s="1412"/>
      <c r="N319" s="1412"/>
      <c r="O319" s="1412"/>
      <c r="P319" s="1412"/>
      <c r="Q319" s="1412"/>
      <c r="R319" s="1412"/>
      <c r="T319" s="3" t="s">
        <v>366</v>
      </c>
      <c r="V319" s="3"/>
      <c r="W319" s="3"/>
      <c r="X319" s="3"/>
      <c r="Y319" s="3"/>
      <c r="AA319" s="1417" t="s">
        <v>2771</v>
      </c>
      <c r="AB319" s="1412"/>
      <c r="AC319" s="1412"/>
      <c r="AD319" s="1412"/>
      <c r="AE319" s="1412"/>
      <c r="AF319" s="1412"/>
      <c r="AG319" s="1412"/>
      <c r="AH319" s="1412"/>
      <c r="AI319" s="1412"/>
      <c r="AJ319" s="1412"/>
      <c r="AK319" s="1412"/>
      <c r="BN319" s="34"/>
    </row>
    <row r="320" spans="2:66" ht="12.95" customHeight="1">
      <c r="B320" s="3" t="s">
        <v>478</v>
      </c>
      <c r="C320" s="3"/>
      <c r="D320" s="3"/>
      <c r="E320" s="3"/>
      <c r="F320" s="3"/>
      <c r="H320" s="1479"/>
      <c r="I320" s="1479"/>
      <c r="J320" s="1479"/>
      <c r="K320" s="1479"/>
      <c r="L320" s="1479"/>
      <c r="M320" s="1479"/>
      <c r="N320" s="1479"/>
      <c r="O320" s="1479"/>
      <c r="P320" s="1479"/>
      <c r="Q320" s="1479"/>
      <c r="R320" s="1479"/>
      <c r="T320" s="3" t="s">
        <v>478</v>
      </c>
      <c r="V320" s="3"/>
      <c r="W320" s="3"/>
      <c r="X320" s="3"/>
      <c r="Y320" s="3"/>
      <c r="AA320" s="1479" t="s">
        <v>2698</v>
      </c>
      <c r="AB320" s="1479"/>
      <c r="AC320" s="1479"/>
      <c r="AD320" s="1479"/>
      <c r="AE320" s="1479"/>
      <c r="AF320" s="1479"/>
      <c r="AG320" s="1479"/>
      <c r="AH320" s="1479"/>
      <c r="AI320" s="1479"/>
      <c r="AJ320" s="1479"/>
      <c r="AK320" s="1479"/>
      <c r="BN320" s="34"/>
    </row>
    <row r="321" spans="2:66" ht="12.95" customHeight="1">
      <c r="B321" s="3" t="s">
        <v>479</v>
      </c>
      <c r="C321" s="3"/>
      <c r="D321" s="3"/>
      <c r="E321" s="3"/>
      <c r="F321" s="3"/>
      <c r="H321" s="1479"/>
      <c r="I321" s="1479"/>
      <c r="J321" s="1479"/>
      <c r="K321" s="1479"/>
      <c r="L321" s="1479"/>
      <c r="M321" s="1479"/>
      <c r="N321" s="1479"/>
      <c r="O321" s="1479"/>
      <c r="P321" s="1479"/>
      <c r="Q321" s="1479"/>
      <c r="R321" s="1479"/>
      <c r="T321" s="3" t="s">
        <v>75</v>
      </c>
      <c r="V321" s="3"/>
      <c r="W321" s="3"/>
      <c r="X321" s="3"/>
      <c r="Y321" s="3"/>
      <c r="AA321" s="1479" t="s">
        <v>2699</v>
      </c>
      <c r="AB321" s="1479"/>
      <c r="AC321" s="1479"/>
      <c r="AD321" s="1479"/>
      <c r="AE321" s="1479"/>
      <c r="AF321" s="1479"/>
      <c r="AG321" s="1479"/>
      <c r="AH321" s="1479"/>
      <c r="AI321" s="1479"/>
      <c r="AJ321" s="1479"/>
      <c r="AK321" s="1479"/>
      <c r="BN321" s="34"/>
    </row>
    <row r="322" spans="2:66" ht="12.95" customHeight="1">
      <c r="B322" s="3" t="s">
        <v>87</v>
      </c>
      <c r="C322" s="3"/>
      <c r="D322" s="3"/>
      <c r="E322" s="3"/>
      <c r="F322" s="3"/>
      <c r="H322" s="1479"/>
      <c r="I322" s="1479"/>
      <c r="J322" s="1479"/>
      <c r="K322" s="1479"/>
      <c r="L322" s="1479"/>
      <c r="M322" s="1479"/>
      <c r="N322" s="1479"/>
      <c r="O322" s="1479"/>
      <c r="P322" s="1479"/>
      <c r="Q322" s="1479"/>
      <c r="R322" s="1479"/>
      <c r="T322" s="3" t="s">
        <v>87</v>
      </c>
      <c r="V322" s="3"/>
      <c r="W322" s="3"/>
      <c r="X322" s="3"/>
      <c r="Y322" s="3"/>
      <c r="AA322" s="1479" t="s">
        <v>2700</v>
      </c>
      <c r="AB322" s="1479"/>
      <c r="AC322" s="1479"/>
      <c r="AD322" s="1479"/>
      <c r="AE322" s="1479"/>
      <c r="AF322" s="1479"/>
      <c r="AG322" s="1479"/>
      <c r="AH322" s="1479"/>
      <c r="AI322" s="1479"/>
      <c r="AJ322" s="1479"/>
      <c r="AK322" s="1479"/>
      <c r="BN322" s="34"/>
    </row>
    <row r="323" spans="2:66" ht="12.95" customHeight="1">
      <c r="B323" s="3" t="s">
        <v>88</v>
      </c>
      <c r="C323" s="3"/>
      <c r="D323" s="3"/>
      <c r="E323" s="3"/>
      <c r="F323" s="3"/>
      <c r="G323" s="3"/>
      <c r="H323" s="1553"/>
      <c r="I323" s="1553"/>
      <c r="J323" s="1553"/>
      <c r="K323" s="1553"/>
      <c r="L323" s="1553"/>
      <c r="M323" s="1553"/>
      <c r="N323" s="4" t="s">
        <v>206</v>
      </c>
      <c r="O323" s="4"/>
      <c r="P323" s="1417"/>
      <c r="Q323" s="1501"/>
      <c r="R323" s="1501"/>
      <c r="S323" s="3"/>
      <c r="T323" s="3" t="s">
        <v>88</v>
      </c>
      <c r="V323" s="3"/>
      <c r="W323" s="3"/>
      <c r="X323" s="3"/>
      <c r="Y323" s="3"/>
      <c r="AA323" s="1553">
        <v>9163726100</v>
      </c>
      <c r="AB323" s="1553"/>
      <c r="AC323" s="1553"/>
      <c r="AD323" s="1553"/>
      <c r="AE323" s="1553"/>
      <c r="AF323" s="1553"/>
      <c r="AG323" s="4" t="s">
        <v>206</v>
      </c>
      <c r="AH323" s="4"/>
      <c r="AI323" s="1417" t="s">
        <v>598</v>
      </c>
      <c r="AJ323" s="1501"/>
      <c r="AK323" s="1501"/>
    </row>
    <row r="324" spans="2:66" ht="12.95" customHeight="1">
      <c r="B324" s="3" t="s">
        <v>89</v>
      </c>
      <c r="C324" s="3"/>
      <c r="D324" s="3"/>
      <c r="E324" s="3"/>
      <c r="F324" s="3"/>
      <c r="G324" s="3"/>
      <c r="H324" s="1517"/>
      <c r="I324" s="1517"/>
      <c r="J324" s="1517"/>
      <c r="K324" s="1517"/>
      <c r="L324" s="1517"/>
      <c r="M324" s="1517"/>
      <c r="N324" s="4"/>
      <c r="O324" s="4"/>
      <c r="P324" s="35"/>
      <c r="Q324" s="35"/>
      <c r="R324" s="35"/>
      <c r="S324" s="3"/>
      <c r="T324" s="3" t="s">
        <v>89</v>
      </c>
      <c r="V324" s="3"/>
      <c r="W324" s="3"/>
      <c r="X324" s="3"/>
      <c r="Y324" s="3"/>
      <c r="AA324" s="1517">
        <v>9164196108</v>
      </c>
      <c r="AB324" s="1517"/>
      <c r="AC324" s="1517"/>
      <c r="AD324" s="1517"/>
      <c r="AE324" s="1517"/>
      <c r="AF324" s="1517"/>
      <c r="AG324" s="4"/>
      <c r="AH324" s="4"/>
      <c r="AI324" s="35"/>
      <c r="AJ324" s="35"/>
      <c r="AK324" s="35"/>
    </row>
    <row r="325" spans="2:66" ht="12.95" customHeight="1">
      <c r="B325" s="3" t="s">
        <v>76</v>
      </c>
      <c r="C325" s="3"/>
      <c r="D325" s="3"/>
      <c r="E325" s="3"/>
      <c r="F325" s="3"/>
      <c r="G325" s="3"/>
      <c r="H325" s="1522"/>
      <c r="I325" s="1479"/>
      <c r="J325" s="1479"/>
      <c r="K325" s="1479"/>
      <c r="L325" s="1479"/>
      <c r="M325" s="1479"/>
      <c r="N325" s="1412"/>
      <c r="O325" s="1412"/>
      <c r="P325" s="1412"/>
      <c r="Q325" s="1412"/>
      <c r="R325" s="1412"/>
      <c r="S325" s="3"/>
      <c r="T325" s="3" t="s">
        <v>76</v>
      </c>
      <c r="V325" s="3"/>
      <c r="W325" s="3"/>
      <c r="X325" s="3"/>
      <c r="Y325" s="3"/>
      <c r="AA325" s="1479" t="s">
        <v>2701</v>
      </c>
      <c r="AB325" s="1479"/>
      <c r="AC325" s="1479"/>
      <c r="AD325" s="1479"/>
      <c r="AE325" s="1479"/>
      <c r="AF325" s="1479"/>
      <c r="AG325" s="1412"/>
      <c r="AH325" s="1412"/>
      <c r="AI325" s="1412"/>
      <c r="AJ325" s="1412"/>
      <c r="AK325" s="1412"/>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367</v>
      </c>
      <c r="C327" s="3"/>
      <c r="D327" s="3"/>
      <c r="E327" s="3"/>
      <c r="F327" s="3"/>
      <c r="H327" s="1412" t="s">
        <v>598</v>
      </c>
      <c r="I327" s="1412"/>
      <c r="J327" s="1412"/>
      <c r="K327" s="1412"/>
      <c r="L327" s="1412"/>
      <c r="M327" s="1412"/>
      <c r="N327" s="1412"/>
      <c r="O327" s="1412"/>
      <c r="P327" s="1412"/>
      <c r="Q327" s="1412"/>
      <c r="R327" s="1412"/>
      <c r="T327" s="3" t="s">
        <v>368</v>
      </c>
      <c r="V327" s="3"/>
      <c r="W327" s="3"/>
      <c r="X327" s="3"/>
      <c r="Y327" s="3"/>
      <c r="AA327" s="1417" t="s">
        <v>598</v>
      </c>
      <c r="AB327" s="1412"/>
      <c r="AC327" s="1412"/>
      <c r="AD327" s="1412"/>
      <c r="AE327" s="1412"/>
      <c r="AF327" s="1412"/>
      <c r="AG327" s="1412"/>
      <c r="AH327" s="1412"/>
      <c r="AI327" s="1412"/>
      <c r="AJ327" s="1412"/>
      <c r="AK327" s="1412"/>
    </row>
    <row r="328" spans="2:66" ht="12.95" customHeight="1">
      <c r="B328" s="3" t="s">
        <v>478</v>
      </c>
      <c r="C328" s="3"/>
      <c r="D328" s="3"/>
      <c r="E328" s="3"/>
      <c r="F328" s="3"/>
      <c r="H328" s="1479"/>
      <c r="I328" s="1479"/>
      <c r="J328" s="1479"/>
      <c r="K328" s="1479"/>
      <c r="L328" s="1479"/>
      <c r="M328" s="1479"/>
      <c r="N328" s="1479"/>
      <c r="O328" s="1479"/>
      <c r="P328" s="1479"/>
      <c r="Q328" s="1479"/>
      <c r="R328" s="1479"/>
      <c r="T328" s="3" t="s">
        <v>478</v>
      </c>
      <c r="V328" s="3"/>
      <c r="W328" s="3"/>
      <c r="X328" s="3"/>
      <c r="Y328" s="3"/>
      <c r="AA328" s="1479"/>
      <c r="AB328" s="1479"/>
      <c r="AC328" s="1479"/>
      <c r="AD328" s="1479"/>
      <c r="AE328" s="1479"/>
      <c r="AF328" s="1479"/>
      <c r="AG328" s="1479"/>
      <c r="AH328" s="1479"/>
      <c r="AI328" s="1479"/>
      <c r="AJ328" s="1479"/>
      <c r="AK328" s="1479"/>
    </row>
    <row r="329" spans="2:66" ht="12.95" customHeight="1">
      <c r="B329" s="3" t="s">
        <v>479</v>
      </c>
      <c r="C329" s="3"/>
      <c r="D329" s="3"/>
      <c r="E329" s="3"/>
      <c r="F329" s="3"/>
      <c r="H329" s="1479"/>
      <c r="I329" s="1479"/>
      <c r="J329" s="1479"/>
      <c r="K329" s="1479"/>
      <c r="L329" s="1479"/>
      <c r="M329" s="1479"/>
      <c r="N329" s="1479"/>
      <c r="O329" s="1479"/>
      <c r="P329" s="1479"/>
      <c r="Q329" s="1479"/>
      <c r="R329" s="1479"/>
      <c r="T329" s="3" t="s">
        <v>75</v>
      </c>
      <c r="V329" s="3"/>
      <c r="W329" s="3"/>
      <c r="X329" s="3"/>
      <c r="Y329" s="3"/>
      <c r="AA329" s="1479"/>
      <c r="AB329" s="1479"/>
      <c r="AC329" s="1479"/>
      <c r="AD329" s="1479"/>
      <c r="AE329" s="1479"/>
      <c r="AF329" s="1479"/>
      <c r="AG329" s="1479"/>
      <c r="AH329" s="1479"/>
      <c r="AI329" s="1479"/>
      <c r="AJ329" s="1479"/>
      <c r="AK329" s="1479"/>
    </row>
    <row r="330" spans="2:66" ht="12.95" customHeight="1">
      <c r="B330" s="3" t="s">
        <v>87</v>
      </c>
      <c r="C330" s="3"/>
      <c r="D330" s="3"/>
      <c r="E330" s="3"/>
      <c r="F330" s="3"/>
      <c r="H330" s="1479"/>
      <c r="I330" s="1479"/>
      <c r="J330" s="1479"/>
      <c r="K330" s="1479"/>
      <c r="L330" s="1479"/>
      <c r="M330" s="1479"/>
      <c r="N330" s="1479"/>
      <c r="O330" s="1479"/>
      <c r="P330" s="1479"/>
      <c r="Q330" s="1479"/>
      <c r="R330" s="1479"/>
      <c r="T330" s="3" t="s">
        <v>87</v>
      </c>
      <c r="V330" s="3"/>
      <c r="W330" s="3"/>
      <c r="X330" s="3"/>
      <c r="Y330" s="3"/>
      <c r="AA330" s="1479"/>
      <c r="AB330" s="1479"/>
      <c r="AC330" s="1479"/>
      <c r="AD330" s="1479"/>
      <c r="AE330" s="1479"/>
      <c r="AF330" s="1479"/>
      <c r="AG330" s="1479"/>
      <c r="AH330" s="1479"/>
      <c r="AI330" s="1479"/>
      <c r="AJ330" s="1479"/>
      <c r="AK330" s="1479"/>
    </row>
    <row r="331" spans="2:66" ht="12.95" customHeight="1">
      <c r="B331" s="3" t="s">
        <v>88</v>
      </c>
      <c r="C331" s="3"/>
      <c r="D331" s="3"/>
      <c r="E331" s="3"/>
      <c r="F331" s="3"/>
      <c r="G331" s="3"/>
      <c r="H331" s="1553"/>
      <c r="I331" s="1553"/>
      <c r="J331" s="1553"/>
      <c r="K331" s="1553"/>
      <c r="L331" s="1553"/>
      <c r="M331" s="1553"/>
      <c r="N331" s="4" t="s">
        <v>206</v>
      </c>
      <c r="O331" s="4"/>
      <c r="P331" s="1501"/>
      <c r="Q331" s="1501"/>
      <c r="R331" s="1501"/>
      <c r="S331" s="3"/>
      <c r="T331" s="3" t="s">
        <v>88</v>
      </c>
      <c r="V331" s="3"/>
      <c r="W331" s="3"/>
      <c r="X331" s="3"/>
      <c r="Y331" s="3"/>
      <c r="AA331" s="1553"/>
      <c r="AB331" s="1553"/>
      <c r="AC331" s="1553"/>
      <c r="AD331" s="1553"/>
      <c r="AE331" s="1553"/>
      <c r="AF331" s="1553"/>
      <c r="AG331" s="4" t="s">
        <v>206</v>
      </c>
      <c r="AH331" s="4"/>
      <c r="AI331" s="1501"/>
      <c r="AJ331" s="1501"/>
      <c r="AK331" s="1501"/>
    </row>
    <row r="332" spans="2:66" ht="12.95" customHeight="1">
      <c r="B332" s="3" t="s">
        <v>89</v>
      </c>
      <c r="C332" s="3"/>
      <c r="D332" s="3"/>
      <c r="E332" s="3"/>
      <c r="F332" s="3"/>
      <c r="G332" s="3"/>
      <c r="H332" s="1532"/>
      <c r="I332" s="1517"/>
      <c r="J332" s="1517"/>
      <c r="K332" s="1517"/>
      <c r="L332" s="1517"/>
      <c r="M332" s="1517"/>
      <c r="N332" s="4"/>
      <c r="O332" s="4"/>
      <c r="P332" s="35"/>
      <c r="Q332" s="35"/>
      <c r="R332" s="35"/>
      <c r="S332" s="3"/>
      <c r="T332" s="3" t="s">
        <v>89</v>
      </c>
      <c r="V332" s="3"/>
      <c r="W332" s="3"/>
      <c r="X332" s="3"/>
      <c r="Y332" s="3"/>
      <c r="AA332" s="1517"/>
      <c r="AB332" s="1517"/>
      <c r="AC332" s="1517"/>
      <c r="AD332" s="1517"/>
      <c r="AE332" s="1517"/>
      <c r="AF332" s="1517"/>
      <c r="AG332" s="4"/>
      <c r="AH332" s="4"/>
      <c r="AI332" s="35"/>
      <c r="AJ332" s="35"/>
      <c r="AK332" s="35"/>
    </row>
    <row r="333" spans="2:66" ht="12.95" customHeight="1">
      <c r="B333" s="3" t="s">
        <v>76</v>
      </c>
      <c r="C333" s="3"/>
      <c r="D333" s="3"/>
      <c r="E333" s="3"/>
      <c r="F333" s="3"/>
      <c r="G333" s="3"/>
      <c r="H333" s="1479"/>
      <c r="I333" s="1479"/>
      <c r="J333" s="1479"/>
      <c r="K333" s="1479"/>
      <c r="L333" s="1479"/>
      <c r="M333" s="1479"/>
      <c r="N333" s="1412"/>
      <c r="O333" s="1412"/>
      <c r="P333" s="1412"/>
      <c r="Q333" s="1412"/>
      <c r="R333" s="1412"/>
      <c r="S333" s="3"/>
      <c r="T333" s="3" t="s">
        <v>76</v>
      </c>
      <c r="V333" s="3"/>
      <c r="W333" s="3"/>
      <c r="X333" s="3"/>
      <c r="Y333" s="3"/>
      <c r="AA333" s="1479"/>
      <c r="AB333" s="1479"/>
      <c r="AC333" s="1479"/>
      <c r="AD333" s="1479"/>
      <c r="AE333" s="1479"/>
      <c r="AF333" s="1479"/>
      <c r="AG333" s="1412"/>
      <c r="AH333" s="1412"/>
      <c r="AI333" s="1412"/>
      <c r="AJ333" s="1412"/>
      <c r="AK333" s="1412"/>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329</v>
      </c>
      <c r="C335" s="3"/>
      <c r="D335" s="3"/>
      <c r="E335" s="3"/>
      <c r="F335" s="3"/>
      <c r="H335" s="1412" t="s">
        <v>2702</v>
      </c>
      <c r="I335" s="1412"/>
      <c r="J335" s="1412"/>
      <c r="K335" s="1412"/>
      <c r="L335" s="1412"/>
      <c r="M335" s="1412"/>
      <c r="N335" s="1412"/>
      <c r="O335" s="1412"/>
      <c r="P335" s="1412"/>
      <c r="Q335" s="1412"/>
      <c r="R335" s="1412"/>
      <c r="T335" s="218" t="s">
        <v>898</v>
      </c>
      <c r="V335" s="3"/>
      <c r="W335" s="3"/>
      <c r="X335" s="3"/>
      <c r="Y335" s="3"/>
      <c r="AA335" s="1412" t="s">
        <v>2709</v>
      </c>
      <c r="AB335" s="1412"/>
      <c r="AC335" s="1412"/>
      <c r="AD335" s="1412"/>
      <c r="AE335" s="1412"/>
      <c r="AF335" s="1412"/>
      <c r="AG335" s="1412"/>
      <c r="AH335" s="1412"/>
      <c r="AI335" s="1412"/>
      <c r="AJ335" s="1412"/>
      <c r="AK335" s="1412"/>
    </row>
    <row r="336" spans="2:66" ht="12.95" customHeight="1">
      <c r="B336" s="3" t="s">
        <v>478</v>
      </c>
      <c r="C336" s="3"/>
      <c r="D336" s="3"/>
      <c r="E336" s="3"/>
      <c r="F336" s="3"/>
      <c r="H336" s="1479" t="s">
        <v>2703</v>
      </c>
      <c r="I336" s="1479"/>
      <c r="J336" s="1479"/>
      <c r="K336" s="1479"/>
      <c r="L336" s="1479"/>
      <c r="M336" s="1479"/>
      <c r="N336" s="1479"/>
      <c r="O336" s="1479"/>
      <c r="P336" s="1479"/>
      <c r="Q336" s="1479"/>
      <c r="R336" s="1479"/>
      <c r="T336" s="3" t="s">
        <v>478</v>
      </c>
      <c r="V336" s="3"/>
      <c r="W336" s="3"/>
      <c r="X336" s="3"/>
      <c r="Y336" s="3"/>
      <c r="AA336" s="1479" t="s">
        <v>2710</v>
      </c>
      <c r="AB336" s="1479"/>
      <c r="AC336" s="1479"/>
      <c r="AD336" s="1479"/>
      <c r="AE336" s="1479"/>
      <c r="AF336" s="1479"/>
      <c r="AG336" s="1479"/>
      <c r="AH336" s="1479"/>
      <c r="AI336" s="1479"/>
      <c r="AJ336" s="1479"/>
      <c r="AK336" s="1479"/>
    </row>
    <row r="337" spans="1:66" ht="12.95" customHeight="1">
      <c r="B337" s="3" t="s">
        <v>75</v>
      </c>
      <c r="C337" s="3"/>
      <c r="D337" s="3"/>
      <c r="E337" s="3"/>
      <c r="F337" s="3"/>
      <c r="H337" s="1479" t="s">
        <v>2704</v>
      </c>
      <c r="I337" s="1479"/>
      <c r="J337" s="1479"/>
      <c r="K337" s="1479"/>
      <c r="L337" s="1479"/>
      <c r="M337" s="1479"/>
      <c r="N337" s="1479"/>
      <c r="O337" s="1479"/>
      <c r="P337" s="1479"/>
      <c r="Q337" s="1479"/>
      <c r="R337" s="1479"/>
      <c r="T337" s="3" t="s">
        <v>75</v>
      </c>
      <c r="V337" s="3"/>
      <c r="W337" s="3"/>
      <c r="X337" s="3"/>
      <c r="Y337" s="3"/>
      <c r="AA337" s="1479" t="s">
        <v>2711</v>
      </c>
      <c r="AB337" s="1479"/>
      <c r="AC337" s="1479"/>
      <c r="AD337" s="1479"/>
      <c r="AE337" s="1479"/>
      <c r="AF337" s="1479"/>
      <c r="AG337" s="1479"/>
      <c r="AH337" s="1479"/>
      <c r="AI337" s="1479"/>
      <c r="AJ337" s="1479"/>
      <c r="AK337" s="1479"/>
    </row>
    <row r="338" spans="1:66" ht="12.95" customHeight="1">
      <c r="B338" s="3" t="s">
        <v>87</v>
      </c>
      <c r="C338" s="3"/>
      <c r="D338" s="3"/>
      <c r="E338" s="3"/>
      <c r="F338" s="3"/>
      <c r="G338" s="3"/>
      <c r="H338" s="1479" t="s">
        <v>2705</v>
      </c>
      <c r="I338" s="1479"/>
      <c r="J338" s="1479"/>
      <c r="K338" s="1479"/>
      <c r="L338" s="1479"/>
      <c r="M338" s="1479"/>
      <c r="N338" s="1479"/>
      <c r="O338" s="1479"/>
      <c r="P338" s="1479"/>
      <c r="Q338" s="1479"/>
      <c r="R338" s="1479"/>
      <c r="T338" s="3" t="s">
        <v>87</v>
      </c>
      <c r="V338" s="3"/>
      <c r="W338" s="3"/>
      <c r="X338" s="3"/>
      <c r="Y338" s="3"/>
      <c r="AA338" s="1479" t="s">
        <v>2712</v>
      </c>
      <c r="AB338" s="1479"/>
      <c r="AC338" s="1479"/>
      <c r="AD338" s="1479"/>
      <c r="AE338" s="1479"/>
      <c r="AF338" s="1479"/>
      <c r="AG338" s="1479"/>
      <c r="AH338" s="1479"/>
      <c r="AI338" s="1479"/>
      <c r="AJ338" s="1479"/>
      <c r="AK338" s="1479"/>
    </row>
    <row r="339" spans="1:66" ht="12.95" customHeight="1">
      <c r="B339" s="3" t="s">
        <v>88</v>
      </c>
      <c r="C339" s="3"/>
      <c r="D339" s="3"/>
      <c r="E339" s="3"/>
      <c r="F339" s="3"/>
      <c r="G339" s="3"/>
      <c r="H339" s="1553" t="s">
        <v>2706</v>
      </c>
      <c r="I339" s="1553"/>
      <c r="J339" s="1553"/>
      <c r="K339" s="1553"/>
      <c r="L339" s="1553"/>
      <c r="M339" s="1553"/>
      <c r="N339" s="4" t="s">
        <v>206</v>
      </c>
      <c r="O339" s="4"/>
      <c r="P339" s="1417" t="s">
        <v>598</v>
      </c>
      <c r="Q339" s="1501"/>
      <c r="R339" s="1501"/>
      <c r="S339" s="3"/>
      <c r="T339" s="3" t="s">
        <v>88</v>
      </c>
      <c r="V339" s="3"/>
      <c r="W339" s="3"/>
      <c r="X339" s="3"/>
      <c r="Y339" s="3"/>
      <c r="AA339" s="1553" t="s">
        <v>2713</v>
      </c>
      <c r="AB339" s="1553"/>
      <c r="AC339" s="1553"/>
      <c r="AD339" s="1553"/>
      <c r="AE339" s="1553"/>
      <c r="AF339" s="1553"/>
      <c r="AG339" s="4" t="s">
        <v>206</v>
      </c>
      <c r="AH339" s="4"/>
      <c r="AI339" s="1417" t="s">
        <v>598</v>
      </c>
      <c r="AJ339" s="1501"/>
      <c r="AK339" s="1501"/>
    </row>
    <row r="340" spans="1:66" ht="12.95" customHeight="1">
      <c r="B340" s="3" t="s">
        <v>89</v>
      </c>
      <c r="C340" s="3"/>
      <c r="D340" s="3"/>
      <c r="E340" s="3"/>
      <c r="F340" s="3"/>
      <c r="G340" s="3"/>
      <c r="H340" s="1517" t="s">
        <v>2707</v>
      </c>
      <c r="I340" s="1517"/>
      <c r="J340" s="1517"/>
      <c r="K340" s="1517"/>
      <c r="L340" s="1517"/>
      <c r="M340" s="1517"/>
      <c r="N340" s="4"/>
      <c r="O340" s="4"/>
      <c r="P340" s="35"/>
      <c r="Q340" s="35"/>
      <c r="R340" s="35"/>
      <c r="S340" s="3"/>
      <c r="T340" s="3" t="s">
        <v>89</v>
      </c>
      <c r="V340" s="3"/>
      <c r="W340" s="3"/>
      <c r="X340" s="3"/>
      <c r="Y340" s="3"/>
      <c r="AA340" s="1517" t="s">
        <v>2685</v>
      </c>
      <c r="AB340" s="1517"/>
      <c r="AC340" s="1517"/>
      <c r="AD340" s="1517"/>
      <c r="AE340" s="1517"/>
      <c r="AF340" s="1517"/>
      <c r="AG340" s="4"/>
      <c r="AH340" s="4"/>
      <c r="AI340" s="35"/>
      <c r="AJ340" s="35"/>
      <c r="AK340" s="35"/>
    </row>
    <row r="341" spans="1:66" ht="12.95" customHeight="1">
      <c r="B341" s="3" t="s">
        <v>76</v>
      </c>
      <c r="C341" s="3"/>
      <c r="D341" s="3"/>
      <c r="E341" s="3"/>
      <c r="F341" s="3"/>
      <c r="G341" s="3"/>
      <c r="H341" s="1479" t="s">
        <v>2708</v>
      </c>
      <c r="I341" s="1479"/>
      <c r="J341" s="1479"/>
      <c r="K341" s="1479"/>
      <c r="L341" s="1479"/>
      <c r="M341" s="1479"/>
      <c r="N341" s="1412"/>
      <c r="O341" s="1412"/>
      <c r="P341" s="1412"/>
      <c r="Q341" s="1412"/>
      <c r="R341" s="1412"/>
      <c r="S341" s="3"/>
      <c r="T341" s="3" t="s">
        <v>76</v>
      </c>
      <c r="V341" s="3"/>
      <c r="W341" s="3"/>
      <c r="X341" s="3"/>
      <c r="Y341" s="3"/>
      <c r="AA341" s="1479" t="s">
        <v>2714</v>
      </c>
      <c r="AB341" s="1479"/>
      <c r="AC341" s="1479"/>
      <c r="AD341" s="1479"/>
      <c r="AE341" s="1479"/>
      <c r="AF341" s="1479"/>
      <c r="AG341" s="1412"/>
      <c r="AH341" s="1412"/>
      <c r="AI341" s="1412"/>
      <c r="AJ341" s="1412"/>
      <c r="AK341" s="1412"/>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598</v>
      </c>
    </row>
    <row r="343" spans="1:66" ht="12.95" customHeight="1">
      <c r="B343" s="3"/>
      <c r="C343" s="4"/>
      <c r="D343" s="4"/>
      <c r="E343" s="4"/>
      <c r="F343" s="4"/>
      <c r="I343" s="218" t="s">
        <v>899</v>
      </c>
      <c r="P343" s="1417" t="s">
        <v>598</v>
      </c>
      <c r="Q343" s="1412"/>
      <c r="R343" s="1412"/>
      <c r="S343" s="1412"/>
      <c r="T343" s="1412"/>
      <c r="U343" s="1412"/>
      <c r="V343" s="1412"/>
      <c r="W343" s="1412"/>
      <c r="X343" s="1412"/>
      <c r="Y343" s="1412"/>
      <c r="Z343" s="1412"/>
      <c r="AA343" s="1412"/>
      <c r="AB343" s="1412"/>
      <c r="AC343" s="1412"/>
      <c r="AD343" s="1412"/>
      <c r="AE343" s="1412"/>
      <c r="BN343" t="s">
        <v>676</v>
      </c>
    </row>
    <row r="344" spans="1:66" ht="12.95" customHeight="1">
      <c r="B344" s="4"/>
      <c r="C344" s="4"/>
      <c r="D344" s="4"/>
      <c r="E344" s="4"/>
      <c r="F344" s="4"/>
      <c r="I344" s="4" t="s">
        <v>478</v>
      </c>
      <c r="P344" s="1479"/>
      <c r="Q344" s="1479"/>
      <c r="R344" s="1479"/>
      <c r="S344" s="1479"/>
      <c r="T344" s="1479"/>
      <c r="U344" s="1479"/>
      <c r="V344" s="1479"/>
      <c r="W344" s="1479"/>
      <c r="X344" s="1479"/>
      <c r="Y344" s="1479"/>
      <c r="Z344" s="1479"/>
      <c r="AA344" s="1479"/>
      <c r="AB344" s="1479"/>
      <c r="AC344" s="1479"/>
      <c r="AD344" s="1479"/>
      <c r="AE344" s="1479"/>
      <c r="BN344" t="s">
        <v>552</v>
      </c>
    </row>
    <row r="345" spans="1:66" ht="12.95" customHeight="1">
      <c r="B345" s="4"/>
      <c r="C345" s="4"/>
      <c r="D345" s="4"/>
      <c r="E345" s="4"/>
      <c r="F345" s="4"/>
      <c r="I345" s="4" t="s">
        <v>75</v>
      </c>
      <c r="P345" s="1479"/>
      <c r="Q345" s="1479"/>
      <c r="R345" s="1479"/>
      <c r="S345" s="1479"/>
      <c r="T345" s="1479"/>
      <c r="U345" s="1479"/>
      <c r="V345" s="1479"/>
      <c r="W345" s="1479"/>
      <c r="X345" s="1479"/>
      <c r="Y345" s="1479"/>
      <c r="Z345" s="1479"/>
      <c r="AA345" s="1479"/>
      <c r="AB345" s="1479"/>
      <c r="AC345" s="1479"/>
      <c r="AD345" s="1479"/>
      <c r="AE345" s="1479"/>
    </row>
    <row r="346" spans="1:66" ht="12.95" customHeight="1">
      <c r="B346" s="4"/>
      <c r="C346" s="4"/>
      <c r="D346" s="4"/>
      <c r="E346" s="4"/>
      <c r="F346" s="4"/>
      <c r="G346" s="4"/>
      <c r="I346" s="4" t="s">
        <v>87</v>
      </c>
      <c r="P346" s="1479"/>
      <c r="Q346" s="1479"/>
      <c r="R346" s="1479"/>
      <c r="S346" s="1479"/>
      <c r="T346" s="1479"/>
      <c r="U346" s="1479"/>
      <c r="V346" s="1479"/>
      <c r="W346" s="1479"/>
      <c r="X346" s="1479"/>
      <c r="Y346" s="1479"/>
      <c r="Z346" s="1479"/>
      <c r="AA346" s="1479"/>
      <c r="AB346" s="1479"/>
      <c r="AC346" s="1479"/>
      <c r="AD346" s="1479"/>
      <c r="AE346" s="1479"/>
    </row>
    <row r="347" spans="1:66" ht="12.95" customHeight="1">
      <c r="B347" s="4"/>
      <c r="C347" s="4"/>
      <c r="D347" s="4"/>
      <c r="E347" s="4"/>
      <c r="F347" s="4"/>
      <c r="G347" s="4"/>
      <c r="H347" s="324"/>
      <c r="I347" s="4" t="s">
        <v>88</v>
      </c>
      <c r="P347" s="1517"/>
      <c r="Q347" s="1517"/>
      <c r="R347" s="1517"/>
      <c r="S347" s="1517"/>
      <c r="T347" s="1517"/>
      <c r="U347" s="1517"/>
      <c r="V347" s="1517"/>
      <c r="W347" s="1517"/>
      <c r="X347" s="1517"/>
      <c r="Y347" s="1517"/>
      <c r="Z347" s="1517"/>
      <c r="AA347" s="4" t="s">
        <v>206</v>
      </c>
      <c r="AB347" s="4"/>
      <c r="AC347" s="1405"/>
      <c r="AD347" s="1405"/>
      <c r="AE347" s="1405"/>
      <c r="AF347" s="324"/>
      <c r="AG347" s="4"/>
      <c r="AH347" s="4"/>
      <c r="AI347" s="4"/>
      <c r="AJ347" s="4"/>
      <c r="AK347" s="4"/>
    </row>
    <row r="348" spans="1:66" ht="12.95" customHeight="1">
      <c r="B348" s="4"/>
      <c r="C348" s="4"/>
      <c r="D348" s="4"/>
      <c r="E348" s="4"/>
      <c r="F348" s="4"/>
      <c r="G348" s="4"/>
      <c r="H348" s="324"/>
      <c r="I348" s="4" t="s">
        <v>89</v>
      </c>
      <c r="P348" s="1517"/>
      <c r="Q348" s="1517"/>
      <c r="R348" s="1517"/>
      <c r="S348" s="1517"/>
      <c r="T348" s="1517"/>
      <c r="U348" s="1517"/>
      <c r="V348" s="1517"/>
      <c r="W348" s="1517"/>
      <c r="X348" s="1517"/>
      <c r="Y348" s="1517"/>
      <c r="Z348" s="1517"/>
      <c r="AF348" s="324"/>
      <c r="AG348" s="4"/>
      <c r="AH348" s="4"/>
      <c r="AI348" s="35"/>
      <c r="AJ348" s="35"/>
      <c r="AK348" s="35"/>
    </row>
    <row r="349" spans="1:66" ht="12.95" customHeight="1">
      <c r="B349" s="4"/>
      <c r="C349" s="4"/>
      <c r="D349" s="4"/>
      <c r="E349" s="4"/>
      <c r="F349" s="4"/>
      <c r="G349" s="4"/>
      <c r="I349" s="4" t="s">
        <v>76</v>
      </c>
      <c r="P349" s="1412"/>
      <c r="Q349" s="1412"/>
      <c r="R349" s="1412"/>
      <c r="S349" s="1412"/>
      <c r="T349" s="1412"/>
      <c r="U349" s="1412"/>
      <c r="V349" s="1412"/>
      <c r="W349" s="1412"/>
      <c r="X349" s="1412"/>
      <c r="Y349" s="1412"/>
      <c r="Z349" s="1412"/>
      <c r="AA349" s="1412"/>
      <c r="AB349" s="1412"/>
      <c r="AC349" s="1412"/>
      <c r="AD349" s="1412"/>
      <c r="AE349" s="1412"/>
    </row>
    <row r="350" spans="1:66" ht="12.95" customHeight="1">
      <c r="T350" s="8"/>
      <c r="U350" s="8"/>
      <c r="V350" s="8"/>
      <c r="W350" s="8"/>
      <c r="X350" s="8"/>
      <c r="Y350" s="8"/>
      <c r="Z350" s="8"/>
      <c r="AU350" s="95"/>
      <c r="AV350" s="95"/>
      <c r="AW350" s="95"/>
      <c r="AX350" s="95"/>
      <c r="AY350" s="95"/>
    </row>
    <row r="351" spans="1:66" ht="12.95" customHeight="1">
      <c r="A351" s="1696" t="s">
        <v>549</v>
      </c>
      <c r="B351" s="1696"/>
      <c r="C351" s="1696"/>
      <c r="D351" s="1696"/>
      <c r="E351" s="1696"/>
      <c r="F351" s="1696"/>
      <c r="G351" s="1696"/>
      <c r="H351" s="1696"/>
      <c r="I351" s="1696"/>
      <c r="J351" s="1696"/>
      <c r="K351" s="1696"/>
      <c r="L351" s="1696"/>
      <c r="M351" s="1696"/>
      <c r="N351" s="1696"/>
      <c r="O351" s="1696"/>
      <c r="P351" s="1696"/>
      <c r="Q351" s="1696"/>
      <c r="R351" s="1696"/>
      <c r="S351" s="1696"/>
      <c r="T351" s="1696"/>
      <c r="U351" s="1696"/>
      <c r="V351" s="1696"/>
      <c r="W351" s="1696"/>
      <c r="X351" s="1696"/>
      <c r="Y351" s="1696"/>
      <c r="Z351" s="1696"/>
      <c r="AA351" s="1696"/>
      <c r="AB351" s="1696"/>
      <c r="AC351" s="1696"/>
      <c r="AD351" s="1696"/>
      <c r="AE351" s="1696"/>
      <c r="AF351" s="1696"/>
      <c r="AG351" s="1696"/>
      <c r="AH351" s="1696"/>
      <c r="AI351" s="1696"/>
      <c r="AJ351" s="1696"/>
      <c r="AK351" s="1696"/>
      <c r="AL351" s="1696"/>
      <c r="AM351" s="1696"/>
      <c r="AN351" s="1696"/>
      <c r="AO351" s="1696"/>
      <c r="AP351" s="1696"/>
      <c r="AQ351" s="1696"/>
      <c r="AR351" s="1696"/>
      <c r="AS351" s="1696"/>
      <c r="AT351" s="1696"/>
      <c r="AU351" s="95"/>
      <c r="AV351" s="95"/>
      <c r="AW351" s="95"/>
      <c r="AX351" s="95"/>
      <c r="AY351" s="95"/>
    </row>
    <row r="352" spans="1:66" ht="12.95" customHeight="1">
      <c r="A352" s="1696"/>
      <c r="B352" s="1696"/>
      <c r="C352" s="1696"/>
      <c r="D352" s="1696"/>
      <c r="E352" s="1696"/>
      <c r="F352" s="1696"/>
      <c r="G352" s="1696"/>
      <c r="H352" s="1696"/>
      <c r="I352" s="1696"/>
      <c r="J352" s="1696"/>
      <c r="K352" s="1696"/>
      <c r="L352" s="1696"/>
      <c r="M352" s="1696"/>
      <c r="N352" s="1696"/>
      <c r="O352" s="1696"/>
      <c r="P352" s="1696"/>
      <c r="Q352" s="1696"/>
      <c r="R352" s="1696"/>
      <c r="S352" s="1696"/>
      <c r="T352" s="1696"/>
      <c r="U352" s="1696"/>
      <c r="V352" s="1696"/>
      <c r="W352" s="1696"/>
      <c r="X352" s="1696"/>
      <c r="Y352" s="1696"/>
      <c r="Z352" s="1696"/>
      <c r="AA352" s="1696"/>
      <c r="AB352" s="1696"/>
      <c r="AC352" s="1696"/>
      <c r="AD352" s="1696"/>
      <c r="AE352" s="1696"/>
      <c r="AF352" s="1696"/>
      <c r="AG352" s="1696"/>
      <c r="AH352" s="1696"/>
      <c r="AI352" s="1696"/>
      <c r="AJ352" s="1696"/>
      <c r="AK352" s="1696"/>
      <c r="AL352" s="1696"/>
      <c r="AM352" s="1696"/>
      <c r="AN352" s="1696"/>
      <c r="AO352" s="1696"/>
      <c r="AP352" s="1696"/>
      <c r="AQ352" s="1696"/>
      <c r="AR352" s="1696"/>
      <c r="AS352" s="1696"/>
      <c r="AT352" s="1696"/>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790</v>
      </c>
    </row>
    <row r="355" spans="1:46" ht="12.95" customHeight="1">
      <c r="D355" s="3" t="s">
        <v>2412</v>
      </c>
      <c r="M355" s="1413" t="s">
        <v>552</v>
      </c>
      <c r="N355" s="1413"/>
      <c r="P355" t="s">
        <v>1758</v>
      </c>
      <c r="AJ355" s="1413" t="s">
        <v>552</v>
      </c>
      <c r="AK355" s="1413"/>
    </row>
    <row r="356" spans="1:46" ht="12.95" customHeight="1">
      <c r="D356" s="3" t="s">
        <v>1747</v>
      </c>
      <c r="M356" s="1413" t="s">
        <v>598</v>
      </c>
      <c r="N356" s="1413"/>
      <c r="P356" s="3" t="s">
        <v>1904</v>
      </c>
      <c r="AJ356" s="1431">
        <v>0</v>
      </c>
      <c r="AK356" s="1431"/>
    </row>
    <row r="357" spans="1:46" ht="12.95" customHeight="1">
      <c r="D357" s="3" t="s">
        <v>712</v>
      </c>
      <c r="M357" s="1413" t="s">
        <v>598</v>
      </c>
      <c r="N357" s="1413"/>
      <c r="P357" t="s">
        <v>1757</v>
      </c>
      <c r="AJ357" s="1413" t="s">
        <v>552</v>
      </c>
      <c r="AK357" s="1413"/>
    </row>
    <row r="358" spans="1:46" ht="12.95" customHeight="1">
      <c r="D358" s="3" t="s">
        <v>713</v>
      </c>
      <c r="M358" s="1413" t="s">
        <v>598</v>
      </c>
      <c r="N358" s="1413"/>
      <c r="Q358" s="4"/>
    </row>
    <row r="359" spans="1:46" ht="12.95" customHeight="1">
      <c r="Q359" s="4"/>
    </row>
    <row r="360" spans="1:46" ht="12.95" customHeight="1">
      <c r="Q360" s="4"/>
    </row>
    <row r="361" spans="1:46" ht="12.95" customHeight="1">
      <c r="A361" s="2" t="s">
        <v>583</v>
      </c>
      <c r="B361" s="2"/>
      <c r="C361" s="2" t="s">
        <v>559</v>
      </c>
      <c r="D361" s="2"/>
    </row>
    <row r="362" spans="1:46" ht="12.95"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185</v>
      </c>
      <c r="E363" s="40"/>
      <c r="F363" s="40"/>
      <c r="G363" s="40"/>
      <c r="H363" s="40"/>
      <c r="I363" s="40"/>
      <c r="J363" s="40"/>
      <c r="K363" s="40"/>
      <c r="L363" s="40"/>
      <c r="M363" s="40"/>
      <c r="N363" s="1413" t="s">
        <v>598</v>
      </c>
      <c r="O363" s="1413"/>
      <c r="P363" s="40"/>
      <c r="Q363" s="40"/>
      <c r="R363" s="40"/>
      <c r="S363" s="40"/>
      <c r="T363" s="40"/>
      <c r="U363" s="40"/>
      <c r="V363" s="40"/>
      <c r="W363" s="40"/>
      <c r="X363" s="40"/>
      <c r="Y363" s="40"/>
      <c r="Z363" s="40"/>
      <c r="AC363" s="40"/>
      <c r="AD363" s="40"/>
      <c r="AE363" s="40"/>
    </row>
    <row r="364" spans="1:46" ht="12.95" customHeight="1">
      <c r="E364" t="s">
        <v>370</v>
      </c>
      <c r="Y364" s="1413" t="s">
        <v>598</v>
      </c>
      <c r="Z364" s="1413"/>
    </row>
    <row r="365" spans="1:46" ht="12.95" customHeight="1">
      <c r="D365" s="4" t="s">
        <v>994</v>
      </c>
      <c r="Q365" s="1412" t="s">
        <v>598</v>
      </c>
      <c r="R365" s="1412"/>
      <c r="S365" s="1412"/>
      <c r="T365" s="1412"/>
      <c r="U365" s="1412"/>
      <c r="V365" s="1412"/>
      <c r="W365" s="1412"/>
      <c r="X365" s="1412"/>
      <c r="Y365" s="1412"/>
      <c r="Z365" s="1412"/>
      <c r="AA365" s="1412"/>
      <c r="AB365" s="1412"/>
      <c r="AC365" s="1412"/>
      <c r="AD365" s="1412"/>
      <c r="AE365" s="1412"/>
      <c r="AF365" s="1412"/>
      <c r="AG365" s="1412"/>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413" t="s">
        <v>598</v>
      </c>
      <c r="K367" s="1413"/>
      <c r="L367" s="40"/>
      <c r="M367" s="40"/>
      <c r="N367" s="40"/>
      <c r="O367" s="40"/>
      <c r="P367" s="40"/>
      <c r="Q367" s="40"/>
      <c r="R367" s="40"/>
      <c r="S367" s="40"/>
      <c r="T367" s="40"/>
      <c r="U367" s="40"/>
      <c r="V367" s="40"/>
      <c r="W367" s="40"/>
      <c r="X367" s="40"/>
      <c r="Y367" s="40"/>
      <c r="Z367" s="40"/>
      <c r="AC367" s="40"/>
      <c r="AD367" s="40"/>
      <c r="AE367" s="40"/>
    </row>
    <row r="368" spans="1:46" ht="12.95" customHeight="1">
      <c r="E368" s="1579" t="s">
        <v>714</v>
      </c>
      <c r="F368" s="1579"/>
      <c r="G368" s="1579"/>
      <c r="H368" s="1579"/>
      <c r="I368" s="1579"/>
      <c r="J368" s="1579"/>
      <c r="K368" s="1579"/>
      <c r="L368" s="1579"/>
      <c r="M368" s="1579"/>
      <c r="N368" s="1579"/>
      <c r="O368" s="1579"/>
      <c r="P368" s="1579"/>
      <c r="Q368" s="1579"/>
      <c r="R368" s="1579"/>
      <c r="S368" s="1579"/>
      <c r="T368" s="1579"/>
      <c r="U368" s="1579"/>
      <c r="V368" s="1579"/>
      <c r="W368" s="1579"/>
      <c r="X368" s="1579"/>
      <c r="Y368" s="1579"/>
      <c r="Z368" s="1579"/>
      <c r="AA368" s="1579"/>
      <c r="AB368" s="1579"/>
      <c r="AC368" s="1579"/>
      <c r="AD368" s="1579"/>
      <c r="AE368" s="1579"/>
      <c r="AF368" s="1579"/>
      <c r="AG368" s="1579"/>
      <c r="AH368" s="1579"/>
    </row>
    <row r="369" spans="1:34" ht="12.95" customHeight="1">
      <c r="E369" s="1579"/>
      <c r="F369" s="1579"/>
      <c r="G369" s="1579"/>
      <c r="H369" s="1579"/>
      <c r="I369" s="1579"/>
      <c r="J369" s="1579"/>
      <c r="K369" s="1579"/>
      <c r="L369" s="1579"/>
      <c r="M369" s="1579"/>
      <c r="N369" s="1579"/>
      <c r="O369" s="1579"/>
      <c r="P369" s="1579"/>
      <c r="Q369" s="1579"/>
      <c r="R369" s="1579"/>
      <c r="S369" s="1579"/>
      <c r="T369" s="1579"/>
      <c r="U369" s="1579"/>
      <c r="V369" s="1579"/>
      <c r="W369" s="1579"/>
      <c r="X369" s="1579"/>
      <c r="Y369" s="1579"/>
      <c r="Z369" s="1579"/>
      <c r="AA369" s="1579"/>
      <c r="AB369" s="1579"/>
      <c r="AC369" s="1579"/>
      <c r="AD369" s="1579"/>
      <c r="AE369" s="1579"/>
      <c r="AF369" s="1579"/>
      <c r="AG369" s="1579"/>
      <c r="AH369" s="1579"/>
    </row>
    <row r="370" spans="1:34" ht="12.95" customHeight="1">
      <c r="E370" s="4" t="s">
        <v>455</v>
      </c>
      <c r="F370" s="4"/>
      <c r="G370" s="4"/>
      <c r="H370" s="4"/>
      <c r="I370" s="4"/>
      <c r="J370" s="4"/>
      <c r="K370" s="4"/>
      <c r="L370" s="4"/>
      <c r="N370" s="1516" t="s">
        <v>598</v>
      </c>
      <c r="O370" s="1429"/>
      <c r="P370" s="1429"/>
      <c r="Q370" s="1429"/>
      <c r="R370" s="4"/>
      <c r="U370" s="4" t="s">
        <v>456</v>
      </c>
      <c r="V370" s="4"/>
      <c r="W370" s="4"/>
      <c r="X370" s="4"/>
      <c r="Y370" s="4"/>
      <c r="Z370" s="4"/>
      <c r="AA370" s="4"/>
      <c r="AB370" s="4"/>
      <c r="AC370" s="1516" t="s">
        <v>598</v>
      </c>
      <c r="AD370" s="1429"/>
      <c r="AE370" s="1429"/>
      <c r="AF370" s="1429"/>
    </row>
    <row r="371" spans="1:34" ht="12.95" customHeight="1">
      <c r="E371" s="4" t="s">
        <v>457</v>
      </c>
      <c r="F371" s="4"/>
      <c r="G371" s="4"/>
      <c r="H371" s="4"/>
      <c r="I371" s="4"/>
      <c r="J371" s="4"/>
      <c r="K371" s="4"/>
      <c r="L371" s="4"/>
      <c r="N371" s="1516" t="s">
        <v>598</v>
      </c>
      <c r="O371" s="1429"/>
      <c r="P371" s="1429"/>
      <c r="Q371" s="1429"/>
      <c r="R371" s="4"/>
      <c r="U371" s="4" t="s">
        <v>0</v>
      </c>
      <c r="V371" s="4"/>
      <c r="W371" s="4"/>
      <c r="X371" s="4"/>
      <c r="Y371" s="4"/>
      <c r="Z371" s="4"/>
      <c r="AA371" s="4"/>
      <c r="AB371" s="4"/>
      <c r="AC371" s="1516" t="s">
        <v>598</v>
      </c>
      <c r="AD371" s="1429"/>
      <c r="AE371" s="1429"/>
      <c r="AF371" s="1429"/>
    </row>
    <row r="372" spans="1:34" ht="12.95" customHeight="1">
      <c r="E372" s="4" t="s">
        <v>1</v>
      </c>
      <c r="F372" s="4"/>
      <c r="G372" s="4"/>
      <c r="H372" s="4"/>
      <c r="I372" s="4"/>
      <c r="J372" s="4"/>
      <c r="K372" s="4"/>
      <c r="L372" s="4"/>
      <c r="N372" s="1516" t="s">
        <v>598</v>
      </c>
      <c r="O372" s="1429"/>
      <c r="P372" s="1429"/>
      <c r="Q372" s="1429"/>
      <c r="R372" s="4"/>
      <c r="V372" s="4"/>
      <c r="W372" s="4"/>
      <c r="X372" s="4"/>
      <c r="Y372" s="4"/>
      <c r="Z372" s="4"/>
      <c r="AA372" s="4"/>
      <c r="AB372" s="4"/>
    </row>
    <row r="373" spans="1:34" ht="12.95" customHeight="1">
      <c r="E373" s="4" t="s">
        <v>2</v>
      </c>
      <c r="F373" s="4"/>
      <c r="G373" s="4"/>
      <c r="H373" s="4"/>
      <c r="I373" s="4"/>
      <c r="J373" s="4"/>
      <c r="K373" s="4"/>
      <c r="L373" s="4"/>
      <c r="N373" s="1518" t="s">
        <v>598</v>
      </c>
      <c r="O373" s="1519"/>
      <c r="P373" s="1519"/>
      <c r="Q373" s="1519"/>
      <c r="R373" s="1519"/>
      <c r="S373" s="1519"/>
      <c r="T373" s="1519"/>
      <c r="U373" s="1519"/>
      <c r="V373" s="1519"/>
      <c r="W373" s="1519"/>
      <c r="X373" s="1519"/>
      <c r="Y373" s="1519"/>
      <c r="Z373" s="1519"/>
      <c r="AA373" s="1519"/>
      <c r="AB373" s="1519"/>
      <c r="AC373" s="1519"/>
      <c r="AD373" s="1519"/>
      <c r="AE373" s="1519"/>
      <c r="AF373" s="1519"/>
    </row>
    <row r="374" spans="1:34" ht="12.95" customHeight="1">
      <c r="E374" s="4"/>
      <c r="F374" s="4"/>
      <c r="G374" s="4"/>
      <c r="H374" s="4"/>
      <c r="I374" s="4"/>
      <c r="J374" s="4"/>
      <c r="K374" s="4"/>
      <c r="L374" s="4"/>
      <c r="N374" s="1520"/>
      <c r="O374" s="1520"/>
      <c r="P374" s="1520"/>
      <c r="Q374" s="1520"/>
      <c r="R374" s="1520"/>
      <c r="S374" s="1520"/>
      <c r="T374" s="1520"/>
      <c r="U374" s="1520"/>
      <c r="V374" s="1520"/>
      <c r="W374" s="1520"/>
      <c r="X374" s="1520"/>
      <c r="Y374" s="1520"/>
      <c r="Z374" s="1520"/>
      <c r="AA374" s="1520"/>
      <c r="AB374" s="1520"/>
      <c r="AC374" s="1520"/>
      <c r="AD374" s="1520"/>
      <c r="AE374" s="1520"/>
      <c r="AF374" s="1520"/>
    </row>
    <row r="375" spans="1:34" ht="12.95" customHeight="1">
      <c r="C375" s="546"/>
      <c r="E375" s="4"/>
      <c r="F375" s="4"/>
      <c r="G375" s="4"/>
      <c r="H375" s="4"/>
      <c r="I375" s="4"/>
      <c r="J375" s="4"/>
      <c r="K375" s="4"/>
      <c r="L375" s="4"/>
    </row>
    <row r="376" spans="1:34" ht="12.95" customHeight="1">
      <c r="D376" s="2" t="s">
        <v>991</v>
      </c>
      <c r="E376" s="2"/>
      <c r="F376" s="4"/>
      <c r="G376" s="4"/>
      <c r="H376" s="4"/>
      <c r="I376" s="4"/>
      <c r="J376" s="4"/>
      <c r="K376" s="4"/>
      <c r="L376" s="4"/>
    </row>
    <row r="377" spans="1:34" ht="12.95" customHeight="1">
      <c r="E377" s="4" t="s">
        <v>2396</v>
      </c>
      <c r="F377" s="4"/>
      <c r="G377" s="4"/>
      <c r="H377" s="4"/>
      <c r="I377" s="4"/>
      <c r="J377" s="4"/>
      <c r="K377" s="4"/>
      <c r="L377" s="4"/>
      <c r="N377" t="s">
        <v>2391</v>
      </c>
      <c r="R377" s="27" t="s">
        <v>305</v>
      </c>
      <c r="S377" s="1498" t="s">
        <v>598</v>
      </c>
      <c r="T377" s="1499"/>
      <c r="U377" s="1" t="s">
        <v>306</v>
      </c>
      <c r="V377" s="1498" t="s">
        <v>598</v>
      </c>
      <c r="W377" s="1499"/>
      <c r="Y377" t="s">
        <v>2391</v>
      </c>
      <c r="AC377" s="27" t="s">
        <v>305</v>
      </c>
      <c r="AD377" s="1498" t="s">
        <v>598</v>
      </c>
      <c r="AE377" s="1499"/>
      <c r="AF377" s="1" t="s">
        <v>306</v>
      </c>
      <c r="AG377" s="1498" t="s">
        <v>598</v>
      </c>
      <c r="AH377" s="1499"/>
    </row>
    <row r="378" spans="1:34" ht="12.95" customHeight="1">
      <c r="E378" s="4" t="s">
        <v>1008</v>
      </c>
      <c r="F378" s="4"/>
      <c r="G378" s="4"/>
      <c r="H378" s="4"/>
      <c r="I378" s="4"/>
      <c r="J378" s="4"/>
      <c r="K378" s="4"/>
      <c r="L378" s="4"/>
      <c r="N378" s="1498" t="s">
        <v>598</v>
      </c>
      <c r="O378" s="1499"/>
      <c r="P378" s="1499"/>
    </row>
    <row r="379" spans="1:34" ht="12.95" customHeight="1">
      <c r="E379" s="218" t="s">
        <v>2397</v>
      </c>
      <c r="F379" s="4"/>
      <c r="G379" s="4"/>
      <c r="H379" s="4"/>
      <c r="I379" s="4"/>
      <c r="J379" s="4"/>
      <c r="K379" s="4"/>
      <c r="L379" s="4"/>
      <c r="AG379" s="1563" t="s">
        <v>598</v>
      </c>
      <c r="AH379" s="1563"/>
    </row>
    <row r="380" spans="1:34" ht="12.95" customHeight="1">
      <c r="E380" s="4"/>
      <c r="F380" s="4"/>
      <c r="G380" s="4" t="s">
        <v>2398</v>
      </c>
      <c r="H380" s="4"/>
      <c r="I380" s="4"/>
      <c r="J380" s="4"/>
      <c r="K380" s="4"/>
      <c r="L380" s="4"/>
      <c r="AG380" s="1563" t="s">
        <v>598</v>
      </c>
      <c r="AH380" s="1563"/>
    </row>
    <row r="381" spans="1:34" ht="12.95" customHeight="1">
      <c r="E381" s="4"/>
      <c r="F381" s="4"/>
      <c r="G381" s="348" t="s">
        <v>1009</v>
      </c>
      <c r="H381" s="4"/>
      <c r="I381" s="4"/>
      <c r="J381" s="4"/>
      <c r="K381" s="4"/>
      <c r="L381" s="4"/>
      <c r="V381" s="1413" t="s">
        <v>598</v>
      </c>
      <c r="W381" s="1413"/>
      <c r="Y381" s="22" t="s">
        <v>996</v>
      </c>
    </row>
    <row r="382" spans="1:34" ht="12.95" customHeight="1">
      <c r="E382" s="4" t="s">
        <v>997</v>
      </c>
      <c r="F382" s="4"/>
      <c r="G382" s="4"/>
      <c r="H382" s="4"/>
      <c r="I382" s="4"/>
      <c r="J382" s="4"/>
      <c r="K382" s="4"/>
      <c r="L382" s="4"/>
      <c r="V382" s="1413" t="s">
        <v>598</v>
      </c>
      <c r="W382" s="1413"/>
      <c r="Y382" s="4" t="s">
        <v>998</v>
      </c>
    </row>
    <row r="383" spans="1:34" ht="12.95" customHeight="1"/>
    <row r="384" spans="1:34" ht="12.95" customHeight="1">
      <c r="A384" s="2" t="s">
        <v>78</v>
      </c>
      <c r="B384" s="2"/>
    </row>
    <row r="385" spans="4:36" ht="12.95" customHeight="1">
      <c r="D385" t="s">
        <v>428</v>
      </c>
      <c r="J385" s="1412" t="s">
        <v>2715</v>
      </c>
      <c r="K385" s="1412"/>
      <c r="L385" s="1412"/>
      <c r="M385" s="1412"/>
      <c r="N385" s="1412"/>
      <c r="O385" s="1412"/>
      <c r="P385" s="1412"/>
      <c r="Q385" s="1412"/>
      <c r="R385" s="1412"/>
      <c r="S385" s="1412"/>
      <c r="T385" s="1412"/>
      <c r="U385" s="1412"/>
      <c r="V385" s="8" t="s">
        <v>83</v>
      </c>
      <c r="W385" s="8"/>
      <c r="X385" s="8"/>
      <c r="Y385" s="8"/>
      <c r="Z385" s="8"/>
      <c r="AA385" s="8"/>
      <c r="AB385" s="8"/>
      <c r="AC385" s="1412" t="s">
        <v>2716</v>
      </c>
      <c r="AD385" s="1412"/>
      <c r="AE385" s="1412"/>
      <c r="AF385" s="1412"/>
      <c r="AG385" s="1412"/>
      <c r="AH385" s="1412"/>
      <c r="AI385" s="1412"/>
      <c r="AJ385" s="1412"/>
    </row>
    <row r="386" spans="4:36" ht="12.95" customHeight="1">
      <c r="D386" s="3" t="s">
        <v>1285</v>
      </c>
      <c r="J386" s="1479" t="s">
        <v>2716</v>
      </c>
      <c r="K386" s="1479"/>
      <c r="L386" s="1479"/>
      <c r="M386" s="1479"/>
      <c r="N386" s="1479"/>
      <c r="O386" s="1479"/>
      <c r="P386" s="1479"/>
      <c r="Q386" s="1479"/>
      <c r="R386" s="1479"/>
      <c r="S386" s="1479"/>
      <c r="T386" s="1479"/>
      <c r="U386" s="1479"/>
      <c r="V386" s="3" t="s">
        <v>1285</v>
      </c>
      <c r="W386" s="8"/>
      <c r="X386" s="8"/>
      <c r="Y386" s="8"/>
      <c r="Z386" s="8"/>
      <c r="AA386" s="8"/>
      <c r="AB386" s="8"/>
      <c r="AC386" s="1412" t="s">
        <v>2685</v>
      </c>
      <c r="AD386" s="1412"/>
      <c r="AE386" s="1412"/>
      <c r="AF386" s="1412"/>
      <c r="AG386" s="1412"/>
      <c r="AH386" s="1412"/>
      <c r="AI386" s="1412"/>
      <c r="AJ386" s="1412"/>
    </row>
    <row r="387" spans="4:36" ht="12.95" customHeight="1">
      <c r="D387" s="3" t="s">
        <v>442</v>
      </c>
      <c r="J387" s="1479" t="s">
        <v>2717</v>
      </c>
      <c r="K387" s="1479"/>
      <c r="L387" s="1479"/>
      <c r="M387" s="1479"/>
      <c r="N387" s="1479"/>
      <c r="O387" s="1479"/>
      <c r="P387" s="1479"/>
      <c r="Q387" s="1479"/>
      <c r="R387" s="1479"/>
      <c r="S387" s="1479"/>
      <c r="T387" s="1479"/>
      <c r="U387" s="1479"/>
      <c r="V387" s="3" t="s">
        <v>442</v>
      </c>
      <c r="W387" s="8"/>
      <c r="X387" s="8"/>
      <c r="Y387" s="8"/>
      <c r="Z387" s="8"/>
      <c r="AA387" s="8"/>
      <c r="AB387" s="8"/>
      <c r="AC387" s="1412" t="s">
        <v>2685</v>
      </c>
      <c r="AD387" s="1412"/>
      <c r="AE387" s="1412"/>
      <c r="AF387" s="1412"/>
      <c r="AG387" s="1412"/>
      <c r="AH387" s="1412"/>
      <c r="AI387" s="1412"/>
      <c r="AJ387" s="1412"/>
    </row>
    <row r="388" spans="4:36" ht="12.95" customHeight="1">
      <c r="D388" t="s">
        <v>1281</v>
      </c>
      <c r="J388" s="1525" t="s">
        <v>2718</v>
      </c>
      <c r="K388" s="1426"/>
      <c r="L388" s="1426"/>
      <c r="M388" s="1426"/>
      <c r="N388" s="1426"/>
      <c r="O388" s="1426"/>
      <c r="P388" s="1426"/>
      <c r="Q388" s="1426"/>
      <c r="R388" s="1426"/>
      <c r="S388" s="1426"/>
      <c r="T388" s="1426"/>
      <c r="U388" s="1426"/>
      <c r="V388" s="1417" t="s">
        <v>2719</v>
      </c>
      <c r="W388" s="1412"/>
      <c r="X388" s="1412"/>
      <c r="Y388" s="1412"/>
      <c r="Z388" s="1412"/>
      <c r="AA388" s="1412"/>
      <c r="AB388" s="1412"/>
      <c r="AC388" s="1412"/>
      <c r="AD388" s="1412"/>
      <c r="AE388" s="1412"/>
      <c r="AF388" s="1412"/>
      <c r="AG388" s="1412"/>
      <c r="AH388" s="1412"/>
      <c r="AI388" s="1412"/>
      <c r="AJ388" s="1412"/>
    </row>
    <row r="389" spans="4:36" ht="12.95" customHeight="1">
      <c r="D389" t="s">
        <v>4</v>
      </c>
      <c r="Q389" s="1745">
        <v>43686</v>
      </c>
      <c r="R389" s="1745"/>
      <c r="S389" s="1745"/>
      <c r="T389" s="1745"/>
      <c r="U389" s="1745"/>
      <c r="V389" t="s">
        <v>309</v>
      </c>
      <c r="AI389" s="1413" t="s">
        <v>676</v>
      </c>
      <c r="AJ389" s="1413"/>
    </row>
    <row r="390" spans="4:36" ht="12.95" customHeight="1">
      <c r="D390" t="s">
        <v>5</v>
      </c>
      <c r="Q390" s="1650" t="s">
        <v>2685</v>
      </c>
      <c r="R390" s="1741"/>
      <c r="S390" s="1741"/>
      <c r="T390" s="1741"/>
      <c r="U390" s="1741"/>
      <c r="W390" s="21" t="s">
        <v>74</v>
      </c>
      <c r="AG390" s="1559" t="s">
        <v>598</v>
      </c>
      <c r="AH390" s="1515"/>
      <c r="AI390" s="1515"/>
      <c r="AJ390" s="1515"/>
    </row>
    <row r="391" spans="4:36" ht="12.95" customHeight="1">
      <c r="D391" t="s">
        <v>427</v>
      </c>
      <c r="Q391" s="1740">
        <v>6210000</v>
      </c>
      <c r="R391" s="1740"/>
      <c r="S391" s="1740"/>
      <c r="T391" s="1740"/>
      <c r="U391" s="1740"/>
      <c r="V391" s="3" t="s">
        <v>1284</v>
      </c>
      <c r="AG391" s="1560" t="s">
        <v>598</v>
      </c>
      <c r="AH391" s="1561"/>
      <c r="AI391" s="1561"/>
      <c r="AJ391" s="1561"/>
    </row>
    <row r="392" spans="4:36" ht="12.95" customHeight="1">
      <c r="D392" t="s">
        <v>88</v>
      </c>
      <c r="I392" s="1553">
        <v>6507223439</v>
      </c>
      <c r="J392" s="1553"/>
      <c r="K392" s="1553"/>
      <c r="L392" s="1553"/>
      <c r="M392" s="1553"/>
      <c r="N392" s="1553"/>
      <c r="Q392" s="4" t="s">
        <v>206</v>
      </c>
      <c r="S392" s="1743" t="s">
        <v>598</v>
      </c>
      <c r="T392" s="1744"/>
      <c r="U392" s="1744"/>
      <c r="V392" t="s">
        <v>73</v>
      </c>
      <c r="AI392" s="1413" t="s">
        <v>676</v>
      </c>
      <c r="AJ392" s="1413"/>
    </row>
    <row r="393" spans="4:36" ht="12.95" customHeight="1">
      <c r="D393" t="s">
        <v>310</v>
      </c>
      <c r="Q393" s="1559" t="s">
        <v>598</v>
      </c>
      <c r="R393" s="1562"/>
      <c r="S393" s="1562"/>
      <c r="T393" s="1562"/>
      <c r="U393" s="1562"/>
      <c r="V393" t="s">
        <v>311</v>
      </c>
      <c r="AG393" s="1559" t="s">
        <v>598</v>
      </c>
      <c r="AH393" s="1515"/>
      <c r="AI393" s="1515"/>
      <c r="AJ393" s="1515"/>
    </row>
    <row r="394" spans="4:36" ht="12.95" customHeight="1">
      <c r="D394" t="s">
        <v>312</v>
      </c>
      <c r="Q394" s="1603" t="s">
        <v>598</v>
      </c>
      <c r="R394" s="1604"/>
      <c r="S394" s="1604"/>
      <c r="T394" s="1604"/>
      <c r="U394" s="1604"/>
      <c r="V394" t="s">
        <v>1265</v>
      </c>
      <c r="AG394" s="1515">
        <v>0</v>
      </c>
      <c r="AH394" s="1515"/>
      <c r="AI394" s="1515"/>
      <c r="AJ394" s="1515"/>
    </row>
    <row r="395" spans="4:36" ht="12.95" customHeight="1">
      <c r="D395" t="s">
        <v>1264</v>
      </c>
      <c r="AG395" s="1515">
        <v>0</v>
      </c>
      <c r="AH395" s="1515"/>
      <c r="AI395" s="1515"/>
      <c r="AJ395" s="1515"/>
    </row>
    <row r="396" spans="4:36" ht="12.95" customHeight="1">
      <c r="AG396" s="490"/>
      <c r="AH396" s="490"/>
      <c r="AI396" s="490"/>
      <c r="AJ396" s="490"/>
    </row>
    <row r="397" spans="4:36" ht="12.95" customHeight="1">
      <c r="D397" s="3" t="s">
        <v>2497</v>
      </c>
      <c r="AG397" s="490"/>
      <c r="AH397" s="490"/>
      <c r="AI397" s="1413" t="s">
        <v>676</v>
      </c>
      <c r="AJ397" s="1413"/>
    </row>
    <row r="398" spans="4:36" ht="12.95" customHeight="1">
      <c r="D398" s="3" t="s">
        <v>1776</v>
      </c>
      <c r="T398" s="1449" t="s">
        <v>598</v>
      </c>
      <c r="U398" s="1450"/>
      <c r="V398" s="1450"/>
      <c r="W398" s="1450"/>
      <c r="X398" s="1450"/>
      <c r="Y398" s="1450"/>
      <c r="Z398" s="1450"/>
      <c r="AA398" s="1450"/>
      <c r="AB398" s="1450"/>
      <c r="AC398" s="1450"/>
      <c r="AD398" s="1450"/>
      <c r="AE398" s="1450"/>
      <c r="AF398" s="1450"/>
      <c r="AG398" s="1450"/>
      <c r="AH398" s="1450"/>
      <c r="AI398" s="1450"/>
      <c r="AJ398" s="1450"/>
    </row>
    <row r="399" spans="4:36" ht="12.95" customHeight="1">
      <c r="D399" s="3" t="s">
        <v>1775</v>
      </c>
      <c r="T399" s="1449" t="s">
        <v>598</v>
      </c>
      <c r="U399" s="1450"/>
      <c r="V399" s="1450"/>
      <c r="W399" s="1450"/>
      <c r="X399" s="1450"/>
      <c r="Y399" s="1450"/>
      <c r="Z399" s="1450"/>
      <c r="AA399" s="1450"/>
      <c r="AB399" s="1450"/>
      <c r="AC399" s="1450"/>
      <c r="AD399" s="1450"/>
      <c r="AE399" s="1450"/>
      <c r="AF399" s="1450"/>
      <c r="AG399" s="1450"/>
      <c r="AH399" s="1450"/>
      <c r="AI399" s="1450"/>
      <c r="AJ399" s="1450"/>
    </row>
    <row r="400" spans="4:36" ht="12.95" customHeight="1">
      <c r="AG400" s="490"/>
      <c r="AH400" s="490"/>
      <c r="AI400" s="490"/>
      <c r="AJ400" s="490"/>
    </row>
    <row r="401" spans="1:36" ht="12.95" customHeight="1">
      <c r="D401" s="3" t="s">
        <v>1769</v>
      </c>
      <c r="S401" s="1450" t="s">
        <v>676</v>
      </c>
      <c r="T401" s="1450"/>
      <c r="U401" s="1450"/>
      <c r="V401" t="s">
        <v>1770</v>
      </c>
      <c r="AG401" s="1524">
        <v>0</v>
      </c>
      <c r="AH401" s="1524"/>
      <c r="AI401" s="1524"/>
      <c r="AJ401" s="1524"/>
    </row>
    <row r="402" spans="1:36" ht="12.95" customHeight="1">
      <c r="D402" s="3" t="s">
        <v>1767</v>
      </c>
      <c r="S402" s="1450" t="s">
        <v>598</v>
      </c>
      <c r="T402" s="1450"/>
      <c r="U402" s="1450"/>
      <c r="V402" t="s">
        <v>1772</v>
      </c>
      <c r="AE402" s="1530" t="s">
        <v>598</v>
      </c>
      <c r="AF402" s="1531"/>
      <c r="AG402" s="1531"/>
      <c r="AH402" s="1531"/>
      <c r="AI402" s="1531"/>
      <c r="AJ402" s="1531"/>
    </row>
    <row r="403" spans="1:36" ht="12.95" customHeight="1">
      <c r="D403" s="3" t="s">
        <v>1768</v>
      </c>
      <c r="K403" s="1523" t="s">
        <v>598</v>
      </c>
      <c r="L403" s="1523"/>
      <c r="M403" s="1523"/>
      <c r="N403" s="1523"/>
      <c r="O403" s="1523"/>
      <c r="P403" s="1523"/>
      <c r="Q403" s="1523"/>
      <c r="R403" s="1523"/>
      <c r="S403" s="1523"/>
      <c r="T403" s="1523"/>
      <c r="U403" s="1523"/>
      <c r="V403" s="1523"/>
      <c r="W403" s="1523"/>
      <c r="X403" s="1523"/>
      <c r="Y403" s="1523"/>
      <c r="Z403" s="1523"/>
      <c r="AA403" s="1523"/>
      <c r="AB403" s="1523"/>
      <c r="AC403" s="1523"/>
      <c r="AD403" s="1523"/>
      <c r="AE403" s="1523"/>
      <c r="AF403" s="1523"/>
      <c r="AG403" s="1523"/>
      <c r="AH403" s="1523"/>
      <c r="AI403" s="1523"/>
      <c r="AJ403" s="1523"/>
    </row>
    <row r="404" spans="1:36" ht="12.95" customHeight="1">
      <c r="D404" s="3" t="s">
        <v>1771</v>
      </c>
      <c r="K404" s="1523" t="s">
        <v>598</v>
      </c>
      <c r="L404" s="1523"/>
      <c r="M404" s="1523"/>
      <c r="N404" s="1523"/>
      <c r="O404" s="1523"/>
      <c r="P404" s="1523"/>
      <c r="Q404" s="1523"/>
      <c r="R404" s="1523"/>
      <c r="S404" s="1523"/>
      <c r="T404" s="1523"/>
      <c r="U404" s="1523"/>
      <c r="V404" s="1523"/>
      <c r="W404" s="1523"/>
      <c r="X404" s="1523"/>
      <c r="Y404" s="1523"/>
      <c r="Z404" s="1523"/>
      <c r="AA404" s="1523"/>
      <c r="AB404" s="1523"/>
      <c r="AC404" s="1523"/>
      <c r="AD404" s="1523"/>
      <c r="AE404" s="1523"/>
      <c r="AF404" s="1523"/>
      <c r="AG404" s="1523"/>
      <c r="AH404" s="1523"/>
      <c r="AI404" s="1523"/>
      <c r="AJ404" s="1523"/>
    </row>
    <row r="405" spans="1:36" ht="12.95" customHeight="1">
      <c r="D405" s="3" t="s">
        <v>1774</v>
      </c>
      <c r="E405" s="511"/>
      <c r="F405" s="511"/>
      <c r="G405" s="511"/>
      <c r="H405" s="511"/>
      <c r="I405" s="511"/>
      <c r="J405" s="511"/>
      <c r="K405" s="511"/>
      <c r="L405" s="511"/>
      <c r="M405" s="511"/>
      <c r="N405" s="511"/>
      <c r="O405" s="511"/>
      <c r="P405" s="511"/>
      <c r="Q405" s="511"/>
      <c r="R405" s="511"/>
      <c r="S405" s="1545" t="s">
        <v>2720</v>
      </c>
      <c r="T405" s="1545"/>
      <c r="U405" s="1545"/>
      <c r="V405" s="1545"/>
      <c r="W405" s="1545"/>
      <c r="X405" s="1545"/>
      <c r="Y405" s="1545"/>
      <c r="Z405" s="1545"/>
      <c r="AA405" s="1545"/>
      <c r="AB405" s="1545"/>
      <c r="AC405" s="1545"/>
      <c r="AD405" s="1545"/>
      <c r="AE405" s="1545"/>
      <c r="AF405" s="1545"/>
      <c r="AG405" s="1545"/>
      <c r="AH405" s="1545"/>
      <c r="AI405" s="1545"/>
      <c r="AJ405" s="1545"/>
    </row>
    <row r="406" spans="1:36" ht="12.95" customHeight="1">
      <c r="D406" s="1273" t="s">
        <v>1773</v>
      </c>
      <c r="E406" s="1273"/>
      <c r="F406" s="1273"/>
      <c r="G406" s="1273"/>
      <c r="H406" s="1273"/>
      <c r="I406" s="1273"/>
      <c r="J406" s="1273"/>
      <c r="K406" s="1273"/>
      <c r="L406" s="1273"/>
      <c r="M406" s="1273"/>
      <c r="N406" s="1273"/>
      <c r="O406" s="1273"/>
      <c r="P406" s="1273"/>
      <c r="Q406" s="1273"/>
      <c r="R406" s="1273"/>
      <c r="S406" s="1273"/>
      <c r="T406" s="1273"/>
      <c r="U406" s="1273"/>
      <c r="V406" s="1273"/>
      <c r="W406" s="1273"/>
      <c r="X406" s="1273"/>
      <c r="Y406" s="1273"/>
      <c r="Z406" s="1273"/>
      <c r="AA406" s="1273"/>
      <c r="AB406" s="1273"/>
      <c r="AC406" s="1273"/>
      <c r="AD406" s="1273"/>
      <c r="AE406" s="1273"/>
      <c r="AF406" s="1273"/>
      <c r="AG406" s="1273"/>
      <c r="AH406" s="1273"/>
      <c r="AI406" s="1273"/>
      <c r="AJ406" s="1273"/>
    </row>
    <row r="407" spans="1:36" ht="12.95" customHeight="1">
      <c r="D407" s="1273"/>
      <c r="E407" s="1273"/>
      <c r="F407" s="1273"/>
      <c r="G407" s="1273"/>
      <c r="H407" s="1273"/>
      <c r="I407" s="1273"/>
      <c r="J407" s="1273"/>
      <c r="K407" s="1273"/>
      <c r="L407" s="1273"/>
      <c r="M407" s="1273"/>
      <c r="N407" s="1273"/>
      <c r="O407" s="1273"/>
      <c r="P407" s="1273"/>
      <c r="Q407" s="1273"/>
      <c r="R407" s="1273"/>
      <c r="S407" s="1273"/>
      <c r="T407" s="1273"/>
      <c r="U407" s="1273"/>
      <c r="V407" s="1273"/>
      <c r="W407" s="1273"/>
      <c r="X407" s="1273"/>
      <c r="Y407" s="1273"/>
      <c r="Z407" s="1273"/>
      <c r="AA407" s="1273"/>
      <c r="AB407" s="1273"/>
      <c r="AC407" s="1273"/>
      <c r="AD407" s="1273"/>
      <c r="AE407" s="1273"/>
      <c r="AF407" s="1273"/>
      <c r="AG407" s="1273"/>
      <c r="AH407" s="1273"/>
      <c r="AI407" s="1273"/>
      <c r="AJ407" s="1273"/>
    </row>
    <row r="408" spans="1:36" ht="12.95" customHeight="1">
      <c r="AG408" s="490"/>
      <c r="AH408" s="490"/>
      <c r="AI408" s="490"/>
      <c r="AJ408" s="490"/>
    </row>
    <row r="409" spans="1:36" ht="12.95" customHeight="1">
      <c r="A409" s="2" t="s">
        <v>596</v>
      </c>
      <c r="B409" s="2"/>
      <c r="C409" s="2" t="s">
        <v>111</v>
      </c>
    </row>
    <row r="410" spans="1:36" ht="12.95" customHeight="1">
      <c r="B410" s="2"/>
      <c r="C410" s="2"/>
      <c r="D410" s="2" t="s">
        <v>1307</v>
      </c>
      <c r="I410" s="1417" t="s">
        <v>2721</v>
      </c>
      <c r="J410" s="1417"/>
      <c r="K410" s="1417"/>
      <c r="L410" s="1417"/>
      <c r="M410" s="1417"/>
      <c r="N410" s="1417"/>
      <c r="O410" s="1417"/>
      <c r="P410" s="1417"/>
      <c r="Q410" s="1417"/>
      <c r="R410" s="1417"/>
      <c r="S410" s="1417"/>
      <c r="T410" s="1417"/>
      <c r="U410" s="1417"/>
      <c r="V410" s="1417"/>
      <c r="W410" s="1417"/>
      <c r="X410" s="1417"/>
      <c r="Y410" s="1417"/>
      <c r="Z410" s="1417"/>
      <c r="AA410" s="1417"/>
      <c r="AB410" s="1417"/>
      <c r="AC410" s="1417"/>
      <c r="AD410" s="1417"/>
      <c r="AE410" s="1417"/>
    </row>
    <row r="411" spans="1:36" ht="12.95" customHeight="1">
      <c r="E411" t="s">
        <v>106</v>
      </c>
      <c r="R411" s="1413" t="s">
        <v>552</v>
      </c>
      <c r="S411" s="1413"/>
      <c r="AC411" s="27" t="s">
        <v>577</v>
      </c>
      <c r="AD411" s="1429">
        <v>6</v>
      </c>
      <c r="AE411" s="1429"/>
    </row>
    <row r="412" spans="1:36" ht="12.95" customHeight="1">
      <c r="E412" t="s">
        <v>107</v>
      </c>
      <c r="R412" s="1413" t="s">
        <v>598</v>
      </c>
      <c r="S412" s="1413"/>
      <c r="AC412" s="27" t="s">
        <v>577</v>
      </c>
      <c r="AD412" s="1516"/>
      <c r="AE412" s="1429"/>
    </row>
    <row r="413" spans="1:36" ht="12.95" customHeight="1">
      <c r="E413" t="s">
        <v>108</v>
      </c>
      <c r="S413" s="1413" t="s">
        <v>598</v>
      </c>
      <c r="T413" s="1413"/>
    </row>
    <row r="414" spans="1:36" ht="12.95" customHeight="1">
      <c r="E414" t="s">
        <v>169</v>
      </c>
      <c r="H414" s="1778" t="s">
        <v>598</v>
      </c>
      <c r="I414" s="1778"/>
      <c r="J414" s="1778"/>
      <c r="K414" s="1778"/>
      <c r="L414" s="1778"/>
      <c r="M414" s="1778"/>
      <c r="N414" s="1778"/>
      <c r="O414" s="1778"/>
      <c r="P414" s="1778"/>
      <c r="Q414" s="1778"/>
      <c r="R414" s="1778"/>
      <c r="S414" s="1778"/>
      <c r="T414" s="1778"/>
      <c r="U414" s="1778"/>
      <c r="V414" s="1778"/>
      <c r="W414" s="1778"/>
      <c r="X414" s="1778"/>
      <c r="Y414" s="1778"/>
      <c r="Z414" s="1778"/>
      <c r="AA414" s="1778"/>
      <c r="AB414" s="1778"/>
      <c r="AC414" s="1778"/>
      <c r="AD414" s="1778"/>
      <c r="AE414" s="1778"/>
    </row>
    <row r="415" spans="1:36" ht="12.95" customHeight="1">
      <c r="H415" s="1779"/>
      <c r="I415" s="1779"/>
      <c r="J415" s="1779"/>
      <c r="K415" s="1779"/>
      <c r="L415" s="1779"/>
      <c r="M415" s="1779"/>
      <c r="N415" s="1779"/>
      <c r="O415" s="1779"/>
      <c r="P415" s="1779"/>
      <c r="Q415" s="1779"/>
      <c r="R415" s="1779"/>
      <c r="S415" s="1779"/>
      <c r="T415" s="1779"/>
      <c r="U415" s="1779"/>
      <c r="V415" s="1779"/>
      <c r="W415" s="1779"/>
      <c r="X415" s="1779"/>
      <c r="Y415" s="1779"/>
      <c r="Z415" s="1779"/>
      <c r="AA415" s="1779"/>
      <c r="AB415" s="1779"/>
      <c r="AC415" s="1779"/>
      <c r="AD415" s="1779"/>
      <c r="AE415" s="1779"/>
    </row>
    <row r="416" spans="1:36" ht="12.95" customHeight="1"/>
    <row r="417" spans="1:39" ht="12.95" customHeight="1">
      <c r="A417" s="2" t="s">
        <v>597</v>
      </c>
      <c r="B417" s="2"/>
      <c r="C417" s="2"/>
      <c r="D417" s="2" t="s">
        <v>114</v>
      </c>
      <c r="AF417" s="2" t="s">
        <v>973</v>
      </c>
    </row>
    <row r="418" spans="1:39" ht="12.95" customHeight="1">
      <c r="E418" s="1499"/>
      <c r="F418" s="1499"/>
      <c r="G418" s="1499"/>
      <c r="H418" s="13" t="s">
        <v>115</v>
      </c>
      <c r="I418" s="1499"/>
      <c r="J418" s="1499"/>
      <c r="K418" s="1499"/>
      <c r="L418" t="s">
        <v>116</v>
      </c>
      <c r="N418" s="27" t="s">
        <v>582</v>
      </c>
      <c r="P418" s="1742">
        <v>0.46</v>
      </c>
      <c r="Q418" s="1742"/>
      <c r="R418" s="1742"/>
      <c r="S418" t="s">
        <v>117</v>
      </c>
      <c r="W418" s="1457">
        <f>IF(E418&gt;0,(E418*I418),(P418*43560))</f>
        <v>20037.600000000002</v>
      </c>
      <c r="X418" s="1457"/>
      <c r="Y418" s="1457"/>
      <c r="Z418" t="s">
        <v>118</v>
      </c>
      <c r="AF418" s="1739">
        <f>IFERROR(IF(P418&gt;0,(AG437/P418),(AG437/(W418/43560))),0)</f>
        <v>186.95652173913044</v>
      </c>
      <c r="AG418" s="1739"/>
      <c r="AH418" s="1739"/>
      <c r="AM418" s="3"/>
    </row>
    <row r="419" spans="1:39" ht="12.95" customHeight="1">
      <c r="E419" t="s">
        <v>51</v>
      </c>
    </row>
    <row r="420" spans="1:39" ht="12.95" customHeight="1">
      <c r="E420" s="1528" t="s">
        <v>598</v>
      </c>
      <c r="F420" s="1529"/>
      <c r="G420" s="1529"/>
      <c r="H420" s="1529"/>
      <c r="I420" s="1529"/>
      <c r="J420" s="1529"/>
      <c r="K420" s="1529"/>
      <c r="L420" s="1529"/>
      <c r="M420" s="1529"/>
      <c r="N420" s="1529"/>
      <c r="O420" s="1529"/>
      <c r="P420" s="1529"/>
      <c r="Q420" s="1529"/>
      <c r="R420" s="1529"/>
      <c r="S420" s="1529"/>
      <c r="T420" s="1529"/>
      <c r="U420" s="1529"/>
      <c r="V420" s="1529"/>
      <c r="W420" s="1529"/>
      <c r="X420" s="1529"/>
      <c r="Y420" s="1529"/>
      <c r="Z420" s="1529"/>
      <c r="AA420" s="1529"/>
      <c r="AB420" s="1529"/>
      <c r="AC420" s="1529"/>
      <c r="AD420" s="1529"/>
      <c r="AE420" s="1529"/>
      <c r="AF420" s="1529"/>
      <c r="AG420" s="1529"/>
      <c r="AH420" s="1529"/>
      <c r="AI420" s="1529"/>
      <c r="AJ420" s="1529"/>
    </row>
    <row r="421" spans="1:39" ht="12.95" customHeight="1">
      <c r="E421" s="118" t="s">
        <v>1921</v>
      </c>
      <c r="F421" s="1048"/>
      <c r="G421" s="1048"/>
      <c r="H421" s="1048"/>
      <c r="I421" s="1601">
        <v>0.46</v>
      </c>
      <c r="J421" s="1601"/>
      <c r="K421" s="1601"/>
      <c r="L421" s="1048"/>
      <c r="M421" s="118"/>
      <c r="N421" s="1048"/>
      <c r="O421" s="1048"/>
      <c r="P421" s="1777">
        <f>(CS634+CS642+CS658)/I421</f>
        <v>219.56521739130434</v>
      </c>
      <c r="Q421" s="1777"/>
      <c r="R421" s="1777"/>
      <c r="S421" s="118" t="s">
        <v>1922</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599</v>
      </c>
      <c r="B423" s="2"/>
      <c r="C423" s="2"/>
      <c r="D423" s="2" t="s">
        <v>120</v>
      </c>
    </row>
    <row r="424" spans="1:39" ht="12.95" customHeight="1">
      <c r="E424" t="s">
        <v>121</v>
      </c>
      <c r="P424" s="1413">
        <v>1</v>
      </c>
      <c r="Q424" s="1413"/>
      <c r="S424" t="s">
        <v>189</v>
      </c>
      <c r="AE424" s="1413">
        <v>1</v>
      </c>
      <c r="AF424" s="1413"/>
    </row>
    <row r="425" spans="1:39" ht="12.95" customHeight="1">
      <c r="E425" t="s">
        <v>190</v>
      </c>
      <c r="P425" s="1516" t="s">
        <v>598</v>
      </c>
      <c r="Q425" s="1413"/>
      <c r="S425" t="s">
        <v>131</v>
      </c>
      <c r="AE425" s="1413" t="s">
        <v>598</v>
      </c>
      <c r="AF425" s="1413"/>
    </row>
    <row r="426" spans="1:39" ht="12.95" customHeight="1">
      <c r="F426" s="28" t="s">
        <v>132</v>
      </c>
    </row>
    <row r="427" spans="1:39" ht="12.95" customHeight="1">
      <c r="F427" s="1518" t="s">
        <v>598</v>
      </c>
      <c r="G427" s="1521"/>
      <c r="H427" s="1521"/>
      <c r="I427" s="1521"/>
      <c r="J427" s="1521"/>
      <c r="K427" s="1521"/>
      <c r="L427" s="1521"/>
      <c r="M427" s="1521"/>
      <c r="N427" s="1521"/>
      <c r="O427" s="1521"/>
      <c r="P427" s="1521"/>
      <c r="Q427" s="1521"/>
      <c r="R427" s="1521"/>
      <c r="S427" s="1521"/>
      <c r="T427" s="1521"/>
      <c r="U427" s="1521"/>
      <c r="V427" s="1521"/>
      <c r="W427" s="1521"/>
      <c r="X427" s="1521"/>
      <c r="Y427" s="1521"/>
      <c r="Z427" s="1521"/>
      <c r="AA427" s="1521"/>
      <c r="AB427" s="1521"/>
      <c r="AC427" s="1521"/>
      <c r="AD427" s="1521"/>
      <c r="AE427" s="1521"/>
      <c r="AF427" s="1521"/>
      <c r="AG427" s="1521"/>
      <c r="AH427" s="1521"/>
    </row>
    <row r="428" spans="1:39" ht="12.95" customHeight="1">
      <c r="F428" s="1424"/>
      <c r="G428" s="1424"/>
      <c r="H428" s="1424"/>
      <c r="I428" s="1424"/>
      <c r="J428" s="1424"/>
      <c r="K428" s="1424"/>
      <c r="L428" s="1424"/>
      <c r="M428" s="1424"/>
      <c r="N428" s="1424"/>
      <c r="O428" s="1424"/>
      <c r="P428" s="1424"/>
      <c r="Q428" s="1424"/>
      <c r="R428" s="1424"/>
      <c r="S428" s="1424"/>
      <c r="T428" s="1424"/>
      <c r="U428" s="1424"/>
      <c r="V428" s="1424"/>
      <c r="W428" s="1424"/>
      <c r="X428" s="1424"/>
      <c r="Y428" s="1424"/>
      <c r="Z428" s="1424"/>
      <c r="AA428" s="1424"/>
      <c r="AB428" s="1424"/>
      <c r="AC428" s="1424"/>
      <c r="AD428" s="1424"/>
      <c r="AE428" s="1424"/>
      <c r="AF428" s="1424"/>
      <c r="AG428" s="1424"/>
      <c r="AH428" s="1424"/>
    </row>
    <row r="429" spans="1:39" ht="12.95" customHeight="1">
      <c r="E429" t="s">
        <v>615</v>
      </c>
      <c r="P429" s="1"/>
      <c r="Q429" s="1413" t="s">
        <v>552</v>
      </c>
      <c r="R429" s="1413"/>
    </row>
    <row r="430" spans="1:39" ht="12.95" customHeight="1">
      <c r="F430" t="s">
        <v>616</v>
      </c>
      <c r="P430" s="1"/>
      <c r="Q430" s="1"/>
      <c r="AF430" s="1413" t="s">
        <v>598</v>
      </c>
      <c r="AG430" s="1477"/>
    </row>
    <row r="431" spans="1:39" ht="12.95" customHeight="1"/>
    <row r="432" spans="1:39" ht="12.95" customHeight="1">
      <c r="A432" s="2"/>
      <c r="B432" s="2"/>
      <c r="C432" s="2"/>
      <c r="E432" s="4" t="s">
        <v>308</v>
      </c>
      <c r="Z432" s="1413" t="s">
        <v>676</v>
      </c>
      <c r="AA432" s="1413"/>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715</v>
      </c>
      <c r="G434" s="40"/>
      <c r="I434" s="40"/>
      <c r="J434" s="40"/>
      <c r="K434" s="40"/>
      <c r="L434" s="40"/>
      <c r="M434" s="40"/>
      <c r="N434" s="40"/>
      <c r="O434" s="28"/>
      <c r="P434" s="40"/>
      <c r="Q434" s="40"/>
      <c r="R434" s="40"/>
      <c r="S434" s="40"/>
      <c r="T434" s="40"/>
      <c r="U434" s="40"/>
      <c r="V434" s="40"/>
      <c r="W434" s="40"/>
      <c r="Z434" s="1413" t="s">
        <v>598</v>
      </c>
      <c r="AA434" s="1413"/>
    </row>
    <row r="435" spans="1:110" ht="12.95" customHeight="1"/>
    <row r="436" spans="1:110" ht="12.95" customHeight="1">
      <c r="A436" s="2" t="s">
        <v>474</v>
      </c>
      <c r="B436" s="2"/>
      <c r="C436" s="2"/>
      <c r="D436" s="2" t="s">
        <v>772</v>
      </c>
      <c r="AF436" s="48"/>
    </row>
    <row r="437" spans="1:110" ht="12.95" customHeight="1">
      <c r="D437" s="1500" t="s">
        <v>43</v>
      </c>
      <c r="E437" s="1490"/>
      <c r="F437" s="1490"/>
      <c r="G437" s="1490"/>
      <c r="H437" s="1490"/>
      <c r="I437" s="1490"/>
      <c r="J437" s="1490"/>
      <c r="K437" s="1490"/>
      <c r="L437" s="1490"/>
      <c r="M437" s="1490"/>
      <c r="N437" s="1490"/>
      <c r="O437" s="1490"/>
      <c r="P437" s="1490"/>
      <c r="Q437" s="1490"/>
      <c r="R437" s="1490"/>
      <c r="S437" s="1490"/>
      <c r="T437" s="1490"/>
      <c r="U437" s="1490"/>
      <c r="V437" s="1490"/>
      <c r="W437" s="1490"/>
      <c r="X437" s="1490"/>
      <c r="Y437" s="1490"/>
      <c r="Z437" s="1490"/>
      <c r="AA437" s="1490"/>
      <c r="AB437" s="1490"/>
      <c r="AC437" s="1490"/>
      <c r="AD437" s="1490"/>
      <c r="AE437" s="1490"/>
      <c r="AF437" s="1491"/>
      <c r="AG437" s="1481">
        <v>86</v>
      </c>
      <c r="AH437" s="1481"/>
      <c r="AI437" s="1481"/>
      <c r="AJ437" s="1481"/>
    </row>
    <row r="438" spans="1:110" ht="12.95" customHeight="1">
      <c r="D438" s="1462" t="s">
        <v>1326</v>
      </c>
      <c r="E438" s="1463"/>
      <c r="F438" s="1463"/>
      <c r="G438" s="1463"/>
      <c r="H438" s="1463"/>
      <c r="I438" s="1463"/>
      <c r="J438" s="1463"/>
      <c r="K438" s="1463"/>
      <c r="L438" s="1463"/>
      <c r="M438" s="1463"/>
      <c r="N438" s="1463"/>
      <c r="O438" s="1463"/>
      <c r="P438" s="1463"/>
      <c r="Q438" s="1463"/>
      <c r="R438" s="1463"/>
      <c r="S438" s="1463"/>
      <c r="T438" s="1463"/>
      <c r="U438" s="1463"/>
      <c r="V438" s="1463"/>
      <c r="W438" s="1463"/>
      <c r="X438" s="1463"/>
      <c r="Y438" s="1463"/>
      <c r="Z438" s="1463"/>
      <c r="AA438" s="1463"/>
      <c r="AB438" s="1463"/>
      <c r="AC438" s="1463"/>
      <c r="AD438" s="1463"/>
      <c r="AE438" s="1463"/>
      <c r="AF438" s="1464"/>
      <c r="AG438" s="1526">
        <v>0</v>
      </c>
      <c r="AH438" s="1527"/>
      <c r="AI438" s="1527"/>
      <c r="AJ438" s="1527"/>
    </row>
    <row r="439" spans="1:110" ht="12.95" customHeight="1">
      <c r="D439" s="1462" t="s">
        <v>1052</v>
      </c>
      <c r="E439" s="1463"/>
      <c r="F439" s="1463"/>
      <c r="G439" s="1463"/>
      <c r="H439" s="1463"/>
      <c r="I439" s="1463"/>
      <c r="J439" s="1463"/>
      <c r="K439" s="1463"/>
      <c r="L439" s="1463"/>
      <c r="M439" s="1463"/>
      <c r="N439" s="1463"/>
      <c r="O439" s="1463"/>
      <c r="P439" s="1463"/>
      <c r="Q439" s="1463"/>
      <c r="R439" s="1463"/>
      <c r="S439" s="1463"/>
      <c r="T439" s="1463"/>
      <c r="U439" s="1463"/>
      <c r="V439" s="1463"/>
      <c r="W439" s="1463"/>
      <c r="X439" s="1463"/>
      <c r="Y439" s="1463"/>
      <c r="Z439" s="1463"/>
      <c r="AA439" s="1463"/>
      <c r="AB439" s="1463"/>
      <c r="AC439" s="1463"/>
      <c r="AD439" s="1463"/>
      <c r="AE439" s="1463"/>
      <c r="AF439" s="1464"/>
      <c r="AG439" s="1481">
        <v>85</v>
      </c>
      <c r="AH439" s="1481"/>
      <c r="AI439" s="1481"/>
      <c r="AJ439" s="1481"/>
    </row>
    <row r="440" spans="1:110" ht="12.95" customHeight="1">
      <c r="D440" s="1462" t="s">
        <v>1053</v>
      </c>
      <c r="E440" s="1463"/>
      <c r="F440" s="1463"/>
      <c r="G440" s="1463"/>
      <c r="H440" s="1463"/>
      <c r="I440" s="1463"/>
      <c r="J440" s="1463"/>
      <c r="K440" s="1463"/>
      <c r="L440" s="1463"/>
      <c r="M440" s="1463"/>
      <c r="N440" s="1463"/>
      <c r="O440" s="1463"/>
      <c r="P440" s="1463"/>
      <c r="Q440" s="1463"/>
      <c r="R440" s="1463"/>
      <c r="S440" s="1463"/>
      <c r="T440" s="1463"/>
      <c r="U440" s="1463"/>
      <c r="V440" s="1463"/>
      <c r="W440" s="1463"/>
      <c r="X440" s="1463"/>
      <c r="Y440" s="1463"/>
      <c r="Z440" s="1463"/>
      <c r="AA440" s="1463"/>
      <c r="AB440" s="1463"/>
      <c r="AC440" s="1463"/>
      <c r="AD440" s="1463"/>
      <c r="AE440" s="1463"/>
      <c r="AF440" s="1464"/>
      <c r="AG440" s="1481">
        <v>85</v>
      </c>
      <c r="AH440" s="1481"/>
      <c r="AI440" s="1481"/>
      <c r="AJ440" s="1481"/>
    </row>
    <row r="441" spans="1:110" ht="12.95" customHeight="1">
      <c r="D441" s="1462" t="s">
        <v>1055</v>
      </c>
      <c r="E441" s="1463"/>
      <c r="F441" s="1463"/>
      <c r="G441" s="1463"/>
      <c r="H441" s="1463"/>
      <c r="I441" s="1463"/>
      <c r="J441" s="1463"/>
      <c r="K441" s="1463"/>
      <c r="L441" s="1463"/>
      <c r="M441" s="1463"/>
      <c r="N441" s="1463"/>
      <c r="O441" s="1463"/>
      <c r="P441" s="1463"/>
      <c r="Q441" s="1463"/>
      <c r="R441" s="1463"/>
      <c r="S441" s="1463"/>
      <c r="T441" s="1463"/>
      <c r="U441" s="1463"/>
      <c r="V441" s="1463"/>
      <c r="W441" s="1463"/>
      <c r="X441" s="1463"/>
      <c r="Y441" s="1463"/>
      <c r="Z441" s="1463"/>
      <c r="AA441" s="1463"/>
      <c r="AB441" s="1463"/>
      <c r="AC441" s="1463"/>
      <c r="AD441" s="1463"/>
      <c r="AE441" s="1463"/>
      <c r="AF441" s="1464"/>
      <c r="AG441" s="1502">
        <f>IF(ISERROR(AG440/AG439),"",AG440/AG439)</f>
        <v>1</v>
      </c>
      <c r="AH441" s="1502"/>
      <c r="AI441" s="1502"/>
      <c r="AJ441" s="1502"/>
    </row>
    <row r="442" spans="1:110" ht="12.95" customHeight="1">
      <c r="D442" s="1462" t="s">
        <v>1054</v>
      </c>
      <c r="E442" s="1463"/>
      <c r="F442" s="1463"/>
      <c r="G442" s="1463"/>
      <c r="H442" s="1463"/>
      <c r="I442" s="1463"/>
      <c r="J442" s="1463"/>
      <c r="K442" s="1463"/>
      <c r="L442" s="1463"/>
      <c r="M442" s="1463"/>
      <c r="N442" s="1463"/>
      <c r="O442" s="1463"/>
      <c r="P442" s="1463"/>
      <c r="Q442" s="1463"/>
      <c r="R442" s="1463"/>
      <c r="S442" s="1463"/>
      <c r="T442" s="1463"/>
      <c r="U442" s="1463"/>
      <c r="V442" s="1463"/>
      <c r="W442" s="1463"/>
      <c r="X442" s="1463"/>
      <c r="Y442" s="1463"/>
      <c r="Z442" s="1463"/>
      <c r="AA442" s="1463"/>
      <c r="AB442" s="1463"/>
      <c r="AC442" s="1463"/>
      <c r="AD442" s="1463"/>
      <c r="AE442" s="1463"/>
      <c r="AF442" s="1464"/>
      <c r="AG442" s="1461">
        <v>46002</v>
      </c>
      <c r="AH442" s="1461"/>
      <c r="AI442" s="1461"/>
      <c r="AJ442" s="1461"/>
    </row>
    <row r="443" spans="1:110" ht="12.95" customHeight="1">
      <c r="D443" s="1462" t="s">
        <v>1056</v>
      </c>
      <c r="E443" s="1463"/>
      <c r="F443" s="1463"/>
      <c r="G443" s="1463"/>
      <c r="H443" s="1463"/>
      <c r="I443" s="1463"/>
      <c r="J443" s="1463"/>
      <c r="K443" s="1463"/>
      <c r="L443" s="1463"/>
      <c r="M443" s="1463"/>
      <c r="N443" s="1463"/>
      <c r="O443" s="1463"/>
      <c r="P443" s="1463"/>
      <c r="Q443" s="1463"/>
      <c r="R443" s="1463"/>
      <c r="S443" s="1463"/>
      <c r="T443" s="1463"/>
      <c r="U443" s="1463"/>
      <c r="V443" s="1463"/>
      <c r="W443" s="1463"/>
      <c r="X443" s="1463"/>
      <c r="Y443" s="1463"/>
      <c r="Z443" s="1463"/>
      <c r="AA443" s="1463"/>
      <c r="AB443" s="1463"/>
      <c r="AC443" s="1463"/>
      <c r="AD443" s="1463"/>
      <c r="AE443" s="1463"/>
      <c r="AF443" s="1464"/>
      <c r="AG443" s="1461">
        <v>46002</v>
      </c>
      <c r="AH443" s="1461"/>
      <c r="AI443" s="1461"/>
      <c r="AJ443" s="1461"/>
    </row>
    <row r="444" spans="1:110" ht="12.95" customHeight="1">
      <c r="D444" s="1462" t="s">
        <v>1057</v>
      </c>
      <c r="E444" s="1463"/>
      <c r="F444" s="1463"/>
      <c r="G444" s="1463"/>
      <c r="H444" s="1463"/>
      <c r="I444" s="1463"/>
      <c r="J444" s="1463"/>
      <c r="K444" s="1463"/>
      <c r="L444" s="1463"/>
      <c r="M444" s="1463"/>
      <c r="N444" s="1463"/>
      <c r="O444" s="1463"/>
      <c r="P444" s="1463"/>
      <c r="Q444" s="1463"/>
      <c r="R444" s="1463"/>
      <c r="S444" s="1463"/>
      <c r="T444" s="1463"/>
      <c r="U444" s="1463"/>
      <c r="V444" s="1463"/>
      <c r="W444" s="1463"/>
      <c r="X444" s="1463"/>
      <c r="Y444" s="1463"/>
      <c r="Z444" s="1463"/>
      <c r="AA444" s="1463"/>
      <c r="AB444" s="1463"/>
      <c r="AC444" s="1463"/>
      <c r="AD444" s="1463"/>
      <c r="AE444" s="1463"/>
      <c r="AF444" s="1464"/>
      <c r="AG444" s="1502">
        <f>IF(ISERROR(AG443/AG442),"",AG443/AG442)</f>
        <v>1</v>
      </c>
      <c r="AH444" s="1502"/>
      <c r="AI444" s="1502"/>
      <c r="AJ444" s="1502"/>
    </row>
    <row r="445" spans="1:110" ht="12.95" customHeight="1">
      <c r="D445" s="1462" t="s">
        <v>1058</v>
      </c>
      <c r="E445" s="1463"/>
      <c r="F445" s="1463"/>
      <c r="G445" s="1463"/>
      <c r="H445" s="1463"/>
      <c r="I445" s="1463"/>
      <c r="J445" s="1463"/>
      <c r="K445" s="1463"/>
      <c r="L445" s="1463"/>
      <c r="M445" s="1463"/>
      <c r="N445" s="1463"/>
      <c r="O445" s="1463"/>
      <c r="P445" s="1463"/>
      <c r="Q445" s="1463"/>
      <c r="R445" s="1463"/>
      <c r="S445" s="1463"/>
      <c r="T445" s="1463"/>
      <c r="U445" s="1463"/>
      <c r="V445" s="1463"/>
      <c r="W445" s="1463"/>
      <c r="X445" s="1463"/>
      <c r="Y445" s="1463"/>
      <c r="Z445" s="1463"/>
      <c r="AA445" s="1463"/>
      <c r="AB445" s="1463"/>
      <c r="AC445" s="1463"/>
      <c r="AD445" s="1463"/>
      <c r="AE445" s="1463"/>
      <c r="AF445" s="1464"/>
      <c r="AG445" s="1502">
        <f>MIN(IF(AG441&gt;AG444,AG444,AG441),1)</f>
        <v>1</v>
      </c>
      <c r="AH445" s="1502"/>
      <c r="AI445" s="1502"/>
      <c r="AJ445" s="1502"/>
    </row>
    <row r="446" spans="1:110" ht="12.95" customHeight="1">
      <c r="D446" s="1462" t="s">
        <v>2399</v>
      </c>
      <c r="E446" s="1490"/>
      <c r="F446" s="1490"/>
      <c r="G446" s="1490"/>
      <c r="H446" s="1490"/>
      <c r="I446" s="1490"/>
      <c r="J446" s="1490"/>
      <c r="K446" s="1490"/>
      <c r="L446" s="1490"/>
      <c r="M446" s="1490"/>
      <c r="N446" s="1490"/>
      <c r="O446" s="1490"/>
      <c r="P446" s="1490"/>
      <c r="Q446" s="1490"/>
      <c r="R446" s="1490"/>
      <c r="S446" s="1490"/>
      <c r="T446" s="1490"/>
      <c r="U446" s="1490"/>
      <c r="V446" s="1490"/>
      <c r="W446" s="1490"/>
      <c r="X446" s="1490"/>
      <c r="Y446" s="1490"/>
      <c r="Z446" s="1490"/>
      <c r="AA446" s="1490"/>
      <c r="AB446" s="1490"/>
      <c r="AC446" s="1490"/>
      <c r="AD446" s="1490"/>
      <c r="AE446" s="1490"/>
      <c r="AF446" s="1491"/>
      <c r="AG446" s="1461">
        <v>3685</v>
      </c>
      <c r="AH446" s="1461"/>
      <c r="AI446" s="1461"/>
      <c r="AJ446" s="1461"/>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500" t="s">
        <v>576</v>
      </c>
      <c r="E447" s="1490"/>
      <c r="F447" s="1490"/>
      <c r="G447" s="1490"/>
      <c r="H447" s="1490"/>
      <c r="I447" s="1490"/>
      <c r="J447" s="1490"/>
      <c r="K447" s="1490"/>
      <c r="L447" s="1490"/>
      <c r="M447" s="1490"/>
      <c r="N447" s="1490"/>
      <c r="O447" s="1490"/>
      <c r="P447" s="1490"/>
      <c r="Q447" s="1490"/>
      <c r="R447" s="1490"/>
      <c r="S447" s="1490"/>
      <c r="T447" s="1490"/>
      <c r="U447" s="1490"/>
      <c r="V447" s="1490"/>
      <c r="W447" s="1490"/>
      <c r="X447" s="1490"/>
      <c r="Y447" s="1490"/>
      <c r="Z447" s="1490"/>
      <c r="AA447" s="1490"/>
      <c r="AB447" s="1490"/>
      <c r="AC447" s="1490"/>
      <c r="AD447" s="1490"/>
      <c r="AE447" s="1490"/>
      <c r="AF447" s="1491"/>
      <c r="AG447" s="1461">
        <v>0</v>
      </c>
      <c r="AH447" s="1461"/>
      <c r="AI447" s="1461"/>
      <c r="AJ447" s="1461"/>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462" t="s">
        <v>1308</v>
      </c>
      <c r="E448" s="1490"/>
      <c r="F448" s="1490"/>
      <c r="G448" s="1490"/>
      <c r="H448" s="1490"/>
      <c r="I448" s="1490"/>
      <c r="J448" s="1490"/>
      <c r="K448" s="1490"/>
      <c r="L448" s="1490"/>
      <c r="M448" s="1490"/>
      <c r="N448" s="1490"/>
      <c r="O448" s="1490"/>
      <c r="P448" s="1490"/>
      <c r="Q448" s="1490"/>
      <c r="R448" s="1490"/>
      <c r="S448" s="1490"/>
      <c r="T448" s="1490"/>
      <c r="U448" s="1490"/>
      <c r="V448" s="1490"/>
      <c r="W448" s="1490"/>
      <c r="X448" s="1490"/>
      <c r="Y448" s="1490"/>
      <c r="Z448" s="1490"/>
      <c r="AA448" s="1490"/>
      <c r="AB448" s="1490"/>
      <c r="AC448" s="1490"/>
      <c r="AD448" s="1490"/>
      <c r="AE448" s="1490"/>
      <c r="AF448" s="1491"/>
      <c r="AG448" s="1461">
        <v>19781</v>
      </c>
      <c r="AH448" s="1461"/>
      <c r="AI448" s="1461"/>
      <c r="AJ448" s="1461"/>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462" t="s">
        <v>1059</v>
      </c>
      <c r="E449" s="1490"/>
      <c r="F449" s="1490"/>
      <c r="G449" s="1490"/>
      <c r="H449" s="1490"/>
      <c r="I449" s="1490"/>
      <c r="J449" s="1490"/>
      <c r="K449" s="1490"/>
      <c r="L449" s="1490"/>
      <c r="M449" s="1490"/>
      <c r="N449" s="1490"/>
      <c r="O449" s="1490"/>
      <c r="P449" s="1490"/>
      <c r="Q449" s="1490"/>
      <c r="R449" s="1490"/>
      <c r="S449" s="1490"/>
      <c r="T449" s="1490"/>
      <c r="U449" s="1490"/>
      <c r="V449" s="1490"/>
      <c r="W449" s="1490"/>
      <c r="X449" s="1490"/>
      <c r="Y449" s="1490"/>
      <c r="Z449" s="1490"/>
      <c r="AA449" s="1490"/>
      <c r="AB449" s="1490"/>
      <c r="AC449" s="1490"/>
      <c r="AD449" s="1490"/>
      <c r="AE449" s="1490"/>
      <c r="AF449" s="1491"/>
      <c r="AG449" s="1461">
        <v>8055</v>
      </c>
      <c r="AH449" s="1461"/>
      <c r="AI449" s="1461"/>
      <c r="AJ449" s="1461"/>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554" t="s">
        <v>1060</v>
      </c>
      <c r="E450" s="1555"/>
      <c r="F450" s="1555"/>
      <c r="G450" s="1555"/>
      <c r="H450" s="1555"/>
      <c r="I450" s="1555"/>
      <c r="J450" s="1555"/>
      <c r="K450" s="1555"/>
      <c r="L450" s="1555"/>
      <c r="M450" s="1555"/>
      <c r="N450" s="1555"/>
      <c r="O450" s="1555"/>
      <c r="P450" s="1555"/>
      <c r="Q450" s="1555"/>
      <c r="R450" s="1555"/>
      <c r="S450" s="1555"/>
      <c r="T450" s="1555"/>
      <c r="U450" s="1555"/>
      <c r="V450" s="1555"/>
      <c r="W450" s="1555"/>
      <c r="X450" s="1555"/>
      <c r="Y450" s="1555"/>
      <c r="Z450" s="1555"/>
      <c r="AA450" s="1555"/>
      <c r="AB450" s="1555"/>
      <c r="AC450" s="1555"/>
      <c r="AD450" s="1555"/>
      <c r="AE450" s="1555"/>
      <c r="AF450" s="1556"/>
      <c r="AG450" s="1482">
        <f>AG442+AG446+AG448+AG449</f>
        <v>77523</v>
      </c>
      <c r="AH450" s="1482"/>
      <c r="AI450" s="1482"/>
      <c r="AJ450" s="1482"/>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557" t="s">
        <v>1309</v>
      </c>
      <c r="E451" s="1557"/>
      <c r="F451" s="1557"/>
      <c r="G451" s="1557"/>
      <c r="H451" s="1557"/>
      <c r="I451" s="1557"/>
      <c r="J451" s="1557"/>
      <c r="K451" s="1557"/>
      <c r="L451" s="1557"/>
      <c r="M451" s="1557"/>
      <c r="N451" s="1557"/>
      <c r="O451" s="1557"/>
      <c r="P451" s="1557"/>
      <c r="Q451" s="1557"/>
      <c r="R451" s="1557"/>
      <c r="S451" s="1557"/>
      <c r="T451" s="1557"/>
      <c r="U451" s="1557"/>
      <c r="V451" s="1557"/>
      <c r="W451" s="1557"/>
      <c r="X451" s="1557"/>
      <c r="Y451" s="1557"/>
      <c r="Z451" s="1557"/>
      <c r="AA451" s="1557"/>
      <c r="AB451" s="1557"/>
      <c r="AC451" s="1557"/>
      <c r="AD451" s="1557"/>
      <c r="AE451" s="1557"/>
      <c r="AF451" s="1557"/>
      <c r="AG451" s="1557"/>
      <c r="AH451" s="1557"/>
      <c r="AI451" s="1557"/>
      <c r="AJ451" s="1557"/>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558"/>
      <c r="E452" s="1558"/>
      <c r="F452" s="1558"/>
      <c r="G452" s="1558"/>
      <c r="H452" s="1558"/>
      <c r="I452" s="1558"/>
      <c r="J452" s="1558"/>
      <c r="K452" s="1558"/>
      <c r="L452" s="1558"/>
      <c r="M452" s="1558"/>
      <c r="N452" s="1558"/>
      <c r="O452" s="1558"/>
      <c r="P452" s="1558"/>
      <c r="Q452" s="1558"/>
      <c r="R452" s="1558"/>
      <c r="S452" s="1558"/>
      <c r="T452" s="1558"/>
      <c r="U452" s="1558"/>
      <c r="V452" s="1558"/>
      <c r="W452" s="1558"/>
      <c r="X452" s="1558"/>
      <c r="Y452" s="1558"/>
      <c r="Z452" s="1558"/>
      <c r="AA452" s="1558"/>
      <c r="AB452" s="1558"/>
      <c r="AC452" s="1558"/>
      <c r="AD452" s="1558"/>
      <c r="AE452" s="1558"/>
      <c r="AF452" s="1558"/>
      <c r="AG452" s="1558"/>
      <c r="AH452" s="1558"/>
      <c r="AI452" s="1558"/>
      <c r="AJ452" s="1558"/>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822</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70">
        <f>IF(AG437=0,"",'Sources and Uses Budget'!B105/Application!AG437)</f>
        <v>798055.53488372092</v>
      </c>
      <c r="AD454" s="1470"/>
      <c r="AE454" s="1470"/>
      <c r="AF454" s="1470"/>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823</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70">
        <f>IF(AG437=0,"",'Sources and Uses Budget'!C105/Application!AG437)</f>
        <v>798055.53488372092</v>
      </c>
      <c r="AD455" s="1470"/>
      <c r="AE455" s="1470"/>
      <c r="AF455" s="1470"/>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873</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70">
        <f>IF(AG437=0,"",('Sources and Uses Budget'!$S$107+'Sources and Uses Budget'!$T$107)/Application!AG437)</f>
        <v>670269.86046511633</v>
      </c>
      <c r="AD456" s="1470"/>
      <c r="AE456" s="1470"/>
      <c r="AF456" s="1470"/>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83"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83"/>
      <c r="H457" s="1483"/>
      <c r="I457" s="1483"/>
      <c r="J457" s="1483"/>
      <c r="K457" s="1483"/>
      <c r="L457" s="1483"/>
      <c r="M457" s="1483"/>
      <c r="N457" s="1483"/>
      <c r="O457" s="1483"/>
      <c r="P457" s="1483"/>
      <c r="Q457" s="1483"/>
      <c r="R457" s="1483"/>
      <c r="S457" s="1483"/>
      <c r="T457" s="1483"/>
      <c r="U457" s="1483"/>
      <c r="V457" s="1483"/>
      <c r="W457" s="1483"/>
      <c r="X457" s="1483"/>
      <c r="Y457" s="1483"/>
      <c r="Z457" s="1483"/>
      <c r="AA457" s="1483"/>
      <c r="AB457" s="1483"/>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83"/>
      <c r="G458" s="1483"/>
      <c r="H458" s="1483"/>
      <c r="I458" s="1483"/>
      <c r="J458" s="1483"/>
      <c r="K458" s="1483"/>
      <c r="L458" s="1483"/>
      <c r="M458" s="1483"/>
      <c r="N458" s="1483"/>
      <c r="O458" s="1483"/>
      <c r="P458" s="1483"/>
      <c r="Q458" s="1483"/>
      <c r="R458" s="1483"/>
      <c r="S458" s="1483"/>
      <c r="T458" s="1483"/>
      <c r="U458" s="1483"/>
      <c r="V458" s="1483"/>
      <c r="W458" s="1483"/>
      <c r="X458" s="1483"/>
      <c r="Y458" s="1483"/>
      <c r="Z458" s="1483"/>
      <c r="AA458" s="1483"/>
      <c r="AB458" s="1483"/>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620</v>
      </c>
      <c r="D459" s="2" t="s">
        <v>248</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2062</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2063</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2064</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700</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443" t="s">
        <v>2413</v>
      </c>
      <c r="E465" s="1465"/>
      <c r="F465" s="1465"/>
      <c r="G465" s="1465"/>
      <c r="H465" s="1465"/>
      <c r="I465" s="1465"/>
      <c r="J465" s="1465"/>
      <c r="K465" s="1465"/>
      <c r="L465" s="1465"/>
      <c r="M465" s="1465"/>
      <c r="N465" s="1465"/>
      <c r="O465" s="1465"/>
      <c r="P465" s="1465"/>
      <c r="Q465" s="1465"/>
      <c r="R465" s="1465"/>
      <c r="S465" s="1465"/>
      <c r="T465" s="1465"/>
      <c r="U465" s="1465"/>
      <c r="V465" s="1466"/>
      <c r="W465" s="1446">
        <v>39</v>
      </c>
      <c r="X465" s="1447"/>
      <c r="Y465" s="1448"/>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484" t="s">
        <v>701</v>
      </c>
      <c r="E466" s="1465"/>
      <c r="F466" s="1465"/>
      <c r="G466" s="1465"/>
      <c r="H466" s="1465"/>
      <c r="I466" s="1465"/>
      <c r="J466" s="1465"/>
      <c r="K466" s="1465"/>
      <c r="L466" s="1465"/>
      <c r="M466" s="1465"/>
      <c r="N466" s="1465"/>
      <c r="O466" s="1465"/>
      <c r="P466" s="1465"/>
      <c r="Q466" s="1465"/>
      <c r="R466" s="1465"/>
      <c r="S466" s="1465"/>
      <c r="T466" s="1465"/>
      <c r="U466" s="1465"/>
      <c r="V466" s="1466"/>
      <c r="W466" s="1446">
        <v>0</v>
      </c>
      <c r="X466" s="1447"/>
      <c r="Y466" s="1448"/>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484" t="s">
        <v>702</v>
      </c>
      <c r="E467" s="1465"/>
      <c r="F467" s="1465"/>
      <c r="G467" s="1465"/>
      <c r="H467" s="1465"/>
      <c r="I467" s="1465"/>
      <c r="J467" s="1465"/>
      <c r="K467" s="1465"/>
      <c r="L467" s="1465"/>
      <c r="M467" s="1465"/>
      <c r="N467" s="1465"/>
      <c r="O467" s="1465"/>
      <c r="P467" s="1465"/>
      <c r="Q467" s="1465"/>
      <c r="R467" s="1465"/>
      <c r="S467" s="1465"/>
      <c r="T467" s="1465"/>
      <c r="U467" s="1465"/>
      <c r="V467" s="1466"/>
      <c r="W467" s="1446">
        <v>0</v>
      </c>
      <c r="X467" s="1447"/>
      <c r="Y467" s="1448"/>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484" t="s">
        <v>703</v>
      </c>
      <c r="E468" s="1465"/>
      <c r="F468" s="1465"/>
      <c r="G468" s="1465"/>
      <c r="H468" s="1465"/>
      <c r="I468" s="1465"/>
      <c r="J468" s="1465"/>
      <c r="K468" s="1465"/>
      <c r="L468" s="1465"/>
      <c r="M468" s="1465"/>
      <c r="N468" s="1465"/>
      <c r="O468" s="1465"/>
      <c r="P468" s="1465"/>
      <c r="Q468" s="1465"/>
      <c r="R468" s="1465"/>
      <c r="S468" s="1465"/>
      <c r="T468" s="1465"/>
      <c r="U468" s="1465"/>
      <c r="V468" s="1466"/>
      <c r="W468" s="1446">
        <v>0</v>
      </c>
      <c r="X468" s="1447"/>
      <c r="Y468" s="1448"/>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484" t="s">
        <v>892</v>
      </c>
      <c r="E469" s="1465"/>
      <c r="F469" s="1465"/>
      <c r="G469" s="1465"/>
      <c r="H469" s="1465"/>
      <c r="I469" s="1465"/>
      <c r="J469" s="1465"/>
      <c r="K469" s="1465"/>
      <c r="L469" s="1465"/>
      <c r="M469" s="1465"/>
      <c r="N469" s="1465"/>
      <c r="O469" s="1465"/>
      <c r="P469" s="1465"/>
      <c r="Q469" s="1465"/>
      <c r="R469" s="1465"/>
      <c r="S469" s="1465"/>
      <c r="T469" s="1465"/>
      <c r="U469" s="1465"/>
      <c r="V469" s="1466"/>
      <c r="W469" s="1446">
        <v>0</v>
      </c>
      <c r="X469" s="1447"/>
      <c r="Y469" s="1448"/>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484" t="s">
        <v>704</v>
      </c>
      <c r="E470" s="1465"/>
      <c r="F470" s="1465"/>
      <c r="G470" s="1465"/>
      <c r="H470" s="1465"/>
      <c r="I470" s="1465"/>
      <c r="J470" s="1465"/>
      <c r="K470" s="1465"/>
      <c r="L470" s="1465"/>
      <c r="M470" s="1465"/>
      <c r="N470" s="1465"/>
      <c r="O470" s="1465"/>
      <c r="P470" s="1465"/>
      <c r="Q470" s="1465"/>
      <c r="R470" s="1465"/>
      <c r="S470" s="1465"/>
      <c r="T470" s="1465"/>
      <c r="U470" s="1465"/>
      <c r="V470" s="1466"/>
      <c r="W470" s="1446">
        <v>0</v>
      </c>
      <c r="X470" s="1447"/>
      <c r="Y470" s="1448"/>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484" t="s">
        <v>1033</v>
      </c>
      <c r="E471" s="1465"/>
      <c r="F471" s="1465"/>
      <c r="G471" s="1465"/>
      <c r="H471" s="1465"/>
      <c r="I471" s="1465"/>
      <c r="J471" s="1465"/>
      <c r="K471" s="1465"/>
      <c r="L471" s="1465"/>
      <c r="M471" s="1465"/>
      <c r="N471" s="1465"/>
      <c r="O471" s="1465"/>
      <c r="P471" s="1465"/>
      <c r="Q471" s="1465"/>
      <c r="R471" s="1465"/>
      <c r="S471" s="1465"/>
      <c r="T471" s="1465"/>
      <c r="U471" s="1465"/>
      <c r="V471" s="1466"/>
      <c r="W471" s="1446">
        <v>0</v>
      </c>
      <c r="X471" s="1447"/>
      <c r="Y471" s="1448"/>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443" t="s">
        <v>2548</v>
      </c>
      <c r="E472" s="1444"/>
      <c r="F472" s="1444"/>
      <c r="G472" s="1444"/>
      <c r="H472" s="1444"/>
      <c r="I472" s="1444"/>
      <c r="J472" s="1444"/>
      <c r="K472" s="1444"/>
      <c r="L472" s="1444"/>
      <c r="M472" s="1444"/>
      <c r="N472" s="1444"/>
      <c r="O472" s="1444"/>
      <c r="P472" s="1444"/>
      <c r="Q472" s="1444"/>
      <c r="R472" s="1444"/>
      <c r="S472" s="1444"/>
      <c r="T472" s="1444"/>
      <c r="U472" s="1444"/>
      <c r="V472" s="1445"/>
      <c r="W472" s="1446">
        <v>0</v>
      </c>
      <c r="X472" s="1447"/>
      <c r="Y472" s="1448"/>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443" t="s">
        <v>1762</v>
      </c>
      <c r="E473" s="1465"/>
      <c r="F473" s="1465"/>
      <c r="G473" s="1465"/>
      <c r="H473" s="1465"/>
      <c r="I473" s="1465"/>
      <c r="J473" s="1465"/>
      <c r="K473" s="1465"/>
      <c r="L473" s="1465"/>
      <c r="M473" s="1465"/>
      <c r="N473" s="1465"/>
      <c r="O473" s="1465"/>
      <c r="P473" s="1465"/>
      <c r="Q473" s="1465"/>
      <c r="R473" s="1465"/>
      <c r="S473" s="1465"/>
      <c r="T473" s="1465"/>
      <c r="U473" s="1465"/>
      <c r="V473" s="1466"/>
      <c r="W473" s="1446">
        <v>13</v>
      </c>
      <c r="X473" s="1447"/>
      <c r="Y473" s="1448"/>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169</v>
      </c>
      <c r="E474" s="262"/>
      <c r="F474" s="263"/>
      <c r="G474" s="1547"/>
      <c r="H474" s="1548"/>
      <c r="I474" s="1548"/>
      <c r="J474" s="1548"/>
      <c r="K474" s="1548"/>
      <c r="L474" s="1548"/>
      <c r="M474" s="1548"/>
      <c r="N474" s="1548"/>
      <c r="O474" s="1548"/>
      <c r="P474" s="1548"/>
      <c r="Q474" s="1548"/>
      <c r="R474" s="1548"/>
      <c r="S474" s="1548"/>
      <c r="T474" s="1548"/>
      <c r="U474" s="1548"/>
      <c r="V474" s="1549"/>
      <c r="W474" s="1446">
        <v>0</v>
      </c>
      <c r="X474" s="1447"/>
      <c r="Y474" s="1448"/>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893</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1266" t="s">
        <v>2772</v>
      </c>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696" t="s">
        <v>818</v>
      </c>
      <c r="B480" s="1696"/>
      <c r="C480" s="1696"/>
      <c r="D480" s="1696"/>
      <c r="E480" s="1696"/>
      <c r="F480" s="1696"/>
      <c r="G480" s="1696"/>
      <c r="H480" s="1696"/>
      <c r="I480" s="1696"/>
      <c r="J480" s="1696"/>
      <c r="K480" s="1696"/>
      <c r="L480" s="1696"/>
      <c r="M480" s="1696"/>
      <c r="N480" s="1696"/>
      <c r="O480" s="1696"/>
      <c r="P480" s="1696"/>
      <c r="Q480" s="1696"/>
      <c r="R480" s="1696"/>
      <c r="S480" s="1696"/>
      <c r="T480" s="1696"/>
      <c r="U480" s="1696"/>
      <c r="V480" s="1696"/>
      <c r="W480" s="1696"/>
      <c r="X480" s="1696"/>
      <c r="Y480" s="1696"/>
      <c r="Z480" s="1696"/>
      <c r="AA480" s="1696"/>
      <c r="AB480" s="1696"/>
      <c r="AC480" s="1696"/>
      <c r="AD480" s="1696"/>
      <c r="AE480" s="1696"/>
      <c r="AF480" s="1696"/>
      <c r="AG480" s="1696"/>
      <c r="AH480" s="1696"/>
      <c r="AI480" s="1696"/>
      <c r="AJ480" s="1696"/>
      <c r="AK480" s="1696"/>
      <c r="AL480" s="1696"/>
      <c r="AM480" s="1696"/>
      <c r="AN480" s="1696"/>
      <c r="AO480" s="1696"/>
      <c r="AP480" s="1696"/>
      <c r="AQ480" s="1696"/>
      <c r="AR480" s="1696"/>
      <c r="AS480" s="1696"/>
      <c r="AT480" s="1696"/>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696"/>
      <c r="B481" s="1696"/>
      <c r="C481" s="1696"/>
      <c r="D481" s="1696"/>
      <c r="E481" s="1696"/>
      <c r="F481" s="1696"/>
      <c r="G481" s="1696"/>
      <c r="H481" s="1696"/>
      <c r="I481" s="1696"/>
      <c r="J481" s="1696"/>
      <c r="K481" s="1696"/>
      <c r="L481" s="1696"/>
      <c r="M481" s="1696"/>
      <c r="N481" s="1696"/>
      <c r="O481" s="1696"/>
      <c r="P481" s="1696"/>
      <c r="Q481" s="1696"/>
      <c r="R481" s="1696"/>
      <c r="S481" s="1696"/>
      <c r="T481" s="1696"/>
      <c r="U481" s="1696"/>
      <c r="V481" s="1696"/>
      <c r="W481" s="1696"/>
      <c r="X481" s="1696"/>
      <c r="Y481" s="1696"/>
      <c r="Z481" s="1696"/>
      <c r="AA481" s="1696"/>
      <c r="AB481" s="1696"/>
      <c r="AC481" s="1696"/>
      <c r="AD481" s="1696"/>
      <c r="AE481" s="1696"/>
      <c r="AF481" s="1696"/>
      <c r="AG481" s="1696"/>
      <c r="AH481" s="1696"/>
      <c r="AI481" s="1696"/>
      <c r="AJ481" s="1696"/>
      <c r="AK481" s="1696"/>
      <c r="AL481" s="1696"/>
      <c r="AM481" s="1696"/>
      <c r="AN481" s="1696"/>
      <c r="AO481" s="1696"/>
      <c r="AP481" s="1696"/>
      <c r="AQ481" s="1696"/>
      <c r="AR481" s="1696"/>
      <c r="AS481" s="1696"/>
      <c r="AT481" s="1696"/>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319</v>
      </c>
      <c r="C483" s="2" t="s">
        <v>816</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602" t="s">
        <v>393</v>
      </c>
      <c r="R485" s="1564"/>
      <c r="S485" s="1564"/>
      <c r="T485" s="1564"/>
      <c r="U485" s="1564"/>
      <c r="V485" s="1564"/>
      <c r="W485" s="1564"/>
      <c r="X485" s="1564"/>
      <c r="Y485" s="1564"/>
      <c r="Z485" s="1564"/>
      <c r="AA485" s="1564"/>
      <c r="AB485" s="1564"/>
      <c r="AC485" s="1564"/>
      <c r="AD485" s="1564"/>
      <c r="AE485" s="1564"/>
      <c r="AF485" s="1564"/>
      <c r="AG485" s="1564"/>
      <c r="AH485" s="1564"/>
      <c r="AI485" s="1564"/>
      <c r="AJ485" s="1564"/>
      <c r="AK485" s="1565"/>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394</v>
      </c>
      <c r="C486" s="5"/>
      <c r="D486" s="5"/>
      <c r="E486" s="5"/>
      <c r="F486" s="5"/>
      <c r="G486" s="5"/>
      <c r="H486" s="5"/>
      <c r="I486" s="5"/>
      <c r="J486" s="5"/>
      <c r="K486" s="5"/>
      <c r="L486" s="5"/>
      <c r="M486" s="5"/>
      <c r="N486" s="5"/>
      <c r="O486" s="5"/>
      <c r="P486" s="5"/>
      <c r="Q486" s="1478" t="s">
        <v>2722</v>
      </c>
      <c r="R486" s="1479"/>
      <c r="S486" s="1479"/>
      <c r="T486" s="1479"/>
      <c r="U486" s="1479"/>
      <c r="V486" s="1479"/>
      <c r="W486" s="1479"/>
      <c r="X486" s="1479"/>
      <c r="Y486" s="1479"/>
      <c r="Z486" s="1479"/>
      <c r="AA486" s="1479"/>
      <c r="AB486" s="1479"/>
      <c r="AC486" s="1479"/>
      <c r="AD486" s="1479"/>
      <c r="AE486" s="1479"/>
      <c r="AF486" s="1479"/>
      <c r="AG486" s="1479"/>
      <c r="AH486" s="1479"/>
      <c r="AI486" s="1479"/>
      <c r="AJ486" s="1479"/>
      <c r="AK486" s="1480"/>
      <c r="AZ486" s="3"/>
      <c r="BB486" s="3"/>
      <c r="BC486" s="3"/>
      <c r="BD486" s="3"/>
      <c r="BE486" s="3"/>
      <c r="BF486" s="3"/>
      <c r="BG486" s="3"/>
      <c r="BH486" s="3"/>
      <c r="BI486" s="3"/>
      <c r="BJ486" s="3"/>
      <c r="BK486" s="3"/>
      <c r="BL486" s="3"/>
      <c r="BM486" s="3"/>
      <c r="BN486" s="3"/>
      <c r="BO486" s="3"/>
      <c r="BP486" s="3"/>
      <c r="BQ486" s="3"/>
      <c r="BR486" s="3"/>
      <c r="BS486" s="3"/>
      <c r="BT486" s="3"/>
      <c r="BU486" s="3"/>
      <c r="BV486" s="207" t="s">
        <v>2630</v>
      </c>
      <c r="BW486" s="208"/>
      <c r="BX486" s="208"/>
      <c r="BY486" s="208"/>
      <c r="BZ486" s="208"/>
      <c r="CA486" s="208"/>
      <c r="CB486" s="208"/>
      <c r="CC486" s="3"/>
      <c r="CD486" s="207" t="s">
        <v>2631</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395</v>
      </c>
      <c r="C487" s="5"/>
      <c r="D487" s="5"/>
      <c r="E487" s="5"/>
      <c r="F487" s="5"/>
      <c r="G487" s="5"/>
      <c r="H487" s="5"/>
      <c r="I487" s="5"/>
      <c r="J487" s="5"/>
      <c r="K487" s="5"/>
      <c r="L487" s="5"/>
      <c r="M487" s="5"/>
      <c r="N487" s="5"/>
      <c r="O487" s="5"/>
      <c r="P487" s="5"/>
      <c r="Q487" s="1478" t="s">
        <v>2723</v>
      </c>
      <c r="R487" s="1479"/>
      <c r="S487" s="1479"/>
      <c r="T487" s="1479"/>
      <c r="U487" s="1479"/>
      <c r="V487" s="1479"/>
      <c r="W487" s="1479"/>
      <c r="X487" s="1479"/>
      <c r="Y487" s="1479"/>
      <c r="Z487" s="1479"/>
      <c r="AA487" s="1479"/>
      <c r="AB487" s="1479"/>
      <c r="AC487" s="1479"/>
      <c r="AD487" s="1479"/>
      <c r="AE487" s="1479"/>
      <c r="AF487" s="1479"/>
      <c r="AG487" s="1479"/>
      <c r="AH487" s="1479"/>
      <c r="AI487" s="1479"/>
      <c r="AJ487" s="1479"/>
      <c r="AK487" s="1480"/>
      <c r="AZ487" s="3"/>
      <c r="BB487" s="3"/>
      <c r="BC487" s="3"/>
      <c r="BD487" s="3"/>
      <c r="BE487" s="3"/>
      <c r="BF487" s="3"/>
      <c r="BG487" s="3"/>
      <c r="BH487" s="3"/>
      <c r="BI487" s="3"/>
      <c r="BJ487" s="3"/>
      <c r="BK487" s="3"/>
      <c r="BL487" s="3"/>
      <c r="BM487" s="3"/>
      <c r="BN487" s="3"/>
      <c r="BO487" s="3"/>
      <c r="BP487" s="3"/>
      <c r="BQ487" s="3"/>
      <c r="BR487" s="3"/>
      <c r="BS487" s="3"/>
      <c r="BT487" s="3"/>
      <c r="BU487" s="3"/>
      <c r="BV487" s="308" t="s">
        <v>654</v>
      </c>
      <c r="BW487" s="208"/>
      <c r="BX487" s="208"/>
      <c r="BY487" s="208"/>
      <c r="BZ487" s="208"/>
      <c r="CA487" s="208"/>
      <c r="CB487" s="208"/>
      <c r="CC487" s="3"/>
      <c r="CD487" s="308" t="s">
        <v>2228</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396</v>
      </c>
      <c r="C488" s="5"/>
      <c r="D488" s="5"/>
      <c r="E488" s="5"/>
      <c r="F488" s="5"/>
      <c r="G488" s="5"/>
      <c r="H488" s="5"/>
      <c r="I488" s="5"/>
      <c r="J488" s="5"/>
      <c r="K488" s="5"/>
      <c r="L488" s="5"/>
      <c r="M488" s="5"/>
      <c r="N488" s="5"/>
      <c r="O488" s="5"/>
      <c r="P488" s="5"/>
      <c r="Q488" s="1478" t="s">
        <v>2724</v>
      </c>
      <c r="R488" s="1479"/>
      <c r="S488" s="1479"/>
      <c r="T488" s="1479"/>
      <c r="U488" s="1479"/>
      <c r="V488" s="1479"/>
      <c r="W488" s="1479"/>
      <c r="X488" s="1479"/>
      <c r="Y488" s="1479"/>
      <c r="Z488" s="1479"/>
      <c r="AA488" s="1479"/>
      <c r="AB488" s="1479"/>
      <c r="AC488" s="1479"/>
      <c r="AD488" s="1479"/>
      <c r="AE488" s="1479"/>
      <c r="AF488" s="1479"/>
      <c r="AG488" s="1479"/>
      <c r="AH488" s="1479"/>
      <c r="AI488" s="1479"/>
      <c r="AJ488" s="1479"/>
      <c r="AK488" s="1480"/>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503" t="s">
        <v>397</v>
      </c>
      <c r="C489" s="1504"/>
      <c r="D489" s="1504"/>
      <c r="E489" s="1504"/>
      <c r="F489" s="1504"/>
      <c r="G489" s="1504"/>
      <c r="H489" s="1504"/>
      <c r="I489" s="1504"/>
      <c r="J489" s="1504"/>
      <c r="K489" s="1504"/>
      <c r="L489" s="1504"/>
      <c r="M489" s="1504"/>
      <c r="N489" s="1504"/>
      <c r="O489" s="1504"/>
      <c r="P489" s="1505"/>
      <c r="Q489" s="1509" t="s">
        <v>676</v>
      </c>
      <c r="R489" s="1510"/>
      <c r="S489" s="1420" t="s">
        <v>598</v>
      </c>
      <c r="T489" s="1421"/>
      <c r="U489" s="1421"/>
      <c r="V489" s="1421"/>
      <c r="W489" s="1421"/>
      <c r="X489" s="1421"/>
      <c r="Y489" s="1421"/>
      <c r="Z489" s="1421"/>
      <c r="AA489" s="1421"/>
      <c r="AB489" s="1421"/>
      <c r="AC489" s="1421"/>
      <c r="AD489" s="1421"/>
      <c r="AE489" s="1421"/>
      <c r="AF489" s="1421"/>
      <c r="AG489" s="1421"/>
      <c r="AH489" s="1421"/>
      <c r="AI489" s="1421"/>
      <c r="AJ489" s="1421"/>
      <c r="AK489" s="1422"/>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655</v>
      </c>
      <c r="BW489" s="376" t="s">
        <v>324</v>
      </c>
      <c r="BX489" s="376" t="s">
        <v>325</v>
      </c>
      <c r="BY489" s="376" t="s">
        <v>163</v>
      </c>
      <c r="BZ489" s="376" t="s">
        <v>164</v>
      </c>
      <c r="CA489" s="376" t="s">
        <v>165</v>
      </c>
      <c r="CB489" s="376" t="s">
        <v>30</v>
      </c>
      <c r="CC489" s="3"/>
      <c r="CD489" s="376" t="s">
        <v>324</v>
      </c>
      <c r="CE489" s="376" t="s">
        <v>325</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506"/>
      <c r="C490" s="1507"/>
      <c r="D490" s="1507"/>
      <c r="E490" s="1507"/>
      <c r="F490" s="1507"/>
      <c r="G490" s="1507"/>
      <c r="H490" s="1507"/>
      <c r="I490" s="1507"/>
      <c r="J490" s="1507"/>
      <c r="K490" s="1507"/>
      <c r="L490" s="1507"/>
      <c r="M490" s="1507"/>
      <c r="N490" s="1507"/>
      <c r="O490" s="1507"/>
      <c r="P490" s="1508"/>
      <c r="Q490" s="1511"/>
      <c r="R490" s="1512"/>
      <c r="S490" s="1423"/>
      <c r="T490" s="1424"/>
      <c r="U490" s="1424"/>
      <c r="V490" s="1424"/>
      <c r="W490" s="1424"/>
      <c r="X490" s="1424"/>
      <c r="Y490" s="1424"/>
      <c r="Z490" s="1424"/>
      <c r="AA490" s="1424"/>
      <c r="AB490" s="1424"/>
      <c r="AC490" s="1424"/>
      <c r="AD490" s="1424"/>
      <c r="AE490" s="1424"/>
      <c r="AF490" s="1424"/>
      <c r="AG490" s="1424"/>
      <c r="AH490" s="1424"/>
      <c r="AI490" s="1424"/>
      <c r="AJ490" s="1424"/>
      <c r="AK490" s="1425"/>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483</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1780</v>
      </c>
      <c r="C491" s="907"/>
      <c r="D491" s="907"/>
      <c r="E491" s="907"/>
      <c r="F491" s="907"/>
      <c r="G491" s="907"/>
      <c r="H491" s="907"/>
      <c r="I491" s="907"/>
      <c r="J491" s="907"/>
      <c r="K491" s="907"/>
      <c r="L491" s="907"/>
      <c r="M491" s="907"/>
      <c r="N491" s="907"/>
      <c r="O491" s="907"/>
      <c r="P491" s="907"/>
      <c r="Q491" s="1485" t="s">
        <v>676</v>
      </c>
      <c r="R491" s="1486"/>
      <c r="S491" s="1486"/>
      <c r="T491" s="1486"/>
      <c r="U491" s="1486"/>
      <c r="V491" s="1486"/>
      <c r="W491" s="1486"/>
      <c r="X491" s="1486"/>
      <c r="Y491" s="1486"/>
      <c r="Z491" s="1486"/>
      <c r="AA491" s="1486"/>
      <c r="AB491" s="1486"/>
      <c r="AC491" s="1486"/>
      <c r="AD491" s="1486"/>
      <c r="AE491" s="1486"/>
      <c r="AF491" s="1486"/>
      <c r="AG491" s="1486"/>
      <c r="AH491" s="1486"/>
      <c r="AI491" s="1486"/>
      <c r="AJ491" s="1486"/>
      <c r="AK491" s="1487"/>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484</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398</v>
      </c>
      <c r="C492" s="5"/>
      <c r="D492" s="5"/>
      <c r="E492" s="5"/>
      <c r="F492" s="5"/>
      <c r="G492" s="5"/>
      <c r="H492" s="5"/>
      <c r="I492" s="5"/>
      <c r="J492" s="5"/>
      <c r="K492" s="5"/>
      <c r="L492" s="5"/>
      <c r="M492" s="5"/>
      <c r="N492" s="5"/>
      <c r="O492" s="5"/>
      <c r="P492" s="5"/>
      <c r="Q492" s="1513" t="s">
        <v>2725</v>
      </c>
      <c r="R492" s="1479"/>
      <c r="S492" s="1479"/>
      <c r="T492" s="1479"/>
      <c r="U492" s="1479"/>
      <c r="V492" s="1479"/>
      <c r="W492" s="1479"/>
      <c r="X492" s="1479"/>
      <c r="Y492" s="1479"/>
      <c r="Z492" s="1479"/>
      <c r="AA492" s="1479"/>
      <c r="AB492" s="1479"/>
      <c r="AC492" s="1479"/>
      <c r="AD492" s="1479"/>
      <c r="AE492" s="1479"/>
      <c r="AF492" s="1479"/>
      <c r="AG492" s="1479"/>
      <c r="AH492" s="1479"/>
      <c r="AI492" s="1479"/>
      <c r="AJ492" s="1479"/>
      <c r="AK492" s="1480"/>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485</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399</v>
      </c>
      <c r="C493" s="5"/>
      <c r="D493" s="5"/>
      <c r="E493" s="5"/>
      <c r="F493" s="5"/>
      <c r="G493" s="5"/>
      <c r="H493" s="5"/>
      <c r="I493" s="5"/>
      <c r="J493" s="5"/>
      <c r="K493" s="5"/>
      <c r="L493" s="5"/>
      <c r="M493" s="5"/>
      <c r="N493" s="5"/>
      <c r="O493" s="5"/>
      <c r="P493" s="5"/>
      <c r="Q493" s="1513" t="s">
        <v>2726</v>
      </c>
      <c r="R493" s="1479"/>
      <c r="S493" s="1479"/>
      <c r="T493" s="1479"/>
      <c r="U493" s="1479"/>
      <c r="V493" s="1479"/>
      <c r="W493" s="1479"/>
      <c r="X493" s="1479"/>
      <c r="Y493" s="1479"/>
      <c r="Z493" s="1479"/>
      <c r="AA493" s="1479"/>
      <c r="AB493" s="1479"/>
      <c r="AC493" s="1479"/>
      <c r="AD493" s="1479"/>
      <c r="AE493" s="1479"/>
      <c r="AF493" s="1479"/>
      <c r="AG493" s="1479"/>
      <c r="AH493" s="1479"/>
      <c r="AI493" s="1479"/>
      <c r="AJ493" s="1479"/>
      <c r="AK493" s="1480"/>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486</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1777</v>
      </c>
      <c r="C494" s="5"/>
      <c r="D494" s="5"/>
      <c r="E494" s="5"/>
      <c r="F494" s="5"/>
      <c r="G494" s="5"/>
      <c r="H494" s="5"/>
      <c r="I494" s="5"/>
      <c r="J494" s="5"/>
      <c r="K494" s="5"/>
      <c r="L494" s="5"/>
      <c r="M494" s="5"/>
      <c r="N494" s="5"/>
      <c r="O494" s="5"/>
      <c r="P494" s="5"/>
      <c r="Q494" s="1478">
        <v>24</v>
      </c>
      <c r="R494" s="1479"/>
      <c r="S494" s="1479"/>
      <c r="T494" s="1479"/>
      <c r="U494" s="1479"/>
      <c r="V494" s="1479"/>
      <c r="W494" s="1479"/>
      <c r="X494" s="1479"/>
      <c r="Y494" s="1479"/>
      <c r="Z494" s="1479"/>
      <c r="AA494" s="1479"/>
      <c r="AB494" s="1479"/>
      <c r="AC494" s="1479"/>
      <c r="AD494" s="1479"/>
      <c r="AE494" s="1479"/>
      <c r="AF494" s="1479"/>
      <c r="AG494" s="1479"/>
      <c r="AH494" s="1479"/>
      <c r="AI494" s="1479"/>
      <c r="AJ494" s="1479"/>
      <c r="AK494" s="1480"/>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487</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1778</v>
      </c>
      <c r="C495" s="5"/>
      <c r="D495" s="5"/>
      <c r="E495" s="5"/>
      <c r="F495" s="5"/>
      <c r="G495" s="5"/>
      <c r="H495" s="5"/>
      <c r="I495" s="5"/>
      <c r="J495" s="5"/>
      <c r="K495" s="5"/>
      <c r="L495" s="5"/>
      <c r="M495" s="1430">
        <v>24</v>
      </c>
      <c r="N495" s="1431"/>
      <c r="O495" s="1431"/>
      <c r="P495" s="1432"/>
      <c r="Q495" s="121" t="s">
        <v>1779</v>
      </c>
      <c r="R495" s="5"/>
      <c r="S495" s="5"/>
      <c r="T495" s="5"/>
      <c r="U495" s="5"/>
      <c r="V495" s="5"/>
      <c r="W495" s="5"/>
      <c r="X495" s="5"/>
      <c r="Y495" s="5"/>
      <c r="Z495" s="5"/>
      <c r="AA495" s="5"/>
      <c r="AB495" s="5"/>
      <c r="AC495" s="5"/>
      <c r="AD495" s="5"/>
      <c r="AE495" s="5"/>
      <c r="AF495" s="5"/>
      <c r="AG495" s="5"/>
      <c r="AH495" s="1430">
        <v>0</v>
      </c>
      <c r="AI495" s="1431"/>
      <c r="AJ495" s="1431"/>
      <c r="AK495" s="1432"/>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488</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489</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583</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490</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491</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602" t="s">
        <v>401</v>
      </c>
      <c r="AD499" s="1564"/>
      <c r="AE499" s="1564"/>
      <c r="AF499" s="1564"/>
      <c r="AG499" s="1564"/>
      <c r="AH499" s="1564"/>
      <c r="AI499" s="1564"/>
      <c r="AJ499" s="1564"/>
      <c r="AK499" s="1565"/>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492</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602" t="s">
        <v>402</v>
      </c>
      <c r="AD500" s="1564"/>
      <c r="AE500" s="1564"/>
      <c r="AF500" s="1564"/>
      <c r="AG500" s="50" t="s">
        <v>403</v>
      </c>
      <c r="AH500" s="1564" t="s">
        <v>404</v>
      </c>
      <c r="AI500" s="1564"/>
      <c r="AJ500" s="1564"/>
      <c r="AK500" s="1565"/>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493</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434" t="s">
        <v>405</v>
      </c>
      <c r="C501" s="1435"/>
      <c r="D501" s="1435"/>
      <c r="E501" s="1435"/>
      <c r="F501" s="1435"/>
      <c r="G501" s="1435"/>
      <c r="H501" s="1436"/>
      <c r="I501" s="42" t="s">
        <v>406</v>
      </c>
      <c r="J501" s="42"/>
      <c r="K501" s="42"/>
      <c r="L501" s="42"/>
      <c r="M501" s="42"/>
      <c r="N501" s="42"/>
      <c r="O501" s="42"/>
      <c r="P501" s="42"/>
      <c r="Q501" s="42"/>
      <c r="R501" s="42"/>
      <c r="S501" s="42"/>
      <c r="T501" s="42"/>
      <c r="U501" s="42"/>
      <c r="V501" s="42"/>
      <c r="W501" s="42"/>
      <c r="AC501" s="1428">
        <v>6</v>
      </c>
      <c r="AD501" s="1429"/>
      <c r="AE501" s="1429"/>
      <c r="AF501" s="1429"/>
      <c r="AG501" s="13" t="s">
        <v>403</v>
      </c>
      <c r="AH501" s="1426">
        <v>2021</v>
      </c>
      <c r="AI501" s="1426"/>
      <c r="AJ501" s="1426"/>
      <c r="AK501" s="1427"/>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494</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437"/>
      <c r="C502" s="1438"/>
      <c r="D502" s="1438"/>
      <c r="E502" s="1438"/>
      <c r="F502" s="1438"/>
      <c r="G502" s="1438"/>
      <c r="H502" s="1439"/>
      <c r="I502" s="48" t="s">
        <v>407</v>
      </c>
      <c r="J502" s="48"/>
      <c r="K502" s="48"/>
      <c r="L502" s="48"/>
      <c r="M502" s="48"/>
      <c r="N502" s="48"/>
      <c r="O502" s="48"/>
      <c r="P502" s="48"/>
      <c r="Q502" s="48"/>
      <c r="R502" s="48"/>
      <c r="S502" s="48"/>
      <c r="T502" s="48"/>
      <c r="U502" s="48"/>
      <c r="V502" s="48"/>
      <c r="W502" s="48"/>
      <c r="X502" s="48"/>
      <c r="Y502" s="48"/>
      <c r="Z502" s="48"/>
      <c r="AA502" s="48"/>
      <c r="AB502" s="48"/>
      <c r="AC502" s="1428">
        <v>8</v>
      </c>
      <c r="AD502" s="1429"/>
      <c r="AE502" s="1429"/>
      <c r="AF502" s="1429"/>
      <c r="AG502" s="38" t="s">
        <v>403</v>
      </c>
      <c r="AH502" s="1426">
        <v>2019</v>
      </c>
      <c r="AI502" s="1426"/>
      <c r="AJ502" s="1426"/>
      <c r="AK502" s="1427"/>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495</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434" t="s">
        <v>408</v>
      </c>
      <c r="C503" s="1435"/>
      <c r="D503" s="1435"/>
      <c r="E503" s="1435"/>
      <c r="F503" s="1435"/>
      <c r="G503" s="1435"/>
      <c r="H503" s="1436"/>
      <c r="I503" s="42" t="s">
        <v>409</v>
      </c>
      <c r="J503" s="42"/>
      <c r="K503" s="42"/>
      <c r="L503" s="42"/>
      <c r="M503" s="42"/>
      <c r="N503" s="42"/>
      <c r="O503" s="42"/>
      <c r="P503" s="42"/>
      <c r="Q503" s="42"/>
      <c r="R503" s="42"/>
      <c r="S503" s="42"/>
      <c r="T503" s="42"/>
      <c r="U503" s="42"/>
      <c r="V503" s="42"/>
      <c r="W503" s="42"/>
      <c r="AC503" s="1428" t="s">
        <v>598</v>
      </c>
      <c r="AD503" s="1429"/>
      <c r="AE503" s="1429"/>
      <c r="AF503" s="1429"/>
      <c r="AG503" s="13" t="s">
        <v>403</v>
      </c>
      <c r="AH503" s="1426" t="s">
        <v>2685</v>
      </c>
      <c r="AI503" s="1426"/>
      <c r="AJ503" s="1426"/>
      <c r="AK503" s="1427"/>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496</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437"/>
      <c r="C504" s="1438"/>
      <c r="D504" s="1438"/>
      <c r="E504" s="1438"/>
      <c r="F504" s="1438"/>
      <c r="G504" s="1438"/>
      <c r="H504" s="1439"/>
      <c r="I504" t="s">
        <v>410</v>
      </c>
      <c r="AC504" s="1428" t="s">
        <v>598</v>
      </c>
      <c r="AD504" s="1429"/>
      <c r="AE504" s="1429"/>
      <c r="AF504" s="1429"/>
      <c r="AG504" s="13" t="s">
        <v>403</v>
      </c>
      <c r="AH504" s="1426" t="s">
        <v>2685</v>
      </c>
      <c r="AI504" s="1426"/>
      <c r="AJ504" s="1426"/>
      <c r="AK504" s="1427"/>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497</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437"/>
      <c r="C505" s="1438"/>
      <c r="D505" s="1438"/>
      <c r="E505" s="1438"/>
      <c r="F505" s="1438"/>
      <c r="G505" s="1438"/>
      <c r="H505" s="1439"/>
      <c r="I505" t="s">
        <v>411</v>
      </c>
      <c r="AC505" s="1428" t="s">
        <v>598</v>
      </c>
      <c r="AD505" s="1429"/>
      <c r="AE505" s="1429"/>
      <c r="AF505" s="1429"/>
      <c r="AG505" s="13" t="s">
        <v>403</v>
      </c>
      <c r="AH505" s="1426" t="s">
        <v>2685</v>
      </c>
      <c r="AI505" s="1426"/>
      <c r="AJ505" s="1426"/>
      <c r="AK505" s="1427"/>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498</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437"/>
      <c r="C506" s="1438"/>
      <c r="D506" s="1438"/>
      <c r="E506" s="1438"/>
      <c r="F506" s="1438"/>
      <c r="G506" s="1438"/>
      <c r="H506" s="1439"/>
      <c r="I506" t="s">
        <v>412</v>
      </c>
      <c r="AC506" s="1428">
        <v>5</v>
      </c>
      <c r="AD506" s="1429"/>
      <c r="AE506" s="1429"/>
      <c r="AF506" s="1429"/>
      <c r="AG506" s="13" t="s">
        <v>403</v>
      </c>
      <c r="AH506" s="1426">
        <v>2025</v>
      </c>
      <c r="AI506" s="1426"/>
      <c r="AJ506" s="1426"/>
      <c r="AK506" s="1427"/>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499</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437"/>
      <c r="C507" s="1438"/>
      <c r="D507" s="1438"/>
      <c r="E507" s="1438"/>
      <c r="F507" s="1438"/>
      <c r="G507" s="1438"/>
      <c r="H507" s="1439"/>
      <c r="I507" s="3" t="s">
        <v>413</v>
      </c>
      <c r="AC507" s="1366">
        <v>5</v>
      </c>
      <c r="AD507" s="1367"/>
      <c r="AE507" s="1367"/>
      <c r="AF507" s="1367"/>
      <c r="AG507" s="13" t="s">
        <v>403</v>
      </c>
      <c r="AH507" s="1426">
        <v>2025</v>
      </c>
      <c r="AI507" s="1426"/>
      <c r="AJ507" s="1426"/>
      <c r="AK507" s="1427"/>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500</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437"/>
      <c r="C508" s="1438"/>
      <c r="D508" s="1438"/>
      <c r="E508" s="1438"/>
      <c r="F508" s="1438"/>
      <c r="G508" s="1438"/>
      <c r="H508" s="1439"/>
      <c r="I508" s="931" t="s">
        <v>169</v>
      </c>
      <c r="J508" s="48"/>
      <c r="K508" s="48"/>
      <c r="L508" s="1449" t="s">
        <v>334</v>
      </c>
      <c r="M508" s="1450"/>
      <c r="N508" s="1450"/>
      <c r="O508" s="1450"/>
      <c r="P508" s="1450"/>
      <c r="Q508" s="1450"/>
      <c r="R508" s="1450"/>
      <c r="S508" s="1450"/>
      <c r="T508" s="1450"/>
      <c r="U508" s="1450"/>
      <c r="V508" s="1450"/>
      <c r="W508" s="1450"/>
      <c r="X508" s="1450"/>
      <c r="Y508" s="1450"/>
      <c r="Z508" s="1450"/>
      <c r="AA508" s="1450"/>
      <c r="AB508" s="1497"/>
      <c r="AC508" s="1428" t="s">
        <v>598</v>
      </c>
      <c r="AD508" s="1429"/>
      <c r="AE508" s="1429"/>
      <c r="AF508" s="1429"/>
      <c r="AG508" s="38" t="s">
        <v>403</v>
      </c>
      <c r="AH508" s="1426" t="s">
        <v>2685</v>
      </c>
      <c r="AI508" s="1426"/>
      <c r="AJ508" s="1426"/>
      <c r="AK508" s="1427"/>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501</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1784</v>
      </c>
      <c r="AC509" s="1481" t="s">
        <v>676</v>
      </c>
      <c r="AD509" s="1481"/>
      <c r="AE509" s="1481"/>
      <c r="AF509" s="1481"/>
      <c r="AG509" s="13"/>
      <c r="AH509" s="1306"/>
      <c r="AI509" s="1306"/>
      <c r="AJ509" s="1306"/>
      <c r="AK509" s="1471"/>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502</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1781</v>
      </c>
      <c r="AC510" s="1366">
        <v>0</v>
      </c>
      <c r="AD510" s="1367"/>
      <c r="AE510" s="1367"/>
      <c r="AF510" s="1368"/>
      <c r="AG510" s="13"/>
      <c r="AH510" s="1306"/>
      <c r="AI510" s="1306"/>
      <c r="AJ510" s="1306"/>
      <c r="AK510" s="1471"/>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503</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1782</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1783</v>
      </c>
      <c r="J512" s="48"/>
      <c r="K512" s="48"/>
      <c r="L512" s="48"/>
      <c r="M512" s="48"/>
      <c r="N512" s="48"/>
      <c r="O512" s="48"/>
      <c r="P512" s="48"/>
      <c r="Q512" s="48"/>
      <c r="R512" s="48"/>
      <c r="S512" s="48"/>
      <c r="T512" s="48"/>
      <c r="U512" s="48"/>
      <c r="V512" s="48"/>
      <c r="W512" s="48"/>
      <c r="X512" s="48"/>
      <c r="Y512" s="48"/>
      <c r="Z512" s="48"/>
      <c r="AA512" s="48"/>
      <c r="AB512" s="48"/>
      <c r="AC512" s="1472" t="s">
        <v>598</v>
      </c>
      <c r="AD512" s="1473"/>
      <c r="AE512" s="1473"/>
      <c r="AF512" s="1474"/>
      <c r="AG512" s="38"/>
      <c r="AH512" s="1475"/>
      <c r="AI512" s="1475"/>
      <c r="AJ512" s="1475"/>
      <c r="AK512" s="1476"/>
      <c r="AZ512" s="3"/>
      <c r="BA512" s="3"/>
      <c r="BB512" s="3"/>
      <c r="BC512" s="3"/>
      <c r="BD512" s="3"/>
      <c r="BE512" s="3"/>
      <c r="BF512" s="3"/>
      <c r="BG512" s="3"/>
      <c r="BH512" s="3"/>
      <c r="BI512" s="3"/>
      <c r="BJ512" s="3"/>
      <c r="BK512" s="3"/>
      <c r="BL512" s="3"/>
      <c r="BM512" s="3"/>
      <c r="BN512" s="3" t="s">
        <v>1287</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738" t="s">
        <v>402</v>
      </c>
      <c r="AD513" s="1488"/>
      <c r="AE513" s="1488"/>
      <c r="AF513" s="1488"/>
      <c r="AG513" s="38" t="s">
        <v>403</v>
      </c>
      <c r="AH513" s="1488" t="s">
        <v>404</v>
      </c>
      <c r="AI513" s="1488"/>
      <c r="AJ513" s="1488"/>
      <c r="AK513" s="1489"/>
      <c r="AZ513" s="3"/>
      <c r="BA513" s="3"/>
      <c r="BB513" s="3"/>
      <c r="BC513" s="3"/>
      <c r="BD513" s="3"/>
      <c r="BE513" s="3"/>
      <c r="BF513" s="3"/>
      <c r="BG513" s="3"/>
      <c r="BH513" s="3"/>
      <c r="BI513" s="3"/>
      <c r="BJ513" s="3"/>
      <c r="BK513" s="3"/>
      <c r="BL513" s="3"/>
      <c r="BM513" s="3"/>
      <c r="BN513" s="3" t="s">
        <v>2419</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434" t="s">
        <v>414</v>
      </c>
      <c r="C514" s="1435"/>
      <c r="D514" s="1435"/>
      <c r="E514" s="1435"/>
      <c r="F514" s="1435"/>
      <c r="G514" s="1435"/>
      <c r="H514" s="1436"/>
      <c r="I514" s="42" t="s">
        <v>415</v>
      </c>
      <c r="J514" s="42"/>
      <c r="K514" s="42"/>
      <c r="L514" s="42"/>
      <c r="M514" s="42"/>
      <c r="N514" s="42"/>
      <c r="O514" s="42"/>
      <c r="P514" s="42"/>
      <c r="Q514" s="42"/>
      <c r="R514" s="42"/>
      <c r="S514" s="42"/>
      <c r="T514" s="42"/>
      <c r="U514" s="42"/>
      <c r="V514" s="42"/>
      <c r="W514" s="42"/>
      <c r="AC514" s="1428">
        <v>7</v>
      </c>
      <c r="AD514" s="1429"/>
      <c r="AE514" s="1429"/>
      <c r="AF514" s="1429"/>
      <c r="AG514" s="13" t="s">
        <v>403</v>
      </c>
      <c r="AH514" s="1426">
        <v>2024</v>
      </c>
      <c r="AI514" s="1426"/>
      <c r="AJ514" s="1426"/>
      <c r="AK514" s="1427"/>
      <c r="AZ514" s="3"/>
      <c r="BA514" s="3"/>
      <c r="BB514" s="3"/>
      <c r="BC514" s="3"/>
      <c r="BD514" s="3"/>
      <c r="BE514" s="3"/>
      <c r="BF514" s="3"/>
      <c r="BG514" s="3"/>
      <c r="BH514" s="3"/>
      <c r="BI514" s="3"/>
      <c r="BJ514" s="3"/>
      <c r="BK514" s="3"/>
      <c r="BL514" s="3"/>
      <c r="BM514" s="3"/>
      <c r="BN514" s="3" t="s">
        <v>2420</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437"/>
      <c r="C515" s="1438"/>
      <c r="D515" s="1438"/>
      <c r="E515" s="1438"/>
      <c r="F515" s="1438"/>
      <c r="G515" s="1438"/>
      <c r="H515" s="1439"/>
      <c r="I515" t="s">
        <v>416</v>
      </c>
      <c r="AC515" s="1428">
        <v>8</v>
      </c>
      <c r="AD515" s="1429"/>
      <c r="AE515" s="1429"/>
      <c r="AF515" s="1429"/>
      <c r="AG515" s="13" t="s">
        <v>403</v>
      </c>
      <c r="AH515" s="1426">
        <v>2024</v>
      </c>
      <c r="AI515" s="1426"/>
      <c r="AJ515" s="1426"/>
      <c r="AK515" s="1427"/>
      <c r="AZ515" s="3"/>
      <c r="BA515" s="3"/>
      <c r="BB515" s="3"/>
      <c r="BC515" s="3"/>
      <c r="BD515" s="3"/>
      <c r="BE515" s="3"/>
      <c r="BF515" s="3"/>
      <c r="BG515" s="3"/>
      <c r="BH515" s="3"/>
      <c r="BI515" s="3"/>
      <c r="BJ515" s="3"/>
      <c r="BK515" s="3"/>
      <c r="BL515" s="3"/>
      <c r="BM515" s="3"/>
      <c r="BN515" s="3" t="s">
        <v>2421</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437"/>
      <c r="C516" s="1438"/>
      <c r="D516" s="1438"/>
      <c r="E516" s="1438"/>
      <c r="F516" s="1438"/>
      <c r="G516" s="1438"/>
      <c r="H516" s="1439"/>
      <c r="I516" s="48" t="s">
        <v>417</v>
      </c>
      <c r="J516" s="48"/>
      <c r="K516" s="48"/>
      <c r="L516" s="48"/>
      <c r="M516" s="48"/>
      <c r="N516" s="48"/>
      <c r="O516" s="48"/>
      <c r="P516" s="48"/>
      <c r="Q516" s="48"/>
      <c r="R516" s="48"/>
      <c r="S516" s="48"/>
      <c r="T516" s="48"/>
      <c r="U516" s="48"/>
      <c r="V516" s="48"/>
      <c r="W516" s="48"/>
      <c r="X516" s="48"/>
      <c r="Y516" s="48"/>
      <c r="Z516" s="48"/>
      <c r="AA516" s="48"/>
      <c r="AB516" s="48"/>
      <c r="AC516" s="1428">
        <v>5</v>
      </c>
      <c r="AD516" s="1429"/>
      <c r="AE516" s="1429"/>
      <c r="AF516" s="1429"/>
      <c r="AG516" s="38" t="s">
        <v>403</v>
      </c>
      <c r="AH516" s="1426">
        <v>2025</v>
      </c>
      <c r="AI516" s="1426"/>
      <c r="AJ516" s="1426"/>
      <c r="AK516" s="1427"/>
      <c r="AZ516" s="3"/>
      <c r="BA516" s="3"/>
      <c r="BB516" s="3"/>
      <c r="BC516" s="3"/>
      <c r="BD516" s="3"/>
      <c r="BE516" s="3"/>
      <c r="BF516" s="3"/>
      <c r="BG516" s="3"/>
      <c r="BH516" s="3"/>
      <c r="BI516" s="3"/>
      <c r="BJ516" s="3"/>
      <c r="BK516" s="3"/>
      <c r="BL516" s="3"/>
      <c r="BM516" s="3"/>
      <c r="BN516" s="3" t="s">
        <v>2422</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434" t="s">
        <v>418</v>
      </c>
      <c r="C517" s="1435"/>
      <c r="D517" s="1435"/>
      <c r="E517" s="1435"/>
      <c r="F517" s="1435"/>
      <c r="G517" s="1435"/>
      <c r="H517" s="1436"/>
      <c r="I517" s="42" t="s">
        <v>415</v>
      </c>
      <c r="J517" s="42"/>
      <c r="K517" s="42"/>
      <c r="L517" s="42"/>
      <c r="M517" s="42"/>
      <c r="N517" s="42"/>
      <c r="O517" s="42"/>
      <c r="P517" s="42"/>
      <c r="Q517" s="42"/>
      <c r="R517" s="42"/>
      <c r="S517" s="42"/>
      <c r="T517" s="42"/>
      <c r="U517" s="42"/>
      <c r="V517" s="42"/>
      <c r="W517" s="42"/>
      <c r="X517" s="42"/>
      <c r="Y517" s="42"/>
      <c r="Z517" s="42"/>
      <c r="AA517" s="42"/>
      <c r="AB517" s="42"/>
      <c r="AC517" s="1366">
        <v>7</v>
      </c>
      <c r="AD517" s="1367"/>
      <c r="AE517" s="1367"/>
      <c r="AF517" s="1367"/>
      <c r="AG517" s="129" t="s">
        <v>403</v>
      </c>
      <c r="AH517" s="1426">
        <v>2024</v>
      </c>
      <c r="AI517" s="1426"/>
      <c r="AJ517" s="1426"/>
      <c r="AK517" s="1427"/>
      <c r="AZ517" s="3"/>
      <c r="BB517" s="3"/>
      <c r="BC517" s="3"/>
      <c r="BD517" s="3"/>
      <c r="BE517" s="3"/>
      <c r="BF517" s="3"/>
      <c r="BG517" s="3"/>
      <c r="BH517" s="3"/>
      <c r="BI517" s="3"/>
      <c r="BJ517" s="3"/>
      <c r="BK517" s="3"/>
      <c r="BL517" s="3"/>
      <c r="BM517" s="3"/>
      <c r="BN517" s="3" t="s">
        <v>2423</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437"/>
      <c r="C518" s="1438"/>
      <c r="D518" s="1438"/>
      <c r="E518" s="1438"/>
      <c r="F518" s="1438"/>
      <c r="G518" s="1438"/>
      <c r="H518" s="1439"/>
      <c r="I518" t="s">
        <v>416</v>
      </c>
      <c r="AC518" s="1428">
        <v>8</v>
      </c>
      <c r="AD518" s="1429"/>
      <c r="AE518" s="1429"/>
      <c r="AF518" s="1429"/>
      <c r="AG518" s="13" t="s">
        <v>403</v>
      </c>
      <c r="AH518" s="1426">
        <v>2024</v>
      </c>
      <c r="AI518" s="1426"/>
      <c r="AJ518" s="1426"/>
      <c r="AK518" s="1427"/>
      <c r="BB518" s="3"/>
      <c r="BC518" s="3"/>
      <c r="BD518" s="3"/>
      <c r="BE518" s="3"/>
      <c r="BF518" s="3"/>
      <c r="BG518" s="3"/>
      <c r="BH518" s="3"/>
      <c r="BI518" s="3"/>
      <c r="BJ518" s="3"/>
      <c r="BK518" s="3"/>
      <c r="BL518" s="3"/>
      <c r="BM518" s="3"/>
      <c r="BN518" s="3" t="s">
        <v>2424</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440"/>
      <c r="C519" s="1441"/>
      <c r="D519" s="1441"/>
      <c r="E519" s="1441"/>
      <c r="F519" s="1441"/>
      <c r="G519" s="1441"/>
      <c r="H519" s="1442"/>
      <c r="I519" s="48" t="s">
        <v>417</v>
      </c>
      <c r="J519" s="48"/>
      <c r="K519" s="48"/>
      <c r="L519" s="48"/>
      <c r="M519" s="48"/>
      <c r="N519" s="48"/>
      <c r="O519" s="48"/>
      <c r="P519" s="48"/>
      <c r="Q519" s="48"/>
      <c r="R519" s="48"/>
      <c r="S519" s="48"/>
      <c r="T519" s="48"/>
      <c r="U519" s="48"/>
      <c r="V519" s="48"/>
      <c r="W519" s="48"/>
      <c r="X519" s="48"/>
      <c r="Y519" s="48"/>
      <c r="Z519" s="48"/>
      <c r="AA519" s="48"/>
      <c r="AB519" s="48"/>
      <c r="AC519" s="1428">
        <v>5</v>
      </c>
      <c r="AD519" s="1429"/>
      <c r="AE519" s="1429"/>
      <c r="AF519" s="1429"/>
      <c r="AG519" s="38" t="s">
        <v>403</v>
      </c>
      <c r="AH519" s="1426">
        <v>2025</v>
      </c>
      <c r="AI519" s="1426"/>
      <c r="AJ519" s="1426"/>
      <c r="AK519" s="1427"/>
      <c r="BB519" s="3"/>
      <c r="BC519" s="3"/>
      <c r="BD519" s="3"/>
      <c r="BE519" s="3"/>
      <c r="BF519" s="3"/>
      <c r="BG519" s="3"/>
      <c r="BH519" s="3"/>
      <c r="BI519" s="3"/>
      <c r="BJ519" s="3"/>
      <c r="BK519" s="3"/>
      <c r="BL519" s="3"/>
      <c r="BM519" s="3"/>
      <c r="BN519" s="3" t="s">
        <v>2425</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434" t="s">
        <v>419</v>
      </c>
      <c r="C520" s="1435"/>
      <c r="D520" s="1435"/>
      <c r="E520" s="1435"/>
      <c r="F520" s="1435"/>
      <c r="G520" s="1435"/>
      <c r="H520" s="1436"/>
      <c r="I520" s="41" t="s">
        <v>420</v>
      </c>
      <c r="J520" s="42"/>
      <c r="K520" s="42"/>
      <c r="L520" s="42"/>
      <c r="M520" s="42"/>
      <c r="N520" s="42"/>
      <c r="O520" s="1449" t="s">
        <v>2727</v>
      </c>
      <c r="P520" s="1450"/>
      <c r="Q520" s="1450"/>
      <c r="R520" s="1450"/>
      <c r="S520" s="1450"/>
      <c r="T520" s="1450"/>
      <c r="U520" s="1450"/>
      <c r="V520" s="1450"/>
      <c r="W520" s="1450"/>
      <c r="X520" s="1450"/>
      <c r="Y520" s="1450"/>
      <c r="Z520" s="1450"/>
      <c r="AA520" s="1450"/>
      <c r="AB520" s="58"/>
      <c r="AC520" s="1366" t="s">
        <v>598</v>
      </c>
      <c r="AD520" s="1367"/>
      <c r="AE520" s="1367"/>
      <c r="AF520" s="1367"/>
      <c r="AG520" s="129" t="s">
        <v>403</v>
      </c>
      <c r="AH520" s="1426" t="s">
        <v>2685</v>
      </c>
      <c r="AI520" s="1426"/>
      <c r="AJ520" s="1426"/>
      <c r="AK520" s="1427"/>
      <c r="AZ520" s="3"/>
      <c r="BB520" s="3"/>
      <c r="BC520" s="3"/>
      <c r="BD520" s="3"/>
      <c r="BE520" s="3"/>
      <c r="BF520" s="3"/>
      <c r="BG520" s="3"/>
      <c r="BH520" s="3"/>
      <c r="BI520" s="3"/>
      <c r="BJ520" s="3"/>
      <c r="BK520" s="3"/>
      <c r="BL520" s="3"/>
      <c r="BM520" s="3"/>
      <c r="BN520" s="3" t="s">
        <v>2426</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437"/>
      <c r="C521" s="1438"/>
      <c r="D521" s="1438"/>
      <c r="E521" s="1438"/>
      <c r="F521" s="1438"/>
      <c r="G521" s="1438"/>
      <c r="H521" s="1439"/>
      <c r="I521" s="114" t="s">
        <v>421</v>
      </c>
      <c r="AB521" s="65"/>
      <c r="AC521" s="1428">
        <v>7</v>
      </c>
      <c r="AD521" s="1429"/>
      <c r="AE521" s="1429"/>
      <c r="AF521" s="1429"/>
      <c r="AG521" s="13" t="s">
        <v>403</v>
      </c>
      <c r="AH521" s="1426">
        <v>2020</v>
      </c>
      <c r="AI521" s="1426"/>
      <c r="AJ521" s="1426"/>
      <c r="AK521" s="1427"/>
      <c r="AZ521" s="3"/>
      <c r="BB521" s="3"/>
      <c r="BC521" s="3"/>
      <c r="BD521" s="3"/>
      <c r="BE521" s="3"/>
      <c r="BF521" s="3"/>
      <c r="BG521" s="3"/>
      <c r="BH521" s="3"/>
      <c r="BI521" s="3"/>
      <c r="BJ521" s="3"/>
      <c r="BK521" s="3"/>
      <c r="BL521" s="3"/>
      <c r="BM521" s="3"/>
      <c r="BN521" s="3" t="s">
        <v>2427</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437"/>
      <c r="C522" s="1438"/>
      <c r="D522" s="1438"/>
      <c r="E522" s="1438"/>
      <c r="F522" s="1438"/>
      <c r="G522" s="1438"/>
      <c r="H522" s="1439"/>
      <c r="I522" s="47" t="s">
        <v>422</v>
      </c>
      <c r="J522" s="48"/>
      <c r="K522" s="48"/>
      <c r="L522" s="48"/>
      <c r="M522" s="48"/>
      <c r="N522" s="48"/>
      <c r="O522" s="48"/>
      <c r="P522" s="48"/>
      <c r="Q522" s="48"/>
      <c r="R522" s="48"/>
      <c r="S522" s="48"/>
      <c r="T522" s="48"/>
      <c r="U522" s="48"/>
      <c r="V522" s="48"/>
      <c r="W522" s="48"/>
      <c r="X522" s="48"/>
      <c r="Y522" s="48"/>
      <c r="Z522" s="48"/>
      <c r="AA522" s="48"/>
      <c r="AB522" s="49"/>
      <c r="AC522" s="1428">
        <v>3</v>
      </c>
      <c r="AD522" s="1429"/>
      <c r="AE522" s="1429"/>
      <c r="AF522" s="1429"/>
      <c r="AG522" s="38" t="s">
        <v>403</v>
      </c>
      <c r="AH522" s="1426">
        <v>2021</v>
      </c>
      <c r="AI522" s="1426"/>
      <c r="AJ522" s="1426"/>
      <c r="AK522" s="1427"/>
      <c r="AZ522" s="3"/>
      <c r="BA522" s="3"/>
      <c r="BB522" s="3"/>
      <c r="BC522" s="3"/>
      <c r="BD522" s="3"/>
      <c r="BE522" s="3"/>
      <c r="BF522" s="3"/>
      <c r="BG522" s="3"/>
      <c r="BH522" s="3"/>
      <c r="BI522" s="3"/>
      <c r="BJ522" s="3"/>
      <c r="BK522" s="3"/>
      <c r="BL522" s="3"/>
      <c r="BM522" s="3"/>
      <c r="BN522" s="3" t="s">
        <v>2428</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437"/>
      <c r="C523" s="1438"/>
      <c r="D523" s="1438"/>
      <c r="E523" s="1438"/>
      <c r="F523" s="1438"/>
      <c r="G523" s="1438"/>
      <c r="H523" s="1439"/>
      <c r="I523" s="42" t="s">
        <v>423</v>
      </c>
      <c r="J523" s="42"/>
      <c r="K523" s="42"/>
      <c r="L523" s="42"/>
      <c r="M523" s="42"/>
      <c r="N523" s="42"/>
      <c r="O523" s="1449" t="s">
        <v>2727</v>
      </c>
      <c r="P523" s="1450"/>
      <c r="Q523" s="1450"/>
      <c r="R523" s="1450"/>
      <c r="S523" s="1450"/>
      <c r="T523" s="1450"/>
      <c r="U523" s="1450"/>
      <c r="V523" s="1450"/>
      <c r="W523" s="1450"/>
      <c r="X523" s="1450"/>
      <c r="Y523" s="1450"/>
      <c r="Z523" s="1450"/>
      <c r="AA523" s="1450"/>
      <c r="AC523" s="1428" t="s">
        <v>598</v>
      </c>
      <c r="AD523" s="1429"/>
      <c r="AE523" s="1429"/>
      <c r="AF523" s="1429"/>
      <c r="AG523" s="13" t="s">
        <v>403</v>
      </c>
      <c r="AH523" s="1426" t="s">
        <v>2685</v>
      </c>
      <c r="AI523" s="1426"/>
      <c r="AJ523" s="1426"/>
      <c r="AK523" s="1427"/>
      <c r="AZ523" s="3"/>
      <c r="BA523" s="3"/>
      <c r="BB523" s="3"/>
      <c r="BC523" s="3"/>
      <c r="BD523" s="3"/>
      <c r="BE523" s="3"/>
      <c r="BF523" s="3"/>
      <c r="BG523" s="3"/>
      <c r="BH523" s="3"/>
      <c r="BI523" s="3"/>
      <c r="BJ523" s="3"/>
      <c r="BK523" s="3"/>
      <c r="BL523" s="3"/>
      <c r="BM523" s="3"/>
      <c r="BN523" s="3" t="s">
        <v>2429</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437"/>
      <c r="C524" s="1438"/>
      <c r="D524" s="1438"/>
      <c r="E524" s="1438"/>
      <c r="F524" s="1438"/>
      <c r="G524" s="1438"/>
      <c r="H524" s="1439"/>
      <c r="I524" t="s">
        <v>421</v>
      </c>
      <c r="AC524" s="1428">
        <v>7</v>
      </c>
      <c r="AD524" s="1429"/>
      <c r="AE524" s="1429"/>
      <c r="AF524" s="1429"/>
      <c r="AG524" s="13" t="s">
        <v>403</v>
      </c>
      <c r="AH524" s="1426">
        <v>2021</v>
      </c>
      <c r="AI524" s="1426"/>
      <c r="AJ524" s="1426"/>
      <c r="AK524" s="1427"/>
      <c r="AZ524" s="3"/>
      <c r="BA524" s="3"/>
      <c r="BB524" s="3"/>
      <c r="BC524" s="3"/>
      <c r="BD524" s="3"/>
      <c r="BE524" s="3"/>
      <c r="BF524" s="3"/>
      <c r="BG524" s="3"/>
      <c r="BH524" s="3"/>
      <c r="BI524" s="3"/>
      <c r="BJ524" s="3"/>
      <c r="BK524" s="3"/>
      <c r="BL524" s="3"/>
      <c r="BM524" s="3"/>
      <c r="BN524" s="3" t="s">
        <v>2430</v>
      </c>
      <c r="BO524" s="3"/>
      <c r="BP524" s="3"/>
      <c r="BQ524" s="3"/>
      <c r="BR524" s="3"/>
      <c r="BS524" s="3"/>
      <c r="BT524" s="3"/>
      <c r="BU524" s="3"/>
      <c r="BV524" s="378" t="s">
        <v>735</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437"/>
      <c r="C525" s="1438"/>
      <c r="D525" s="1438"/>
      <c r="E525" s="1438"/>
      <c r="F525" s="1438"/>
      <c r="G525" s="1438"/>
      <c r="H525" s="1439"/>
      <c r="I525" s="48" t="s">
        <v>422</v>
      </c>
      <c r="J525" s="48"/>
      <c r="K525" s="48"/>
      <c r="L525" s="48"/>
      <c r="M525" s="48"/>
      <c r="N525" s="48"/>
      <c r="O525" s="48"/>
      <c r="P525" s="48"/>
      <c r="Q525" s="48"/>
      <c r="R525" s="48"/>
      <c r="S525" s="48"/>
      <c r="T525" s="48"/>
      <c r="U525" s="48"/>
      <c r="V525" s="48"/>
      <c r="W525" s="48"/>
      <c r="X525" s="48"/>
      <c r="Y525" s="48"/>
      <c r="Z525" s="48"/>
      <c r="AA525" s="48"/>
      <c r="AB525" s="48"/>
      <c r="AC525" s="1428">
        <v>12</v>
      </c>
      <c r="AD525" s="1429"/>
      <c r="AE525" s="1429"/>
      <c r="AF525" s="1429"/>
      <c r="AG525" s="38" t="s">
        <v>403</v>
      </c>
      <c r="AH525" s="1426">
        <v>2021</v>
      </c>
      <c r="AI525" s="1426"/>
      <c r="AJ525" s="1426"/>
      <c r="AK525" s="1427"/>
      <c r="AZ525" s="3"/>
      <c r="BA525" s="3"/>
      <c r="BB525" s="3"/>
      <c r="BC525" s="3"/>
      <c r="BD525" s="3"/>
      <c r="BE525" s="3"/>
      <c r="BF525" s="3"/>
      <c r="BG525" s="3"/>
      <c r="BH525" s="3"/>
      <c r="BI525" s="3"/>
      <c r="BJ525" s="3"/>
      <c r="BK525" s="3"/>
      <c r="BL525" s="3"/>
      <c r="BM525" s="3"/>
      <c r="BN525" s="3" t="s">
        <v>2431</v>
      </c>
      <c r="BO525" s="3"/>
      <c r="BP525" s="3"/>
      <c r="BQ525" s="3"/>
      <c r="BR525" s="3"/>
      <c r="BS525" s="3"/>
      <c r="BT525" s="3"/>
      <c r="BU525" s="3"/>
      <c r="BV525" s="378" t="s">
        <v>736</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437"/>
      <c r="C526" s="1438"/>
      <c r="D526" s="1438"/>
      <c r="E526" s="1438"/>
      <c r="F526" s="1438"/>
      <c r="G526" s="1438"/>
      <c r="H526" s="1439"/>
      <c r="I526" s="42" t="s">
        <v>423</v>
      </c>
      <c r="J526" s="42"/>
      <c r="K526" s="42"/>
      <c r="L526" s="42"/>
      <c r="M526" s="42"/>
      <c r="N526" s="42"/>
      <c r="O526" s="1449" t="s">
        <v>2728</v>
      </c>
      <c r="P526" s="1450"/>
      <c r="Q526" s="1450"/>
      <c r="R526" s="1450"/>
      <c r="S526" s="1450"/>
      <c r="T526" s="1450"/>
      <c r="U526" s="1450"/>
      <c r="V526" s="1450"/>
      <c r="W526" s="1450"/>
      <c r="X526" s="1450"/>
      <c r="Y526" s="1450"/>
      <c r="Z526" s="1450"/>
      <c r="AA526" s="1450"/>
      <c r="AC526" s="1428" t="s">
        <v>598</v>
      </c>
      <c r="AD526" s="1429"/>
      <c r="AE526" s="1429"/>
      <c r="AF526" s="1429"/>
      <c r="AG526" s="13" t="s">
        <v>403</v>
      </c>
      <c r="AH526" s="1426" t="s">
        <v>2685</v>
      </c>
      <c r="AI526" s="1426"/>
      <c r="AJ526" s="1426"/>
      <c r="AK526" s="1427"/>
      <c r="AZ526" s="3"/>
      <c r="BA526" s="3"/>
      <c r="BB526" s="3"/>
      <c r="BC526" s="3"/>
      <c r="BD526" s="3"/>
      <c r="BE526" s="3"/>
      <c r="BF526" s="3"/>
      <c r="BG526" s="3"/>
      <c r="BH526" s="3"/>
      <c r="BI526" s="3"/>
      <c r="BJ526" s="3"/>
      <c r="BK526" s="3"/>
      <c r="BL526" s="3"/>
      <c r="BM526" s="3"/>
      <c r="BN526" s="3" t="s">
        <v>2432</v>
      </c>
      <c r="BO526" s="3"/>
      <c r="BP526" s="3"/>
      <c r="BQ526" s="3"/>
      <c r="BR526" s="3"/>
      <c r="BS526" s="3"/>
      <c r="BT526" s="3"/>
      <c r="BU526" s="3"/>
      <c r="BV526" s="378" t="s">
        <v>737</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437"/>
      <c r="C527" s="1438"/>
      <c r="D527" s="1438"/>
      <c r="E527" s="1438"/>
      <c r="F527" s="1438"/>
      <c r="G527" s="1438"/>
      <c r="H527" s="1439"/>
      <c r="I527" t="s">
        <v>421</v>
      </c>
      <c r="AC527" s="1428">
        <v>7</v>
      </c>
      <c r="AD527" s="1429"/>
      <c r="AE527" s="1429"/>
      <c r="AF527" s="1429"/>
      <c r="AG527" s="13" t="s">
        <v>403</v>
      </c>
      <c r="AH527" s="1426">
        <v>2021</v>
      </c>
      <c r="AI527" s="1426"/>
      <c r="AJ527" s="1426"/>
      <c r="AK527" s="1427"/>
      <c r="AZ527" s="3"/>
      <c r="BA527" s="3"/>
      <c r="BB527" s="3"/>
      <c r="BC527" s="3"/>
      <c r="BD527" s="3"/>
      <c r="BE527" s="3"/>
      <c r="BF527" s="3"/>
      <c r="BG527" s="3"/>
      <c r="BH527" s="3"/>
      <c r="BI527" s="3"/>
      <c r="BJ527" s="3"/>
      <c r="BK527" s="3"/>
      <c r="BL527" s="3"/>
      <c r="BM527" s="3"/>
      <c r="BN527" s="3" t="s">
        <v>2433</v>
      </c>
      <c r="BO527" s="3"/>
      <c r="BP527" s="3"/>
      <c r="BQ527" s="3"/>
      <c r="BR527" s="3"/>
      <c r="BS527" s="3"/>
      <c r="BT527" s="3"/>
      <c r="BU527" s="3"/>
      <c r="BV527" s="378" t="s">
        <v>738</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437"/>
      <c r="C528" s="1438"/>
      <c r="D528" s="1438"/>
      <c r="E528" s="1438"/>
      <c r="F528" s="1438"/>
      <c r="G528" s="1438"/>
      <c r="H528" s="1439"/>
      <c r="I528" s="48" t="s">
        <v>422</v>
      </c>
      <c r="J528" s="48"/>
      <c r="K528" s="48"/>
      <c r="L528" s="48"/>
      <c r="M528" s="48"/>
      <c r="N528" s="48"/>
      <c r="O528" s="48"/>
      <c r="P528" s="48"/>
      <c r="Q528" s="48"/>
      <c r="R528" s="48"/>
      <c r="S528" s="48"/>
      <c r="T528" s="48"/>
      <c r="U528" s="48"/>
      <c r="V528" s="48"/>
      <c r="W528" s="48"/>
      <c r="X528" s="48"/>
      <c r="Y528" s="48"/>
      <c r="Z528" s="48"/>
      <c r="AA528" s="48"/>
      <c r="AB528" s="48"/>
      <c r="AC528" s="1428">
        <v>12</v>
      </c>
      <c r="AD528" s="1429"/>
      <c r="AE528" s="1429"/>
      <c r="AF528" s="1429"/>
      <c r="AG528" s="38" t="s">
        <v>403</v>
      </c>
      <c r="AH528" s="1426">
        <v>2021</v>
      </c>
      <c r="AI528" s="1426"/>
      <c r="AJ528" s="1426"/>
      <c r="AK528" s="1427"/>
      <c r="AZ528" s="3"/>
      <c r="BA528" s="3"/>
      <c r="BB528" s="3"/>
      <c r="BC528" s="3"/>
      <c r="BD528" s="3"/>
      <c r="BE528" s="3"/>
      <c r="BF528" s="3"/>
      <c r="BG528" s="3"/>
      <c r="BH528" s="3"/>
      <c r="BI528" s="3"/>
      <c r="BJ528" s="3"/>
      <c r="BK528" s="3"/>
      <c r="BL528" s="3"/>
      <c r="BM528" s="3"/>
      <c r="BN528" s="3" t="s">
        <v>2434</v>
      </c>
      <c r="BO528" s="3"/>
      <c r="BP528" s="3"/>
      <c r="BQ528" s="3"/>
      <c r="BR528" s="3"/>
      <c r="BS528" s="3"/>
      <c r="BT528" s="3"/>
      <c r="BU528" s="3"/>
      <c r="BV528" s="378" t="s">
        <v>739</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437"/>
      <c r="C529" s="1438"/>
      <c r="D529" s="1438"/>
      <c r="E529" s="1438"/>
      <c r="F529" s="1438"/>
      <c r="G529" s="1438"/>
      <c r="H529" s="1439"/>
      <c r="I529" s="42" t="s">
        <v>423</v>
      </c>
      <c r="J529" s="42"/>
      <c r="K529" s="42"/>
      <c r="L529" s="42"/>
      <c r="M529" s="42"/>
      <c r="N529" s="42"/>
      <c r="O529" s="1449" t="s">
        <v>2751</v>
      </c>
      <c r="P529" s="1450"/>
      <c r="Q529" s="1450"/>
      <c r="R529" s="1450"/>
      <c r="S529" s="1450"/>
      <c r="T529" s="1450"/>
      <c r="U529" s="1450"/>
      <c r="V529" s="1450"/>
      <c r="W529" s="1450"/>
      <c r="X529" s="1450"/>
      <c r="Y529" s="1450"/>
      <c r="Z529" s="1450"/>
      <c r="AA529" s="1450"/>
      <c r="AC529" s="1428" t="s">
        <v>598</v>
      </c>
      <c r="AD529" s="1429"/>
      <c r="AE529" s="1429"/>
      <c r="AF529" s="1429"/>
      <c r="AG529" s="13" t="s">
        <v>403</v>
      </c>
      <c r="AH529" s="1426" t="s">
        <v>2685</v>
      </c>
      <c r="AI529" s="1426"/>
      <c r="AJ529" s="1426"/>
      <c r="AK529" s="1427"/>
      <c r="AZ529" s="3"/>
      <c r="BA529" s="3"/>
      <c r="BB529" s="3"/>
      <c r="BC529" s="3"/>
      <c r="BD529" s="3"/>
      <c r="BE529" s="3"/>
      <c r="BF529" s="3"/>
      <c r="BG529" s="3"/>
      <c r="BH529" s="3"/>
      <c r="BI529" s="3"/>
      <c r="BJ529" s="3"/>
      <c r="BK529" s="3"/>
      <c r="BL529" s="3"/>
      <c r="BM529" s="3"/>
      <c r="BN529" s="3" t="s">
        <v>2435</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437"/>
      <c r="C530" s="1438"/>
      <c r="D530" s="1438"/>
      <c r="E530" s="1438"/>
      <c r="F530" s="1438"/>
      <c r="G530" s="1438"/>
      <c r="H530" s="1439"/>
      <c r="I530" t="s">
        <v>421</v>
      </c>
      <c r="AC530" s="1428">
        <v>7</v>
      </c>
      <c r="AD530" s="1429"/>
      <c r="AE530" s="1429"/>
      <c r="AF530" s="1429"/>
      <c r="AG530" s="13" t="s">
        <v>403</v>
      </c>
      <c r="AH530" s="1426">
        <v>2021</v>
      </c>
      <c r="AI530" s="1426"/>
      <c r="AJ530" s="1426"/>
      <c r="AK530" s="1427"/>
      <c r="AZ530" s="3"/>
      <c r="BA530" s="3"/>
      <c r="BB530" s="3"/>
      <c r="BC530" s="3"/>
      <c r="BD530" s="3"/>
      <c r="BE530" s="3"/>
      <c r="BF530" s="3"/>
      <c r="BG530" s="3"/>
      <c r="BH530" s="3"/>
      <c r="BI530" s="3"/>
      <c r="BJ530" s="3"/>
      <c r="BK530" s="3"/>
      <c r="BL530" s="3"/>
      <c r="BM530" s="3"/>
      <c r="BN530" s="3" t="s">
        <v>2436</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437"/>
      <c r="C531" s="1438"/>
      <c r="D531" s="1438"/>
      <c r="E531" s="1438"/>
      <c r="F531" s="1438"/>
      <c r="G531" s="1438"/>
      <c r="H531" s="1439"/>
      <c r="I531" s="48" t="s">
        <v>422</v>
      </c>
      <c r="J531" s="48"/>
      <c r="K531" s="48"/>
      <c r="L531" s="48"/>
      <c r="M531" s="48"/>
      <c r="N531" s="48"/>
      <c r="O531" s="48"/>
      <c r="P531" s="48"/>
      <c r="Q531" s="48"/>
      <c r="R531" s="48"/>
      <c r="S531" s="48"/>
      <c r="T531" s="48"/>
      <c r="U531" s="48"/>
      <c r="V531" s="48"/>
      <c r="W531" s="48"/>
      <c r="X531" s="48"/>
      <c r="Y531" s="48"/>
      <c r="Z531" s="48"/>
      <c r="AA531" s="48"/>
      <c r="AB531" s="48"/>
      <c r="AC531" s="1428">
        <v>12</v>
      </c>
      <c r="AD531" s="1429"/>
      <c r="AE531" s="1429"/>
      <c r="AF531" s="1429"/>
      <c r="AG531" s="38" t="s">
        <v>403</v>
      </c>
      <c r="AH531" s="1426">
        <v>2021</v>
      </c>
      <c r="AI531" s="1426"/>
      <c r="AJ531" s="1426"/>
      <c r="AK531" s="1427"/>
      <c r="AZ531" s="3"/>
      <c r="BA531" s="3"/>
      <c r="BB531" s="3"/>
      <c r="BC531" s="3"/>
      <c r="BD531" s="3"/>
      <c r="BE531" s="3"/>
      <c r="BF531" s="3"/>
      <c r="BG531" s="3"/>
      <c r="BH531" s="3"/>
      <c r="BI531" s="3"/>
      <c r="BJ531" s="3"/>
      <c r="BK531" s="3"/>
      <c r="BL531" s="3"/>
      <c r="BM531" s="3"/>
      <c r="BN531" s="3" t="s">
        <v>2437</v>
      </c>
      <c r="BO531" s="3"/>
      <c r="BP531" s="3"/>
      <c r="BQ531" s="3"/>
      <c r="BR531" s="3"/>
      <c r="BS531" s="3"/>
      <c r="BT531" s="3"/>
      <c r="BU531" s="3"/>
      <c r="BV531" s="378" t="s">
        <v>191</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437"/>
      <c r="C532" s="1438"/>
      <c r="D532" s="1438"/>
      <c r="E532" s="1438"/>
      <c r="F532" s="1438"/>
      <c r="G532" s="1438"/>
      <c r="H532" s="1439"/>
      <c r="I532" s="42" t="s">
        <v>423</v>
      </c>
      <c r="J532" s="42"/>
      <c r="K532" s="42"/>
      <c r="L532" s="42"/>
      <c r="M532" s="42"/>
      <c r="N532" s="42"/>
      <c r="O532" s="1449" t="s">
        <v>2727</v>
      </c>
      <c r="P532" s="1450"/>
      <c r="Q532" s="1450"/>
      <c r="R532" s="1450"/>
      <c r="S532" s="1450"/>
      <c r="T532" s="1450"/>
      <c r="U532" s="1450"/>
      <c r="V532" s="1450"/>
      <c r="W532" s="1450"/>
      <c r="X532" s="1450"/>
      <c r="Y532" s="1450"/>
      <c r="Z532" s="1450"/>
      <c r="AA532" s="1450"/>
      <c r="AC532" s="1428" t="s">
        <v>598</v>
      </c>
      <c r="AD532" s="1429"/>
      <c r="AE532" s="1429"/>
      <c r="AF532" s="1429"/>
      <c r="AG532" s="13" t="s">
        <v>403</v>
      </c>
      <c r="AH532" s="1426" t="s">
        <v>2685</v>
      </c>
      <c r="AI532" s="1426"/>
      <c r="AJ532" s="1426"/>
      <c r="AK532" s="1427"/>
      <c r="AZ532" s="3"/>
      <c r="BA532" s="3"/>
      <c r="BB532" s="3"/>
      <c r="BC532" s="3"/>
      <c r="BD532" s="3"/>
      <c r="BE532" s="3"/>
      <c r="BF532" s="3"/>
      <c r="BG532" s="3"/>
      <c r="BH532" s="3"/>
      <c r="BI532" s="3"/>
      <c r="BJ532" s="3"/>
      <c r="BK532" s="3"/>
      <c r="BL532" s="3"/>
      <c r="BM532" s="3"/>
      <c r="BN532" s="3" t="s">
        <v>2438</v>
      </c>
      <c r="BO532" s="3"/>
      <c r="BP532" s="3"/>
      <c r="BQ532" s="3"/>
      <c r="BR532" s="3"/>
      <c r="BS532" s="3"/>
      <c r="BT532" s="3"/>
      <c r="BU532" s="3"/>
      <c r="BV532" s="378" t="s">
        <v>192</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437"/>
      <c r="C533" s="1438"/>
      <c r="D533" s="1438"/>
      <c r="E533" s="1438"/>
      <c r="F533" s="1438"/>
      <c r="G533" s="1438"/>
      <c r="H533" s="1439"/>
      <c r="I533" t="s">
        <v>421</v>
      </c>
      <c r="AC533" s="1428">
        <v>10</v>
      </c>
      <c r="AD533" s="1429"/>
      <c r="AE533" s="1429"/>
      <c r="AF533" s="1429"/>
      <c r="AG533" s="38" t="s">
        <v>403</v>
      </c>
      <c r="AH533" s="1426">
        <v>2022</v>
      </c>
      <c r="AI533" s="1426"/>
      <c r="AJ533" s="1426"/>
      <c r="AK533" s="1427"/>
      <c r="AZ533" s="3"/>
      <c r="BA533" s="3"/>
      <c r="BB533" s="3"/>
      <c r="BC533" s="3"/>
      <c r="BD533" s="3"/>
      <c r="BE533" s="3"/>
      <c r="BF533" s="3"/>
      <c r="BG533" s="3"/>
      <c r="BH533" s="3"/>
      <c r="BI533" s="3"/>
      <c r="BJ533" s="3"/>
      <c r="BK533" s="3"/>
      <c r="BL533" s="3"/>
      <c r="BM533" s="3"/>
      <c r="BN533" s="3" t="s">
        <v>2439</v>
      </c>
      <c r="BO533" s="3"/>
      <c r="BP533" s="3"/>
      <c r="BQ533" s="3"/>
      <c r="BR533" s="3"/>
      <c r="BS533" s="3"/>
      <c r="BT533" s="3"/>
      <c r="BU533" s="3"/>
      <c r="BV533" s="378" t="s">
        <v>193</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437"/>
      <c r="C534" s="1438"/>
      <c r="D534" s="1438"/>
      <c r="E534" s="1438"/>
      <c r="F534" s="1438"/>
      <c r="G534" s="1438"/>
      <c r="H534" s="1439"/>
      <c r="I534" s="48" t="s">
        <v>422</v>
      </c>
      <c r="J534" s="48"/>
      <c r="K534" s="48"/>
      <c r="L534" s="48"/>
      <c r="M534" s="48"/>
      <c r="N534" s="48"/>
      <c r="O534" s="48"/>
      <c r="P534" s="48"/>
      <c r="Q534" s="48"/>
      <c r="R534" s="48"/>
      <c r="S534" s="48"/>
      <c r="T534" s="48"/>
      <c r="U534" s="48"/>
      <c r="V534" s="48"/>
      <c r="W534" s="48"/>
      <c r="X534" s="48"/>
      <c r="Y534" s="48"/>
      <c r="Z534" s="48"/>
      <c r="AA534" s="48"/>
      <c r="AB534" s="48"/>
      <c r="AC534" s="1428">
        <v>12</v>
      </c>
      <c r="AD534" s="1429"/>
      <c r="AE534" s="1429"/>
      <c r="AF534" s="1429"/>
      <c r="AG534" s="13" t="s">
        <v>403</v>
      </c>
      <c r="AH534" s="1426">
        <v>2022</v>
      </c>
      <c r="AI534" s="1426"/>
      <c r="AJ534" s="1426"/>
      <c r="AK534" s="1427"/>
      <c r="AZ534" s="3"/>
      <c r="BA534" s="3"/>
      <c r="BB534" s="3"/>
      <c r="BC534" s="3"/>
      <c r="BD534" s="3"/>
      <c r="BE534" s="3"/>
      <c r="BF534" s="3"/>
      <c r="BG534" s="3"/>
      <c r="BH534" s="3"/>
      <c r="BI534" s="3"/>
      <c r="BJ534" s="3"/>
      <c r="BK534" s="3"/>
      <c r="BL534" s="3"/>
      <c r="BM534" s="3"/>
      <c r="BN534" s="3" t="s">
        <v>2440</v>
      </c>
      <c r="BO534" s="3"/>
      <c r="BP534" s="3"/>
      <c r="BQ534" s="3"/>
      <c r="BR534" s="3"/>
      <c r="BS534" s="3"/>
      <c r="BT534" s="3"/>
      <c r="BU534" s="3"/>
      <c r="BV534" s="378" t="s">
        <v>194</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437"/>
      <c r="C535" s="1438"/>
      <c r="D535" s="1438"/>
      <c r="E535" s="1438"/>
      <c r="F535" s="1438"/>
      <c r="G535" s="1438"/>
      <c r="H535" s="1439"/>
      <c r="I535" s="42" t="s">
        <v>423</v>
      </c>
      <c r="J535" s="42"/>
      <c r="K535" s="42"/>
      <c r="L535" s="42"/>
      <c r="M535" s="42"/>
      <c r="N535" s="42"/>
      <c r="O535" s="1449" t="s">
        <v>2727</v>
      </c>
      <c r="P535" s="1450"/>
      <c r="Q535" s="1450"/>
      <c r="R535" s="1450"/>
      <c r="S535" s="1450"/>
      <c r="T535" s="1450"/>
      <c r="U535" s="1450"/>
      <c r="V535" s="1450"/>
      <c r="W535" s="1450"/>
      <c r="X535" s="1450"/>
      <c r="Y535" s="1450"/>
      <c r="Z535" s="1450"/>
      <c r="AA535" s="1450"/>
      <c r="AC535" s="1428" t="s">
        <v>598</v>
      </c>
      <c r="AD535" s="1429"/>
      <c r="AE535" s="1429"/>
      <c r="AF535" s="1429"/>
      <c r="AG535" s="38" t="s">
        <v>403</v>
      </c>
      <c r="AH535" s="1426" t="s">
        <v>2685</v>
      </c>
      <c r="AI535" s="1426"/>
      <c r="AJ535" s="1426"/>
      <c r="AK535" s="1427"/>
      <c r="AZ535" s="3"/>
      <c r="BA535" s="3"/>
      <c r="BB535" s="3"/>
      <c r="BC535" s="3"/>
      <c r="BD535" s="3"/>
      <c r="BE535" s="3"/>
      <c r="BF535" s="3"/>
      <c r="BG535" s="3"/>
      <c r="BH535" s="3"/>
      <c r="BI535" s="3"/>
      <c r="BJ535" s="3"/>
      <c r="BK535" s="3"/>
      <c r="BL535" s="3"/>
      <c r="BM535" s="3"/>
      <c r="BN535" s="3" t="s">
        <v>2441</v>
      </c>
      <c r="BO535" s="3"/>
      <c r="BP535" s="3"/>
      <c r="BQ535" s="3"/>
      <c r="BR535" s="3"/>
      <c r="BS535" s="3"/>
      <c r="BT535" s="3"/>
      <c r="BU535" s="3"/>
      <c r="BV535" s="378" t="s">
        <v>195</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437"/>
      <c r="C536" s="1438"/>
      <c r="D536" s="1438"/>
      <c r="E536" s="1438"/>
      <c r="F536" s="1438"/>
      <c r="G536" s="1438"/>
      <c r="H536" s="1439"/>
      <c r="I536" t="s">
        <v>421</v>
      </c>
      <c r="AC536" s="1428">
        <v>6</v>
      </c>
      <c r="AD536" s="1429"/>
      <c r="AE536" s="1429"/>
      <c r="AF536" s="1429"/>
      <c r="AG536" s="13" t="s">
        <v>403</v>
      </c>
      <c r="AH536" s="1426">
        <v>2023</v>
      </c>
      <c r="AI536" s="1426"/>
      <c r="AJ536" s="1426"/>
      <c r="AK536" s="1427"/>
      <c r="AZ536" s="3"/>
      <c r="BA536" s="3"/>
      <c r="BB536" s="3"/>
      <c r="BC536" s="3"/>
      <c r="BD536" s="3"/>
      <c r="BE536" s="3"/>
      <c r="BF536" s="3"/>
      <c r="BG536" s="3"/>
      <c r="BH536" s="3"/>
      <c r="BI536" s="3"/>
      <c r="BJ536" s="3"/>
      <c r="BK536" s="3"/>
      <c r="BL536" s="3"/>
      <c r="BM536" s="3"/>
      <c r="BN536" s="3" t="s">
        <v>2442</v>
      </c>
      <c r="BO536" s="3"/>
      <c r="BP536" s="3"/>
      <c r="BQ536" s="3"/>
      <c r="BR536" s="3"/>
      <c r="BS536" s="3"/>
      <c r="BT536" s="3"/>
      <c r="BU536" s="3"/>
      <c r="BV536" s="378" t="s">
        <v>196</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437"/>
      <c r="C537" s="1438"/>
      <c r="D537" s="1438"/>
      <c r="E537" s="1438"/>
      <c r="F537" s="1438"/>
      <c r="G537" s="1438"/>
      <c r="H537" s="1439"/>
      <c r="I537" s="48" t="s">
        <v>422</v>
      </c>
      <c r="J537" s="48"/>
      <c r="K537" s="48"/>
      <c r="L537" s="48"/>
      <c r="M537" s="48"/>
      <c r="N537" s="48"/>
      <c r="O537" s="48"/>
      <c r="P537" s="48"/>
      <c r="Q537" s="48"/>
      <c r="R537" s="48"/>
      <c r="S537" s="48"/>
      <c r="T537" s="48"/>
      <c r="U537" s="48"/>
      <c r="V537" s="48"/>
      <c r="W537" s="48"/>
      <c r="X537" s="48"/>
      <c r="Y537" s="48"/>
      <c r="Z537" s="48"/>
      <c r="AA537" s="48"/>
      <c r="AB537" s="48"/>
      <c r="AC537" s="1428">
        <v>11</v>
      </c>
      <c r="AD537" s="1429"/>
      <c r="AE537" s="1429"/>
      <c r="AF537" s="1429"/>
      <c r="AG537" s="38" t="s">
        <v>403</v>
      </c>
      <c r="AH537" s="1426">
        <v>2023</v>
      </c>
      <c r="AI537" s="1426"/>
      <c r="AJ537" s="1426"/>
      <c r="AK537" s="1427"/>
      <c r="AZ537" s="3"/>
      <c r="BA537" s="3"/>
      <c r="BB537" s="3"/>
      <c r="BC537" s="3"/>
      <c r="BD537" s="3"/>
      <c r="BE537" s="3"/>
      <c r="BF537" s="3"/>
      <c r="BG537" s="3"/>
      <c r="BH537" s="3"/>
      <c r="BI537" s="3"/>
      <c r="BJ537" s="3"/>
      <c r="BK537" s="3"/>
      <c r="BL537" s="3"/>
      <c r="BM537" s="3"/>
      <c r="BN537" s="3" t="s">
        <v>2443</v>
      </c>
      <c r="BO537" s="3"/>
      <c r="BP537" s="3"/>
      <c r="BQ537" s="3"/>
      <c r="BR537" s="3"/>
      <c r="BS537" s="3"/>
      <c r="BT537" s="3"/>
      <c r="BU537" s="3"/>
      <c r="BV537" s="378" t="s">
        <v>197</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437"/>
      <c r="C538" s="1438"/>
      <c r="D538" s="1438"/>
      <c r="E538" s="1438"/>
      <c r="F538" s="1438"/>
      <c r="G538" s="1438"/>
      <c r="H538" s="1439"/>
      <c r="I538" s="42" t="s">
        <v>569</v>
      </c>
      <c r="J538" s="42"/>
      <c r="K538" s="42"/>
      <c r="L538" s="42"/>
      <c r="M538" s="42"/>
      <c r="N538" s="42"/>
      <c r="O538" s="42"/>
      <c r="P538" s="42"/>
      <c r="Q538" s="42"/>
      <c r="R538" s="42"/>
      <c r="S538" s="42"/>
      <c r="T538" s="42"/>
      <c r="U538" s="42"/>
      <c r="V538" s="42"/>
      <c r="W538" s="42"/>
      <c r="AC538" s="1428">
        <v>8</v>
      </c>
      <c r="AD538" s="1429"/>
      <c r="AE538" s="1429"/>
      <c r="AF538" s="1429"/>
      <c r="AG538" s="38" t="s">
        <v>403</v>
      </c>
      <c r="AH538" s="1426">
        <v>2025</v>
      </c>
      <c r="AI538" s="1426"/>
      <c r="AJ538" s="1426"/>
      <c r="AK538" s="1427"/>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173</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437"/>
      <c r="C539" s="1438"/>
      <c r="D539" s="1438"/>
      <c r="E539" s="1438"/>
      <c r="F539" s="1438"/>
      <c r="G539" s="1438"/>
      <c r="H539" s="1439"/>
      <c r="I539" t="s">
        <v>570</v>
      </c>
      <c r="AC539" s="1428">
        <v>5</v>
      </c>
      <c r="AD539" s="1429"/>
      <c r="AE539" s="1429"/>
      <c r="AF539" s="1429"/>
      <c r="AG539" s="13" t="s">
        <v>403</v>
      </c>
      <c r="AH539" s="1426">
        <v>2025</v>
      </c>
      <c r="AI539" s="1426"/>
      <c r="AJ539" s="1426"/>
      <c r="AK539" s="1427"/>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198</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437"/>
      <c r="C540" s="1438"/>
      <c r="D540" s="1438"/>
      <c r="E540" s="1438"/>
      <c r="F540" s="1438"/>
      <c r="G540" s="1438"/>
      <c r="H540" s="1439"/>
      <c r="I540" t="s">
        <v>571</v>
      </c>
      <c r="AC540" s="1428">
        <v>2</v>
      </c>
      <c r="AD540" s="1429"/>
      <c r="AE540" s="1429"/>
      <c r="AF540" s="1429"/>
      <c r="AG540" s="38" t="s">
        <v>403</v>
      </c>
      <c r="AH540" s="1426">
        <v>2027</v>
      </c>
      <c r="AI540" s="1426"/>
      <c r="AJ540" s="1426"/>
      <c r="AK540" s="1427"/>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199</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437"/>
      <c r="C541" s="1438"/>
      <c r="D541" s="1438"/>
      <c r="E541" s="1438"/>
      <c r="F541" s="1438"/>
      <c r="G541" s="1438"/>
      <c r="H541" s="1439"/>
      <c r="I541" t="s">
        <v>572</v>
      </c>
      <c r="AC541" s="1428">
        <v>2</v>
      </c>
      <c r="AD541" s="1429"/>
      <c r="AE541" s="1429"/>
      <c r="AF541" s="1429"/>
      <c r="AG541" s="38" t="s">
        <v>403</v>
      </c>
      <c r="AH541" s="1426">
        <v>2027</v>
      </c>
      <c r="AI541" s="1426"/>
      <c r="AJ541" s="1426"/>
      <c r="AK541" s="1427"/>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200</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40"/>
      <c r="C542" s="1441"/>
      <c r="D542" s="1441"/>
      <c r="E542" s="1441"/>
      <c r="F542" s="1441"/>
      <c r="G542" s="1441"/>
      <c r="H542" s="1442"/>
      <c r="I542" s="48" t="s">
        <v>458</v>
      </c>
      <c r="J542" s="48"/>
      <c r="K542" s="48"/>
      <c r="L542" s="48"/>
      <c r="M542" s="48"/>
      <c r="N542" s="48"/>
      <c r="O542" s="48"/>
      <c r="P542" s="48"/>
      <c r="Q542" s="48"/>
      <c r="R542" s="48"/>
      <c r="S542" s="48"/>
      <c r="T542" s="48"/>
      <c r="U542" s="48"/>
      <c r="V542" s="48"/>
      <c r="W542" s="48"/>
      <c r="X542" s="48"/>
      <c r="Y542" s="48"/>
      <c r="Z542" s="48"/>
      <c r="AA542" s="48"/>
      <c r="AB542" s="48"/>
      <c r="AC542" s="1428">
        <v>6</v>
      </c>
      <c r="AD542" s="1429"/>
      <c r="AE542" s="1429"/>
      <c r="AF542" s="1429"/>
      <c r="AG542" s="38" t="s">
        <v>403</v>
      </c>
      <c r="AH542" s="1426">
        <v>2027</v>
      </c>
      <c r="AI542" s="1426"/>
      <c r="AJ542" s="1426"/>
      <c r="AK542" s="1427"/>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201</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202</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77" t="s">
        <v>550</v>
      </c>
      <c r="B544" s="1277"/>
      <c r="C544" s="1277"/>
      <c r="D544" s="1277"/>
      <c r="E544" s="1277"/>
      <c r="F544" s="1277"/>
      <c r="G544" s="1277"/>
      <c r="H544" s="1277"/>
      <c r="I544" s="1277"/>
      <c r="J544" s="1277"/>
      <c r="K544" s="1277"/>
      <c r="L544" s="1277"/>
      <c r="M544" s="1277"/>
      <c r="N544" s="1277"/>
      <c r="O544" s="1277"/>
      <c r="P544" s="1277"/>
      <c r="Q544" s="1277"/>
      <c r="R544" s="1277"/>
      <c r="S544" s="1277"/>
      <c r="T544" s="1277"/>
      <c r="U544" s="1277"/>
      <c r="V544" s="1277"/>
      <c r="W544" s="1277"/>
      <c r="X544" s="1277"/>
      <c r="Y544" s="1277"/>
      <c r="Z544" s="1277"/>
      <c r="AA544" s="1277"/>
      <c r="AB544" s="1277"/>
      <c r="AC544" s="1277"/>
      <c r="AD544" s="1277"/>
      <c r="AE544" s="1277"/>
      <c r="AF544" s="1277"/>
      <c r="AG544" s="1277"/>
      <c r="AH544" s="1277"/>
      <c r="AI544" s="1277"/>
      <c r="AJ544" s="1277"/>
      <c r="AK544" s="1277"/>
      <c r="AL544" s="1277"/>
      <c r="AM544" s="1277"/>
      <c r="AN544" s="1277"/>
      <c r="AO544" s="1277"/>
      <c r="AP544" s="1277"/>
      <c r="AQ544" s="1277"/>
      <c r="AR544" s="1277"/>
      <c r="AS544" s="1277"/>
      <c r="AT544" s="1277"/>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77"/>
      <c r="B545" s="1277"/>
      <c r="C545" s="1277"/>
      <c r="D545" s="1277"/>
      <c r="E545" s="1277"/>
      <c r="F545" s="1277"/>
      <c r="G545" s="1277"/>
      <c r="H545" s="1277"/>
      <c r="I545" s="1277"/>
      <c r="J545" s="1277"/>
      <c r="K545" s="1277"/>
      <c r="L545" s="1277"/>
      <c r="M545" s="1277"/>
      <c r="N545" s="1277"/>
      <c r="O545" s="1277"/>
      <c r="P545" s="1277"/>
      <c r="Q545" s="1277"/>
      <c r="R545" s="1277"/>
      <c r="S545" s="1277"/>
      <c r="T545" s="1277"/>
      <c r="U545" s="1277"/>
      <c r="V545" s="1277"/>
      <c r="W545" s="1277"/>
      <c r="X545" s="1277"/>
      <c r="Y545" s="1277"/>
      <c r="Z545" s="1277"/>
      <c r="AA545" s="1277"/>
      <c r="AB545" s="1277"/>
      <c r="AC545" s="1277"/>
      <c r="AD545" s="1277"/>
      <c r="AE545" s="1277"/>
      <c r="AF545" s="1277"/>
      <c r="AG545" s="1277"/>
      <c r="AH545" s="1277"/>
      <c r="AI545" s="1277"/>
      <c r="AJ545" s="1277"/>
      <c r="AK545" s="1277"/>
      <c r="AL545" s="1277"/>
      <c r="AM545" s="1277"/>
      <c r="AN545" s="1277"/>
      <c r="AO545" s="1277"/>
      <c r="AP545" s="1277"/>
      <c r="AQ545" s="1277"/>
      <c r="AR545" s="1277"/>
      <c r="AS545" s="1277"/>
      <c r="AT545" s="1277"/>
      <c r="BB545" s="3"/>
      <c r="BC545" s="3"/>
      <c r="BD545" s="3"/>
      <c r="BE545" s="3"/>
      <c r="BF545" s="3"/>
      <c r="BG545" s="3"/>
      <c r="BH545" s="3"/>
      <c r="BI545" s="3"/>
      <c r="BJ545" s="3"/>
      <c r="BK545" s="3"/>
      <c r="BL545" s="3"/>
      <c r="BM545" s="3"/>
      <c r="BN545" s="3"/>
      <c r="BO545" s="3"/>
      <c r="BP545" s="3"/>
      <c r="BQ545" s="3"/>
      <c r="BR545" s="3"/>
      <c r="BS545" s="3"/>
      <c r="BT545" s="3"/>
      <c r="BU545" s="3"/>
      <c r="BV545" s="378" t="s">
        <v>203</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204</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319</v>
      </c>
      <c r="B547" s="2"/>
      <c r="C547" s="2" t="s">
        <v>459</v>
      </c>
      <c r="BB547" s="3"/>
      <c r="BC547" s="3"/>
      <c r="BD547" s="3"/>
      <c r="BE547" s="3"/>
      <c r="BF547" s="3"/>
      <c r="BG547" s="3"/>
      <c r="BH547" s="3"/>
      <c r="BI547" s="3"/>
      <c r="BJ547" s="3"/>
      <c r="BK547" s="3"/>
      <c r="BL547" s="3"/>
      <c r="BM547" s="3"/>
      <c r="BN547" s="3"/>
      <c r="BO547" s="3"/>
      <c r="BP547" s="3"/>
      <c r="BQ547" s="3"/>
      <c r="BR547" s="3"/>
      <c r="BS547" s="3"/>
      <c r="BT547" s="3"/>
      <c r="BU547" s="3"/>
      <c r="BV547" s="378" t="s">
        <v>205</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2415</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434" t="s">
        <v>2417</v>
      </c>
      <c r="C551" s="1435"/>
      <c r="D551" s="1435"/>
      <c r="E551" s="1435"/>
      <c r="F551" s="1435"/>
      <c r="G551" s="1435"/>
      <c r="H551" s="1435"/>
      <c r="I551" s="1435"/>
      <c r="J551" s="1435"/>
      <c r="K551" s="1435"/>
      <c r="L551" s="1436"/>
      <c r="M551" s="1434" t="s">
        <v>2418</v>
      </c>
      <c r="N551" s="1435"/>
      <c r="O551" s="1435"/>
      <c r="P551" s="1436"/>
      <c r="Q551" s="1434" t="s">
        <v>2444</v>
      </c>
      <c r="R551" s="1435"/>
      <c r="S551" s="1436"/>
      <c r="T551" s="1434" t="s">
        <v>2445</v>
      </c>
      <c r="U551" s="1435"/>
      <c r="V551" s="1436"/>
      <c r="W551" s="1434" t="s">
        <v>460</v>
      </c>
      <c r="X551" s="1435"/>
      <c r="Y551" s="1436"/>
      <c r="Z551" s="1434" t="s">
        <v>2038</v>
      </c>
      <c r="AA551" s="1435"/>
      <c r="AB551" s="1435"/>
      <c r="AC551" s="1435"/>
      <c r="AD551" s="1436"/>
      <c r="AE551" s="1434" t="s">
        <v>1860</v>
      </c>
      <c r="AF551" s="1435"/>
      <c r="AG551" s="1435"/>
      <c r="AH551" s="1436"/>
      <c r="AI551" s="1434" t="s">
        <v>1861</v>
      </c>
      <c r="AJ551" s="1435"/>
      <c r="AK551" s="1435"/>
      <c r="AL551" s="1436"/>
      <c r="AM551" s="1434" t="s">
        <v>461</v>
      </c>
      <c r="AN551" s="1435"/>
      <c r="AO551" s="1435"/>
      <c r="AP551" s="1435"/>
      <c r="AQ551" s="1435"/>
      <c r="AR551" s="1435"/>
      <c r="AS551" s="1436"/>
      <c r="BB551" s="3"/>
      <c r="BC551" s="3"/>
      <c r="BD551" s="3"/>
      <c r="BE551" s="3"/>
      <c r="BF551" s="3"/>
      <c r="BG551" s="3"/>
      <c r="BH551" s="3" t="s">
        <v>588</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437"/>
      <c r="C552" s="1438"/>
      <c r="D552" s="1438"/>
      <c r="E552" s="1438"/>
      <c r="F552" s="1438"/>
      <c r="G552" s="1438"/>
      <c r="H552" s="1438"/>
      <c r="I552" s="1438"/>
      <c r="J552" s="1438"/>
      <c r="K552" s="1438"/>
      <c r="L552" s="1439"/>
      <c r="M552" s="1437"/>
      <c r="N552" s="1438"/>
      <c r="O552" s="1438"/>
      <c r="P552" s="1439"/>
      <c r="Q552" s="1437"/>
      <c r="R552" s="1438"/>
      <c r="S552" s="1439"/>
      <c r="T552" s="1437"/>
      <c r="U552" s="1438"/>
      <c r="V552" s="1439"/>
      <c r="W552" s="1437"/>
      <c r="X552" s="1438"/>
      <c r="Y552" s="1439"/>
      <c r="Z552" s="1437"/>
      <c r="AA552" s="1438"/>
      <c r="AB552" s="1438"/>
      <c r="AC552" s="1438"/>
      <c r="AD552" s="1439"/>
      <c r="AE552" s="1437"/>
      <c r="AF552" s="1438"/>
      <c r="AG552" s="1438"/>
      <c r="AH552" s="1439"/>
      <c r="AI552" s="1437"/>
      <c r="AJ552" s="1438"/>
      <c r="AK552" s="1438"/>
      <c r="AL552" s="1439"/>
      <c r="AM552" s="1437"/>
      <c r="AN552" s="1438"/>
      <c r="AO552" s="1438"/>
      <c r="AP552" s="1438"/>
      <c r="AQ552" s="1438"/>
      <c r="AR552" s="1438"/>
      <c r="AS552" s="1439"/>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40"/>
      <c r="C553" s="1441"/>
      <c r="D553" s="1441"/>
      <c r="E553" s="1441"/>
      <c r="F553" s="1441"/>
      <c r="G553" s="1441"/>
      <c r="H553" s="1441"/>
      <c r="I553" s="1441"/>
      <c r="J553" s="1441"/>
      <c r="K553" s="1441"/>
      <c r="L553" s="1442"/>
      <c r="M553" s="1440"/>
      <c r="N553" s="1441"/>
      <c r="O553" s="1441"/>
      <c r="P553" s="1442"/>
      <c r="Q553" s="1440"/>
      <c r="R553" s="1441"/>
      <c r="S553" s="1442"/>
      <c r="T553" s="1440"/>
      <c r="U553" s="1441"/>
      <c r="V553" s="1442"/>
      <c r="W553" s="1440"/>
      <c r="X553" s="1441"/>
      <c r="Y553" s="1442"/>
      <c r="Z553" s="1440"/>
      <c r="AA553" s="1441"/>
      <c r="AB553" s="1441"/>
      <c r="AC553" s="1441"/>
      <c r="AD553" s="1442"/>
      <c r="AE553" s="1440"/>
      <c r="AF553" s="1441"/>
      <c r="AG553" s="1441"/>
      <c r="AH553" s="1442"/>
      <c r="AI553" s="1440"/>
      <c r="AJ553" s="1441"/>
      <c r="AK553" s="1441"/>
      <c r="AL553" s="1442"/>
      <c r="AM553" s="1440"/>
      <c r="AN553" s="1441"/>
      <c r="AO553" s="1441"/>
      <c r="AP553" s="1441"/>
      <c r="AQ553" s="1441"/>
      <c r="AR553" s="1441"/>
      <c r="AS553" s="1442"/>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495" t="s">
        <v>2773</v>
      </c>
      <c r="D554" s="1495"/>
      <c r="E554" s="1495"/>
      <c r="F554" s="1495"/>
      <c r="G554" s="1495"/>
      <c r="H554" s="1495"/>
      <c r="I554" s="1495"/>
      <c r="J554" s="1495"/>
      <c r="K554" s="1495"/>
      <c r="L554" s="1495"/>
      <c r="M554" s="1495" t="s">
        <v>2434</v>
      </c>
      <c r="N554" s="1495"/>
      <c r="O554" s="1495"/>
      <c r="P554" s="1495"/>
      <c r="Q554" s="1455">
        <v>30</v>
      </c>
      <c r="R554" s="1455"/>
      <c r="S554" s="1456"/>
      <c r="T554" s="1454">
        <v>30</v>
      </c>
      <c r="U554" s="1455"/>
      <c r="V554" s="1456"/>
      <c r="W554" s="1492">
        <v>7.0499999999999993E-2</v>
      </c>
      <c r="X554" s="1493"/>
      <c r="Y554" s="1494"/>
      <c r="Z554" s="1533" t="s">
        <v>2766</v>
      </c>
      <c r="AA554" s="1533"/>
      <c r="AB554" s="1533"/>
      <c r="AC554" s="1533"/>
      <c r="AD554" s="1533"/>
      <c r="AE554" s="1451">
        <v>1</v>
      </c>
      <c r="AF554" s="1452"/>
      <c r="AG554" s="1452"/>
      <c r="AH554" s="1453"/>
      <c r="AI554" s="1467"/>
      <c r="AJ554" s="1468"/>
      <c r="AK554" s="1468"/>
      <c r="AL554" s="1469"/>
      <c r="AM554" s="1458">
        <v>34263756</v>
      </c>
      <c r="AN554" s="1459"/>
      <c r="AO554" s="1459"/>
      <c r="AP554" s="1459"/>
      <c r="AQ554" s="1459"/>
      <c r="AR554" s="1459"/>
      <c r="AS554" s="1460"/>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496" t="s">
        <v>2692</v>
      </c>
      <c r="D555" s="1496"/>
      <c r="E555" s="1496"/>
      <c r="F555" s="1496"/>
      <c r="G555" s="1496"/>
      <c r="H555" s="1496"/>
      <c r="I555" s="1496"/>
      <c r="J555" s="1496"/>
      <c r="K555" s="1496"/>
      <c r="L555" s="1496"/>
      <c r="M555" s="1495" t="s">
        <v>2425</v>
      </c>
      <c r="N555" s="1495"/>
      <c r="O555" s="1495"/>
      <c r="P555" s="1495"/>
      <c r="Q555" s="1454"/>
      <c r="R555" s="1455"/>
      <c r="S555" s="1456"/>
      <c r="T555" s="1454"/>
      <c r="U555" s="1455"/>
      <c r="V555" s="1456"/>
      <c r="W555" s="1492"/>
      <c r="X555" s="1493"/>
      <c r="Y555" s="1494"/>
      <c r="Z555" s="1533" t="s">
        <v>598</v>
      </c>
      <c r="AA555" s="1533"/>
      <c r="AB555" s="1533"/>
      <c r="AC555" s="1533"/>
      <c r="AD555" s="1533"/>
      <c r="AE555" s="1451"/>
      <c r="AF555" s="1452"/>
      <c r="AG555" s="1452"/>
      <c r="AH555" s="1453"/>
      <c r="AI555" s="1467"/>
      <c r="AJ555" s="1468"/>
      <c r="AK555" s="1468"/>
      <c r="AL555" s="1469"/>
      <c r="AM555" s="1458">
        <v>11436411</v>
      </c>
      <c r="AN555" s="1459"/>
      <c r="AO555" s="1459"/>
      <c r="AP555" s="1459"/>
      <c r="AQ555" s="1459"/>
      <c r="AR555" s="1459"/>
      <c r="AS555" s="1460"/>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496" t="s">
        <v>2727</v>
      </c>
      <c r="D556" s="1496"/>
      <c r="E556" s="1496"/>
      <c r="F556" s="1496"/>
      <c r="G556" s="1496"/>
      <c r="H556" s="1496"/>
      <c r="I556" s="1496"/>
      <c r="J556" s="1496"/>
      <c r="K556" s="1496"/>
      <c r="L556" s="1496"/>
      <c r="M556" s="1495" t="s">
        <v>2430</v>
      </c>
      <c r="N556" s="1495"/>
      <c r="O556" s="1495"/>
      <c r="P556" s="1495"/>
      <c r="Q556" s="1454">
        <v>660</v>
      </c>
      <c r="R556" s="1455"/>
      <c r="S556" s="1456"/>
      <c r="T556" s="1454"/>
      <c r="U556" s="1455"/>
      <c r="V556" s="1456"/>
      <c r="W556" s="1492">
        <v>0.03</v>
      </c>
      <c r="X556" s="1493"/>
      <c r="Y556" s="1494"/>
      <c r="Z556" s="1533" t="s">
        <v>2730</v>
      </c>
      <c r="AA556" s="1533"/>
      <c r="AB556" s="1533"/>
      <c r="AC556" s="1533"/>
      <c r="AD556" s="1533"/>
      <c r="AE556" s="1451">
        <v>2</v>
      </c>
      <c r="AF556" s="1452"/>
      <c r="AG556" s="1452"/>
      <c r="AH556" s="1453"/>
      <c r="AI556" s="1467"/>
      <c r="AJ556" s="1468"/>
      <c r="AK556" s="1468"/>
      <c r="AL556" s="1469"/>
      <c r="AM556" s="1458">
        <f>7557315+3600000.3</f>
        <v>11157315.300000001</v>
      </c>
      <c r="AN556" s="1459"/>
      <c r="AO556" s="1459"/>
      <c r="AP556" s="1459"/>
      <c r="AQ556" s="1459"/>
      <c r="AR556" s="1459"/>
      <c r="AS556" s="1460"/>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588</v>
      </c>
      <c r="C557" s="1496" t="s">
        <v>2729</v>
      </c>
      <c r="D557" s="1496"/>
      <c r="E557" s="1496"/>
      <c r="F557" s="1496"/>
      <c r="G557" s="1496"/>
      <c r="H557" s="1496"/>
      <c r="I557" s="1496"/>
      <c r="J557" s="1496"/>
      <c r="K557" s="1496"/>
      <c r="L557" s="1496"/>
      <c r="M557" s="1495" t="s">
        <v>2430</v>
      </c>
      <c r="N557" s="1495"/>
      <c r="O557" s="1495"/>
      <c r="P557" s="1495"/>
      <c r="Q557" s="1454">
        <v>660</v>
      </c>
      <c r="R557" s="1455"/>
      <c r="S557" s="1456"/>
      <c r="T557" s="1454"/>
      <c r="U557" s="1455"/>
      <c r="V557" s="1456"/>
      <c r="W557" s="1492">
        <v>0.03</v>
      </c>
      <c r="X557" s="1493"/>
      <c r="Y557" s="1494"/>
      <c r="Z557" s="1533" t="s">
        <v>2730</v>
      </c>
      <c r="AA557" s="1533"/>
      <c r="AB557" s="1533"/>
      <c r="AC557" s="1533"/>
      <c r="AD557" s="1533"/>
      <c r="AE557" s="1451">
        <v>2</v>
      </c>
      <c r="AF557" s="1452"/>
      <c r="AG557" s="1452"/>
      <c r="AH557" s="1453"/>
      <c r="AI557" s="1467"/>
      <c r="AJ557" s="1468"/>
      <c r="AK557" s="1468"/>
      <c r="AL557" s="1469"/>
      <c r="AM557" s="1458">
        <v>6213322</v>
      </c>
      <c r="AN557" s="1459"/>
      <c r="AO557" s="1459"/>
      <c r="AP557" s="1459"/>
      <c r="AQ557" s="1459"/>
      <c r="AR557" s="1459"/>
      <c r="AS557" s="1460"/>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771</v>
      </c>
      <c r="C558" s="1496" t="s">
        <v>2728</v>
      </c>
      <c r="D558" s="1496"/>
      <c r="E558" s="1496"/>
      <c r="F558" s="1496"/>
      <c r="G558" s="1496"/>
      <c r="H558" s="1496"/>
      <c r="I558" s="1496"/>
      <c r="J558" s="1496"/>
      <c r="K558" s="1496"/>
      <c r="L558" s="1496"/>
      <c r="M558" s="1495" t="s">
        <v>2430</v>
      </c>
      <c r="N558" s="1495"/>
      <c r="O558" s="1495"/>
      <c r="P558" s="1495"/>
      <c r="Q558" s="1454">
        <v>660</v>
      </c>
      <c r="R558" s="1455"/>
      <c r="S558" s="1456"/>
      <c r="T558" s="1454"/>
      <c r="U558" s="1455"/>
      <c r="V558" s="1456"/>
      <c r="W558" s="1492">
        <v>0.03</v>
      </c>
      <c r="X558" s="1493"/>
      <c r="Y558" s="1494"/>
      <c r="Z558" s="1533" t="s">
        <v>2730</v>
      </c>
      <c r="AA558" s="1533"/>
      <c r="AB558" s="1533"/>
      <c r="AC558" s="1533"/>
      <c r="AD558" s="1533"/>
      <c r="AE558" s="1451">
        <v>2</v>
      </c>
      <c r="AF558" s="1452"/>
      <c r="AG558" s="1452"/>
      <c r="AH558" s="1453"/>
      <c r="AI558" s="1467"/>
      <c r="AJ558" s="1468"/>
      <c r="AK558" s="1468"/>
      <c r="AL558" s="1469"/>
      <c r="AM558" s="1458">
        <v>1980000</v>
      </c>
      <c r="AN558" s="1459"/>
      <c r="AO558" s="1459"/>
      <c r="AP558" s="1459"/>
      <c r="AQ558" s="1459"/>
      <c r="AR558" s="1459"/>
      <c r="AS558" s="1460"/>
      <c r="AT558" s="1192" t="str">
        <f t="shared" ref="AT558:AT565" si="1">IF(AND(NOT(C557=""),C558="",NOT(C559="")),"!","")</f>
        <v/>
      </c>
      <c r="AU558" s="1191"/>
      <c r="BB558" s="3"/>
      <c r="BC558" s="3"/>
      <c r="BD558" s="3"/>
      <c r="BE558" s="3"/>
      <c r="BF558" s="3"/>
      <c r="BG558" s="3"/>
      <c r="BH558" s="3" t="s">
        <v>771</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591</v>
      </c>
      <c r="C559" s="1496" t="s">
        <v>2782</v>
      </c>
      <c r="D559" s="1496"/>
      <c r="E559" s="1496"/>
      <c r="F559" s="1496"/>
      <c r="G559" s="1496"/>
      <c r="H559" s="1496"/>
      <c r="I559" s="1496"/>
      <c r="J559" s="1496"/>
      <c r="K559" s="1496"/>
      <c r="L559" s="1496"/>
      <c r="M559" s="1495" t="s">
        <v>2437</v>
      </c>
      <c r="N559" s="1495"/>
      <c r="O559" s="1495"/>
      <c r="P559" s="1495"/>
      <c r="Q559" s="1454"/>
      <c r="R559" s="1455"/>
      <c r="S559" s="1456"/>
      <c r="T559" s="1454"/>
      <c r="U559" s="1455"/>
      <c r="V559" s="1456"/>
      <c r="W559" s="1492"/>
      <c r="X559" s="1493"/>
      <c r="Y559" s="1494"/>
      <c r="Z559" s="1533" t="s">
        <v>2730</v>
      </c>
      <c r="AA559" s="1533"/>
      <c r="AB559" s="1533"/>
      <c r="AC559" s="1533"/>
      <c r="AD559" s="1533"/>
      <c r="AE559" s="1451"/>
      <c r="AF559" s="1452"/>
      <c r="AG559" s="1452"/>
      <c r="AH559" s="1453"/>
      <c r="AI559" s="1467"/>
      <c r="AJ559" s="1468"/>
      <c r="AK559" s="1468"/>
      <c r="AL559" s="1469"/>
      <c r="AM559" s="1458">
        <v>2087222</v>
      </c>
      <c r="AN559" s="1459"/>
      <c r="AO559" s="1459"/>
      <c r="AP559" s="1459"/>
      <c r="AQ559" s="1459"/>
      <c r="AR559" s="1459"/>
      <c r="AS559" s="1460"/>
      <c r="AT559" s="1192" t="str">
        <f t="shared" si="1"/>
        <v/>
      </c>
      <c r="AU559" s="1191"/>
      <c r="BB559" s="3"/>
      <c r="BC559" s="3"/>
      <c r="BD559" s="3"/>
      <c r="BE559" s="3"/>
      <c r="BF559" s="3"/>
      <c r="BG559" s="3"/>
      <c r="BH559" s="3" t="s">
        <v>591</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462</v>
      </c>
      <c r="C560" s="1496" t="s">
        <v>2780</v>
      </c>
      <c r="D560" s="1496"/>
      <c r="E560" s="1496"/>
      <c r="F560" s="1496"/>
      <c r="G560" s="1496"/>
      <c r="H560" s="1496"/>
      <c r="I560" s="1496"/>
      <c r="J560" s="1496"/>
      <c r="K560" s="1496"/>
      <c r="L560" s="1496"/>
      <c r="M560" s="1495" t="s">
        <v>2420</v>
      </c>
      <c r="N560" s="1495"/>
      <c r="O560" s="1495"/>
      <c r="P560" s="1495"/>
      <c r="Q560" s="1454"/>
      <c r="R560" s="1455"/>
      <c r="S560" s="1456"/>
      <c r="T560" s="1454"/>
      <c r="U560" s="1455"/>
      <c r="V560" s="1456"/>
      <c r="W560" s="1492"/>
      <c r="X560" s="1493"/>
      <c r="Y560" s="1494"/>
      <c r="Z560" s="1533" t="s">
        <v>598</v>
      </c>
      <c r="AA560" s="1533"/>
      <c r="AB560" s="1533"/>
      <c r="AC560" s="1533"/>
      <c r="AD560" s="1533"/>
      <c r="AE560" s="1451"/>
      <c r="AF560" s="1452"/>
      <c r="AG560" s="1452"/>
      <c r="AH560" s="1453"/>
      <c r="AI560" s="1467"/>
      <c r="AJ560" s="1468"/>
      <c r="AK560" s="1468"/>
      <c r="AL560" s="1469"/>
      <c r="AM560" s="1458">
        <v>1494749.4</v>
      </c>
      <c r="AN560" s="1459"/>
      <c r="AO560" s="1459"/>
      <c r="AP560" s="1459"/>
      <c r="AQ560" s="1459"/>
      <c r="AR560" s="1459"/>
      <c r="AS560" s="1460"/>
      <c r="AT560" s="1192" t="str">
        <f t="shared" si="1"/>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463</v>
      </c>
      <c r="C561" s="1496"/>
      <c r="D561" s="1496"/>
      <c r="E561" s="1496"/>
      <c r="F561" s="1496"/>
      <c r="G561" s="1496"/>
      <c r="H561" s="1496"/>
      <c r="I561" s="1496"/>
      <c r="J561" s="1496"/>
      <c r="K561" s="1496"/>
      <c r="L561" s="1496"/>
      <c r="M561" s="1495" t="s">
        <v>1287</v>
      </c>
      <c r="N561" s="1495"/>
      <c r="O561" s="1495"/>
      <c r="P561" s="1495"/>
      <c r="Q561" s="1454"/>
      <c r="R561" s="1455"/>
      <c r="S561" s="1456"/>
      <c r="T561" s="1454"/>
      <c r="U561" s="1455"/>
      <c r="V561" s="1456"/>
      <c r="W561" s="1492"/>
      <c r="X561" s="1493"/>
      <c r="Y561" s="1494"/>
      <c r="Z561" s="1533" t="s">
        <v>1287</v>
      </c>
      <c r="AA561" s="1533"/>
      <c r="AB561" s="1533"/>
      <c r="AC561" s="1533"/>
      <c r="AD561" s="1533"/>
      <c r="AE561" s="1451"/>
      <c r="AF561" s="1452"/>
      <c r="AG561" s="1452"/>
      <c r="AH561" s="1453"/>
      <c r="AI561" s="1467"/>
      <c r="AJ561" s="1468"/>
      <c r="AK561" s="1468"/>
      <c r="AL561" s="1469"/>
      <c r="AM561" s="1458"/>
      <c r="AN561" s="1459"/>
      <c r="AO561" s="1459"/>
      <c r="AP561" s="1459"/>
      <c r="AQ561" s="1459"/>
      <c r="AR561" s="1459"/>
      <c r="AS561" s="1460"/>
      <c r="AT561" s="1192" t="str">
        <f t="shared" si="1"/>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468</v>
      </c>
      <c r="C562" s="1496"/>
      <c r="D562" s="1496"/>
      <c r="E562" s="1496"/>
      <c r="F562" s="1496"/>
      <c r="G562" s="1496"/>
      <c r="H562" s="1496"/>
      <c r="I562" s="1496"/>
      <c r="J562" s="1496"/>
      <c r="K562" s="1496"/>
      <c r="L562" s="1496"/>
      <c r="M562" s="1495" t="s">
        <v>1287</v>
      </c>
      <c r="N562" s="1495"/>
      <c r="O562" s="1495"/>
      <c r="P562" s="1495"/>
      <c r="Q562" s="1454"/>
      <c r="R562" s="1455"/>
      <c r="S562" s="1456"/>
      <c r="T562" s="1454"/>
      <c r="U562" s="1455"/>
      <c r="V562" s="1456"/>
      <c r="W562" s="1492"/>
      <c r="X562" s="1493"/>
      <c r="Y562" s="1494"/>
      <c r="Z562" s="1533" t="s">
        <v>1287</v>
      </c>
      <c r="AA562" s="1533"/>
      <c r="AB562" s="1533"/>
      <c r="AC562" s="1533"/>
      <c r="AD562" s="1533"/>
      <c r="AE562" s="1451"/>
      <c r="AF562" s="1452"/>
      <c r="AG562" s="1452"/>
      <c r="AH562" s="1453"/>
      <c r="AI562" s="1467"/>
      <c r="AJ562" s="1468"/>
      <c r="AK562" s="1468"/>
      <c r="AL562" s="1469"/>
      <c r="AM562" s="1458"/>
      <c r="AN562" s="1459"/>
      <c r="AO562" s="1459"/>
      <c r="AP562" s="1459"/>
      <c r="AQ562" s="1459"/>
      <c r="AR562" s="1459"/>
      <c r="AS562" s="1460"/>
      <c r="AT562" s="1192" t="str">
        <f t="shared" si="1"/>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653</v>
      </c>
      <c r="C563" s="1496"/>
      <c r="D563" s="1496"/>
      <c r="E563" s="1496"/>
      <c r="F563" s="1496"/>
      <c r="G563" s="1496"/>
      <c r="H563" s="1496"/>
      <c r="I563" s="1496"/>
      <c r="J563" s="1496"/>
      <c r="K563" s="1496"/>
      <c r="L563" s="1496"/>
      <c r="M563" s="1495" t="s">
        <v>1287</v>
      </c>
      <c r="N563" s="1495"/>
      <c r="O563" s="1495"/>
      <c r="P563" s="1495"/>
      <c r="Q563" s="1454"/>
      <c r="R563" s="1455"/>
      <c r="S563" s="1456"/>
      <c r="T563" s="1454"/>
      <c r="U563" s="1455"/>
      <c r="V563" s="1456"/>
      <c r="W563" s="1492"/>
      <c r="X563" s="1493"/>
      <c r="Y563" s="1494"/>
      <c r="Z563" s="1533" t="s">
        <v>1287</v>
      </c>
      <c r="AA563" s="1533"/>
      <c r="AB563" s="1533"/>
      <c r="AC563" s="1533"/>
      <c r="AD563" s="1533"/>
      <c r="AE563" s="1451"/>
      <c r="AF563" s="1452"/>
      <c r="AG563" s="1452"/>
      <c r="AH563" s="1453"/>
      <c r="AI563" s="1467"/>
      <c r="AJ563" s="1468"/>
      <c r="AK563" s="1468"/>
      <c r="AL563" s="1469"/>
      <c r="AM563" s="1458"/>
      <c r="AN563" s="1459"/>
      <c r="AO563" s="1459"/>
      <c r="AP563" s="1459"/>
      <c r="AQ563" s="1459"/>
      <c r="AR563" s="1459"/>
      <c r="AS563" s="1460"/>
      <c r="AT563" s="1192" t="str">
        <f t="shared" si="1"/>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362</v>
      </c>
      <c r="C564" s="1496"/>
      <c r="D564" s="1496"/>
      <c r="E564" s="1496"/>
      <c r="F564" s="1496"/>
      <c r="G564" s="1496"/>
      <c r="H564" s="1496"/>
      <c r="I564" s="1496"/>
      <c r="J564" s="1496"/>
      <c r="K564" s="1496"/>
      <c r="L564" s="1496"/>
      <c r="M564" s="1495" t="s">
        <v>1287</v>
      </c>
      <c r="N564" s="1495"/>
      <c r="O564" s="1495"/>
      <c r="P564" s="1495"/>
      <c r="Q564" s="1454"/>
      <c r="R564" s="1455"/>
      <c r="S564" s="1456"/>
      <c r="T564" s="1454"/>
      <c r="U564" s="1455"/>
      <c r="V564" s="1456"/>
      <c r="W564" s="1492"/>
      <c r="X564" s="1493"/>
      <c r="Y564" s="1494"/>
      <c r="Z564" s="1533" t="s">
        <v>1287</v>
      </c>
      <c r="AA564" s="1533"/>
      <c r="AB564" s="1533"/>
      <c r="AC564" s="1533"/>
      <c r="AD564" s="1533"/>
      <c r="AE564" s="1451"/>
      <c r="AF564" s="1452"/>
      <c r="AG564" s="1452"/>
      <c r="AH564" s="1453"/>
      <c r="AI564" s="1467"/>
      <c r="AJ564" s="1468"/>
      <c r="AK564" s="1468"/>
      <c r="AL564" s="1469"/>
      <c r="AM564" s="1458"/>
      <c r="AN564" s="1459"/>
      <c r="AO564" s="1459"/>
      <c r="AP564" s="1459"/>
      <c r="AQ564" s="1459"/>
      <c r="AR564" s="1459"/>
      <c r="AS564" s="1460"/>
      <c r="AT564" s="1192" t="str">
        <f t="shared" si="1"/>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363</v>
      </c>
      <c r="C565" s="1496"/>
      <c r="D565" s="1496"/>
      <c r="E565" s="1496"/>
      <c r="F565" s="1496"/>
      <c r="G565" s="1496"/>
      <c r="H565" s="1496"/>
      <c r="I565" s="1496"/>
      <c r="J565" s="1496"/>
      <c r="K565" s="1496"/>
      <c r="L565" s="1496"/>
      <c r="M565" s="1495" t="s">
        <v>1287</v>
      </c>
      <c r="N565" s="1495"/>
      <c r="O565" s="1495"/>
      <c r="P565" s="1495"/>
      <c r="Q565" s="1454"/>
      <c r="R565" s="1455"/>
      <c r="S565" s="1456"/>
      <c r="T565" s="1454"/>
      <c r="U565" s="1455"/>
      <c r="V565" s="1456"/>
      <c r="W565" s="1492"/>
      <c r="X565" s="1493"/>
      <c r="Y565" s="1494"/>
      <c r="Z565" s="1533" t="s">
        <v>1287</v>
      </c>
      <c r="AA565" s="1533"/>
      <c r="AB565" s="1533"/>
      <c r="AC565" s="1533"/>
      <c r="AD565" s="1533"/>
      <c r="AE565" s="1451"/>
      <c r="AF565" s="1452"/>
      <c r="AG565" s="1452"/>
      <c r="AH565" s="1453"/>
      <c r="AI565" s="1467"/>
      <c r="AJ565" s="1468"/>
      <c r="AK565" s="1468"/>
      <c r="AL565" s="1469"/>
      <c r="AM565" s="1458"/>
      <c r="AN565" s="1459"/>
      <c r="AO565" s="1459"/>
      <c r="AP565" s="1459"/>
      <c r="AQ565" s="1459"/>
      <c r="AR565" s="1459"/>
      <c r="AS565" s="1460"/>
      <c r="AT565" s="1192" t="str">
        <f t="shared" si="1"/>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617" t="s">
        <v>127</v>
      </c>
      <c r="C566" s="1618"/>
      <c r="D566" s="1618"/>
      <c r="E566" s="1618"/>
      <c r="F566" s="1618"/>
      <c r="G566" s="1618"/>
      <c r="H566" s="1618"/>
      <c r="I566" s="1618"/>
      <c r="J566" s="1618"/>
      <c r="K566" s="1618"/>
      <c r="L566" s="1618"/>
      <c r="M566" s="1618"/>
      <c r="N566" s="1618"/>
      <c r="O566" s="1618"/>
      <c r="P566" s="1618"/>
      <c r="Q566" s="1618"/>
      <c r="R566" s="1618"/>
      <c r="S566" s="1618"/>
      <c r="T566" s="1618"/>
      <c r="U566" s="1540"/>
      <c r="V566" s="1618"/>
      <c r="W566" s="1618"/>
      <c r="X566" s="1618"/>
      <c r="Y566" s="1618"/>
      <c r="Z566" s="1618"/>
      <c r="AA566" s="1618"/>
      <c r="AB566" s="1618"/>
      <c r="AC566" s="1618"/>
      <c r="AD566" s="1618"/>
      <c r="AE566" s="1618"/>
      <c r="AF566" s="1618"/>
      <c r="AG566" s="1618"/>
      <c r="AH566" s="1618"/>
      <c r="AI566" s="1618"/>
      <c r="AJ566" s="1618"/>
      <c r="AK566" s="1618"/>
      <c r="AL566" s="1619"/>
      <c r="AM566" s="1614">
        <f>SUM(AM554:AS565)</f>
        <v>68632775.700000003</v>
      </c>
      <c r="AN566" s="1615"/>
      <c r="AO566" s="1615"/>
      <c r="AP566" s="1615"/>
      <c r="AQ566" s="1615"/>
      <c r="AR566" s="1615"/>
      <c r="AS566" s="1616"/>
      <c r="BB566" s="3"/>
      <c r="BC566" s="3"/>
      <c r="BD566" s="3"/>
      <c r="BE566" s="3"/>
      <c r="BF566" s="3"/>
      <c r="BG566" s="3"/>
      <c r="BH566" s="3" t="s">
        <v>462</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463</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470</v>
      </c>
      <c r="G568" s="1418" t="str">
        <f>C554</f>
        <v>Silicon Valley Bank</v>
      </c>
      <c r="H568" s="1418"/>
      <c r="I568" s="1418"/>
      <c r="J568" s="1418"/>
      <c r="K568" s="1418"/>
      <c r="L568" s="1418"/>
      <c r="M568" s="1418"/>
      <c r="N568" s="1418"/>
      <c r="O568" s="1418"/>
      <c r="P568" s="1418"/>
      <c r="Q568" s="1418"/>
      <c r="R568" s="1418"/>
      <c r="S568" s="8"/>
      <c r="T568" s="55" t="s">
        <v>113</v>
      </c>
      <c r="U568" t="s">
        <v>470</v>
      </c>
      <c r="Z568" s="1418" t="str">
        <f>C555</f>
        <v>Red Stone Equity Partners</v>
      </c>
      <c r="AA568" s="1418"/>
      <c r="AB568" s="1418"/>
      <c r="AC568" s="1418"/>
      <c r="AD568" s="1418"/>
      <c r="AE568" s="1418"/>
      <c r="AF568" s="1418"/>
      <c r="AG568" s="1418"/>
      <c r="AH568" s="1418"/>
      <c r="AI568" s="1418"/>
      <c r="AJ568" s="1418"/>
      <c r="AK568" s="1418"/>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417" t="s">
        <v>2731</v>
      </c>
      <c r="H569" s="1412"/>
      <c r="I569" s="1412"/>
      <c r="J569" s="1412"/>
      <c r="K569" s="1412"/>
      <c r="L569" s="1412"/>
      <c r="M569" s="1412"/>
      <c r="N569" s="1412"/>
      <c r="O569" s="1412"/>
      <c r="P569" s="1412"/>
      <c r="Q569" s="1412"/>
      <c r="R569" s="1412"/>
      <c r="S569" s="8"/>
      <c r="T569" s="22"/>
      <c r="U569" t="s">
        <v>85</v>
      </c>
      <c r="Z569" s="1359" t="s">
        <v>2693</v>
      </c>
      <c r="AA569" s="1359"/>
      <c r="AB569" s="1359"/>
      <c r="AC569" s="1359"/>
      <c r="AD569" s="1359"/>
      <c r="AE569" s="1359"/>
      <c r="AF569" s="1359"/>
      <c r="AG569" s="1359"/>
      <c r="AH569" s="1359"/>
      <c r="AI569" s="1359"/>
      <c r="AJ569" s="1359"/>
      <c r="AK569" s="1359"/>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587</v>
      </c>
      <c r="G570" s="1417" t="s">
        <v>2786</v>
      </c>
      <c r="H570" s="1412"/>
      <c r="I570" s="1412"/>
      <c r="J570" s="1412"/>
      <c r="K570" s="1412"/>
      <c r="L570" s="1412"/>
      <c r="M570" s="1412"/>
      <c r="N570" s="1412"/>
      <c r="O570" s="1412"/>
      <c r="P570" s="1412"/>
      <c r="Q570" s="1412"/>
      <c r="R570" s="1412"/>
      <c r="T570" s="22"/>
      <c r="U570" t="s">
        <v>587</v>
      </c>
      <c r="Z570" s="1356" t="s">
        <v>2787</v>
      </c>
      <c r="AA570" s="1356"/>
      <c r="AB570" s="1356"/>
      <c r="AC570" s="1356"/>
      <c r="AD570" s="1356"/>
      <c r="AE570" s="1356"/>
      <c r="AF570" s="1356"/>
      <c r="AG570" s="1356"/>
      <c r="AH570" s="1356"/>
      <c r="AI570" s="1356"/>
      <c r="AJ570" s="1356"/>
      <c r="AK570" s="1356"/>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417" t="s">
        <v>2732</v>
      </c>
      <c r="H571" s="1412"/>
      <c r="I571" s="1412"/>
      <c r="J571" s="1412"/>
      <c r="K571" s="1412"/>
      <c r="L571" s="1412"/>
      <c r="M571" s="1412"/>
      <c r="N571" s="1412"/>
      <c r="O571" s="1412"/>
      <c r="P571" s="1412"/>
      <c r="Q571" s="1412"/>
      <c r="R571" s="1412"/>
      <c r="S571" s="8"/>
      <c r="T571" s="22"/>
      <c r="U571" t="s">
        <v>17</v>
      </c>
      <c r="Z571" s="1356" t="s">
        <v>2695</v>
      </c>
      <c r="AA571" s="1356"/>
      <c r="AB571" s="1356"/>
      <c r="AC571" s="1356"/>
      <c r="AD571" s="1356"/>
      <c r="AE571" s="1356"/>
      <c r="AF571" s="1356"/>
      <c r="AG571" s="1356"/>
      <c r="AH571" s="1356"/>
      <c r="AI571" s="1356"/>
      <c r="AJ571" s="1356"/>
      <c r="AK571" s="1356"/>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316</v>
      </c>
      <c r="G572" s="1517">
        <v>4159166112</v>
      </c>
      <c r="H572" s="1517"/>
      <c r="I572" s="1517"/>
      <c r="J572" s="1517"/>
      <c r="K572" s="1517"/>
      <c r="L572" s="1517"/>
      <c r="O572" s="33" t="s">
        <v>206</v>
      </c>
      <c r="P572" s="1522" t="s">
        <v>598</v>
      </c>
      <c r="Q572" s="1405"/>
      <c r="R572" s="1405"/>
      <c r="S572" s="10"/>
      <c r="T572" s="22"/>
      <c r="U572" t="s">
        <v>316</v>
      </c>
      <c r="Z572" s="1357" t="s">
        <v>2696</v>
      </c>
      <c r="AA572" s="1357"/>
      <c r="AB572" s="1357"/>
      <c r="AC572" s="1357"/>
      <c r="AD572" s="1357"/>
      <c r="AE572" s="1357"/>
      <c r="AH572" s="33" t="s">
        <v>206</v>
      </c>
      <c r="AI572" s="1356" t="s">
        <v>598</v>
      </c>
      <c r="AJ572" s="1356"/>
      <c r="AK572" s="1356"/>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417" t="s">
        <v>2733</v>
      </c>
      <c r="I573" s="1412"/>
      <c r="J573" s="1412"/>
      <c r="K573" s="1412"/>
      <c r="L573" s="1412"/>
      <c r="M573" s="1412"/>
      <c r="N573" s="1412"/>
      <c r="O573" s="1412"/>
      <c r="P573" s="1412"/>
      <c r="Q573" s="1412"/>
      <c r="R573" s="1412"/>
      <c r="S573" s="8"/>
      <c r="T573" s="22"/>
      <c r="U573" t="s">
        <v>18</v>
      </c>
      <c r="AA573" s="1359" t="s">
        <v>2734</v>
      </c>
      <c r="AB573" s="1359"/>
      <c r="AC573" s="1359"/>
      <c r="AD573" s="1359"/>
      <c r="AE573" s="1359"/>
      <c r="AF573" s="1359"/>
      <c r="AG573" s="1359"/>
      <c r="AH573" s="1359"/>
      <c r="AI573" s="1359"/>
      <c r="AJ573" s="1359"/>
      <c r="AK573" s="1359"/>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1288</v>
      </c>
      <c r="H574" s="8"/>
      <c r="I574" s="8"/>
      <c r="J574" s="8"/>
      <c r="K574" s="8"/>
      <c r="L574" s="8"/>
      <c r="M574" s="1599" t="s">
        <v>2735</v>
      </c>
      <c r="N574" s="1600"/>
      <c r="O574" s="1600"/>
      <c r="P574" s="1600"/>
      <c r="Q574" s="1600"/>
      <c r="R574" s="1600"/>
      <c r="S574" s="8"/>
      <c r="T574" s="22"/>
      <c r="U574" s="348" t="s">
        <v>1288</v>
      </c>
      <c r="AA574" s="8"/>
      <c r="AB574" s="8"/>
      <c r="AC574" s="8"/>
      <c r="AD574" s="8"/>
      <c r="AE574" s="8"/>
      <c r="AF574" s="1599" t="s">
        <v>598</v>
      </c>
      <c r="AG574" s="1600"/>
      <c r="AH574" s="1600"/>
      <c r="AI574" s="1600"/>
      <c r="AJ574" s="1600"/>
      <c r="AK574" s="1600"/>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413" t="s">
        <v>552</v>
      </c>
      <c r="O575" s="1413"/>
      <c r="T575" s="22"/>
      <c r="U575" t="s">
        <v>20</v>
      </c>
      <c r="AG575" s="1413" t="s">
        <v>552</v>
      </c>
      <c r="AH575" s="141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470</v>
      </c>
      <c r="G577" s="1418" t="str">
        <f>C556</f>
        <v>San Mateo County Measure K</v>
      </c>
      <c r="H577" s="1418"/>
      <c r="I577" s="1418"/>
      <c r="J577" s="1418"/>
      <c r="K577" s="1418"/>
      <c r="L577" s="1418"/>
      <c r="M577" s="1418"/>
      <c r="N577" s="1418"/>
      <c r="O577" s="1418"/>
      <c r="P577" s="1418"/>
      <c r="Q577" s="1418"/>
      <c r="R577" s="1418"/>
      <c r="T577" s="55" t="s">
        <v>588</v>
      </c>
      <c r="U577" t="s">
        <v>470</v>
      </c>
      <c r="Z577" s="1418" t="str">
        <f>C557</f>
        <v>San Mateo County HHC</v>
      </c>
      <c r="AA577" s="1418"/>
      <c r="AB577" s="1418"/>
      <c r="AC577" s="1418"/>
      <c r="AD577" s="1418"/>
      <c r="AE577" s="1418"/>
      <c r="AF577" s="1418"/>
      <c r="AG577" s="1418"/>
      <c r="AH577" s="1418"/>
      <c r="AI577" s="1418"/>
      <c r="AJ577" s="1418"/>
      <c r="AK577" s="1418"/>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412" t="s">
        <v>2736</v>
      </c>
      <c r="H578" s="1412"/>
      <c r="I578" s="1412"/>
      <c r="J578" s="1412"/>
      <c r="K578" s="1412"/>
      <c r="L578" s="1412"/>
      <c r="M578" s="1412"/>
      <c r="N578" s="1412"/>
      <c r="O578" s="1412"/>
      <c r="P578" s="1412"/>
      <c r="Q578" s="1412"/>
      <c r="R578" s="1412"/>
      <c r="T578" s="22"/>
      <c r="U578" t="s">
        <v>85</v>
      </c>
      <c r="Z578" s="1412" t="str">
        <f>G578</f>
        <v>264 Harbor Blvd., Bldg. A</v>
      </c>
      <c r="AA578" s="1412"/>
      <c r="AB578" s="1412"/>
      <c r="AC578" s="1412"/>
      <c r="AD578" s="1412"/>
      <c r="AE578" s="1412"/>
      <c r="AF578" s="1412"/>
      <c r="AG578" s="1412"/>
      <c r="AH578" s="1412"/>
      <c r="AI578" s="1412"/>
      <c r="AJ578" s="1412"/>
      <c r="AK578" s="1412"/>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587</v>
      </c>
      <c r="G579" s="1522" t="s">
        <v>2788</v>
      </c>
      <c r="H579" s="1479"/>
      <c r="I579" s="1479"/>
      <c r="J579" s="1479"/>
      <c r="K579" s="1479"/>
      <c r="L579" s="1479"/>
      <c r="M579" s="1479"/>
      <c r="N579" s="1479"/>
      <c r="O579" s="1479"/>
      <c r="P579" s="1479"/>
      <c r="Q579" s="1479"/>
      <c r="R579" s="1479"/>
      <c r="T579" s="22"/>
      <c r="U579" t="s">
        <v>587</v>
      </c>
      <c r="Z579" s="1479" t="str">
        <f t="shared" ref="Z579:Z580" si="2">G579</f>
        <v>Belmont, CA</v>
      </c>
      <c r="AA579" s="1479"/>
      <c r="AB579" s="1479"/>
      <c r="AC579" s="1479"/>
      <c r="AD579" s="1479"/>
      <c r="AE579" s="1479"/>
      <c r="AF579" s="1479"/>
      <c r="AG579" s="1479"/>
      <c r="AH579" s="1479"/>
      <c r="AI579" s="1479"/>
      <c r="AJ579" s="1479"/>
      <c r="AK579" s="1479"/>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522" t="s">
        <v>2737</v>
      </c>
      <c r="H580" s="1479"/>
      <c r="I580" s="1479"/>
      <c r="J580" s="1479"/>
      <c r="K580" s="1479"/>
      <c r="L580" s="1479"/>
      <c r="M580" s="1479"/>
      <c r="N580" s="1479"/>
      <c r="O580" s="1479"/>
      <c r="P580" s="1479"/>
      <c r="Q580" s="1479"/>
      <c r="R580" s="1479"/>
      <c r="T580" s="22"/>
      <c r="U580" t="s">
        <v>17</v>
      </c>
      <c r="Z580" s="1479" t="str">
        <f t="shared" si="2"/>
        <v>Jan Stokely</v>
      </c>
      <c r="AA580" s="1479"/>
      <c r="AB580" s="1479"/>
      <c r="AC580" s="1479"/>
      <c r="AD580" s="1479"/>
      <c r="AE580" s="1479"/>
      <c r="AF580" s="1479"/>
      <c r="AG580" s="1479"/>
      <c r="AH580" s="1479"/>
      <c r="AI580" s="1479"/>
      <c r="AJ580" s="1479"/>
      <c r="AK580" s="1479"/>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316</v>
      </c>
      <c r="G581" s="1517">
        <v>6508023397</v>
      </c>
      <c r="H581" s="1517"/>
      <c r="I581" s="1517"/>
      <c r="J581" s="1517"/>
      <c r="K581" s="1517"/>
      <c r="L581" s="1517"/>
      <c r="O581" s="33" t="s">
        <v>206</v>
      </c>
      <c r="P581" s="1522" t="s">
        <v>598</v>
      </c>
      <c r="Q581" s="1405"/>
      <c r="R581" s="1405"/>
      <c r="T581" s="22"/>
      <c r="U581" t="s">
        <v>316</v>
      </c>
      <c r="Z581" s="1517">
        <f>G581</f>
        <v>6508023397</v>
      </c>
      <c r="AA581" s="1517"/>
      <c r="AB581" s="1517"/>
      <c r="AC581" s="1517"/>
      <c r="AD581" s="1517"/>
      <c r="AE581" s="1517"/>
      <c r="AH581" s="33" t="s">
        <v>206</v>
      </c>
      <c r="AI581" s="1522" t="s">
        <v>598</v>
      </c>
      <c r="AJ581" s="1405"/>
      <c r="AK581" s="1405"/>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417" t="s">
        <v>2738</v>
      </c>
      <c r="I582" s="1412"/>
      <c r="J582" s="1412"/>
      <c r="K582" s="1412"/>
      <c r="L582" s="1412"/>
      <c r="M582" s="1412"/>
      <c r="N582" s="1412"/>
      <c r="O582" s="1412"/>
      <c r="P582" s="1412"/>
      <c r="Q582" s="1412"/>
      <c r="R582" s="1412"/>
      <c r="T582" s="22"/>
      <c r="U582" t="s">
        <v>18</v>
      </c>
      <c r="AA582" s="1412" t="str">
        <f>H582</f>
        <v>Residual Receipts Loan</v>
      </c>
      <c r="AB582" s="1412"/>
      <c r="AC582" s="1412"/>
      <c r="AD582" s="1412"/>
      <c r="AE582" s="1412"/>
      <c r="AF582" s="1412"/>
      <c r="AG582" s="1412"/>
      <c r="AH582" s="1412"/>
      <c r="AI582" s="1412"/>
      <c r="AJ582" s="1412"/>
      <c r="AK582" s="1412"/>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413" t="s">
        <v>552</v>
      </c>
      <c r="O583" s="1413"/>
      <c r="T583" s="22"/>
      <c r="U583" t="s">
        <v>20</v>
      </c>
      <c r="AG583" s="1413" t="s">
        <v>552</v>
      </c>
      <c r="AH583" s="141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771</v>
      </c>
      <c r="B585" t="s">
        <v>470</v>
      </c>
      <c r="G585" s="1418" t="str">
        <f>C558</f>
        <v>San Mateo County MHSA</v>
      </c>
      <c r="H585" s="1418"/>
      <c r="I585" s="1418"/>
      <c r="J585" s="1418"/>
      <c r="K585" s="1418"/>
      <c r="L585" s="1418"/>
      <c r="M585" s="1418"/>
      <c r="N585" s="1418"/>
      <c r="O585" s="1418"/>
      <c r="P585" s="1418"/>
      <c r="Q585" s="1418"/>
      <c r="R585" s="1418"/>
      <c r="T585" s="55" t="s">
        <v>591</v>
      </c>
      <c r="U585" t="s">
        <v>470</v>
      </c>
      <c r="Z585" s="1418" t="str">
        <f>C559</f>
        <v>Lument Securities, LLC</v>
      </c>
      <c r="AA585" s="1418"/>
      <c r="AB585" s="1418"/>
      <c r="AC585" s="1418"/>
      <c r="AD585" s="1418"/>
      <c r="AE585" s="1418"/>
      <c r="AF585" s="1418"/>
      <c r="AG585" s="1418"/>
      <c r="AH585" s="1418"/>
      <c r="AI585" s="1418"/>
      <c r="AJ585" s="1418"/>
      <c r="AK585" s="1418"/>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412" t="str">
        <f>G578</f>
        <v>264 Harbor Blvd., Bldg. A</v>
      </c>
      <c r="H586" s="1412"/>
      <c r="I586" s="1412"/>
      <c r="J586" s="1412"/>
      <c r="K586" s="1412"/>
      <c r="L586" s="1412"/>
      <c r="M586" s="1412"/>
      <c r="N586" s="1412"/>
      <c r="O586" s="1412"/>
      <c r="P586" s="1412"/>
      <c r="Q586" s="1412"/>
      <c r="R586" s="1412"/>
      <c r="T586" s="22"/>
      <c r="U586" t="s">
        <v>85</v>
      </c>
      <c r="Z586" s="1412" t="s">
        <v>2739</v>
      </c>
      <c r="AA586" s="1412"/>
      <c r="AB586" s="1412"/>
      <c r="AC586" s="1412"/>
      <c r="AD586" s="1412"/>
      <c r="AE586" s="1412"/>
      <c r="AF586" s="1412"/>
      <c r="AG586" s="1412"/>
      <c r="AH586" s="1412"/>
      <c r="AI586" s="1412"/>
      <c r="AJ586" s="1412"/>
      <c r="AK586" s="1412"/>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587</v>
      </c>
      <c r="G587" s="1412" t="str">
        <f t="shared" ref="G587:G588" si="3">G579</f>
        <v>Belmont, CA</v>
      </c>
      <c r="H587" s="1412"/>
      <c r="I587" s="1412"/>
      <c r="J587" s="1412"/>
      <c r="K587" s="1412"/>
      <c r="L587" s="1412"/>
      <c r="M587" s="1412"/>
      <c r="N587" s="1412"/>
      <c r="O587" s="1412"/>
      <c r="P587" s="1412"/>
      <c r="Q587" s="1412"/>
      <c r="R587" s="1412"/>
      <c r="T587" s="22"/>
      <c r="U587" t="s">
        <v>587</v>
      </c>
      <c r="Z587" s="1479" t="s">
        <v>2740</v>
      </c>
      <c r="AA587" s="1479"/>
      <c r="AB587" s="1479"/>
      <c r="AC587" s="1479"/>
      <c r="AD587" s="1479"/>
      <c r="AE587" s="1479"/>
      <c r="AF587" s="1479"/>
      <c r="AG587" s="1479"/>
      <c r="AH587" s="1479"/>
      <c r="AI587" s="1479"/>
      <c r="AJ587" s="1479"/>
      <c r="AK587" s="1479"/>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412" t="str">
        <f t="shared" si="3"/>
        <v>Jan Stokely</v>
      </c>
      <c r="H588" s="1412"/>
      <c r="I588" s="1412"/>
      <c r="J588" s="1412"/>
      <c r="K588" s="1412"/>
      <c r="L588" s="1412"/>
      <c r="M588" s="1412"/>
      <c r="N588" s="1412"/>
      <c r="O588" s="1412"/>
      <c r="P588" s="1412"/>
      <c r="Q588" s="1412"/>
      <c r="R588" s="1412"/>
      <c r="T588" s="22"/>
      <c r="U588" t="s">
        <v>17</v>
      </c>
      <c r="Z588" s="1479" t="s">
        <v>2741</v>
      </c>
      <c r="AA588" s="1479"/>
      <c r="AB588" s="1479"/>
      <c r="AC588" s="1479"/>
      <c r="AD588" s="1479"/>
      <c r="AE588" s="1479"/>
      <c r="AF588" s="1479"/>
      <c r="AG588" s="1479"/>
      <c r="AH588" s="1479"/>
      <c r="AI588" s="1479"/>
      <c r="AJ588" s="1479"/>
      <c r="AK588" s="1479"/>
    </row>
    <row r="589" spans="1:110" ht="12.95" customHeight="1">
      <c r="A589" s="22"/>
      <c r="B589" t="s">
        <v>316</v>
      </c>
      <c r="G589" s="1517">
        <f>G581</f>
        <v>6508023397</v>
      </c>
      <c r="H589" s="1517"/>
      <c r="I589" s="1517"/>
      <c r="J589" s="1517"/>
      <c r="K589" s="1517"/>
      <c r="L589" s="1517"/>
      <c r="O589" s="33" t="s">
        <v>206</v>
      </c>
      <c r="P589" s="1405"/>
      <c r="Q589" s="1405"/>
      <c r="R589" s="1405"/>
      <c r="T589" s="22"/>
      <c r="U589" t="s">
        <v>316</v>
      </c>
      <c r="Z589" s="1517" t="s">
        <v>2742</v>
      </c>
      <c r="AA589" s="1517"/>
      <c r="AB589" s="1517"/>
      <c r="AC589" s="1517"/>
      <c r="AD589" s="1517"/>
      <c r="AE589" s="1517"/>
      <c r="AH589" s="33" t="s">
        <v>206</v>
      </c>
      <c r="AI589" s="1522" t="s">
        <v>598</v>
      </c>
      <c r="AJ589" s="1405"/>
      <c r="AK589" s="1405"/>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412" t="str">
        <f>H582</f>
        <v>Residual Receipts Loan</v>
      </c>
      <c r="I590" s="1412"/>
      <c r="J590" s="1412"/>
      <c r="K590" s="1412"/>
      <c r="L590" s="1412"/>
      <c r="M590" s="1412"/>
      <c r="N590" s="1412"/>
      <c r="O590" s="1412"/>
      <c r="P590" s="1412"/>
      <c r="Q590" s="1412"/>
      <c r="R590" s="1412"/>
      <c r="T590" s="22"/>
      <c r="U590" t="s">
        <v>18</v>
      </c>
      <c r="AA590" s="1412" t="s">
        <v>2776</v>
      </c>
      <c r="AB590" s="1412"/>
      <c r="AC590" s="1412"/>
      <c r="AD590" s="1412"/>
      <c r="AE590" s="1412"/>
      <c r="AF590" s="1412"/>
      <c r="AG590" s="1412"/>
      <c r="AH590" s="1412"/>
      <c r="AI590" s="1412"/>
      <c r="AJ590" s="1412"/>
      <c r="AK590" s="1412"/>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413" t="s">
        <v>552</v>
      </c>
      <c r="O591" s="1413"/>
      <c r="T591" s="22"/>
      <c r="U591" t="s">
        <v>20</v>
      </c>
      <c r="AG591" s="1413" t="s">
        <v>552</v>
      </c>
      <c r="AH591" s="141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462</v>
      </c>
      <c r="B593" t="s">
        <v>470</v>
      </c>
      <c r="G593" s="1418" t="str">
        <f>C560</f>
        <v>Costs Deferred Until Conversion</v>
      </c>
      <c r="H593" s="1418"/>
      <c r="I593" s="1418"/>
      <c r="J593" s="1418"/>
      <c r="K593" s="1418"/>
      <c r="L593" s="1418"/>
      <c r="M593" s="1418"/>
      <c r="N593" s="1418"/>
      <c r="O593" s="1418"/>
      <c r="P593" s="1418"/>
      <c r="Q593" s="1418"/>
      <c r="R593" s="1418"/>
      <c r="T593" s="55" t="s">
        <v>463</v>
      </c>
      <c r="U593" t="s">
        <v>470</v>
      </c>
      <c r="Z593" s="1418">
        <f>C561</f>
        <v>0</v>
      </c>
      <c r="AA593" s="1418"/>
      <c r="AB593" s="1418"/>
      <c r="AC593" s="1418"/>
      <c r="AD593" s="1418"/>
      <c r="AE593" s="1418"/>
      <c r="AF593" s="1418"/>
      <c r="AG593" s="1418"/>
      <c r="AH593" s="1418"/>
      <c r="AI593" s="1418"/>
      <c r="AJ593" s="1418"/>
      <c r="AK593" s="1418"/>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417" t="s">
        <v>2744</v>
      </c>
      <c r="H594" s="1412"/>
      <c r="I594" s="1412"/>
      <c r="J594" s="1412"/>
      <c r="K594" s="1412"/>
      <c r="L594" s="1412"/>
      <c r="M594" s="1412"/>
      <c r="N594" s="1412"/>
      <c r="O594" s="1412"/>
      <c r="P594" s="1412"/>
      <c r="Q594" s="1412"/>
      <c r="R594" s="1412"/>
      <c r="S594"/>
      <c r="T594" s="22"/>
      <c r="U594" t="s">
        <v>85</v>
      </c>
      <c r="V594"/>
      <c r="W594"/>
      <c r="X594"/>
      <c r="Y594"/>
      <c r="Z594" s="1412" t="s">
        <v>598</v>
      </c>
      <c r="AA594" s="1412"/>
      <c r="AB594" s="1412"/>
      <c r="AC594" s="1412"/>
      <c r="AD594" s="1412"/>
      <c r="AE594" s="1412"/>
      <c r="AF594" s="1412"/>
      <c r="AG594" s="1412"/>
      <c r="AH594" s="1412"/>
      <c r="AI594" s="1412"/>
      <c r="AJ594" s="1412"/>
      <c r="AK594" s="1412"/>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587</v>
      </c>
      <c r="C595"/>
      <c r="D595"/>
      <c r="E595"/>
      <c r="F595"/>
      <c r="G595" s="1417" t="s">
        <v>2789</v>
      </c>
      <c r="H595" s="1412"/>
      <c r="I595" s="1412"/>
      <c r="J595" s="1412"/>
      <c r="K595" s="1412"/>
      <c r="L595" s="1412"/>
      <c r="M595" s="1412"/>
      <c r="N595" s="1412"/>
      <c r="O595" s="1412"/>
      <c r="P595" s="1412"/>
      <c r="Q595" s="1412"/>
      <c r="R595" s="1412"/>
      <c r="S595"/>
      <c r="T595" s="22"/>
      <c r="U595" t="s">
        <v>587</v>
      </c>
      <c r="V595"/>
      <c r="W595"/>
      <c r="X595"/>
      <c r="Y595"/>
      <c r="Z595" s="1479"/>
      <c r="AA595" s="1479"/>
      <c r="AB595" s="1479"/>
      <c r="AC595" s="1479"/>
      <c r="AD595" s="1479"/>
      <c r="AE595" s="1479"/>
      <c r="AF595" s="1479"/>
      <c r="AG595" s="1479"/>
      <c r="AH595" s="1479"/>
      <c r="AI595" s="1479"/>
      <c r="AJ595" s="1479"/>
      <c r="AK595" s="1479"/>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360</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2029</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412" t="s">
        <v>2664</v>
      </c>
      <c r="H596" s="1412"/>
      <c r="I596" s="1412"/>
      <c r="J596" s="1412"/>
      <c r="K596" s="1412"/>
      <c r="L596" s="1412"/>
      <c r="M596" s="1412"/>
      <c r="N596" s="1412"/>
      <c r="O596" s="1412"/>
      <c r="P596" s="1412"/>
      <c r="Q596" s="1412"/>
      <c r="R596" s="1412"/>
      <c r="S596"/>
      <c r="T596" s="22"/>
      <c r="U596" t="s">
        <v>17</v>
      </c>
      <c r="V596"/>
      <c r="W596"/>
      <c r="X596"/>
      <c r="Y596"/>
      <c r="Z596" s="1479"/>
      <c r="AA596" s="1479"/>
      <c r="AB596" s="1479"/>
      <c r="AC596" s="1479"/>
      <c r="AD596" s="1479"/>
      <c r="AE596" s="1479"/>
      <c r="AF596" s="1479"/>
      <c r="AG596" s="1479"/>
      <c r="AH596" s="1479"/>
      <c r="AI596" s="1479"/>
      <c r="AJ596" s="1479"/>
      <c r="AK596" s="1479"/>
      <c r="AL596"/>
      <c r="AM596"/>
      <c r="AN596"/>
      <c r="AO596"/>
      <c r="AP596"/>
      <c r="AQ596"/>
      <c r="AR596"/>
      <c r="AS596"/>
      <c r="AT596"/>
      <c r="AU596"/>
      <c r="AV596"/>
      <c r="AW596"/>
      <c r="AX596"/>
      <c r="AY596"/>
      <c r="BA596" s="4" t="s">
        <v>324</v>
      </c>
      <c r="BB596" s="3"/>
      <c r="BC596" s="3"/>
      <c r="BD596" s="3"/>
      <c r="BE596" s="121" t="s">
        <v>481</v>
      </c>
      <c r="BF596" s="122"/>
      <c r="BG596" s="1401"/>
      <c r="BH596" s="1403"/>
      <c r="BI596" s="121" t="s">
        <v>482</v>
      </c>
      <c r="BJ596" s="122"/>
      <c r="BK596" s="1401"/>
      <c r="BL596" s="1403"/>
      <c r="BM596" s="3"/>
      <c r="BN596" s="1550" t="s">
        <v>640</v>
      </c>
      <c r="BO596" s="1551"/>
      <c r="BP596" s="1551"/>
      <c r="BQ596" s="1551"/>
      <c r="BR596" s="1552"/>
      <c r="BS596" s="1546" t="s">
        <v>325</v>
      </c>
      <c r="BT596" s="1546"/>
      <c r="BU596" s="1546"/>
      <c r="BV596" s="1546"/>
      <c r="BW596" s="1546"/>
      <c r="BX596" s="1546" t="s">
        <v>163</v>
      </c>
      <c r="BY596" s="1546"/>
      <c r="BZ596" s="1546"/>
      <c r="CA596" s="1546"/>
      <c r="CB596" s="1546"/>
      <c r="CC596" s="1546" t="s">
        <v>164</v>
      </c>
      <c r="CD596" s="1546"/>
      <c r="CE596" s="1546"/>
      <c r="CF596" s="1546"/>
      <c r="CG596" s="1546"/>
      <c r="CH596" s="1546" t="s">
        <v>467</v>
      </c>
      <c r="CI596" s="1546"/>
      <c r="CJ596" s="1546"/>
      <c r="CK596" s="1546"/>
      <c r="CL596" s="1546"/>
      <c r="CM596" s="1546" t="s">
        <v>30</v>
      </c>
      <c r="CN596" s="1546"/>
      <c r="CO596" s="1546"/>
      <c r="CP596" s="1546"/>
      <c r="CQ596" s="1546"/>
      <c r="CR596" s="89"/>
      <c r="CS596" s="1546" t="s">
        <v>640</v>
      </c>
      <c r="CT596" s="1546"/>
      <c r="CU596" s="1546"/>
      <c r="CV596" s="1546"/>
      <c r="CW596" s="1546"/>
      <c r="CX596" s="1546" t="s">
        <v>325</v>
      </c>
      <c r="CY596" s="1546"/>
      <c r="CZ596" s="1546"/>
      <c r="DA596" s="1546"/>
      <c r="DB596" s="1546"/>
      <c r="DC596" s="1546" t="s">
        <v>163</v>
      </c>
      <c r="DD596" s="1546"/>
      <c r="DE596" s="1546"/>
      <c r="DF596" s="1546"/>
      <c r="DG596" s="1546"/>
      <c r="DH596" s="1546" t="s">
        <v>164</v>
      </c>
      <c r="DI596" s="1546"/>
      <c r="DJ596" s="1546"/>
      <c r="DK596" s="1546"/>
      <c r="DL596" s="1546"/>
      <c r="DM596" s="1546" t="s">
        <v>467</v>
      </c>
      <c r="DN596" s="1546"/>
      <c r="DO596" s="1546"/>
      <c r="DP596" s="1546"/>
      <c r="DQ596" s="1546"/>
      <c r="DR596" s="1546" t="s">
        <v>30</v>
      </c>
      <c r="DS596" s="1546"/>
      <c r="DT596" s="1546"/>
      <c r="DU596" s="1546"/>
      <c r="DV596" s="1546"/>
      <c r="DX596" s="1546" t="s">
        <v>640</v>
      </c>
      <c r="DY596" s="1546"/>
      <c r="DZ596" s="1546"/>
      <c r="EA596" s="1546"/>
      <c r="EB596" s="1546"/>
      <c r="EC596" s="1546" t="s">
        <v>325</v>
      </c>
      <c r="ED596" s="1546"/>
      <c r="EE596" s="1546"/>
      <c r="EF596" s="1546"/>
      <c r="EG596" s="1546"/>
      <c r="EH596" s="1546" t="s">
        <v>163</v>
      </c>
      <c r="EI596" s="1546"/>
      <c r="EJ596" s="1546"/>
      <c r="EK596" s="1546"/>
      <c r="EL596" s="1546"/>
      <c r="EM596" s="1546" t="s">
        <v>164</v>
      </c>
      <c r="EN596" s="1546"/>
      <c r="EO596" s="1546"/>
      <c r="EP596" s="1546"/>
      <c r="EQ596" s="1546"/>
      <c r="ER596" s="1546" t="s">
        <v>467</v>
      </c>
      <c r="ES596" s="1546"/>
      <c r="ET596" s="1546"/>
      <c r="EU596" s="1546"/>
      <c r="EV596" s="1546"/>
      <c r="EW596" s="1546" t="s">
        <v>30</v>
      </c>
      <c r="EX596" s="1546"/>
      <c r="EY596" s="1546"/>
      <c r="EZ596" s="1546"/>
      <c r="FA596" s="1546"/>
    </row>
    <row r="597" spans="1:157" s="4" customFormat="1" ht="12.95" customHeight="1">
      <c r="A597" s="22"/>
      <c r="B597" t="s">
        <v>316</v>
      </c>
      <c r="C597"/>
      <c r="D597"/>
      <c r="E597"/>
      <c r="F597"/>
      <c r="G597" s="1517">
        <v>4154887743</v>
      </c>
      <c r="H597" s="1517"/>
      <c r="I597" s="1517"/>
      <c r="J597" s="1517"/>
      <c r="K597" s="1517"/>
      <c r="L597" s="1517"/>
      <c r="M597"/>
      <c r="N597"/>
      <c r="O597" s="33" t="s">
        <v>206</v>
      </c>
      <c r="P597" s="1522" t="s">
        <v>598</v>
      </c>
      <c r="Q597" s="1405"/>
      <c r="R597" s="1405"/>
      <c r="S597"/>
      <c r="T597" s="22"/>
      <c r="U597" t="s">
        <v>316</v>
      </c>
      <c r="V597"/>
      <c r="W597"/>
      <c r="X597"/>
      <c r="Y597"/>
      <c r="Z597" s="1517"/>
      <c r="AA597" s="1517"/>
      <c r="AB597" s="1517"/>
      <c r="AC597" s="1517"/>
      <c r="AD597" s="1517"/>
      <c r="AE597" s="1517"/>
      <c r="AF597"/>
      <c r="AG597"/>
      <c r="AH597" s="33" t="s">
        <v>206</v>
      </c>
      <c r="AI597" s="1405"/>
      <c r="AJ597" s="1405"/>
      <c r="AK597" s="1405"/>
      <c r="AL597"/>
      <c r="AM597"/>
      <c r="AN597"/>
      <c r="AO597"/>
      <c r="AP597"/>
      <c r="AQ597"/>
      <c r="AR597"/>
      <c r="AS597"/>
      <c r="AT597"/>
      <c r="AU597"/>
      <c r="AV597"/>
      <c r="AW597"/>
      <c r="AX597"/>
      <c r="AY597"/>
      <c r="BA597" s="4" t="s">
        <v>325</v>
      </c>
      <c r="BB597" s="3"/>
      <c r="BC597" s="3"/>
      <c r="BD597" s="3"/>
      <c r="BE597" s="1373">
        <f t="shared" ref="BE597:BE631" si="4">IF(AND(AC718&lt;=0.5,AC718&gt;=0.36),1,0)</f>
        <v>0</v>
      </c>
      <c r="BF597" s="1375"/>
      <c r="BG597" s="1401">
        <f t="shared" ref="BG597:BG631" si="5">IF(BE597=1,G718,0)</f>
        <v>0</v>
      </c>
      <c r="BH597" s="1403"/>
      <c r="BI597" s="1373">
        <f t="shared" ref="BI597:BI631" si="6">IF(AND(AC718&lt;=0.35,AC718&gt;0),1,0)</f>
        <v>1</v>
      </c>
      <c r="BJ597" s="1375"/>
      <c r="BK597" s="1401">
        <f t="shared" ref="BK597:BK631" si="7">IF(BI597=1,G718,0)</f>
        <v>14</v>
      </c>
      <c r="BL597" s="1403"/>
      <c r="BM597" s="3"/>
      <c r="BN597" s="1406">
        <f t="shared" ref="BN597:BN631" si="8">IF(B718="SRO/Studio",G718,0)</f>
        <v>14</v>
      </c>
      <c r="BO597" s="1407"/>
      <c r="BP597" s="1407"/>
      <c r="BQ597" s="1407"/>
      <c r="BR597" s="1408"/>
      <c r="BS597" s="1404">
        <f t="shared" ref="BS597:BS631" si="9">IF(B718="1 Bedroom",G718,0)</f>
        <v>0</v>
      </c>
      <c r="BT597" s="1404"/>
      <c r="BU597" s="1404"/>
      <c r="BV597" s="1404"/>
      <c r="BW597" s="1404"/>
      <c r="BX597" s="1404">
        <f t="shared" ref="BX597:BX631" si="10">IF(B718="2 Bedrooms",G718,0)</f>
        <v>0</v>
      </c>
      <c r="BY597" s="1404"/>
      <c r="BZ597" s="1404"/>
      <c r="CA597" s="1404"/>
      <c r="CB597" s="1404"/>
      <c r="CC597" s="1404">
        <f t="shared" ref="CC597:CC631" si="11">IF(B718="3 Bedrooms",G718,0)</f>
        <v>0</v>
      </c>
      <c r="CD597" s="1404"/>
      <c r="CE597" s="1404"/>
      <c r="CF597" s="1404"/>
      <c r="CG597" s="1404"/>
      <c r="CH597" s="1404">
        <f t="shared" ref="CH597:CH631" si="12">IF(B718="4 Bedrooms",G718,0)</f>
        <v>0</v>
      </c>
      <c r="CI597" s="1404"/>
      <c r="CJ597" s="1404"/>
      <c r="CK597" s="1404"/>
      <c r="CL597" s="1404"/>
      <c r="CM597" s="1404">
        <f t="shared" ref="CM597:CM631" si="13">IF(B718="5 Bedrooms",G718,0)</f>
        <v>0</v>
      </c>
      <c r="CN597" s="1404"/>
      <c r="CO597" s="1404"/>
      <c r="CP597" s="1404"/>
      <c r="CQ597" s="1404"/>
      <c r="CR597" s="6"/>
      <c r="CS597" s="1376">
        <f t="shared" ref="CS597:CS631" si="14">IF(AND(B718="SRO/Studio",AC718&lt;=0.3),G718,0)</f>
        <v>14</v>
      </c>
      <c r="CT597" s="1376"/>
      <c r="CU597" s="1376"/>
      <c r="CV597" s="1376"/>
      <c r="CW597" s="1376"/>
      <c r="CX597" s="1376">
        <f t="shared" ref="CX597:CX631" si="15">IF(AND(B718="1 Bedroom",AC718&lt;=0.3),G718,0)</f>
        <v>0</v>
      </c>
      <c r="CY597" s="1376"/>
      <c r="CZ597" s="1376"/>
      <c r="DA597" s="1376"/>
      <c r="DB597" s="1376"/>
      <c r="DC597" s="1376">
        <f t="shared" ref="DC597:DC631" si="16">IF(AND(B718="2 Bedrooms",AC718&lt;=0.3),G718,0)</f>
        <v>0</v>
      </c>
      <c r="DD597" s="1376"/>
      <c r="DE597" s="1376"/>
      <c r="DF597" s="1376"/>
      <c r="DG597" s="1376"/>
      <c r="DH597" s="1376">
        <f t="shared" ref="DH597:DH631" si="17">IF(AND(B718="3 Bedrooms",AC718&lt;=0.3),G718,0)</f>
        <v>0</v>
      </c>
      <c r="DI597" s="1376"/>
      <c r="DJ597" s="1376"/>
      <c r="DK597" s="1376"/>
      <c r="DL597" s="1376"/>
      <c r="DM597" s="1376">
        <f t="shared" ref="DM597:DM631" si="18">IF(AND(B718="4 Bedrooms",AC718&lt;=0.3),G718,0)</f>
        <v>0</v>
      </c>
      <c r="DN597" s="1376"/>
      <c r="DO597" s="1376"/>
      <c r="DP597" s="1376"/>
      <c r="DQ597" s="1376"/>
      <c r="DR597" s="1376">
        <f t="shared" ref="DR597:DR631" si="19">IF(AND(B718="5 Bedrooms",AC718&lt;=0.3),G718,0)</f>
        <v>0</v>
      </c>
      <c r="DS597" s="1376"/>
      <c r="DT597" s="1376"/>
      <c r="DU597" s="1376"/>
      <c r="DV597" s="1376"/>
      <c r="DX597" s="1373">
        <f t="shared" ref="DX597:DX631" si="20">IF(BN597&gt;0,O718,"")</f>
        <v>685</v>
      </c>
      <c r="DY597" s="1374"/>
      <c r="DZ597" s="1374"/>
      <c r="EA597" s="1374"/>
      <c r="EB597" s="1375"/>
      <c r="EC597" s="1373" t="str">
        <f t="shared" ref="EC597:EC631" si="21">IF(BS597&gt;0,O718,"")</f>
        <v/>
      </c>
      <c r="ED597" s="1374"/>
      <c r="EE597" s="1374"/>
      <c r="EF597" s="1374"/>
      <c r="EG597" s="1375"/>
      <c r="EH597" s="1373" t="str">
        <f t="shared" ref="EH597:EH631" si="22">IF(BX597&gt;0,O718,"")</f>
        <v/>
      </c>
      <c r="EI597" s="1374"/>
      <c r="EJ597" s="1374"/>
      <c r="EK597" s="1374"/>
      <c r="EL597" s="1375"/>
      <c r="EM597" s="1373" t="str">
        <f t="shared" ref="EM597:EM631" si="23">IF(CC597&gt;0,O718,"")</f>
        <v/>
      </c>
      <c r="EN597" s="1374"/>
      <c r="EO597" s="1374"/>
      <c r="EP597" s="1374"/>
      <c r="EQ597" s="1375"/>
      <c r="ER597" s="1373" t="str">
        <f t="shared" ref="ER597:ER631" si="24">IF(CH597&gt;0,O718,"")</f>
        <v/>
      </c>
      <c r="ES597" s="1374"/>
      <c r="ET597" s="1374"/>
      <c r="EU597" s="1374"/>
      <c r="EV597" s="1375"/>
      <c r="EW597" s="1373" t="str">
        <f t="shared" ref="EW597:EW631" si="25">IF(CM597&gt;0,O718,"")</f>
        <v/>
      </c>
      <c r="EX597" s="1374"/>
      <c r="EY597" s="1374"/>
      <c r="EZ597" s="1374"/>
      <c r="FA597" s="1375"/>
    </row>
    <row r="598" spans="1:157" s="4" customFormat="1" ht="12.95" customHeight="1">
      <c r="A598" s="22"/>
      <c r="B598" t="s">
        <v>18</v>
      </c>
      <c r="C598"/>
      <c r="D598"/>
      <c r="E598"/>
      <c r="F598"/>
      <c r="G598"/>
      <c r="H598" s="1412" t="s">
        <v>2780</v>
      </c>
      <c r="I598" s="1412"/>
      <c r="J598" s="1412"/>
      <c r="K598" s="1412"/>
      <c r="L598" s="1412"/>
      <c r="M598" s="1412"/>
      <c r="N598" s="1412"/>
      <c r="O598" s="1412"/>
      <c r="P598" s="1412"/>
      <c r="Q598" s="1412"/>
      <c r="R598" s="1412"/>
      <c r="S598"/>
      <c r="T598" s="22"/>
      <c r="U598" t="s">
        <v>18</v>
      </c>
      <c r="V598"/>
      <c r="W598"/>
      <c r="X598"/>
      <c r="Y598"/>
      <c r="Z598"/>
      <c r="AA598" s="1412"/>
      <c r="AB598" s="1412"/>
      <c r="AC598" s="1412"/>
      <c r="AD598" s="1412"/>
      <c r="AE598" s="1412"/>
      <c r="AF598" s="1412"/>
      <c r="AG598" s="1412"/>
      <c r="AH598" s="1412"/>
      <c r="AI598" s="1412"/>
      <c r="AJ598" s="1412"/>
      <c r="AK598" s="1412"/>
      <c r="AL598"/>
      <c r="AM598"/>
      <c r="AN598"/>
      <c r="AO598"/>
      <c r="AP598"/>
      <c r="AQ598"/>
      <c r="AR598"/>
      <c r="AS598"/>
      <c r="AT598"/>
      <c r="AU598"/>
      <c r="AV598"/>
      <c r="AW598"/>
      <c r="AX598"/>
      <c r="AY598"/>
      <c r="BA598" s="4" t="s">
        <v>163</v>
      </c>
      <c r="BB598" s="3"/>
      <c r="BC598" s="3"/>
      <c r="BD598" s="3"/>
      <c r="BE598" s="1373">
        <f t="shared" si="4"/>
        <v>0</v>
      </c>
      <c r="BF598" s="1375"/>
      <c r="BG598" s="1401">
        <f t="shared" si="5"/>
        <v>0</v>
      </c>
      <c r="BH598" s="1403"/>
      <c r="BI598" s="1373">
        <f t="shared" si="6"/>
        <v>1</v>
      </c>
      <c r="BJ598" s="1375"/>
      <c r="BK598" s="1401">
        <f t="shared" si="7"/>
        <v>6</v>
      </c>
      <c r="BL598" s="1403"/>
      <c r="BM598" s="3"/>
      <c r="BN598" s="1406">
        <f t="shared" si="8"/>
        <v>6</v>
      </c>
      <c r="BO598" s="1407"/>
      <c r="BP598" s="1407"/>
      <c r="BQ598" s="1407"/>
      <c r="BR598" s="1408"/>
      <c r="BS598" s="1404">
        <f t="shared" si="9"/>
        <v>0</v>
      </c>
      <c r="BT598" s="1404"/>
      <c r="BU598" s="1404"/>
      <c r="BV598" s="1404"/>
      <c r="BW598" s="1404"/>
      <c r="BX598" s="1404">
        <f t="shared" si="10"/>
        <v>0</v>
      </c>
      <c r="BY598" s="1404"/>
      <c r="BZ598" s="1404"/>
      <c r="CA598" s="1404"/>
      <c r="CB598" s="1404"/>
      <c r="CC598" s="1404">
        <f t="shared" si="11"/>
        <v>0</v>
      </c>
      <c r="CD598" s="1404"/>
      <c r="CE598" s="1404"/>
      <c r="CF598" s="1404"/>
      <c r="CG598" s="1404"/>
      <c r="CH598" s="1404">
        <f t="shared" si="12"/>
        <v>0</v>
      </c>
      <c r="CI598" s="1404"/>
      <c r="CJ598" s="1404"/>
      <c r="CK598" s="1404"/>
      <c r="CL598" s="1404"/>
      <c r="CM598" s="1404">
        <f t="shared" si="13"/>
        <v>0</v>
      </c>
      <c r="CN598" s="1404"/>
      <c r="CO598" s="1404"/>
      <c r="CP598" s="1404"/>
      <c r="CQ598" s="1404"/>
      <c r="CR598" s="6"/>
      <c r="CS598" s="1376">
        <f t="shared" si="14"/>
        <v>6</v>
      </c>
      <c r="CT598" s="1376"/>
      <c r="CU598" s="1376"/>
      <c r="CV598" s="1376"/>
      <c r="CW598" s="1376"/>
      <c r="CX598" s="1376">
        <f t="shared" si="15"/>
        <v>0</v>
      </c>
      <c r="CY598" s="1376"/>
      <c r="CZ598" s="1376"/>
      <c r="DA598" s="1376"/>
      <c r="DB598" s="1376"/>
      <c r="DC598" s="1376">
        <f t="shared" si="16"/>
        <v>0</v>
      </c>
      <c r="DD598" s="1376"/>
      <c r="DE598" s="1376"/>
      <c r="DF598" s="1376"/>
      <c r="DG598" s="1376"/>
      <c r="DH598" s="1376">
        <f t="shared" si="17"/>
        <v>0</v>
      </c>
      <c r="DI598" s="1376"/>
      <c r="DJ598" s="1376"/>
      <c r="DK598" s="1376"/>
      <c r="DL598" s="1376"/>
      <c r="DM598" s="1376">
        <f t="shared" si="18"/>
        <v>0</v>
      </c>
      <c r="DN598" s="1376"/>
      <c r="DO598" s="1376"/>
      <c r="DP598" s="1376"/>
      <c r="DQ598" s="1376"/>
      <c r="DR598" s="1376">
        <f t="shared" si="19"/>
        <v>0</v>
      </c>
      <c r="DS598" s="1376"/>
      <c r="DT598" s="1376"/>
      <c r="DU598" s="1376"/>
      <c r="DV598" s="1376"/>
      <c r="DX598" s="1373">
        <f t="shared" si="20"/>
        <v>1028</v>
      </c>
      <c r="DY598" s="1374"/>
      <c r="DZ598" s="1374"/>
      <c r="EA598" s="1374"/>
      <c r="EB598" s="1375"/>
      <c r="EC598" s="1373" t="str">
        <f t="shared" si="21"/>
        <v/>
      </c>
      <c r="ED598" s="1374"/>
      <c r="EE598" s="1374"/>
      <c r="EF598" s="1374"/>
      <c r="EG598" s="1375"/>
      <c r="EH598" s="1373" t="str">
        <f t="shared" si="22"/>
        <v/>
      </c>
      <c r="EI598" s="1374"/>
      <c r="EJ598" s="1374"/>
      <c r="EK598" s="1374"/>
      <c r="EL598" s="1375"/>
      <c r="EM598" s="1373" t="str">
        <f t="shared" si="23"/>
        <v/>
      </c>
      <c r="EN598" s="1374"/>
      <c r="EO598" s="1374"/>
      <c r="EP598" s="1374"/>
      <c r="EQ598" s="1375"/>
      <c r="ER598" s="1373" t="str">
        <f t="shared" si="24"/>
        <v/>
      </c>
      <c r="ES598" s="1374"/>
      <c r="ET598" s="1374"/>
      <c r="EU598" s="1374"/>
      <c r="EV598" s="1375"/>
      <c r="EW598" s="1373" t="str">
        <f t="shared" si="25"/>
        <v/>
      </c>
      <c r="EX598" s="1374"/>
      <c r="EY598" s="1374"/>
      <c r="EZ598" s="1374"/>
      <c r="FA598" s="1375"/>
    </row>
    <row r="599" spans="1:157" ht="12.95" customHeight="1">
      <c r="A599" s="22"/>
      <c r="B599" t="s">
        <v>20</v>
      </c>
      <c r="N599" s="1413" t="s">
        <v>552</v>
      </c>
      <c r="O599" s="1413"/>
      <c r="T599" s="22"/>
      <c r="U599" t="s">
        <v>20</v>
      </c>
      <c r="AG599" s="1413" t="s">
        <v>676</v>
      </c>
      <c r="AH599" s="1413"/>
      <c r="BA599" s="4" t="s">
        <v>164</v>
      </c>
      <c r="BB599" s="3"/>
      <c r="BC599" s="3"/>
      <c r="BD599" s="3"/>
      <c r="BE599" s="1373">
        <f t="shared" si="4"/>
        <v>0</v>
      </c>
      <c r="BF599" s="1375"/>
      <c r="BG599" s="1401">
        <f t="shared" si="5"/>
        <v>0</v>
      </c>
      <c r="BH599" s="1403"/>
      <c r="BI599" s="1373">
        <f t="shared" si="6"/>
        <v>1</v>
      </c>
      <c r="BJ599" s="1375"/>
      <c r="BK599" s="1401">
        <f t="shared" si="7"/>
        <v>2</v>
      </c>
      <c r="BL599" s="1403"/>
      <c r="BM599" s="3"/>
      <c r="BN599" s="1406">
        <f t="shared" si="8"/>
        <v>2</v>
      </c>
      <c r="BO599" s="1407"/>
      <c r="BP599" s="1407"/>
      <c r="BQ599" s="1407"/>
      <c r="BR599" s="1408"/>
      <c r="BS599" s="1404">
        <f t="shared" si="9"/>
        <v>0</v>
      </c>
      <c r="BT599" s="1404"/>
      <c r="BU599" s="1404"/>
      <c r="BV599" s="1404"/>
      <c r="BW599" s="1404"/>
      <c r="BX599" s="1404">
        <f t="shared" si="10"/>
        <v>0</v>
      </c>
      <c r="BY599" s="1404"/>
      <c r="BZ599" s="1404"/>
      <c r="CA599" s="1404"/>
      <c r="CB599" s="1404"/>
      <c r="CC599" s="1404">
        <f t="shared" si="11"/>
        <v>0</v>
      </c>
      <c r="CD599" s="1404"/>
      <c r="CE599" s="1404"/>
      <c r="CF599" s="1404"/>
      <c r="CG599" s="1404"/>
      <c r="CH599" s="1404">
        <f t="shared" si="12"/>
        <v>0</v>
      </c>
      <c r="CI599" s="1404"/>
      <c r="CJ599" s="1404"/>
      <c r="CK599" s="1404"/>
      <c r="CL599" s="1404"/>
      <c r="CM599" s="1404">
        <f t="shared" si="13"/>
        <v>0</v>
      </c>
      <c r="CN599" s="1404"/>
      <c r="CO599" s="1404"/>
      <c r="CP599" s="1404"/>
      <c r="CQ599" s="1404"/>
      <c r="CR599" s="6"/>
      <c r="CS599" s="1376">
        <f t="shared" si="14"/>
        <v>2</v>
      </c>
      <c r="CT599" s="1376"/>
      <c r="CU599" s="1376"/>
      <c r="CV599" s="1376"/>
      <c r="CW599" s="1376"/>
      <c r="CX599" s="1376">
        <f t="shared" si="15"/>
        <v>0</v>
      </c>
      <c r="CY599" s="1376"/>
      <c r="CZ599" s="1376"/>
      <c r="DA599" s="1376"/>
      <c r="DB599" s="1376"/>
      <c r="DC599" s="1376">
        <f t="shared" si="16"/>
        <v>0</v>
      </c>
      <c r="DD599" s="1376"/>
      <c r="DE599" s="1376"/>
      <c r="DF599" s="1376"/>
      <c r="DG599" s="1376"/>
      <c r="DH599" s="1376">
        <f t="shared" si="17"/>
        <v>0</v>
      </c>
      <c r="DI599" s="1376"/>
      <c r="DJ599" s="1376"/>
      <c r="DK599" s="1376"/>
      <c r="DL599" s="1376"/>
      <c r="DM599" s="1376">
        <f t="shared" si="18"/>
        <v>0</v>
      </c>
      <c r="DN599" s="1376"/>
      <c r="DO599" s="1376"/>
      <c r="DP599" s="1376"/>
      <c r="DQ599" s="1376"/>
      <c r="DR599" s="1376">
        <f t="shared" si="19"/>
        <v>0</v>
      </c>
      <c r="DS599" s="1376"/>
      <c r="DT599" s="1376"/>
      <c r="DU599" s="1376"/>
      <c r="DV599" s="1376"/>
      <c r="DX599" s="1373">
        <f t="shared" si="20"/>
        <v>1028</v>
      </c>
      <c r="DY599" s="1374"/>
      <c r="DZ599" s="1374"/>
      <c r="EA599" s="1374"/>
      <c r="EB599" s="1375"/>
      <c r="EC599" s="1373" t="str">
        <f t="shared" si="21"/>
        <v/>
      </c>
      <c r="ED599" s="1374"/>
      <c r="EE599" s="1374"/>
      <c r="EF599" s="1374"/>
      <c r="EG599" s="1375"/>
      <c r="EH599" s="1373" t="str">
        <f t="shared" si="22"/>
        <v/>
      </c>
      <c r="EI599" s="1374"/>
      <c r="EJ599" s="1374"/>
      <c r="EK599" s="1374"/>
      <c r="EL599" s="1375"/>
      <c r="EM599" s="1373" t="str">
        <f t="shared" si="23"/>
        <v/>
      </c>
      <c r="EN599" s="1374"/>
      <c r="EO599" s="1374"/>
      <c r="EP599" s="1374"/>
      <c r="EQ599" s="1375"/>
      <c r="ER599" s="1373" t="str">
        <f t="shared" si="24"/>
        <v/>
      </c>
      <c r="ES599" s="1374"/>
      <c r="ET599" s="1374"/>
      <c r="EU599" s="1374"/>
      <c r="EV599" s="1375"/>
      <c r="EW599" s="1373" t="str">
        <f t="shared" si="25"/>
        <v/>
      </c>
      <c r="EX599" s="1374"/>
      <c r="EY599" s="1374"/>
      <c r="EZ599" s="1374"/>
      <c r="FA599" s="1375"/>
    </row>
    <row r="600" spans="1:157" ht="12.95" customHeight="1">
      <c r="A600" s="22"/>
      <c r="T600" s="22"/>
      <c r="BA600" s="4" t="s">
        <v>165</v>
      </c>
      <c r="BB600" s="3"/>
      <c r="BC600" s="3"/>
      <c r="BD600" s="3"/>
      <c r="BE600" s="1373">
        <f t="shared" si="4"/>
        <v>0</v>
      </c>
      <c r="BF600" s="1375"/>
      <c r="BG600" s="1401">
        <f t="shared" si="5"/>
        <v>0</v>
      </c>
      <c r="BH600" s="1403"/>
      <c r="BI600" s="1373">
        <f t="shared" si="6"/>
        <v>0</v>
      </c>
      <c r="BJ600" s="1375"/>
      <c r="BK600" s="1401">
        <f t="shared" si="7"/>
        <v>0</v>
      </c>
      <c r="BL600" s="1403"/>
      <c r="BM600" s="3"/>
      <c r="BN600" s="1406">
        <f t="shared" si="8"/>
        <v>25</v>
      </c>
      <c r="BO600" s="1407"/>
      <c r="BP600" s="1407"/>
      <c r="BQ600" s="1407"/>
      <c r="BR600" s="1408"/>
      <c r="BS600" s="1404">
        <f t="shared" si="9"/>
        <v>0</v>
      </c>
      <c r="BT600" s="1404"/>
      <c r="BU600" s="1404"/>
      <c r="BV600" s="1404"/>
      <c r="BW600" s="1404"/>
      <c r="BX600" s="1404">
        <f t="shared" si="10"/>
        <v>0</v>
      </c>
      <c r="BY600" s="1404"/>
      <c r="BZ600" s="1404"/>
      <c r="CA600" s="1404"/>
      <c r="CB600" s="1404"/>
      <c r="CC600" s="1404">
        <f t="shared" si="11"/>
        <v>0</v>
      </c>
      <c r="CD600" s="1404"/>
      <c r="CE600" s="1404"/>
      <c r="CF600" s="1404"/>
      <c r="CG600" s="1404"/>
      <c r="CH600" s="1404">
        <f t="shared" si="12"/>
        <v>0</v>
      </c>
      <c r="CI600" s="1404"/>
      <c r="CJ600" s="1404"/>
      <c r="CK600" s="1404"/>
      <c r="CL600" s="1404"/>
      <c r="CM600" s="1404">
        <f t="shared" si="13"/>
        <v>0</v>
      </c>
      <c r="CN600" s="1404"/>
      <c r="CO600" s="1404"/>
      <c r="CP600" s="1404"/>
      <c r="CQ600" s="1404"/>
      <c r="CR600" s="6"/>
      <c r="CS600" s="1376">
        <f t="shared" si="14"/>
        <v>0</v>
      </c>
      <c r="CT600" s="1376"/>
      <c r="CU600" s="1376"/>
      <c r="CV600" s="1376"/>
      <c r="CW600" s="1376"/>
      <c r="CX600" s="1376">
        <f t="shared" si="15"/>
        <v>0</v>
      </c>
      <c r="CY600" s="1376"/>
      <c r="CZ600" s="1376"/>
      <c r="DA600" s="1376"/>
      <c r="DB600" s="1376"/>
      <c r="DC600" s="1376">
        <f t="shared" si="16"/>
        <v>0</v>
      </c>
      <c r="DD600" s="1376"/>
      <c r="DE600" s="1376"/>
      <c r="DF600" s="1376"/>
      <c r="DG600" s="1376"/>
      <c r="DH600" s="1376">
        <f t="shared" si="17"/>
        <v>0</v>
      </c>
      <c r="DI600" s="1376"/>
      <c r="DJ600" s="1376"/>
      <c r="DK600" s="1376"/>
      <c r="DL600" s="1376"/>
      <c r="DM600" s="1376">
        <f t="shared" si="18"/>
        <v>0</v>
      </c>
      <c r="DN600" s="1376"/>
      <c r="DO600" s="1376"/>
      <c r="DP600" s="1376"/>
      <c r="DQ600" s="1376"/>
      <c r="DR600" s="1376">
        <f t="shared" si="19"/>
        <v>0</v>
      </c>
      <c r="DS600" s="1376"/>
      <c r="DT600" s="1376"/>
      <c r="DU600" s="1376"/>
      <c r="DV600" s="1376"/>
      <c r="DX600" s="1373">
        <f t="shared" si="20"/>
        <v>2011</v>
      </c>
      <c r="DY600" s="1374"/>
      <c r="DZ600" s="1374"/>
      <c r="EA600" s="1374"/>
      <c r="EB600" s="1375"/>
      <c r="EC600" s="1373" t="str">
        <f t="shared" si="21"/>
        <v/>
      </c>
      <c r="ED600" s="1374"/>
      <c r="EE600" s="1374"/>
      <c r="EF600" s="1374"/>
      <c r="EG600" s="1375"/>
      <c r="EH600" s="1373" t="str">
        <f t="shared" si="22"/>
        <v/>
      </c>
      <c r="EI600" s="1374"/>
      <c r="EJ600" s="1374"/>
      <c r="EK600" s="1374"/>
      <c r="EL600" s="1375"/>
      <c r="EM600" s="1373" t="str">
        <f t="shared" si="23"/>
        <v/>
      </c>
      <c r="EN600" s="1374"/>
      <c r="EO600" s="1374"/>
      <c r="EP600" s="1374"/>
      <c r="EQ600" s="1375"/>
      <c r="ER600" s="1373" t="str">
        <f t="shared" si="24"/>
        <v/>
      </c>
      <c r="ES600" s="1374"/>
      <c r="ET600" s="1374"/>
      <c r="EU600" s="1374"/>
      <c r="EV600" s="1375"/>
      <c r="EW600" s="1373" t="str">
        <f t="shared" si="25"/>
        <v/>
      </c>
      <c r="EX600" s="1374"/>
      <c r="EY600" s="1374"/>
      <c r="EZ600" s="1374"/>
      <c r="FA600" s="1375"/>
    </row>
    <row r="601" spans="1:157" ht="12.95" customHeight="1">
      <c r="A601" s="55" t="s">
        <v>468</v>
      </c>
      <c r="B601" t="s">
        <v>470</v>
      </c>
      <c r="G601" s="1418">
        <f>C562</f>
        <v>0</v>
      </c>
      <c r="H601" s="1418"/>
      <c r="I601" s="1418"/>
      <c r="J601" s="1418"/>
      <c r="K601" s="1418"/>
      <c r="L601" s="1418"/>
      <c r="M601" s="1418"/>
      <c r="N601" s="1418"/>
      <c r="O601" s="1418"/>
      <c r="P601" s="1418"/>
      <c r="Q601" s="1418"/>
      <c r="R601" s="1418"/>
      <c r="T601" s="55" t="s">
        <v>653</v>
      </c>
      <c r="U601" t="s">
        <v>470</v>
      </c>
      <c r="Z601" s="1418">
        <f>C563</f>
        <v>0</v>
      </c>
      <c r="AA601" s="1418"/>
      <c r="AB601" s="1418"/>
      <c r="AC601" s="1418"/>
      <c r="AD601" s="1418"/>
      <c r="AE601" s="1418"/>
      <c r="AF601" s="1418"/>
      <c r="AG601" s="1418"/>
      <c r="AH601" s="1418"/>
      <c r="AI601" s="1418"/>
      <c r="AJ601" s="1418"/>
      <c r="AK601" s="1418"/>
      <c r="BA601" s="4" t="s">
        <v>30</v>
      </c>
      <c r="BB601" s="3"/>
      <c r="BC601" s="3"/>
      <c r="BD601" s="3"/>
      <c r="BE601" s="1373">
        <f t="shared" si="4"/>
        <v>0</v>
      </c>
      <c r="BF601" s="1375"/>
      <c r="BG601" s="1401">
        <f t="shared" si="5"/>
        <v>0</v>
      </c>
      <c r="BH601" s="1403"/>
      <c r="BI601" s="1373">
        <f t="shared" si="6"/>
        <v>1</v>
      </c>
      <c r="BJ601" s="1375"/>
      <c r="BK601" s="1401">
        <f t="shared" si="7"/>
        <v>10</v>
      </c>
      <c r="BL601" s="1403"/>
      <c r="BM601" s="3"/>
      <c r="BN601" s="1406">
        <f t="shared" si="8"/>
        <v>0</v>
      </c>
      <c r="BO601" s="1407"/>
      <c r="BP601" s="1407"/>
      <c r="BQ601" s="1407"/>
      <c r="BR601" s="1408"/>
      <c r="BS601" s="1404">
        <f t="shared" si="9"/>
        <v>10</v>
      </c>
      <c r="BT601" s="1404"/>
      <c r="BU601" s="1404"/>
      <c r="BV601" s="1404"/>
      <c r="BW601" s="1404"/>
      <c r="BX601" s="1404">
        <f t="shared" si="10"/>
        <v>0</v>
      </c>
      <c r="BY601" s="1404"/>
      <c r="BZ601" s="1404"/>
      <c r="CA601" s="1404"/>
      <c r="CB601" s="1404"/>
      <c r="CC601" s="1404">
        <f t="shared" si="11"/>
        <v>0</v>
      </c>
      <c r="CD601" s="1404"/>
      <c r="CE601" s="1404"/>
      <c r="CF601" s="1404"/>
      <c r="CG601" s="1404"/>
      <c r="CH601" s="1404">
        <f t="shared" si="12"/>
        <v>0</v>
      </c>
      <c r="CI601" s="1404"/>
      <c r="CJ601" s="1404"/>
      <c r="CK601" s="1404"/>
      <c r="CL601" s="1404"/>
      <c r="CM601" s="1404">
        <f t="shared" si="13"/>
        <v>0</v>
      </c>
      <c r="CN601" s="1404"/>
      <c r="CO601" s="1404"/>
      <c r="CP601" s="1404"/>
      <c r="CQ601" s="1404"/>
      <c r="CR601" s="6"/>
      <c r="CS601" s="1376">
        <f t="shared" si="14"/>
        <v>0</v>
      </c>
      <c r="CT601" s="1376"/>
      <c r="CU601" s="1376"/>
      <c r="CV601" s="1376"/>
      <c r="CW601" s="1376"/>
      <c r="CX601" s="1376">
        <f t="shared" si="15"/>
        <v>10</v>
      </c>
      <c r="CY601" s="1376"/>
      <c r="CZ601" s="1376"/>
      <c r="DA601" s="1376"/>
      <c r="DB601" s="1376"/>
      <c r="DC601" s="1376">
        <f t="shared" si="16"/>
        <v>0</v>
      </c>
      <c r="DD601" s="1376"/>
      <c r="DE601" s="1376"/>
      <c r="DF601" s="1376"/>
      <c r="DG601" s="1376"/>
      <c r="DH601" s="1376">
        <f t="shared" si="17"/>
        <v>0</v>
      </c>
      <c r="DI601" s="1376"/>
      <c r="DJ601" s="1376"/>
      <c r="DK601" s="1376"/>
      <c r="DL601" s="1376"/>
      <c r="DM601" s="1376">
        <f t="shared" si="18"/>
        <v>0</v>
      </c>
      <c r="DN601" s="1376"/>
      <c r="DO601" s="1376"/>
      <c r="DP601" s="1376"/>
      <c r="DQ601" s="1376"/>
      <c r="DR601" s="1376">
        <f t="shared" si="19"/>
        <v>0</v>
      </c>
      <c r="DS601" s="1376"/>
      <c r="DT601" s="1376"/>
      <c r="DU601" s="1376"/>
      <c r="DV601" s="1376"/>
      <c r="DX601" s="1373" t="str">
        <f t="shared" si="20"/>
        <v/>
      </c>
      <c r="DY601" s="1374"/>
      <c r="DZ601" s="1374"/>
      <c r="EA601" s="1374"/>
      <c r="EB601" s="1375"/>
      <c r="EC601" s="1373">
        <f t="shared" si="21"/>
        <v>734</v>
      </c>
      <c r="ED601" s="1374"/>
      <c r="EE601" s="1374"/>
      <c r="EF601" s="1374"/>
      <c r="EG601" s="1375"/>
      <c r="EH601" s="1373" t="str">
        <f t="shared" si="22"/>
        <v/>
      </c>
      <c r="EI601" s="1374"/>
      <c r="EJ601" s="1374"/>
      <c r="EK601" s="1374"/>
      <c r="EL601" s="1375"/>
      <c r="EM601" s="1373" t="str">
        <f t="shared" si="23"/>
        <v/>
      </c>
      <c r="EN601" s="1374"/>
      <c r="EO601" s="1374"/>
      <c r="EP601" s="1374"/>
      <c r="EQ601" s="1375"/>
      <c r="ER601" s="1373" t="str">
        <f t="shared" si="24"/>
        <v/>
      </c>
      <c r="ES601" s="1374"/>
      <c r="ET601" s="1374"/>
      <c r="EU601" s="1374"/>
      <c r="EV601" s="1375"/>
      <c r="EW601" s="1373" t="str">
        <f t="shared" si="25"/>
        <v/>
      </c>
      <c r="EX601" s="1374"/>
      <c r="EY601" s="1374"/>
      <c r="EZ601" s="1374"/>
      <c r="FA601" s="1375"/>
    </row>
    <row r="602" spans="1:157" ht="12.95" customHeight="1">
      <c r="A602" s="22"/>
      <c r="B602" t="s">
        <v>85</v>
      </c>
      <c r="G602" s="1412" t="s">
        <v>598</v>
      </c>
      <c r="H602" s="1412"/>
      <c r="I602" s="1412"/>
      <c r="J602" s="1412"/>
      <c r="K602" s="1412"/>
      <c r="L602" s="1412"/>
      <c r="M602" s="1412"/>
      <c r="N602" s="1412"/>
      <c r="O602" s="1412"/>
      <c r="P602" s="1412"/>
      <c r="Q602" s="1412"/>
      <c r="R602" s="1412"/>
      <c r="T602" s="22"/>
      <c r="U602" t="s">
        <v>85</v>
      </c>
      <c r="Z602" s="1412" t="s">
        <v>598</v>
      </c>
      <c r="AA602" s="1412"/>
      <c r="AB602" s="1412"/>
      <c r="AC602" s="1412"/>
      <c r="AD602" s="1412"/>
      <c r="AE602" s="1412"/>
      <c r="AF602" s="1412"/>
      <c r="AG602" s="1412"/>
      <c r="AH602" s="1412"/>
      <c r="AI602" s="1412"/>
      <c r="AJ602" s="1412"/>
      <c r="AK602" s="1412"/>
      <c r="AZ602" s="3"/>
      <c r="BA602" s="3"/>
      <c r="BB602" s="3"/>
      <c r="BC602" s="3"/>
      <c r="BD602" s="3"/>
      <c r="BE602" s="1373">
        <f t="shared" si="4"/>
        <v>0</v>
      </c>
      <c r="BF602" s="1375"/>
      <c r="BG602" s="1401">
        <f t="shared" si="5"/>
        <v>0</v>
      </c>
      <c r="BH602" s="1403"/>
      <c r="BI602" s="1373">
        <f t="shared" si="6"/>
        <v>1</v>
      </c>
      <c r="BJ602" s="1375"/>
      <c r="BK602" s="1401">
        <f t="shared" si="7"/>
        <v>5</v>
      </c>
      <c r="BL602" s="1403"/>
      <c r="BM602" s="3"/>
      <c r="BN602" s="1406">
        <f t="shared" si="8"/>
        <v>0</v>
      </c>
      <c r="BO602" s="1407"/>
      <c r="BP602" s="1407"/>
      <c r="BQ602" s="1407"/>
      <c r="BR602" s="1408"/>
      <c r="BS602" s="1404">
        <f t="shared" si="9"/>
        <v>5</v>
      </c>
      <c r="BT602" s="1404"/>
      <c r="BU602" s="1404"/>
      <c r="BV602" s="1404"/>
      <c r="BW602" s="1404"/>
      <c r="BX602" s="1404">
        <f t="shared" si="10"/>
        <v>0</v>
      </c>
      <c r="BY602" s="1404"/>
      <c r="BZ602" s="1404"/>
      <c r="CA602" s="1404"/>
      <c r="CB602" s="1404"/>
      <c r="CC602" s="1404">
        <f t="shared" si="11"/>
        <v>0</v>
      </c>
      <c r="CD602" s="1404"/>
      <c r="CE602" s="1404"/>
      <c r="CF602" s="1404"/>
      <c r="CG602" s="1404"/>
      <c r="CH602" s="1404">
        <f t="shared" si="12"/>
        <v>0</v>
      </c>
      <c r="CI602" s="1404"/>
      <c r="CJ602" s="1404"/>
      <c r="CK602" s="1404"/>
      <c r="CL602" s="1404"/>
      <c r="CM602" s="1404">
        <f t="shared" si="13"/>
        <v>0</v>
      </c>
      <c r="CN602" s="1404"/>
      <c r="CO602" s="1404"/>
      <c r="CP602" s="1404"/>
      <c r="CQ602" s="1404"/>
      <c r="CR602" s="6"/>
      <c r="CS602" s="1376">
        <f t="shared" si="14"/>
        <v>0</v>
      </c>
      <c r="CT602" s="1376"/>
      <c r="CU602" s="1376"/>
      <c r="CV602" s="1376"/>
      <c r="CW602" s="1376"/>
      <c r="CX602" s="1376">
        <f t="shared" si="15"/>
        <v>5</v>
      </c>
      <c r="CY602" s="1376"/>
      <c r="CZ602" s="1376"/>
      <c r="DA602" s="1376"/>
      <c r="DB602" s="1376"/>
      <c r="DC602" s="1376">
        <f t="shared" si="16"/>
        <v>0</v>
      </c>
      <c r="DD602" s="1376"/>
      <c r="DE602" s="1376"/>
      <c r="DF602" s="1376"/>
      <c r="DG602" s="1376"/>
      <c r="DH602" s="1376">
        <f t="shared" si="17"/>
        <v>0</v>
      </c>
      <c r="DI602" s="1376"/>
      <c r="DJ602" s="1376"/>
      <c r="DK602" s="1376"/>
      <c r="DL602" s="1376"/>
      <c r="DM602" s="1376">
        <f t="shared" si="18"/>
        <v>0</v>
      </c>
      <c r="DN602" s="1376"/>
      <c r="DO602" s="1376"/>
      <c r="DP602" s="1376"/>
      <c r="DQ602" s="1376"/>
      <c r="DR602" s="1376">
        <f t="shared" si="19"/>
        <v>0</v>
      </c>
      <c r="DS602" s="1376"/>
      <c r="DT602" s="1376"/>
      <c r="DU602" s="1376"/>
      <c r="DV602" s="1376"/>
      <c r="DX602" s="1373" t="str">
        <f t="shared" si="20"/>
        <v/>
      </c>
      <c r="DY602" s="1374"/>
      <c r="DZ602" s="1374"/>
      <c r="EA602" s="1374"/>
      <c r="EB602" s="1375"/>
      <c r="EC602" s="1373">
        <f t="shared" si="21"/>
        <v>1101</v>
      </c>
      <c r="ED602" s="1374"/>
      <c r="EE602" s="1374"/>
      <c r="EF602" s="1374"/>
      <c r="EG602" s="1375"/>
      <c r="EH602" s="1373" t="str">
        <f t="shared" si="22"/>
        <v/>
      </c>
      <c r="EI602" s="1374"/>
      <c r="EJ602" s="1374"/>
      <c r="EK602" s="1374"/>
      <c r="EL602" s="1375"/>
      <c r="EM602" s="1373" t="str">
        <f t="shared" si="23"/>
        <v/>
      </c>
      <c r="EN602" s="1374"/>
      <c r="EO602" s="1374"/>
      <c r="EP602" s="1374"/>
      <c r="EQ602" s="1375"/>
      <c r="ER602" s="1373" t="str">
        <f t="shared" si="24"/>
        <v/>
      </c>
      <c r="ES602" s="1374"/>
      <c r="ET602" s="1374"/>
      <c r="EU602" s="1374"/>
      <c r="EV602" s="1375"/>
      <c r="EW602" s="1373" t="str">
        <f t="shared" si="25"/>
        <v/>
      </c>
      <c r="EX602" s="1374"/>
      <c r="EY602" s="1374"/>
      <c r="EZ602" s="1374"/>
      <c r="FA602" s="1375"/>
    </row>
    <row r="603" spans="1:157" ht="12.95" customHeight="1">
      <c r="A603" s="22"/>
      <c r="B603" t="s">
        <v>587</v>
      </c>
      <c r="G603" s="1412"/>
      <c r="H603" s="1412"/>
      <c r="I603" s="1412"/>
      <c r="J603" s="1412"/>
      <c r="K603" s="1412"/>
      <c r="L603" s="1412"/>
      <c r="M603" s="1412"/>
      <c r="N603" s="1412"/>
      <c r="O603" s="1412"/>
      <c r="P603" s="1412"/>
      <c r="Q603" s="1412"/>
      <c r="R603" s="1412"/>
      <c r="T603" s="22"/>
      <c r="U603" t="s">
        <v>587</v>
      </c>
      <c r="Z603" s="1479"/>
      <c r="AA603" s="1479"/>
      <c r="AB603" s="1479"/>
      <c r="AC603" s="1479"/>
      <c r="AD603" s="1479"/>
      <c r="AE603" s="1479"/>
      <c r="AF603" s="1479"/>
      <c r="AG603" s="1479"/>
      <c r="AH603" s="1479"/>
      <c r="AI603" s="1479"/>
      <c r="AJ603" s="1479"/>
      <c r="AK603" s="1479"/>
      <c r="AZ603" s="3"/>
      <c r="BA603" s="3"/>
      <c r="BB603" s="3"/>
      <c r="BC603" s="3"/>
      <c r="BD603" s="3"/>
      <c r="BE603" s="1373">
        <f t="shared" si="4"/>
        <v>0</v>
      </c>
      <c r="BF603" s="1375"/>
      <c r="BG603" s="1401">
        <f t="shared" si="5"/>
        <v>0</v>
      </c>
      <c r="BH603" s="1403"/>
      <c r="BI603" s="1373">
        <f t="shared" si="6"/>
        <v>1</v>
      </c>
      <c r="BJ603" s="1375"/>
      <c r="BK603" s="1401">
        <f t="shared" si="7"/>
        <v>2</v>
      </c>
      <c r="BL603" s="1403"/>
      <c r="BM603" s="3"/>
      <c r="BN603" s="1406">
        <f t="shared" si="8"/>
        <v>0</v>
      </c>
      <c r="BO603" s="1407"/>
      <c r="BP603" s="1407"/>
      <c r="BQ603" s="1407"/>
      <c r="BR603" s="1408"/>
      <c r="BS603" s="1404">
        <f t="shared" si="9"/>
        <v>2</v>
      </c>
      <c r="BT603" s="1404"/>
      <c r="BU603" s="1404"/>
      <c r="BV603" s="1404"/>
      <c r="BW603" s="1404"/>
      <c r="BX603" s="1404">
        <f t="shared" si="10"/>
        <v>0</v>
      </c>
      <c r="BY603" s="1404"/>
      <c r="BZ603" s="1404"/>
      <c r="CA603" s="1404"/>
      <c r="CB603" s="1404"/>
      <c r="CC603" s="1404">
        <f t="shared" si="11"/>
        <v>0</v>
      </c>
      <c r="CD603" s="1404"/>
      <c r="CE603" s="1404"/>
      <c r="CF603" s="1404"/>
      <c r="CG603" s="1404"/>
      <c r="CH603" s="1404">
        <f t="shared" si="12"/>
        <v>0</v>
      </c>
      <c r="CI603" s="1404"/>
      <c r="CJ603" s="1404"/>
      <c r="CK603" s="1404"/>
      <c r="CL603" s="1404"/>
      <c r="CM603" s="1404">
        <f t="shared" si="13"/>
        <v>0</v>
      </c>
      <c r="CN603" s="1404"/>
      <c r="CO603" s="1404"/>
      <c r="CP603" s="1404"/>
      <c r="CQ603" s="1404"/>
      <c r="CR603" s="6"/>
      <c r="CS603" s="1376">
        <f t="shared" si="14"/>
        <v>0</v>
      </c>
      <c r="CT603" s="1376"/>
      <c r="CU603" s="1376"/>
      <c r="CV603" s="1376"/>
      <c r="CW603" s="1376"/>
      <c r="CX603" s="1376">
        <f t="shared" si="15"/>
        <v>2</v>
      </c>
      <c r="CY603" s="1376"/>
      <c r="CZ603" s="1376"/>
      <c r="DA603" s="1376"/>
      <c r="DB603" s="1376"/>
      <c r="DC603" s="1376">
        <f t="shared" si="16"/>
        <v>0</v>
      </c>
      <c r="DD603" s="1376"/>
      <c r="DE603" s="1376"/>
      <c r="DF603" s="1376"/>
      <c r="DG603" s="1376"/>
      <c r="DH603" s="1376">
        <f t="shared" si="17"/>
        <v>0</v>
      </c>
      <c r="DI603" s="1376"/>
      <c r="DJ603" s="1376"/>
      <c r="DK603" s="1376"/>
      <c r="DL603" s="1376"/>
      <c r="DM603" s="1376">
        <f t="shared" si="18"/>
        <v>0</v>
      </c>
      <c r="DN603" s="1376"/>
      <c r="DO603" s="1376"/>
      <c r="DP603" s="1376"/>
      <c r="DQ603" s="1376"/>
      <c r="DR603" s="1376">
        <f t="shared" si="19"/>
        <v>0</v>
      </c>
      <c r="DS603" s="1376"/>
      <c r="DT603" s="1376"/>
      <c r="DU603" s="1376"/>
      <c r="DV603" s="1376"/>
      <c r="DX603" s="1373" t="str">
        <f t="shared" si="20"/>
        <v/>
      </c>
      <c r="DY603" s="1374"/>
      <c r="DZ603" s="1374"/>
      <c r="EA603" s="1374"/>
      <c r="EB603" s="1375"/>
      <c r="EC603" s="1373">
        <f t="shared" si="21"/>
        <v>1101</v>
      </c>
      <c r="ED603" s="1374"/>
      <c r="EE603" s="1374"/>
      <c r="EF603" s="1374"/>
      <c r="EG603" s="1375"/>
      <c r="EH603" s="1373" t="str">
        <f t="shared" si="22"/>
        <v/>
      </c>
      <c r="EI603" s="1374"/>
      <c r="EJ603" s="1374"/>
      <c r="EK603" s="1374"/>
      <c r="EL603" s="1375"/>
      <c r="EM603" s="1373" t="str">
        <f t="shared" si="23"/>
        <v/>
      </c>
      <c r="EN603" s="1374"/>
      <c r="EO603" s="1374"/>
      <c r="EP603" s="1374"/>
      <c r="EQ603" s="1375"/>
      <c r="ER603" s="1373" t="str">
        <f t="shared" si="24"/>
        <v/>
      </c>
      <c r="ES603" s="1374"/>
      <c r="ET603" s="1374"/>
      <c r="EU603" s="1374"/>
      <c r="EV603" s="1375"/>
      <c r="EW603" s="1373" t="str">
        <f t="shared" si="25"/>
        <v/>
      </c>
      <c r="EX603" s="1374"/>
      <c r="EY603" s="1374"/>
      <c r="EZ603" s="1374"/>
      <c r="FA603" s="1375"/>
    </row>
    <row r="604" spans="1:157" ht="12.95" customHeight="1">
      <c r="A604" s="22"/>
      <c r="B604" t="s">
        <v>17</v>
      </c>
      <c r="G604" s="1412"/>
      <c r="H604" s="1412"/>
      <c r="I604" s="1412"/>
      <c r="J604" s="1412"/>
      <c r="K604" s="1412"/>
      <c r="L604" s="1412"/>
      <c r="M604" s="1412"/>
      <c r="N604" s="1412"/>
      <c r="O604" s="1412"/>
      <c r="P604" s="1412"/>
      <c r="Q604" s="1412"/>
      <c r="R604" s="1412"/>
      <c r="T604" s="22"/>
      <c r="U604" t="s">
        <v>17</v>
      </c>
      <c r="Z604" s="1479"/>
      <c r="AA604" s="1479"/>
      <c r="AB604" s="1479"/>
      <c r="AC604" s="1479"/>
      <c r="AD604" s="1479"/>
      <c r="AE604" s="1479"/>
      <c r="AF604" s="1479"/>
      <c r="AG604" s="1479"/>
      <c r="AH604" s="1479"/>
      <c r="AI604" s="1479"/>
      <c r="AJ604" s="1479"/>
      <c r="AK604" s="1479"/>
      <c r="AZ604" s="3"/>
      <c r="BA604" s="3"/>
      <c r="BB604" s="3"/>
      <c r="BC604" s="3"/>
      <c r="BD604" s="3"/>
      <c r="BE604" s="1373">
        <f t="shared" si="4"/>
        <v>0</v>
      </c>
      <c r="BF604" s="1375"/>
      <c r="BG604" s="1401">
        <f t="shared" si="5"/>
        <v>0</v>
      </c>
      <c r="BH604" s="1403"/>
      <c r="BI604" s="1373">
        <f t="shared" si="6"/>
        <v>0</v>
      </c>
      <c r="BJ604" s="1375"/>
      <c r="BK604" s="1401">
        <f t="shared" si="7"/>
        <v>0</v>
      </c>
      <c r="BL604" s="1403"/>
      <c r="BM604" s="3"/>
      <c r="BN604" s="1406">
        <f t="shared" si="8"/>
        <v>0</v>
      </c>
      <c r="BO604" s="1407"/>
      <c r="BP604" s="1407"/>
      <c r="BQ604" s="1407"/>
      <c r="BR604" s="1408"/>
      <c r="BS604" s="1404">
        <f t="shared" si="9"/>
        <v>12</v>
      </c>
      <c r="BT604" s="1404"/>
      <c r="BU604" s="1404"/>
      <c r="BV604" s="1404"/>
      <c r="BW604" s="1404"/>
      <c r="BX604" s="1404">
        <f t="shared" si="10"/>
        <v>0</v>
      </c>
      <c r="BY604" s="1404"/>
      <c r="BZ604" s="1404"/>
      <c r="CA604" s="1404"/>
      <c r="CB604" s="1404"/>
      <c r="CC604" s="1404">
        <f t="shared" si="11"/>
        <v>0</v>
      </c>
      <c r="CD604" s="1404"/>
      <c r="CE604" s="1404"/>
      <c r="CF604" s="1404"/>
      <c r="CG604" s="1404"/>
      <c r="CH604" s="1404">
        <f t="shared" si="12"/>
        <v>0</v>
      </c>
      <c r="CI604" s="1404"/>
      <c r="CJ604" s="1404"/>
      <c r="CK604" s="1404"/>
      <c r="CL604" s="1404"/>
      <c r="CM604" s="1404">
        <f t="shared" si="13"/>
        <v>0</v>
      </c>
      <c r="CN604" s="1404"/>
      <c r="CO604" s="1404"/>
      <c r="CP604" s="1404"/>
      <c r="CQ604" s="1404"/>
      <c r="CR604" s="6"/>
      <c r="CS604" s="1376">
        <f t="shared" si="14"/>
        <v>0</v>
      </c>
      <c r="CT604" s="1376"/>
      <c r="CU604" s="1376"/>
      <c r="CV604" s="1376"/>
      <c r="CW604" s="1376"/>
      <c r="CX604" s="1376">
        <f t="shared" si="15"/>
        <v>0</v>
      </c>
      <c r="CY604" s="1376"/>
      <c r="CZ604" s="1376"/>
      <c r="DA604" s="1376"/>
      <c r="DB604" s="1376"/>
      <c r="DC604" s="1376">
        <f t="shared" si="16"/>
        <v>0</v>
      </c>
      <c r="DD604" s="1376"/>
      <c r="DE604" s="1376"/>
      <c r="DF604" s="1376"/>
      <c r="DG604" s="1376"/>
      <c r="DH604" s="1376">
        <f t="shared" si="17"/>
        <v>0</v>
      </c>
      <c r="DI604" s="1376"/>
      <c r="DJ604" s="1376"/>
      <c r="DK604" s="1376"/>
      <c r="DL604" s="1376"/>
      <c r="DM604" s="1376">
        <f t="shared" si="18"/>
        <v>0</v>
      </c>
      <c r="DN604" s="1376"/>
      <c r="DO604" s="1376"/>
      <c r="DP604" s="1376"/>
      <c r="DQ604" s="1376"/>
      <c r="DR604" s="1376">
        <f t="shared" si="19"/>
        <v>0</v>
      </c>
      <c r="DS604" s="1376"/>
      <c r="DT604" s="1376"/>
      <c r="DU604" s="1376"/>
      <c r="DV604" s="1376"/>
      <c r="DX604" s="1373" t="str">
        <f t="shared" si="20"/>
        <v/>
      </c>
      <c r="DY604" s="1374"/>
      <c r="DZ604" s="1374"/>
      <c r="EA604" s="1374"/>
      <c r="EB604" s="1375"/>
      <c r="EC604" s="1373">
        <f t="shared" si="21"/>
        <v>2161</v>
      </c>
      <c r="ED604" s="1374"/>
      <c r="EE604" s="1374"/>
      <c r="EF604" s="1374"/>
      <c r="EG604" s="1375"/>
      <c r="EH604" s="1373" t="str">
        <f t="shared" si="22"/>
        <v/>
      </c>
      <c r="EI604" s="1374"/>
      <c r="EJ604" s="1374"/>
      <c r="EK604" s="1374"/>
      <c r="EL604" s="1375"/>
      <c r="EM604" s="1373" t="str">
        <f t="shared" si="23"/>
        <v/>
      </c>
      <c r="EN604" s="1374"/>
      <c r="EO604" s="1374"/>
      <c r="EP604" s="1374"/>
      <c r="EQ604" s="1375"/>
      <c r="ER604" s="1373" t="str">
        <f t="shared" si="24"/>
        <v/>
      </c>
      <c r="ES604" s="1374"/>
      <c r="ET604" s="1374"/>
      <c r="EU604" s="1374"/>
      <c r="EV604" s="1375"/>
      <c r="EW604" s="1373" t="str">
        <f t="shared" si="25"/>
        <v/>
      </c>
      <c r="EX604" s="1374"/>
      <c r="EY604" s="1374"/>
      <c r="EZ604" s="1374"/>
      <c r="FA604" s="1375"/>
    </row>
    <row r="605" spans="1:157" s="4" customFormat="1" ht="12.95" customHeight="1">
      <c r="A605" s="22"/>
      <c r="B605" t="s">
        <v>316</v>
      </c>
      <c r="C605"/>
      <c r="D605"/>
      <c r="E605"/>
      <c r="F605"/>
      <c r="G605" s="1517"/>
      <c r="H605" s="1517"/>
      <c r="I605" s="1517"/>
      <c r="J605" s="1517"/>
      <c r="K605" s="1517"/>
      <c r="L605" s="1517"/>
      <c r="M605"/>
      <c r="N605"/>
      <c r="O605" s="33" t="s">
        <v>206</v>
      </c>
      <c r="P605" s="1405"/>
      <c r="Q605" s="1405"/>
      <c r="R605" s="1405"/>
      <c r="S605"/>
      <c r="T605" s="22"/>
      <c r="U605" t="s">
        <v>316</v>
      </c>
      <c r="V605"/>
      <c r="W605"/>
      <c r="X605"/>
      <c r="Y605"/>
      <c r="Z605" s="1517"/>
      <c r="AA605" s="1517"/>
      <c r="AB605" s="1517"/>
      <c r="AC605" s="1517"/>
      <c r="AD605" s="1517"/>
      <c r="AE605" s="1517"/>
      <c r="AF605"/>
      <c r="AG605"/>
      <c r="AH605" s="33" t="s">
        <v>206</v>
      </c>
      <c r="AI605" s="1405"/>
      <c r="AJ605" s="1405"/>
      <c r="AK605" s="1405"/>
      <c r="AL605"/>
      <c r="AM605"/>
      <c r="AN605"/>
      <c r="AO605"/>
      <c r="AP605"/>
      <c r="AQ605"/>
      <c r="AR605"/>
      <c r="AS605"/>
      <c r="AT605"/>
      <c r="AU605"/>
      <c r="AV605"/>
      <c r="AW605"/>
      <c r="AX605"/>
      <c r="AY605"/>
      <c r="AZ605" s="3"/>
      <c r="BA605" s="3"/>
      <c r="BB605" s="3"/>
      <c r="BC605" s="3"/>
      <c r="BD605" s="3"/>
      <c r="BE605" s="1373">
        <f t="shared" si="4"/>
        <v>0</v>
      </c>
      <c r="BF605" s="1375"/>
      <c r="BG605" s="1401">
        <f t="shared" si="5"/>
        <v>0</v>
      </c>
      <c r="BH605" s="1403"/>
      <c r="BI605" s="1373">
        <f t="shared" si="6"/>
        <v>0</v>
      </c>
      <c r="BJ605" s="1375"/>
      <c r="BK605" s="1401">
        <f t="shared" si="7"/>
        <v>0</v>
      </c>
      <c r="BL605" s="1403"/>
      <c r="BM605" s="3"/>
      <c r="BN605" s="1406">
        <f t="shared" si="8"/>
        <v>0</v>
      </c>
      <c r="BO605" s="1407"/>
      <c r="BP605" s="1407"/>
      <c r="BQ605" s="1407"/>
      <c r="BR605" s="1408"/>
      <c r="BS605" s="1404">
        <f t="shared" si="9"/>
        <v>0</v>
      </c>
      <c r="BT605" s="1404"/>
      <c r="BU605" s="1404"/>
      <c r="BV605" s="1404"/>
      <c r="BW605" s="1404"/>
      <c r="BX605" s="1404">
        <f t="shared" si="10"/>
        <v>4</v>
      </c>
      <c r="BY605" s="1404"/>
      <c r="BZ605" s="1404"/>
      <c r="CA605" s="1404"/>
      <c r="CB605" s="1404"/>
      <c r="CC605" s="1404">
        <f t="shared" si="11"/>
        <v>0</v>
      </c>
      <c r="CD605" s="1404"/>
      <c r="CE605" s="1404"/>
      <c r="CF605" s="1404"/>
      <c r="CG605" s="1404"/>
      <c r="CH605" s="1404">
        <f t="shared" si="12"/>
        <v>0</v>
      </c>
      <c r="CI605" s="1404"/>
      <c r="CJ605" s="1404"/>
      <c r="CK605" s="1404"/>
      <c r="CL605" s="1404"/>
      <c r="CM605" s="1404">
        <f t="shared" si="13"/>
        <v>0</v>
      </c>
      <c r="CN605" s="1404"/>
      <c r="CO605" s="1404"/>
      <c r="CP605" s="1404"/>
      <c r="CQ605" s="1404"/>
      <c r="CR605" s="6"/>
      <c r="CS605" s="1376">
        <f t="shared" si="14"/>
        <v>0</v>
      </c>
      <c r="CT605" s="1376"/>
      <c r="CU605" s="1376"/>
      <c r="CV605" s="1376"/>
      <c r="CW605" s="1376"/>
      <c r="CX605" s="1376">
        <f t="shared" si="15"/>
        <v>0</v>
      </c>
      <c r="CY605" s="1376"/>
      <c r="CZ605" s="1376"/>
      <c r="DA605" s="1376"/>
      <c r="DB605" s="1376"/>
      <c r="DC605" s="1376">
        <f t="shared" si="16"/>
        <v>0</v>
      </c>
      <c r="DD605" s="1376"/>
      <c r="DE605" s="1376"/>
      <c r="DF605" s="1376"/>
      <c r="DG605" s="1376"/>
      <c r="DH605" s="1376">
        <f t="shared" si="17"/>
        <v>0</v>
      </c>
      <c r="DI605" s="1376"/>
      <c r="DJ605" s="1376"/>
      <c r="DK605" s="1376"/>
      <c r="DL605" s="1376"/>
      <c r="DM605" s="1376">
        <f t="shared" si="18"/>
        <v>0</v>
      </c>
      <c r="DN605" s="1376"/>
      <c r="DO605" s="1376"/>
      <c r="DP605" s="1376"/>
      <c r="DQ605" s="1376"/>
      <c r="DR605" s="1376">
        <f t="shared" si="19"/>
        <v>0</v>
      </c>
      <c r="DS605" s="1376"/>
      <c r="DT605" s="1376"/>
      <c r="DU605" s="1376"/>
      <c r="DV605" s="1376"/>
      <c r="DX605" s="1373" t="str">
        <f t="shared" si="20"/>
        <v/>
      </c>
      <c r="DY605" s="1374"/>
      <c r="DZ605" s="1374"/>
      <c r="EA605" s="1374"/>
      <c r="EB605" s="1375"/>
      <c r="EC605" s="1373" t="str">
        <f t="shared" si="21"/>
        <v/>
      </c>
      <c r="ED605" s="1374"/>
      <c r="EE605" s="1374"/>
      <c r="EF605" s="1374"/>
      <c r="EG605" s="1375"/>
      <c r="EH605" s="1373">
        <f t="shared" si="22"/>
        <v>2595</v>
      </c>
      <c r="EI605" s="1374"/>
      <c r="EJ605" s="1374"/>
      <c r="EK605" s="1374"/>
      <c r="EL605" s="1375"/>
      <c r="EM605" s="1373" t="str">
        <f t="shared" si="23"/>
        <v/>
      </c>
      <c r="EN605" s="1374"/>
      <c r="EO605" s="1374"/>
      <c r="EP605" s="1374"/>
      <c r="EQ605" s="1375"/>
      <c r="ER605" s="1373" t="str">
        <f t="shared" si="24"/>
        <v/>
      </c>
      <c r="ES605" s="1374"/>
      <c r="ET605" s="1374"/>
      <c r="EU605" s="1374"/>
      <c r="EV605" s="1375"/>
      <c r="EW605" s="1373" t="str">
        <f t="shared" si="25"/>
        <v/>
      </c>
      <c r="EX605" s="1374"/>
      <c r="EY605" s="1374"/>
      <c r="EZ605" s="1374"/>
      <c r="FA605" s="1375"/>
    </row>
    <row r="606" spans="1:157" s="4" customFormat="1" ht="12.95" customHeight="1">
      <c r="A606" s="22"/>
      <c r="B606" t="s">
        <v>18</v>
      </c>
      <c r="C606"/>
      <c r="D606"/>
      <c r="E606"/>
      <c r="F606"/>
      <c r="G606"/>
      <c r="H606" s="1412"/>
      <c r="I606" s="1412"/>
      <c r="J606" s="1412"/>
      <c r="K606" s="1412"/>
      <c r="L606" s="1412"/>
      <c r="M606" s="1412"/>
      <c r="N606" s="1412"/>
      <c r="O606" s="1412"/>
      <c r="P606" s="1412"/>
      <c r="Q606" s="1412"/>
      <c r="R606" s="1412"/>
      <c r="S606"/>
      <c r="T606" s="22"/>
      <c r="U606" t="s">
        <v>18</v>
      </c>
      <c r="V606"/>
      <c r="W606"/>
      <c r="X606"/>
      <c r="Y606"/>
      <c r="Z606"/>
      <c r="AA606" s="1412"/>
      <c r="AB606" s="1412"/>
      <c r="AC606" s="1412"/>
      <c r="AD606" s="1412"/>
      <c r="AE606" s="1412"/>
      <c r="AF606" s="1412"/>
      <c r="AG606" s="1412"/>
      <c r="AH606" s="1412"/>
      <c r="AI606" s="1412"/>
      <c r="AJ606" s="1412"/>
      <c r="AK606" s="1412"/>
      <c r="AL606"/>
      <c r="AM606"/>
      <c r="AN606"/>
      <c r="AO606"/>
      <c r="AP606"/>
      <c r="AQ606"/>
      <c r="AR606"/>
      <c r="AS606"/>
      <c r="AT606"/>
      <c r="AU606"/>
      <c r="AV606"/>
      <c r="AW606"/>
      <c r="AX606"/>
      <c r="AY606"/>
      <c r="AZ606" s="3"/>
      <c r="BA606" s="3"/>
      <c r="BB606" s="3"/>
      <c r="BC606" s="3"/>
      <c r="BD606" s="3"/>
      <c r="BE606" s="1373">
        <f t="shared" si="4"/>
        <v>0</v>
      </c>
      <c r="BF606" s="1375"/>
      <c r="BG606" s="1401">
        <f t="shared" si="5"/>
        <v>0</v>
      </c>
      <c r="BH606" s="1403"/>
      <c r="BI606" s="1373">
        <f t="shared" si="6"/>
        <v>0</v>
      </c>
      <c r="BJ606" s="1375"/>
      <c r="BK606" s="1401">
        <f t="shared" si="7"/>
        <v>0</v>
      </c>
      <c r="BL606" s="1403"/>
      <c r="BM606" s="3"/>
      <c r="BN606" s="1406">
        <f t="shared" si="8"/>
        <v>0</v>
      </c>
      <c r="BO606" s="1407"/>
      <c r="BP606" s="1407"/>
      <c r="BQ606" s="1407"/>
      <c r="BR606" s="1408"/>
      <c r="BS606" s="1404">
        <f t="shared" si="9"/>
        <v>0</v>
      </c>
      <c r="BT606" s="1404"/>
      <c r="BU606" s="1404"/>
      <c r="BV606" s="1404"/>
      <c r="BW606" s="1404"/>
      <c r="BX606" s="1404">
        <f t="shared" si="10"/>
        <v>0</v>
      </c>
      <c r="BY606" s="1404"/>
      <c r="BZ606" s="1404"/>
      <c r="CA606" s="1404"/>
      <c r="CB606" s="1404"/>
      <c r="CC606" s="1404">
        <f t="shared" si="11"/>
        <v>5</v>
      </c>
      <c r="CD606" s="1404"/>
      <c r="CE606" s="1404"/>
      <c r="CF606" s="1404"/>
      <c r="CG606" s="1404"/>
      <c r="CH606" s="1404">
        <f t="shared" si="12"/>
        <v>0</v>
      </c>
      <c r="CI606" s="1404"/>
      <c r="CJ606" s="1404"/>
      <c r="CK606" s="1404"/>
      <c r="CL606" s="1404"/>
      <c r="CM606" s="1404">
        <f t="shared" si="13"/>
        <v>0</v>
      </c>
      <c r="CN606" s="1404"/>
      <c r="CO606" s="1404"/>
      <c r="CP606" s="1404"/>
      <c r="CQ606" s="1404"/>
      <c r="CR606" s="6"/>
      <c r="CS606" s="1376">
        <f t="shared" si="14"/>
        <v>0</v>
      </c>
      <c r="CT606" s="1376"/>
      <c r="CU606" s="1376"/>
      <c r="CV606" s="1376"/>
      <c r="CW606" s="1376"/>
      <c r="CX606" s="1376">
        <f t="shared" si="15"/>
        <v>0</v>
      </c>
      <c r="CY606" s="1376"/>
      <c r="CZ606" s="1376"/>
      <c r="DA606" s="1376"/>
      <c r="DB606" s="1376"/>
      <c r="DC606" s="1376">
        <f t="shared" si="16"/>
        <v>0</v>
      </c>
      <c r="DD606" s="1376"/>
      <c r="DE606" s="1376"/>
      <c r="DF606" s="1376"/>
      <c r="DG606" s="1376"/>
      <c r="DH606" s="1376">
        <f t="shared" si="17"/>
        <v>0</v>
      </c>
      <c r="DI606" s="1376"/>
      <c r="DJ606" s="1376"/>
      <c r="DK606" s="1376"/>
      <c r="DL606" s="1376"/>
      <c r="DM606" s="1376">
        <f t="shared" si="18"/>
        <v>0</v>
      </c>
      <c r="DN606" s="1376"/>
      <c r="DO606" s="1376"/>
      <c r="DP606" s="1376"/>
      <c r="DQ606" s="1376"/>
      <c r="DR606" s="1376">
        <f t="shared" si="19"/>
        <v>0</v>
      </c>
      <c r="DS606" s="1376"/>
      <c r="DT606" s="1376"/>
      <c r="DU606" s="1376"/>
      <c r="DV606" s="1376"/>
      <c r="DX606" s="1373" t="str">
        <f t="shared" si="20"/>
        <v/>
      </c>
      <c r="DY606" s="1374"/>
      <c r="DZ606" s="1374"/>
      <c r="EA606" s="1374"/>
      <c r="EB606" s="1375"/>
      <c r="EC606" s="1373" t="str">
        <f t="shared" si="21"/>
        <v/>
      </c>
      <c r="ED606" s="1374"/>
      <c r="EE606" s="1374"/>
      <c r="EF606" s="1374"/>
      <c r="EG606" s="1375"/>
      <c r="EH606" s="1373" t="str">
        <f t="shared" si="22"/>
        <v/>
      </c>
      <c r="EI606" s="1374"/>
      <c r="EJ606" s="1374"/>
      <c r="EK606" s="1374"/>
      <c r="EL606" s="1375"/>
      <c r="EM606" s="1373">
        <f t="shared" si="23"/>
        <v>3011</v>
      </c>
      <c r="EN606" s="1374"/>
      <c r="EO606" s="1374"/>
      <c r="EP606" s="1374"/>
      <c r="EQ606" s="1375"/>
      <c r="ER606" s="1373" t="str">
        <f t="shared" si="24"/>
        <v/>
      </c>
      <c r="ES606" s="1374"/>
      <c r="ET606" s="1374"/>
      <c r="EU606" s="1374"/>
      <c r="EV606" s="1375"/>
      <c r="EW606" s="1373" t="str">
        <f t="shared" si="25"/>
        <v/>
      </c>
      <c r="EX606" s="1374"/>
      <c r="EY606" s="1374"/>
      <c r="EZ606" s="1374"/>
      <c r="FA606" s="1375"/>
    </row>
    <row r="607" spans="1:157" s="4" customFormat="1" ht="12.95" customHeight="1">
      <c r="A607" s="22"/>
      <c r="B607" t="s">
        <v>20</v>
      </c>
      <c r="C607"/>
      <c r="D607"/>
      <c r="E607"/>
      <c r="F607"/>
      <c r="G607"/>
      <c r="H607"/>
      <c r="I607"/>
      <c r="J607"/>
      <c r="K607"/>
      <c r="L607"/>
      <c r="M607"/>
      <c r="N607" s="1413" t="s">
        <v>676</v>
      </c>
      <c r="O607" s="1413"/>
      <c r="P607"/>
      <c r="Q607"/>
      <c r="R607"/>
      <c r="S607"/>
      <c r="T607" s="22"/>
      <c r="U607" t="s">
        <v>20</v>
      </c>
      <c r="V607"/>
      <c r="W607"/>
      <c r="X607"/>
      <c r="Y607"/>
      <c r="Z607"/>
      <c r="AA607"/>
      <c r="AB607"/>
      <c r="AC607"/>
      <c r="AD607"/>
      <c r="AE607"/>
      <c r="AF607"/>
      <c r="AG607" s="1413" t="s">
        <v>676</v>
      </c>
      <c r="AH607" s="1413"/>
      <c r="AI607"/>
      <c r="AJ607"/>
      <c r="AK607"/>
      <c r="AL607"/>
      <c r="AM607"/>
      <c r="AN607"/>
      <c r="AO607"/>
      <c r="AP607"/>
      <c r="AQ607"/>
      <c r="AR607"/>
      <c r="AS607"/>
      <c r="AT607"/>
      <c r="AU607"/>
      <c r="AV607"/>
      <c r="AW607"/>
      <c r="AX607"/>
      <c r="AY607"/>
      <c r="AZ607" s="3"/>
      <c r="BA607" s="3"/>
      <c r="BB607" s="3"/>
      <c r="BC607" s="3"/>
      <c r="BD607" s="3"/>
      <c r="BE607" s="1373">
        <f t="shared" si="4"/>
        <v>0</v>
      </c>
      <c r="BF607" s="1375"/>
      <c r="BG607" s="1401">
        <f t="shared" si="5"/>
        <v>0</v>
      </c>
      <c r="BH607" s="1403"/>
      <c r="BI607" s="1373">
        <f t="shared" si="6"/>
        <v>0</v>
      </c>
      <c r="BJ607" s="1375"/>
      <c r="BK607" s="1401">
        <f t="shared" si="7"/>
        <v>0</v>
      </c>
      <c r="BL607" s="1403"/>
      <c r="BM607" s="3"/>
      <c r="BN607" s="1406">
        <f t="shared" si="8"/>
        <v>0</v>
      </c>
      <c r="BO607" s="1407"/>
      <c r="BP607" s="1407"/>
      <c r="BQ607" s="1407"/>
      <c r="BR607" s="1408"/>
      <c r="BS607" s="1404">
        <f t="shared" si="9"/>
        <v>0</v>
      </c>
      <c r="BT607" s="1404"/>
      <c r="BU607" s="1404"/>
      <c r="BV607" s="1404"/>
      <c r="BW607" s="1404"/>
      <c r="BX607" s="1404">
        <f t="shared" si="10"/>
        <v>0</v>
      </c>
      <c r="BY607" s="1404"/>
      <c r="BZ607" s="1404"/>
      <c r="CA607" s="1404"/>
      <c r="CB607" s="1404"/>
      <c r="CC607" s="1404">
        <f t="shared" si="11"/>
        <v>0</v>
      </c>
      <c r="CD607" s="1404"/>
      <c r="CE607" s="1404"/>
      <c r="CF607" s="1404"/>
      <c r="CG607" s="1404"/>
      <c r="CH607" s="1404">
        <f t="shared" si="12"/>
        <v>0</v>
      </c>
      <c r="CI607" s="1404"/>
      <c r="CJ607" s="1404"/>
      <c r="CK607" s="1404"/>
      <c r="CL607" s="1404"/>
      <c r="CM607" s="1404">
        <f t="shared" si="13"/>
        <v>0</v>
      </c>
      <c r="CN607" s="1404"/>
      <c r="CO607" s="1404"/>
      <c r="CP607" s="1404"/>
      <c r="CQ607" s="1404"/>
      <c r="CR607" s="6"/>
      <c r="CS607" s="1376">
        <f t="shared" si="14"/>
        <v>0</v>
      </c>
      <c r="CT607" s="1376"/>
      <c r="CU607" s="1376"/>
      <c r="CV607" s="1376"/>
      <c r="CW607" s="1376"/>
      <c r="CX607" s="1376">
        <f t="shared" si="15"/>
        <v>0</v>
      </c>
      <c r="CY607" s="1376"/>
      <c r="CZ607" s="1376"/>
      <c r="DA607" s="1376"/>
      <c r="DB607" s="1376"/>
      <c r="DC607" s="1376">
        <f t="shared" si="16"/>
        <v>0</v>
      </c>
      <c r="DD607" s="1376"/>
      <c r="DE607" s="1376"/>
      <c r="DF607" s="1376"/>
      <c r="DG607" s="1376"/>
      <c r="DH607" s="1376">
        <f t="shared" si="17"/>
        <v>0</v>
      </c>
      <c r="DI607" s="1376"/>
      <c r="DJ607" s="1376"/>
      <c r="DK607" s="1376"/>
      <c r="DL607" s="1376"/>
      <c r="DM607" s="1376">
        <f t="shared" si="18"/>
        <v>0</v>
      </c>
      <c r="DN607" s="1376"/>
      <c r="DO607" s="1376"/>
      <c r="DP607" s="1376"/>
      <c r="DQ607" s="1376"/>
      <c r="DR607" s="1376">
        <f t="shared" si="19"/>
        <v>0</v>
      </c>
      <c r="DS607" s="1376"/>
      <c r="DT607" s="1376"/>
      <c r="DU607" s="1376"/>
      <c r="DV607" s="1376"/>
      <c r="DX607" s="1373" t="str">
        <f t="shared" si="20"/>
        <v/>
      </c>
      <c r="DY607" s="1374"/>
      <c r="DZ607" s="1374"/>
      <c r="EA607" s="1374"/>
      <c r="EB607" s="1375"/>
      <c r="EC607" s="1373" t="str">
        <f t="shared" si="21"/>
        <v/>
      </c>
      <c r="ED607" s="1374"/>
      <c r="EE607" s="1374"/>
      <c r="EF607" s="1374"/>
      <c r="EG607" s="1375"/>
      <c r="EH607" s="1373" t="str">
        <f t="shared" si="22"/>
        <v/>
      </c>
      <c r="EI607" s="1374"/>
      <c r="EJ607" s="1374"/>
      <c r="EK607" s="1374"/>
      <c r="EL607" s="1375"/>
      <c r="EM607" s="1373" t="str">
        <f t="shared" si="23"/>
        <v/>
      </c>
      <c r="EN607" s="1374"/>
      <c r="EO607" s="1374"/>
      <c r="EP607" s="1374"/>
      <c r="EQ607" s="1375"/>
      <c r="ER607" s="1373" t="str">
        <f t="shared" si="24"/>
        <v/>
      </c>
      <c r="ES607" s="1374"/>
      <c r="ET607" s="1374"/>
      <c r="EU607" s="1374"/>
      <c r="EV607" s="1375"/>
      <c r="EW607" s="1373" t="str">
        <f t="shared" si="25"/>
        <v/>
      </c>
      <c r="EX607" s="1374"/>
      <c r="EY607" s="1374"/>
      <c r="EZ607" s="1374"/>
      <c r="FA607" s="1375"/>
    </row>
    <row r="608" spans="1:157" ht="12.95" customHeight="1">
      <c r="A608" s="22"/>
      <c r="T608" s="22"/>
      <c r="AZ608" s="3"/>
      <c r="BA608" s="3"/>
      <c r="BB608" s="3"/>
      <c r="BC608" s="3"/>
      <c r="BD608" s="3"/>
      <c r="BE608" s="1373">
        <f t="shared" si="4"/>
        <v>0</v>
      </c>
      <c r="BF608" s="1375"/>
      <c r="BG608" s="1401">
        <f t="shared" si="5"/>
        <v>0</v>
      </c>
      <c r="BH608" s="1403"/>
      <c r="BI608" s="1373">
        <f t="shared" si="6"/>
        <v>0</v>
      </c>
      <c r="BJ608" s="1375"/>
      <c r="BK608" s="1401">
        <f t="shared" si="7"/>
        <v>0</v>
      </c>
      <c r="BL608" s="1403"/>
      <c r="BM608" s="3"/>
      <c r="BN608" s="1406">
        <f t="shared" si="8"/>
        <v>0</v>
      </c>
      <c r="BO608" s="1407"/>
      <c r="BP608" s="1407"/>
      <c r="BQ608" s="1407"/>
      <c r="BR608" s="1408"/>
      <c r="BS608" s="1404">
        <f t="shared" si="9"/>
        <v>0</v>
      </c>
      <c r="BT608" s="1404"/>
      <c r="BU608" s="1404"/>
      <c r="BV608" s="1404"/>
      <c r="BW608" s="1404"/>
      <c r="BX608" s="1404">
        <f t="shared" si="10"/>
        <v>0</v>
      </c>
      <c r="BY608" s="1404"/>
      <c r="BZ608" s="1404"/>
      <c r="CA608" s="1404"/>
      <c r="CB608" s="1404"/>
      <c r="CC608" s="1404">
        <f t="shared" si="11"/>
        <v>0</v>
      </c>
      <c r="CD608" s="1404"/>
      <c r="CE608" s="1404"/>
      <c r="CF608" s="1404"/>
      <c r="CG608" s="1404"/>
      <c r="CH608" s="1404">
        <f t="shared" si="12"/>
        <v>0</v>
      </c>
      <c r="CI608" s="1404"/>
      <c r="CJ608" s="1404"/>
      <c r="CK608" s="1404"/>
      <c r="CL608" s="1404"/>
      <c r="CM608" s="1404">
        <f t="shared" si="13"/>
        <v>0</v>
      </c>
      <c r="CN608" s="1404"/>
      <c r="CO608" s="1404"/>
      <c r="CP608" s="1404"/>
      <c r="CQ608" s="1404"/>
      <c r="CR608" s="6"/>
      <c r="CS608" s="1376">
        <f t="shared" si="14"/>
        <v>0</v>
      </c>
      <c r="CT608" s="1376"/>
      <c r="CU608" s="1376"/>
      <c r="CV608" s="1376"/>
      <c r="CW608" s="1376"/>
      <c r="CX608" s="1376">
        <f t="shared" si="15"/>
        <v>0</v>
      </c>
      <c r="CY608" s="1376"/>
      <c r="CZ608" s="1376"/>
      <c r="DA608" s="1376"/>
      <c r="DB608" s="1376"/>
      <c r="DC608" s="1376">
        <f t="shared" si="16"/>
        <v>0</v>
      </c>
      <c r="DD608" s="1376"/>
      <c r="DE608" s="1376"/>
      <c r="DF608" s="1376"/>
      <c r="DG608" s="1376"/>
      <c r="DH608" s="1376">
        <f t="shared" si="17"/>
        <v>0</v>
      </c>
      <c r="DI608" s="1376"/>
      <c r="DJ608" s="1376"/>
      <c r="DK608" s="1376"/>
      <c r="DL608" s="1376"/>
      <c r="DM608" s="1376">
        <f t="shared" si="18"/>
        <v>0</v>
      </c>
      <c r="DN608" s="1376"/>
      <c r="DO608" s="1376"/>
      <c r="DP608" s="1376"/>
      <c r="DQ608" s="1376"/>
      <c r="DR608" s="1376">
        <f t="shared" si="19"/>
        <v>0</v>
      </c>
      <c r="DS608" s="1376"/>
      <c r="DT608" s="1376"/>
      <c r="DU608" s="1376"/>
      <c r="DV608" s="1376"/>
      <c r="DX608" s="1373" t="str">
        <f t="shared" si="20"/>
        <v/>
      </c>
      <c r="DY608" s="1374"/>
      <c r="DZ608" s="1374"/>
      <c r="EA608" s="1374"/>
      <c r="EB608" s="1375"/>
      <c r="EC608" s="1373" t="str">
        <f t="shared" si="21"/>
        <v/>
      </c>
      <c r="ED608" s="1374"/>
      <c r="EE608" s="1374"/>
      <c r="EF608" s="1374"/>
      <c r="EG608" s="1375"/>
      <c r="EH608" s="1373" t="str">
        <f t="shared" si="22"/>
        <v/>
      </c>
      <c r="EI608" s="1374"/>
      <c r="EJ608" s="1374"/>
      <c r="EK608" s="1374"/>
      <c r="EL608" s="1375"/>
      <c r="EM608" s="1373" t="str">
        <f t="shared" si="23"/>
        <v/>
      </c>
      <c r="EN608" s="1374"/>
      <c r="EO608" s="1374"/>
      <c r="EP608" s="1374"/>
      <c r="EQ608" s="1375"/>
      <c r="ER608" s="1373" t="str">
        <f t="shared" si="24"/>
        <v/>
      </c>
      <c r="ES608" s="1374"/>
      <c r="ET608" s="1374"/>
      <c r="EU608" s="1374"/>
      <c r="EV608" s="1375"/>
      <c r="EW608" s="1373" t="str">
        <f t="shared" si="25"/>
        <v/>
      </c>
      <c r="EX608" s="1374"/>
      <c r="EY608" s="1374"/>
      <c r="EZ608" s="1374"/>
      <c r="FA608" s="1375"/>
    </row>
    <row r="609" spans="1:157" ht="12.95" customHeight="1">
      <c r="A609" s="55" t="s">
        <v>362</v>
      </c>
      <c r="B609" t="s">
        <v>470</v>
      </c>
      <c r="G609" s="1418">
        <f>C564</f>
        <v>0</v>
      </c>
      <c r="H609" s="1418"/>
      <c r="I609" s="1418"/>
      <c r="J609" s="1418"/>
      <c r="K609" s="1418"/>
      <c r="L609" s="1418"/>
      <c r="M609" s="1418"/>
      <c r="N609" s="1418"/>
      <c r="O609" s="1418"/>
      <c r="P609" s="1418"/>
      <c r="Q609" s="1418"/>
      <c r="R609" s="1418"/>
      <c r="T609" s="55" t="s">
        <v>363</v>
      </c>
      <c r="U609" t="s">
        <v>470</v>
      </c>
      <c r="Z609" s="1418">
        <f>C565</f>
        <v>0</v>
      </c>
      <c r="AA609" s="1418"/>
      <c r="AB609" s="1418"/>
      <c r="AC609" s="1418"/>
      <c r="AD609" s="1418"/>
      <c r="AE609" s="1418"/>
      <c r="AF609" s="1418"/>
      <c r="AG609" s="1418"/>
      <c r="AH609" s="1418"/>
      <c r="AI609" s="1418"/>
      <c r="AJ609" s="1418"/>
      <c r="AK609" s="1418"/>
      <c r="AZ609" s="3"/>
      <c r="BA609" s="3"/>
      <c r="BB609" s="3"/>
      <c r="BC609" s="3"/>
      <c r="BD609" s="3"/>
      <c r="BE609" s="1373">
        <f t="shared" si="4"/>
        <v>0</v>
      </c>
      <c r="BF609" s="1375"/>
      <c r="BG609" s="1401">
        <f t="shared" si="5"/>
        <v>0</v>
      </c>
      <c r="BH609" s="1403"/>
      <c r="BI609" s="1373">
        <f t="shared" si="6"/>
        <v>0</v>
      </c>
      <c r="BJ609" s="1375"/>
      <c r="BK609" s="1401">
        <f t="shared" si="7"/>
        <v>0</v>
      </c>
      <c r="BL609" s="1403"/>
      <c r="BM609" s="3"/>
      <c r="BN609" s="1406">
        <f t="shared" si="8"/>
        <v>0</v>
      </c>
      <c r="BO609" s="1407"/>
      <c r="BP609" s="1407"/>
      <c r="BQ609" s="1407"/>
      <c r="BR609" s="1408"/>
      <c r="BS609" s="1404">
        <f t="shared" si="9"/>
        <v>0</v>
      </c>
      <c r="BT609" s="1404"/>
      <c r="BU609" s="1404"/>
      <c r="BV609" s="1404"/>
      <c r="BW609" s="1404"/>
      <c r="BX609" s="1404">
        <f t="shared" si="10"/>
        <v>0</v>
      </c>
      <c r="BY609" s="1404"/>
      <c r="BZ609" s="1404"/>
      <c r="CA609" s="1404"/>
      <c r="CB609" s="1404"/>
      <c r="CC609" s="1404">
        <f t="shared" si="11"/>
        <v>0</v>
      </c>
      <c r="CD609" s="1404"/>
      <c r="CE609" s="1404"/>
      <c r="CF609" s="1404"/>
      <c r="CG609" s="1404"/>
      <c r="CH609" s="1404">
        <f t="shared" si="12"/>
        <v>0</v>
      </c>
      <c r="CI609" s="1404"/>
      <c r="CJ609" s="1404"/>
      <c r="CK609" s="1404"/>
      <c r="CL609" s="1404"/>
      <c r="CM609" s="1404">
        <f t="shared" si="13"/>
        <v>0</v>
      </c>
      <c r="CN609" s="1404"/>
      <c r="CO609" s="1404"/>
      <c r="CP609" s="1404"/>
      <c r="CQ609" s="1404"/>
      <c r="CR609" s="6"/>
      <c r="CS609" s="1376">
        <f t="shared" si="14"/>
        <v>0</v>
      </c>
      <c r="CT609" s="1376"/>
      <c r="CU609" s="1376"/>
      <c r="CV609" s="1376"/>
      <c r="CW609" s="1376"/>
      <c r="CX609" s="1376">
        <f t="shared" si="15"/>
        <v>0</v>
      </c>
      <c r="CY609" s="1376"/>
      <c r="CZ609" s="1376"/>
      <c r="DA609" s="1376"/>
      <c r="DB609" s="1376"/>
      <c r="DC609" s="1376">
        <f t="shared" si="16"/>
        <v>0</v>
      </c>
      <c r="DD609" s="1376"/>
      <c r="DE609" s="1376"/>
      <c r="DF609" s="1376"/>
      <c r="DG609" s="1376"/>
      <c r="DH609" s="1376">
        <f t="shared" si="17"/>
        <v>0</v>
      </c>
      <c r="DI609" s="1376"/>
      <c r="DJ609" s="1376"/>
      <c r="DK609" s="1376"/>
      <c r="DL609" s="1376"/>
      <c r="DM609" s="1376">
        <f t="shared" si="18"/>
        <v>0</v>
      </c>
      <c r="DN609" s="1376"/>
      <c r="DO609" s="1376"/>
      <c r="DP609" s="1376"/>
      <c r="DQ609" s="1376"/>
      <c r="DR609" s="1376">
        <f t="shared" si="19"/>
        <v>0</v>
      </c>
      <c r="DS609" s="1376"/>
      <c r="DT609" s="1376"/>
      <c r="DU609" s="1376"/>
      <c r="DV609" s="1376"/>
      <c r="DX609" s="1373" t="str">
        <f t="shared" si="20"/>
        <v/>
      </c>
      <c r="DY609" s="1374"/>
      <c r="DZ609" s="1374"/>
      <c r="EA609" s="1374"/>
      <c r="EB609" s="1375"/>
      <c r="EC609" s="1373" t="str">
        <f t="shared" si="21"/>
        <v/>
      </c>
      <c r="ED609" s="1374"/>
      <c r="EE609" s="1374"/>
      <c r="EF609" s="1374"/>
      <c r="EG609" s="1375"/>
      <c r="EH609" s="1373" t="str">
        <f t="shared" si="22"/>
        <v/>
      </c>
      <c r="EI609" s="1374"/>
      <c r="EJ609" s="1374"/>
      <c r="EK609" s="1374"/>
      <c r="EL609" s="1375"/>
      <c r="EM609" s="1373" t="str">
        <f t="shared" si="23"/>
        <v/>
      </c>
      <c r="EN609" s="1374"/>
      <c r="EO609" s="1374"/>
      <c r="EP609" s="1374"/>
      <c r="EQ609" s="1375"/>
      <c r="ER609" s="1373" t="str">
        <f t="shared" si="24"/>
        <v/>
      </c>
      <c r="ES609" s="1374"/>
      <c r="ET609" s="1374"/>
      <c r="EU609" s="1374"/>
      <c r="EV609" s="1375"/>
      <c r="EW609" s="1373" t="str">
        <f t="shared" si="25"/>
        <v/>
      </c>
      <c r="EX609" s="1374"/>
      <c r="EY609" s="1374"/>
      <c r="EZ609" s="1374"/>
      <c r="FA609" s="1375"/>
    </row>
    <row r="610" spans="1:157" ht="12.95" customHeight="1">
      <c r="B610" t="s">
        <v>85</v>
      </c>
      <c r="G610" s="1412" t="s">
        <v>598</v>
      </c>
      <c r="H610" s="1412"/>
      <c r="I610" s="1412"/>
      <c r="J610" s="1412"/>
      <c r="K610" s="1412"/>
      <c r="L610" s="1412"/>
      <c r="M610" s="1412"/>
      <c r="N610" s="1412"/>
      <c r="O610" s="1412"/>
      <c r="P610" s="1412"/>
      <c r="Q610" s="1412"/>
      <c r="R610" s="1412"/>
      <c r="U610" t="s">
        <v>85</v>
      </c>
      <c r="Z610" s="1412" t="s">
        <v>598</v>
      </c>
      <c r="AA610" s="1412"/>
      <c r="AB610" s="1412"/>
      <c r="AC610" s="1412"/>
      <c r="AD610" s="1412"/>
      <c r="AE610" s="1412"/>
      <c r="AF610" s="1412"/>
      <c r="AG610" s="1412"/>
      <c r="AH610" s="1412"/>
      <c r="AI610" s="1412"/>
      <c r="AJ610" s="1412"/>
      <c r="AK610" s="1412"/>
      <c r="AZ610" s="3"/>
      <c r="BA610" s="3"/>
      <c r="BB610" s="3"/>
      <c r="BC610" s="3"/>
      <c r="BD610" s="3"/>
      <c r="BE610" s="1373">
        <f t="shared" si="4"/>
        <v>0</v>
      </c>
      <c r="BF610" s="1375"/>
      <c r="BG610" s="1401">
        <f t="shared" si="5"/>
        <v>0</v>
      </c>
      <c r="BH610" s="1403"/>
      <c r="BI610" s="1373">
        <f t="shared" si="6"/>
        <v>0</v>
      </c>
      <c r="BJ610" s="1375"/>
      <c r="BK610" s="1401">
        <f t="shared" si="7"/>
        <v>0</v>
      </c>
      <c r="BL610" s="1403"/>
      <c r="BM610" s="3"/>
      <c r="BN610" s="1406">
        <f t="shared" si="8"/>
        <v>0</v>
      </c>
      <c r="BO610" s="1407"/>
      <c r="BP610" s="1407"/>
      <c r="BQ610" s="1407"/>
      <c r="BR610" s="1408"/>
      <c r="BS610" s="1404">
        <f t="shared" si="9"/>
        <v>0</v>
      </c>
      <c r="BT610" s="1404"/>
      <c r="BU610" s="1404"/>
      <c r="BV610" s="1404"/>
      <c r="BW610" s="1404"/>
      <c r="BX610" s="1404">
        <f t="shared" si="10"/>
        <v>0</v>
      </c>
      <c r="BY610" s="1404"/>
      <c r="BZ610" s="1404"/>
      <c r="CA610" s="1404"/>
      <c r="CB610" s="1404"/>
      <c r="CC610" s="1404">
        <f t="shared" si="11"/>
        <v>0</v>
      </c>
      <c r="CD610" s="1404"/>
      <c r="CE610" s="1404"/>
      <c r="CF610" s="1404"/>
      <c r="CG610" s="1404"/>
      <c r="CH610" s="1404">
        <f t="shared" si="12"/>
        <v>0</v>
      </c>
      <c r="CI610" s="1404"/>
      <c r="CJ610" s="1404"/>
      <c r="CK610" s="1404"/>
      <c r="CL610" s="1404"/>
      <c r="CM610" s="1404">
        <f t="shared" si="13"/>
        <v>0</v>
      </c>
      <c r="CN610" s="1404"/>
      <c r="CO610" s="1404"/>
      <c r="CP610" s="1404"/>
      <c r="CQ610" s="1404"/>
      <c r="CR610" s="6"/>
      <c r="CS610" s="1376">
        <f t="shared" si="14"/>
        <v>0</v>
      </c>
      <c r="CT610" s="1376"/>
      <c r="CU610" s="1376"/>
      <c r="CV610" s="1376"/>
      <c r="CW610" s="1376"/>
      <c r="CX610" s="1376">
        <f t="shared" si="15"/>
        <v>0</v>
      </c>
      <c r="CY610" s="1376"/>
      <c r="CZ610" s="1376"/>
      <c r="DA610" s="1376"/>
      <c r="DB610" s="1376"/>
      <c r="DC610" s="1376">
        <f t="shared" si="16"/>
        <v>0</v>
      </c>
      <c r="DD610" s="1376"/>
      <c r="DE610" s="1376"/>
      <c r="DF610" s="1376"/>
      <c r="DG610" s="1376"/>
      <c r="DH610" s="1376">
        <f t="shared" si="17"/>
        <v>0</v>
      </c>
      <c r="DI610" s="1376"/>
      <c r="DJ610" s="1376"/>
      <c r="DK610" s="1376"/>
      <c r="DL610" s="1376"/>
      <c r="DM610" s="1376">
        <f t="shared" si="18"/>
        <v>0</v>
      </c>
      <c r="DN610" s="1376"/>
      <c r="DO610" s="1376"/>
      <c r="DP610" s="1376"/>
      <c r="DQ610" s="1376"/>
      <c r="DR610" s="1376">
        <f t="shared" si="19"/>
        <v>0</v>
      </c>
      <c r="DS610" s="1376"/>
      <c r="DT610" s="1376"/>
      <c r="DU610" s="1376"/>
      <c r="DV610" s="1376"/>
      <c r="DX610" s="1373" t="str">
        <f t="shared" si="20"/>
        <v/>
      </c>
      <c r="DY610" s="1374"/>
      <c r="DZ610" s="1374"/>
      <c r="EA610" s="1374"/>
      <c r="EB610" s="1375"/>
      <c r="EC610" s="1373" t="str">
        <f t="shared" si="21"/>
        <v/>
      </c>
      <c r="ED610" s="1374"/>
      <c r="EE610" s="1374"/>
      <c r="EF610" s="1374"/>
      <c r="EG610" s="1375"/>
      <c r="EH610" s="1373" t="str">
        <f t="shared" si="22"/>
        <v/>
      </c>
      <c r="EI610" s="1374"/>
      <c r="EJ610" s="1374"/>
      <c r="EK610" s="1374"/>
      <c r="EL610" s="1375"/>
      <c r="EM610" s="1373" t="str">
        <f t="shared" si="23"/>
        <v/>
      </c>
      <c r="EN610" s="1374"/>
      <c r="EO610" s="1374"/>
      <c r="EP610" s="1374"/>
      <c r="EQ610" s="1375"/>
      <c r="ER610" s="1373" t="str">
        <f t="shared" si="24"/>
        <v/>
      </c>
      <c r="ES610" s="1374"/>
      <c r="ET610" s="1374"/>
      <c r="EU610" s="1374"/>
      <c r="EV610" s="1375"/>
      <c r="EW610" s="1373" t="str">
        <f t="shared" si="25"/>
        <v/>
      </c>
      <c r="EX610" s="1374"/>
      <c r="EY610" s="1374"/>
      <c r="EZ610" s="1374"/>
      <c r="FA610" s="1375"/>
    </row>
    <row r="611" spans="1:157" ht="12.95" customHeight="1">
      <c r="B611" t="s">
        <v>587</v>
      </c>
      <c r="G611" s="1412"/>
      <c r="H611" s="1412"/>
      <c r="I611" s="1412"/>
      <c r="J611" s="1412"/>
      <c r="K611" s="1412"/>
      <c r="L611" s="1412"/>
      <c r="M611" s="1412"/>
      <c r="N611" s="1412"/>
      <c r="O611" s="1412"/>
      <c r="P611" s="1412"/>
      <c r="Q611" s="1412"/>
      <c r="R611" s="1412"/>
      <c r="U611" t="s">
        <v>587</v>
      </c>
      <c r="Z611" s="1479"/>
      <c r="AA611" s="1479"/>
      <c r="AB611" s="1479"/>
      <c r="AC611" s="1479"/>
      <c r="AD611" s="1479"/>
      <c r="AE611" s="1479"/>
      <c r="AF611" s="1479"/>
      <c r="AG611" s="1479"/>
      <c r="AH611" s="1479"/>
      <c r="AI611" s="1479"/>
      <c r="AJ611" s="1479"/>
      <c r="AK611" s="1479"/>
      <c r="AZ611" s="3"/>
      <c r="BA611" s="3"/>
      <c r="BB611" s="3"/>
      <c r="BC611" s="3"/>
      <c r="BD611" s="3"/>
      <c r="BE611" s="1373">
        <f t="shared" si="4"/>
        <v>0</v>
      </c>
      <c r="BF611" s="1375"/>
      <c r="BG611" s="1401">
        <f t="shared" si="5"/>
        <v>0</v>
      </c>
      <c r="BH611" s="1403"/>
      <c r="BI611" s="1373">
        <f t="shared" si="6"/>
        <v>0</v>
      </c>
      <c r="BJ611" s="1375"/>
      <c r="BK611" s="1401">
        <f t="shared" si="7"/>
        <v>0</v>
      </c>
      <c r="BL611" s="1403"/>
      <c r="BM611" s="3"/>
      <c r="BN611" s="1406">
        <f t="shared" si="8"/>
        <v>0</v>
      </c>
      <c r="BO611" s="1407"/>
      <c r="BP611" s="1407"/>
      <c r="BQ611" s="1407"/>
      <c r="BR611" s="1408"/>
      <c r="BS611" s="1404">
        <f t="shared" si="9"/>
        <v>0</v>
      </c>
      <c r="BT611" s="1404"/>
      <c r="BU611" s="1404"/>
      <c r="BV611" s="1404"/>
      <c r="BW611" s="1404"/>
      <c r="BX611" s="1404">
        <f t="shared" si="10"/>
        <v>0</v>
      </c>
      <c r="BY611" s="1404"/>
      <c r="BZ611" s="1404"/>
      <c r="CA611" s="1404"/>
      <c r="CB611" s="1404"/>
      <c r="CC611" s="1404">
        <f t="shared" si="11"/>
        <v>0</v>
      </c>
      <c r="CD611" s="1404"/>
      <c r="CE611" s="1404"/>
      <c r="CF611" s="1404"/>
      <c r="CG611" s="1404"/>
      <c r="CH611" s="1404">
        <f t="shared" si="12"/>
        <v>0</v>
      </c>
      <c r="CI611" s="1404"/>
      <c r="CJ611" s="1404"/>
      <c r="CK611" s="1404"/>
      <c r="CL611" s="1404"/>
      <c r="CM611" s="1404">
        <f t="shared" si="13"/>
        <v>0</v>
      </c>
      <c r="CN611" s="1404"/>
      <c r="CO611" s="1404"/>
      <c r="CP611" s="1404"/>
      <c r="CQ611" s="1404"/>
      <c r="CR611" s="6"/>
      <c r="CS611" s="1376">
        <f t="shared" si="14"/>
        <v>0</v>
      </c>
      <c r="CT611" s="1376"/>
      <c r="CU611" s="1376"/>
      <c r="CV611" s="1376"/>
      <c r="CW611" s="1376"/>
      <c r="CX611" s="1376">
        <f t="shared" si="15"/>
        <v>0</v>
      </c>
      <c r="CY611" s="1376"/>
      <c r="CZ611" s="1376"/>
      <c r="DA611" s="1376"/>
      <c r="DB611" s="1376"/>
      <c r="DC611" s="1376">
        <f t="shared" si="16"/>
        <v>0</v>
      </c>
      <c r="DD611" s="1376"/>
      <c r="DE611" s="1376"/>
      <c r="DF611" s="1376"/>
      <c r="DG611" s="1376"/>
      <c r="DH611" s="1376">
        <f t="shared" si="17"/>
        <v>0</v>
      </c>
      <c r="DI611" s="1376"/>
      <c r="DJ611" s="1376"/>
      <c r="DK611" s="1376"/>
      <c r="DL611" s="1376"/>
      <c r="DM611" s="1376">
        <f t="shared" si="18"/>
        <v>0</v>
      </c>
      <c r="DN611" s="1376"/>
      <c r="DO611" s="1376"/>
      <c r="DP611" s="1376"/>
      <c r="DQ611" s="1376"/>
      <c r="DR611" s="1376">
        <f t="shared" si="19"/>
        <v>0</v>
      </c>
      <c r="DS611" s="1376"/>
      <c r="DT611" s="1376"/>
      <c r="DU611" s="1376"/>
      <c r="DV611" s="1376"/>
      <c r="DX611" s="1373" t="str">
        <f t="shared" si="20"/>
        <v/>
      </c>
      <c r="DY611" s="1374"/>
      <c r="DZ611" s="1374"/>
      <c r="EA611" s="1374"/>
      <c r="EB611" s="1375"/>
      <c r="EC611" s="1373" t="str">
        <f t="shared" si="21"/>
        <v/>
      </c>
      <c r="ED611" s="1374"/>
      <c r="EE611" s="1374"/>
      <c r="EF611" s="1374"/>
      <c r="EG611" s="1375"/>
      <c r="EH611" s="1373" t="str">
        <f t="shared" si="22"/>
        <v/>
      </c>
      <c r="EI611" s="1374"/>
      <c r="EJ611" s="1374"/>
      <c r="EK611" s="1374"/>
      <c r="EL611" s="1375"/>
      <c r="EM611" s="1373" t="str">
        <f t="shared" si="23"/>
        <v/>
      </c>
      <c r="EN611" s="1374"/>
      <c r="EO611" s="1374"/>
      <c r="EP611" s="1374"/>
      <c r="EQ611" s="1375"/>
      <c r="ER611" s="1373" t="str">
        <f t="shared" si="24"/>
        <v/>
      </c>
      <c r="ES611" s="1374"/>
      <c r="ET611" s="1374"/>
      <c r="EU611" s="1374"/>
      <c r="EV611" s="1375"/>
      <c r="EW611" s="1373" t="str">
        <f t="shared" si="25"/>
        <v/>
      </c>
      <c r="EX611" s="1374"/>
      <c r="EY611" s="1374"/>
      <c r="EZ611" s="1374"/>
      <c r="FA611" s="1375"/>
    </row>
    <row r="612" spans="1:157" ht="12.95" customHeight="1">
      <c r="B612" t="s">
        <v>17</v>
      </c>
      <c r="G612" s="1412"/>
      <c r="H612" s="1412"/>
      <c r="I612" s="1412"/>
      <c r="J612" s="1412"/>
      <c r="K612" s="1412"/>
      <c r="L612" s="1412"/>
      <c r="M612" s="1412"/>
      <c r="N612" s="1412"/>
      <c r="O612" s="1412"/>
      <c r="P612" s="1412"/>
      <c r="Q612" s="1412"/>
      <c r="R612" s="1412"/>
      <c r="U612" t="s">
        <v>17</v>
      </c>
      <c r="Z612" s="1479"/>
      <c r="AA612" s="1479"/>
      <c r="AB612" s="1479"/>
      <c r="AC612" s="1479"/>
      <c r="AD612" s="1479"/>
      <c r="AE612" s="1479"/>
      <c r="AF612" s="1479"/>
      <c r="AG612" s="1479"/>
      <c r="AH612" s="1479"/>
      <c r="AI612" s="1479"/>
      <c r="AJ612" s="1479"/>
      <c r="AK612" s="1479"/>
      <c r="AZ612" s="3"/>
      <c r="BA612" s="3"/>
      <c r="BB612" s="3"/>
      <c r="BC612" s="3"/>
      <c r="BD612" s="3"/>
      <c r="BE612" s="1373">
        <f t="shared" si="4"/>
        <v>0</v>
      </c>
      <c r="BF612" s="1375"/>
      <c r="BG612" s="1401">
        <f t="shared" si="5"/>
        <v>0</v>
      </c>
      <c r="BH612" s="1403"/>
      <c r="BI612" s="1373">
        <f t="shared" si="6"/>
        <v>0</v>
      </c>
      <c r="BJ612" s="1375"/>
      <c r="BK612" s="1401">
        <f t="shared" si="7"/>
        <v>0</v>
      </c>
      <c r="BL612" s="1403"/>
      <c r="BM612" s="3"/>
      <c r="BN612" s="1406">
        <f t="shared" si="8"/>
        <v>0</v>
      </c>
      <c r="BO612" s="1407"/>
      <c r="BP612" s="1407"/>
      <c r="BQ612" s="1407"/>
      <c r="BR612" s="1408"/>
      <c r="BS612" s="1404">
        <f t="shared" si="9"/>
        <v>0</v>
      </c>
      <c r="BT612" s="1404"/>
      <c r="BU612" s="1404"/>
      <c r="BV612" s="1404"/>
      <c r="BW612" s="1404"/>
      <c r="BX612" s="1404">
        <f t="shared" si="10"/>
        <v>0</v>
      </c>
      <c r="BY612" s="1404"/>
      <c r="BZ612" s="1404"/>
      <c r="CA612" s="1404"/>
      <c r="CB612" s="1404"/>
      <c r="CC612" s="1404">
        <f t="shared" si="11"/>
        <v>0</v>
      </c>
      <c r="CD612" s="1404"/>
      <c r="CE612" s="1404"/>
      <c r="CF612" s="1404"/>
      <c r="CG612" s="1404"/>
      <c r="CH612" s="1404">
        <f t="shared" si="12"/>
        <v>0</v>
      </c>
      <c r="CI612" s="1404"/>
      <c r="CJ612" s="1404"/>
      <c r="CK612" s="1404"/>
      <c r="CL612" s="1404"/>
      <c r="CM612" s="1404">
        <f t="shared" si="13"/>
        <v>0</v>
      </c>
      <c r="CN612" s="1404"/>
      <c r="CO612" s="1404"/>
      <c r="CP612" s="1404"/>
      <c r="CQ612" s="1404"/>
      <c r="CR612" s="6"/>
      <c r="CS612" s="1376">
        <f t="shared" si="14"/>
        <v>0</v>
      </c>
      <c r="CT612" s="1376"/>
      <c r="CU612" s="1376"/>
      <c r="CV612" s="1376"/>
      <c r="CW612" s="1376"/>
      <c r="CX612" s="1376">
        <f t="shared" si="15"/>
        <v>0</v>
      </c>
      <c r="CY612" s="1376"/>
      <c r="CZ612" s="1376"/>
      <c r="DA612" s="1376"/>
      <c r="DB612" s="1376"/>
      <c r="DC612" s="1376">
        <f t="shared" si="16"/>
        <v>0</v>
      </c>
      <c r="DD612" s="1376"/>
      <c r="DE612" s="1376"/>
      <c r="DF612" s="1376"/>
      <c r="DG612" s="1376"/>
      <c r="DH612" s="1376">
        <f t="shared" si="17"/>
        <v>0</v>
      </c>
      <c r="DI612" s="1376"/>
      <c r="DJ612" s="1376"/>
      <c r="DK612" s="1376"/>
      <c r="DL612" s="1376"/>
      <c r="DM612" s="1376">
        <f t="shared" si="18"/>
        <v>0</v>
      </c>
      <c r="DN612" s="1376"/>
      <c r="DO612" s="1376"/>
      <c r="DP612" s="1376"/>
      <c r="DQ612" s="1376"/>
      <c r="DR612" s="1376">
        <f t="shared" si="19"/>
        <v>0</v>
      </c>
      <c r="DS612" s="1376"/>
      <c r="DT612" s="1376"/>
      <c r="DU612" s="1376"/>
      <c r="DV612" s="1376"/>
      <c r="DX612" s="1373" t="str">
        <f t="shared" si="20"/>
        <v/>
      </c>
      <c r="DY612" s="1374"/>
      <c r="DZ612" s="1374"/>
      <c r="EA612" s="1374"/>
      <c r="EB612" s="1375"/>
      <c r="EC612" s="1373" t="str">
        <f t="shared" si="21"/>
        <v/>
      </c>
      <c r="ED612" s="1374"/>
      <c r="EE612" s="1374"/>
      <c r="EF612" s="1374"/>
      <c r="EG612" s="1375"/>
      <c r="EH612" s="1373" t="str">
        <f t="shared" si="22"/>
        <v/>
      </c>
      <c r="EI612" s="1374"/>
      <c r="EJ612" s="1374"/>
      <c r="EK612" s="1374"/>
      <c r="EL612" s="1375"/>
      <c r="EM612" s="1373" t="str">
        <f t="shared" si="23"/>
        <v/>
      </c>
      <c r="EN612" s="1374"/>
      <c r="EO612" s="1374"/>
      <c r="EP612" s="1374"/>
      <c r="EQ612" s="1375"/>
      <c r="ER612" s="1373" t="str">
        <f t="shared" si="24"/>
        <v/>
      </c>
      <c r="ES612" s="1374"/>
      <c r="ET612" s="1374"/>
      <c r="EU612" s="1374"/>
      <c r="EV612" s="1375"/>
      <c r="EW612" s="1373" t="str">
        <f t="shared" si="25"/>
        <v/>
      </c>
      <c r="EX612" s="1374"/>
      <c r="EY612" s="1374"/>
      <c r="EZ612" s="1374"/>
      <c r="FA612" s="1375"/>
    </row>
    <row r="613" spans="1:157" ht="12.95" customHeight="1">
      <c r="B613" t="s">
        <v>316</v>
      </c>
      <c r="G613" s="1517"/>
      <c r="H613" s="1517"/>
      <c r="I613" s="1517"/>
      <c r="J613" s="1517"/>
      <c r="K613" s="1517"/>
      <c r="L613" s="1517"/>
      <c r="O613" s="33" t="s">
        <v>206</v>
      </c>
      <c r="P613" s="1405"/>
      <c r="Q613" s="1405"/>
      <c r="R613" s="1405"/>
      <c r="U613" t="s">
        <v>316</v>
      </c>
      <c r="Z613" s="1517"/>
      <c r="AA613" s="1517"/>
      <c r="AB613" s="1517"/>
      <c r="AC613" s="1517"/>
      <c r="AD613" s="1517"/>
      <c r="AE613" s="1517"/>
      <c r="AH613" s="33" t="s">
        <v>206</v>
      </c>
      <c r="AI613" s="1405"/>
      <c r="AJ613" s="1405"/>
      <c r="AK613" s="1405"/>
      <c r="AZ613" s="3"/>
      <c r="BA613" s="3"/>
      <c r="BB613" s="3"/>
      <c r="BC613" s="3"/>
      <c r="BD613" s="3"/>
      <c r="BE613" s="1373">
        <f t="shared" si="4"/>
        <v>0</v>
      </c>
      <c r="BF613" s="1375"/>
      <c r="BG613" s="1401">
        <f t="shared" si="5"/>
        <v>0</v>
      </c>
      <c r="BH613" s="1403"/>
      <c r="BI613" s="1373">
        <f t="shared" si="6"/>
        <v>0</v>
      </c>
      <c r="BJ613" s="1375"/>
      <c r="BK613" s="1401">
        <f t="shared" si="7"/>
        <v>0</v>
      </c>
      <c r="BL613" s="1403"/>
      <c r="BM613" s="3"/>
      <c r="BN613" s="1406">
        <f t="shared" si="8"/>
        <v>0</v>
      </c>
      <c r="BO613" s="1407"/>
      <c r="BP613" s="1407"/>
      <c r="BQ613" s="1407"/>
      <c r="BR613" s="1408"/>
      <c r="BS613" s="1404">
        <f t="shared" si="9"/>
        <v>0</v>
      </c>
      <c r="BT613" s="1404"/>
      <c r="BU613" s="1404"/>
      <c r="BV613" s="1404"/>
      <c r="BW613" s="1404"/>
      <c r="BX613" s="1404">
        <f t="shared" si="10"/>
        <v>0</v>
      </c>
      <c r="BY613" s="1404"/>
      <c r="BZ613" s="1404"/>
      <c r="CA613" s="1404"/>
      <c r="CB613" s="1404"/>
      <c r="CC613" s="1404">
        <f t="shared" si="11"/>
        <v>0</v>
      </c>
      <c r="CD613" s="1404"/>
      <c r="CE613" s="1404"/>
      <c r="CF613" s="1404"/>
      <c r="CG613" s="1404"/>
      <c r="CH613" s="1404">
        <f t="shared" si="12"/>
        <v>0</v>
      </c>
      <c r="CI613" s="1404"/>
      <c r="CJ613" s="1404"/>
      <c r="CK613" s="1404"/>
      <c r="CL613" s="1404"/>
      <c r="CM613" s="1404">
        <f t="shared" si="13"/>
        <v>0</v>
      </c>
      <c r="CN613" s="1404"/>
      <c r="CO613" s="1404"/>
      <c r="CP613" s="1404"/>
      <c r="CQ613" s="1404"/>
      <c r="CR613" s="6"/>
      <c r="CS613" s="1376">
        <f t="shared" si="14"/>
        <v>0</v>
      </c>
      <c r="CT613" s="1376"/>
      <c r="CU613" s="1376"/>
      <c r="CV613" s="1376"/>
      <c r="CW613" s="1376"/>
      <c r="CX613" s="1376">
        <f t="shared" si="15"/>
        <v>0</v>
      </c>
      <c r="CY613" s="1376"/>
      <c r="CZ613" s="1376"/>
      <c r="DA613" s="1376"/>
      <c r="DB613" s="1376"/>
      <c r="DC613" s="1376">
        <f t="shared" si="16"/>
        <v>0</v>
      </c>
      <c r="DD613" s="1376"/>
      <c r="DE613" s="1376"/>
      <c r="DF613" s="1376"/>
      <c r="DG613" s="1376"/>
      <c r="DH613" s="1376">
        <f t="shared" si="17"/>
        <v>0</v>
      </c>
      <c r="DI613" s="1376"/>
      <c r="DJ613" s="1376"/>
      <c r="DK613" s="1376"/>
      <c r="DL613" s="1376"/>
      <c r="DM613" s="1376">
        <f t="shared" si="18"/>
        <v>0</v>
      </c>
      <c r="DN613" s="1376"/>
      <c r="DO613" s="1376"/>
      <c r="DP613" s="1376"/>
      <c r="DQ613" s="1376"/>
      <c r="DR613" s="1376">
        <f t="shared" si="19"/>
        <v>0</v>
      </c>
      <c r="DS613" s="1376"/>
      <c r="DT613" s="1376"/>
      <c r="DU613" s="1376"/>
      <c r="DV613" s="1376"/>
      <c r="DX613" s="1373" t="str">
        <f t="shared" si="20"/>
        <v/>
      </c>
      <c r="DY613" s="1374"/>
      <c r="DZ613" s="1374"/>
      <c r="EA613" s="1374"/>
      <c r="EB613" s="1375"/>
      <c r="EC613" s="1373" t="str">
        <f t="shared" si="21"/>
        <v/>
      </c>
      <c r="ED613" s="1374"/>
      <c r="EE613" s="1374"/>
      <c r="EF613" s="1374"/>
      <c r="EG613" s="1375"/>
      <c r="EH613" s="1373" t="str">
        <f t="shared" si="22"/>
        <v/>
      </c>
      <c r="EI613" s="1374"/>
      <c r="EJ613" s="1374"/>
      <c r="EK613" s="1374"/>
      <c r="EL613" s="1375"/>
      <c r="EM613" s="1373" t="str">
        <f t="shared" si="23"/>
        <v/>
      </c>
      <c r="EN613" s="1374"/>
      <c r="EO613" s="1374"/>
      <c r="EP613" s="1374"/>
      <c r="EQ613" s="1375"/>
      <c r="ER613" s="1373" t="str">
        <f t="shared" si="24"/>
        <v/>
      </c>
      <c r="ES613" s="1374"/>
      <c r="ET613" s="1374"/>
      <c r="EU613" s="1374"/>
      <c r="EV613" s="1375"/>
      <c r="EW613" s="1373" t="str">
        <f t="shared" si="25"/>
        <v/>
      </c>
      <c r="EX613" s="1374"/>
      <c r="EY613" s="1374"/>
      <c r="EZ613" s="1374"/>
      <c r="FA613" s="1375"/>
    </row>
    <row r="614" spans="1:157" ht="12.95" customHeight="1">
      <c r="B614" t="s">
        <v>18</v>
      </c>
      <c r="H614" s="1412"/>
      <c r="I614" s="1412"/>
      <c r="J614" s="1412"/>
      <c r="K614" s="1412"/>
      <c r="L614" s="1412"/>
      <c r="M614" s="1412"/>
      <c r="N614" s="1412"/>
      <c r="O614" s="1412"/>
      <c r="P614" s="1412"/>
      <c r="Q614" s="1412"/>
      <c r="R614" s="1412"/>
      <c r="U614" t="s">
        <v>18</v>
      </c>
      <c r="AA614" s="1412"/>
      <c r="AB614" s="1412"/>
      <c r="AC614" s="1412"/>
      <c r="AD614" s="1412"/>
      <c r="AE614" s="1412"/>
      <c r="AF614" s="1412"/>
      <c r="AG614" s="1412"/>
      <c r="AH614" s="1412"/>
      <c r="AI614" s="1412"/>
      <c r="AJ614" s="1412"/>
      <c r="AK614" s="1412"/>
      <c r="AU614" s="934"/>
      <c r="AV614" s="934"/>
      <c r="AW614" s="934"/>
      <c r="AX614" s="934"/>
      <c r="AY614" s="934"/>
      <c r="AZ614" s="3"/>
      <c r="BA614" s="3"/>
      <c r="BB614" s="3"/>
      <c r="BC614" s="3"/>
      <c r="BD614" s="3"/>
      <c r="BE614" s="1373">
        <f t="shared" si="4"/>
        <v>0</v>
      </c>
      <c r="BF614" s="1375"/>
      <c r="BG614" s="1401">
        <f t="shared" si="5"/>
        <v>0</v>
      </c>
      <c r="BH614" s="1403"/>
      <c r="BI614" s="1373">
        <f t="shared" si="6"/>
        <v>0</v>
      </c>
      <c r="BJ614" s="1375"/>
      <c r="BK614" s="1401">
        <f t="shared" si="7"/>
        <v>0</v>
      </c>
      <c r="BL614" s="1403"/>
      <c r="BM614" s="3"/>
      <c r="BN614" s="1406">
        <f t="shared" si="8"/>
        <v>0</v>
      </c>
      <c r="BO614" s="1407"/>
      <c r="BP614" s="1407"/>
      <c r="BQ614" s="1407"/>
      <c r="BR614" s="1408"/>
      <c r="BS614" s="1404">
        <f t="shared" si="9"/>
        <v>0</v>
      </c>
      <c r="BT614" s="1404"/>
      <c r="BU614" s="1404"/>
      <c r="BV614" s="1404"/>
      <c r="BW614" s="1404"/>
      <c r="BX614" s="1404">
        <f t="shared" si="10"/>
        <v>0</v>
      </c>
      <c r="BY614" s="1404"/>
      <c r="BZ614" s="1404"/>
      <c r="CA614" s="1404"/>
      <c r="CB614" s="1404"/>
      <c r="CC614" s="1404">
        <f t="shared" si="11"/>
        <v>0</v>
      </c>
      <c r="CD614" s="1404"/>
      <c r="CE614" s="1404"/>
      <c r="CF614" s="1404"/>
      <c r="CG614" s="1404"/>
      <c r="CH614" s="1404">
        <f t="shared" si="12"/>
        <v>0</v>
      </c>
      <c r="CI614" s="1404"/>
      <c r="CJ614" s="1404"/>
      <c r="CK614" s="1404"/>
      <c r="CL614" s="1404"/>
      <c r="CM614" s="1404">
        <f t="shared" si="13"/>
        <v>0</v>
      </c>
      <c r="CN614" s="1404"/>
      <c r="CO614" s="1404"/>
      <c r="CP614" s="1404"/>
      <c r="CQ614" s="1404"/>
      <c r="CR614" s="6"/>
      <c r="CS614" s="1376">
        <f t="shared" si="14"/>
        <v>0</v>
      </c>
      <c r="CT614" s="1376"/>
      <c r="CU614" s="1376"/>
      <c r="CV614" s="1376"/>
      <c r="CW614" s="1376"/>
      <c r="CX614" s="1376">
        <f t="shared" si="15"/>
        <v>0</v>
      </c>
      <c r="CY614" s="1376"/>
      <c r="CZ614" s="1376"/>
      <c r="DA614" s="1376"/>
      <c r="DB614" s="1376"/>
      <c r="DC614" s="1376">
        <f t="shared" si="16"/>
        <v>0</v>
      </c>
      <c r="DD614" s="1376"/>
      <c r="DE614" s="1376"/>
      <c r="DF614" s="1376"/>
      <c r="DG614" s="1376"/>
      <c r="DH614" s="1376">
        <f t="shared" si="17"/>
        <v>0</v>
      </c>
      <c r="DI614" s="1376"/>
      <c r="DJ614" s="1376"/>
      <c r="DK614" s="1376"/>
      <c r="DL614" s="1376"/>
      <c r="DM614" s="1376">
        <f t="shared" si="18"/>
        <v>0</v>
      </c>
      <c r="DN614" s="1376"/>
      <c r="DO614" s="1376"/>
      <c r="DP614" s="1376"/>
      <c r="DQ614" s="1376"/>
      <c r="DR614" s="1376">
        <f t="shared" si="19"/>
        <v>0</v>
      </c>
      <c r="DS614" s="1376"/>
      <c r="DT614" s="1376"/>
      <c r="DU614" s="1376"/>
      <c r="DV614" s="1376"/>
      <c r="DX614" s="1373" t="str">
        <f t="shared" si="20"/>
        <v/>
      </c>
      <c r="DY614" s="1374"/>
      <c r="DZ614" s="1374"/>
      <c r="EA614" s="1374"/>
      <c r="EB614" s="1375"/>
      <c r="EC614" s="1373" t="str">
        <f t="shared" si="21"/>
        <v/>
      </c>
      <c r="ED614" s="1374"/>
      <c r="EE614" s="1374"/>
      <c r="EF614" s="1374"/>
      <c r="EG614" s="1375"/>
      <c r="EH614" s="1373" t="str">
        <f t="shared" si="22"/>
        <v/>
      </c>
      <c r="EI614" s="1374"/>
      <c r="EJ614" s="1374"/>
      <c r="EK614" s="1374"/>
      <c r="EL614" s="1375"/>
      <c r="EM614" s="1373" t="str">
        <f t="shared" si="23"/>
        <v/>
      </c>
      <c r="EN614" s="1374"/>
      <c r="EO614" s="1374"/>
      <c r="EP614" s="1374"/>
      <c r="EQ614" s="1375"/>
      <c r="ER614" s="1373" t="str">
        <f t="shared" si="24"/>
        <v/>
      </c>
      <c r="ES614" s="1374"/>
      <c r="ET614" s="1374"/>
      <c r="EU614" s="1374"/>
      <c r="EV614" s="1375"/>
      <c r="EW614" s="1373" t="str">
        <f t="shared" si="25"/>
        <v/>
      </c>
      <c r="EX614" s="1374"/>
      <c r="EY614" s="1374"/>
      <c r="EZ614" s="1374"/>
      <c r="FA614" s="1375"/>
    </row>
    <row r="615" spans="1:157" ht="12.95" customHeight="1">
      <c r="B615" t="s">
        <v>20</v>
      </c>
      <c r="N615" s="1413" t="s">
        <v>676</v>
      </c>
      <c r="O615" s="1413"/>
      <c r="U615" t="s">
        <v>20</v>
      </c>
      <c r="AG615" s="1413" t="s">
        <v>676</v>
      </c>
      <c r="AH615" s="1413"/>
      <c r="AU615" s="934"/>
      <c r="AV615" s="934"/>
      <c r="AW615" s="934"/>
      <c r="AX615" s="934"/>
      <c r="AY615" s="934"/>
      <c r="AZ615" s="3"/>
      <c r="BA615" s="3"/>
      <c r="BB615" s="3"/>
      <c r="BC615" s="3"/>
      <c r="BD615" s="3"/>
      <c r="BE615" s="1373">
        <f t="shared" si="4"/>
        <v>0</v>
      </c>
      <c r="BF615" s="1375"/>
      <c r="BG615" s="1401">
        <f t="shared" si="5"/>
        <v>0</v>
      </c>
      <c r="BH615" s="1403"/>
      <c r="BI615" s="1373">
        <f t="shared" si="6"/>
        <v>0</v>
      </c>
      <c r="BJ615" s="1375"/>
      <c r="BK615" s="1401">
        <f t="shared" si="7"/>
        <v>0</v>
      </c>
      <c r="BL615" s="1403"/>
      <c r="BM615" s="3"/>
      <c r="BN615" s="1406">
        <f t="shared" si="8"/>
        <v>0</v>
      </c>
      <c r="BO615" s="1407"/>
      <c r="BP615" s="1407"/>
      <c r="BQ615" s="1407"/>
      <c r="BR615" s="1408"/>
      <c r="BS615" s="1404">
        <f t="shared" si="9"/>
        <v>0</v>
      </c>
      <c r="BT615" s="1404"/>
      <c r="BU615" s="1404"/>
      <c r="BV615" s="1404"/>
      <c r="BW615" s="1404"/>
      <c r="BX615" s="1404">
        <f t="shared" si="10"/>
        <v>0</v>
      </c>
      <c r="BY615" s="1404"/>
      <c r="BZ615" s="1404"/>
      <c r="CA615" s="1404"/>
      <c r="CB615" s="1404"/>
      <c r="CC615" s="1404">
        <f t="shared" si="11"/>
        <v>0</v>
      </c>
      <c r="CD615" s="1404"/>
      <c r="CE615" s="1404"/>
      <c r="CF615" s="1404"/>
      <c r="CG615" s="1404"/>
      <c r="CH615" s="1404">
        <f t="shared" si="12"/>
        <v>0</v>
      </c>
      <c r="CI615" s="1404"/>
      <c r="CJ615" s="1404"/>
      <c r="CK615" s="1404"/>
      <c r="CL615" s="1404"/>
      <c r="CM615" s="1404">
        <f t="shared" si="13"/>
        <v>0</v>
      </c>
      <c r="CN615" s="1404"/>
      <c r="CO615" s="1404"/>
      <c r="CP615" s="1404"/>
      <c r="CQ615" s="1404"/>
      <c r="CR615" s="6"/>
      <c r="CS615" s="1376">
        <f t="shared" si="14"/>
        <v>0</v>
      </c>
      <c r="CT615" s="1376"/>
      <c r="CU615" s="1376"/>
      <c r="CV615" s="1376"/>
      <c r="CW615" s="1376"/>
      <c r="CX615" s="1376">
        <f t="shared" si="15"/>
        <v>0</v>
      </c>
      <c r="CY615" s="1376"/>
      <c r="CZ615" s="1376"/>
      <c r="DA615" s="1376"/>
      <c r="DB615" s="1376"/>
      <c r="DC615" s="1376">
        <f t="shared" si="16"/>
        <v>0</v>
      </c>
      <c r="DD615" s="1376"/>
      <c r="DE615" s="1376"/>
      <c r="DF615" s="1376"/>
      <c r="DG615" s="1376"/>
      <c r="DH615" s="1376">
        <f t="shared" si="17"/>
        <v>0</v>
      </c>
      <c r="DI615" s="1376"/>
      <c r="DJ615" s="1376"/>
      <c r="DK615" s="1376"/>
      <c r="DL615" s="1376"/>
      <c r="DM615" s="1376">
        <f t="shared" si="18"/>
        <v>0</v>
      </c>
      <c r="DN615" s="1376"/>
      <c r="DO615" s="1376"/>
      <c r="DP615" s="1376"/>
      <c r="DQ615" s="1376"/>
      <c r="DR615" s="1376">
        <f t="shared" si="19"/>
        <v>0</v>
      </c>
      <c r="DS615" s="1376"/>
      <c r="DT615" s="1376"/>
      <c r="DU615" s="1376"/>
      <c r="DV615" s="1376"/>
      <c r="DX615" s="1373" t="str">
        <f t="shared" si="20"/>
        <v/>
      </c>
      <c r="DY615" s="1374"/>
      <c r="DZ615" s="1374"/>
      <c r="EA615" s="1374"/>
      <c r="EB615" s="1375"/>
      <c r="EC615" s="1373" t="str">
        <f t="shared" si="21"/>
        <v/>
      </c>
      <c r="ED615" s="1374"/>
      <c r="EE615" s="1374"/>
      <c r="EF615" s="1374"/>
      <c r="EG615" s="1375"/>
      <c r="EH615" s="1373" t="str">
        <f t="shared" si="22"/>
        <v/>
      </c>
      <c r="EI615" s="1374"/>
      <c r="EJ615" s="1374"/>
      <c r="EK615" s="1374"/>
      <c r="EL615" s="1375"/>
      <c r="EM615" s="1373" t="str">
        <f t="shared" si="23"/>
        <v/>
      </c>
      <c r="EN615" s="1374"/>
      <c r="EO615" s="1374"/>
      <c r="EP615" s="1374"/>
      <c r="EQ615" s="1375"/>
      <c r="ER615" s="1373" t="str">
        <f t="shared" si="24"/>
        <v/>
      </c>
      <c r="ES615" s="1374"/>
      <c r="ET615" s="1374"/>
      <c r="EU615" s="1374"/>
      <c r="EV615" s="1375"/>
      <c r="EW615" s="1373" t="str">
        <f t="shared" si="25"/>
        <v/>
      </c>
      <c r="EX615" s="1374"/>
      <c r="EY615" s="1374"/>
      <c r="EZ615" s="1374"/>
      <c r="FA615" s="1375"/>
    </row>
    <row r="616" spans="1:157" ht="12.95" customHeight="1">
      <c r="AZ616" s="3"/>
      <c r="BA616" s="3"/>
      <c r="BB616" s="3"/>
      <c r="BC616" s="3"/>
      <c r="BD616" s="3"/>
      <c r="BE616" s="1373">
        <f t="shared" si="4"/>
        <v>0</v>
      </c>
      <c r="BF616" s="1375"/>
      <c r="BG616" s="1401">
        <f t="shared" si="5"/>
        <v>0</v>
      </c>
      <c r="BH616" s="1403"/>
      <c r="BI616" s="1373">
        <f t="shared" si="6"/>
        <v>0</v>
      </c>
      <c r="BJ616" s="1375"/>
      <c r="BK616" s="1401">
        <f t="shared" si="7"/>
        <v>0</v>
      </c>
      <c r="BL616" s="1403"/>
      <c r="BM616" s="3"/>
      <c r="BN616" s="1406">
        <f t="shared" si="8"/>
        <v>0</v>
      </c>
      <c r="BO616" s="1407"/>
      <c r="BP616" s="1407"/>
      <c r="BQ616" s="1407"/>
      <c r="BR616" s="1408"/>
      <c r="BS616" s="1404">
        <f t="shared" si="9"/>
        <v>0</v>
      </c>
      <c r="BT616" s="1404"/>
      <c r="BU616" s="1404"/>
      <c r="BV616" s="1404"/>
      <c r="BW616" s="1404"/>
      <c r="BX616" s="1404">
        <f t="shared" si="10"/>
        <v>0</v>
      </c>
      <c r="BY616" s="1404"/>
      <c r="BZ616" s="1404"/>
      <c r="CA616" s="1404"/>
      <c r="CB616" s="1404"/>
      <c r="CC616" s="1404">
        <f t="shared" si="11"/>
        <v>0</v>
      </c>
      <c r="CD616" s="1404"/>
      <c r="CE616" s="1404"/>
      <c r="CF616" s="1404"/>
      <c r="CG616" s="1404"/>
      <c r="CH616" s="1404">
        <f t="shared" si="12"/>
        <v>0</v>
      </c>
      <c r="CI616" s="1404"/>
      <c r="CJ616" s="1404"/>
      <c r="CK616" s="1404"/>
      <c r="CL616" s="1404"/>
      <c r="CM616" s="1404">
        <f t="shared" si="13"/>
        <v>0</v>
      </c>
      <c r="CN616" s="1404"/>
      <c r="CO616" s="1404"/>
      <c r="CP616" s="1404"/>
      <c r="CQ616" s="1404"/>
      <c r="CR616" s="6"/>
      <c r="CS616" s="1376">
        <f t="shared" si="14"/>
        <v>0</v>
      </c>
      <c r="CT616" s="1376"/>
      <c r="CU616" s="1376"/>
      <c r="CV616" s="1376"/>
      <c r="CW616" s="1376"/>
      <c r="CX616" s="1376">
        <f t="shared" si="15"/>
        <v>0</v>
      </c>
      <c r="CY616" s="1376"/>
      <c r="CZ616" s="1376"/>
      <c r="DA616" s="1376"/>
      <c r="DB616" s="1376"/>
      <c r="DC616" s="1376">
        <f t="shared" si="16"/>
        <v>0</v>
      </c>
      <c r="DD616" s="1376"/>
      <c r="DE616" s="1376"/>
      <c r="DF616" s="1376"/>
      <c r="DG616" s="1376"/>
      <c r="DH616" s="1376">
        <f t="shared" si="17"/>
        <v>0</v>
      </c>
      <c r="DI616" s="1376"/>
      <c r="DJ616" s="1376"/>
      <c r="DK616" s="1376"/>
      <c r="DL616" s="1376"/>
      <c r="DM616" s="1376">
        <f t="shared" si="18"/>
        <v>0</v>
      </c>
      <c r="DN616" s="1376"/>
      <c r="DO616" s="1376"/>
      <c r="DP616" s="1376"/>
      <c r="DQ616" s="1376"/>
      <c r="DR616" s="1376">
        <f t="shared" si="19"/>
        <v>0</v>
      </c>
      <c r="DS616" s="1376"/>
      <c r="DT616" s="1376"/>
      <c r="DU616" s="1376"/>
      <c r="DV616" s="1376"/>
      <c r="DX616" s="1373" t="str">
        <f t="shared" si="20"/>
        <v/>
      </c>
      <c r="DY616" s="1374"/>
      <c r="DZ616" s="1374"/>
      <c r="EA616" s="1374"/>
      <c r="EB616" s="1375"/>
      <c r="EC616" s="1373" t="str">
        <f t="shared" si="21"/>
        <v/>
      </c>
      <c r="ED616" s="1374"/>
      <c r="EE616" s="1374"/>
      <c r="EF616" s="1374"/>
      <c r="EG616" s="1375"/>
      <c r="EH616" s="1373" t="str">
        <f t="shared" si="22"/>
        <v/>
      </c>
      <c r="EI616" s="1374"/>
      <c r="EJ616" s="1374"/>
      <c r="EK616" s="1374"/>
      <c r="EL616" s="1375"/>
      <c r="EM616" s="1373" t="str">
        <f t="shared" si="23"/>
        <v/>
      </c>
      <c r="EN616" s="1374"/>
      <c r="EO616" s="1374"/>
      <c r="EP616" s="1374"/>
      <c r="EQ616" s="1375"/>
      <c r="ER616" s="1373" t="str">
        <f t="shared" si="24"/>
        <v/>
      </c>
      <c r="ES616" s="1374"/>
      <c r="ET616" s="1374"/>
      <c r="EU616" s="1374"/>
      <c r="EV616" s="1375"/>
      <c r="EW616" s="1373" t="str">
        <f t="shared" si="25"/>
        <v/>
      </c>
      <c r="EX616" s="1374"/>
      <c r="EY616" s="1374"/>
      <c r="EZ616" s="1374"/>
      <c r="FA616" s="1375"/>
    </row>
    <row r="617" spans="1:157" ht="12.95" customHeight="1">
      <c r="A617" s="1277" t="s">
        <v>551</v>
      </c>
      <c r="B617" s="1277"/>
      <c r="C617" s="1277"/>
      <c r="D617" s="1277"/>
      <c r="E617" s="1277"/>
      <c r="F617" s="1277"/>
      <c r="G617" s="1277"/>
      <c r="H617" s="1277"/>
      <c r="I617" s="1277"/>
      <c r="J617" s="1277"/>
      <c r="K617" s="1277"/>
      <c r="L617" s="1277"/>
      <c r="M617" s="1277"/>
      <c r="N617" s="1277"/>
      <c r="O617" s="1277"/>
      <c r="P617" s="1277"/>
      <c r="Q617" s="1277"/>
      <c r="R617" s="1277"/>
      <c r="S617" s="1277"/>
      <c r="T617" s="1277"/>
      <c r="U617" s="1277"/>
      <c r="V617" s="1277"/>
      <c r="W617" s="1277"/>
      <c r="X617" s="1277"/>
      <c r="Y617" s="1277"/>
      <c r="Z617" s="1277"/>
      <c r="AA617" s="1277"/>
      <c r="AB617" s="1277"/>
      <c r="AC617" s="1277"/>
      <c r="AD617" s="1277"/>
      <c r="AE617" s="1277"/>
      <c r="AF617" s="1277"/>
      <c r="AG617" s="1277"/>
      <c r="AH617" s="1277"/>
      <c r="AI617" s="1277"/>
      <c r="AJ617" s="1277"/>
      <c r="AK617" s="1277"/>
      <c r="AL617" s="1277"/>
      <c r="AM617" s="1277"/>
      <c r="AN617" s="1277"/>
      <c r="AO617" s="1277"/>
      <c r="AP617" s="1277"/>
      <c r="AQ617" s="1277"/>
      <c r="AR617" s="1277"/>
      <c r="AS617" s="1277"/>
      <c r="AT617" s="1277"/>
      <c r="AZ617" s="3"/>
      <c r="BA617" s="3"/>
      <c r="BB617" s="3"/>
      <c r="BC617" s="3"/>
      <c r="BD617" s="3"/>
      <c r="BE617" s="1373">
        <f t="shared" si="4"/>
        <v>0</v>
      </c>
      <c r="BF617" s="1375"/>
      <c r="BG617" s="1401">
        <f t="shared" si="5"/>
        <v>0</v>
      </c>
      <c r="BH617" s="1403"/>
      <c r="BI617" s="1373">
        <f t="shared" si="6"/>
        <v>0</v>
      </c>
      <c r="BJ617" s="1375"/>
      <c r="BK617" s="1401">
        <f t="shared" si="7"/>
        <v>0</v>
      </c>
      <c r="BL617" s="1403"/>
      <c r="BM617" s="3"/>
      <c r="BN617" s="1406">
        <f t="shared" si="8"/>
        <v>0</v>
      </c>
      <c r="BO617" s="1407"/>
      <c r="BP617" s="1407"/>
      <c r="BQ617" s="1407"/>
      <c r="BR617" s="1408"/>
      <c r="BS617" s="1404">
        <f t="shared" si="9"/>
        <v>0</v>
      </c>
      <c r="BT617" s="1404"/>
      <c r="BU617" s="1404"/>
      <c r="BV617" s="1404"/>
      <c r="BW617" s="1404"/>
      <c r="BX617" s="1404">
        <f t="shared" si="10"/>
        <v>0</v>
      </c>
      <c r="BY617" s="1404"/>
      <c r="BZ617" s="1404"/>
      <c r="CA617" s="1404"/>
      <c r="CB617" s="1404"/>
      <c r="CC617" s="1404">
        <f t="shared" si="11"/>
        <v>0</v>
      </c>
      <c r="CD617" s="1404"/>
      <c r="CE617" s="1404"/>
      <c r="CF617" s="1404"/>
      <c r="CG617" s="1404"/>
      <c r="CH617" s="1404">
        <f t="shared" si="12"/>
        <v>0</v>
      </c>
      <c r="CI617" s="1404"/>
      <c r="CJ617" s="1404"/>
      <c r="CK617" s="1404"/>
      <c r="CL617" s="1404"/>
      <c r="CM617" s="1404">
        <f t="shared" si="13"/>
        <v>0</v>
      </c>
      <c r="CN617" s="1404"/>
      <c r="CO617" s="1404"/>
      <c r="CP617" s="1404"/>
      <c r="CQ617" s="1404"/>
      <c r="CR617" s="6"/>
      <c r="CS617" s="1376">
        <f t="shared" si="14"/>
        <v>0</v>
      </c>
      <c r="CT617" s="1376"/>
      <c r="CU617" s="1376"/>
      <c r="CV617" s="1376"/>
      <c r="CW617" s="1376"/>
      <c r="CX617" s="1376">
        <f t="shared" si="15"/>
        <v>0</v>
      </c>
      <c r="CY617" s="1376"/>
      <c r="CZ617" s="1376"/>
      <c r="DA617" s="1376"/>
      <c r="DB617" s="1376"/>
      <c r="DC617" s="1376">
        <f t="shared" si="16"/>
        <v>0</v>
      </c>
      <c r="DD617" s="1376"/>
      <c r="DE617" s="1376"/>
      <c r="DF617" s="1376"/>
      <c r="DG617" s="1376"/>
      <c r="DH617" s="1376">
        <f t="shared" si="17"/>
        <v>0</v>
      </c>
      <c r="DI617" s="1376"/>
      <c r="DJ617" s="1376"/>
      <c r="DK617" s="1376"/>
      <c r="DL617" s="1376"/>
      <c r="DM617" s="1376">
        <f t="shared" si="18"/>
        <v>0</v>
      </c>
      <c r="DN617" s="1376"/>
      <c r="DO617" s="1376"/>
      <c r="DP617" s="1376"/>
      <c r="DQ617" s="1376"/>
      <c r="DR617" s="1376">
        <f t="shared" si="19"/>
        <v>0</v>
      </c>
      <c r="DS617" s="1376"/>
      <c r="DT617" s="1376"/>
      <c r="DU617" s="1376"/>
      <c r="DV617" s="1376"/>
      <c r="DX617" s="1373" t="str">
        <f t="shared" si="20"/>
        <v/>
      </c>
      <c r="DY617" s="1374"/>
      <c r="DZ617" s="1374"/>
      <c r="EA617" s="1374"/>
      <c r="EB617" s="1375"/>
      <c r="EC617" s="1373" t="str">
        <f t="shared" si="21"/>
        <v/>
      </c>
      <c r="ED617" s="1374"/>
      <c r="EE617" s="1374"/>
      <c r="EF617" s="1374"/>
      <c r="EG617" s="1375"/>
      <c r="EH617" s="1373" t="str">
        <f t="shared" si="22"/>
        <v/>
      </c>
      <c r="EI617" s="1374"/>
      <c r="EJ617" s="1374"/>
      <c r="EK617" s="1374"/>
      <c r="EL617" s="1375"/>
      <c r="EM617" s="1373" t="str">
        <f t="shared" si="23"/>
        <v/>
      </c>
      <c r="EN617" s="1374"/>
      <c r="EO617" s="1374"/>
      <c r="EP617" s="1374"/>
      <c r="EQ617" s="1375"/>
      <c r="ER617" s="1373" t="str">
        <f t="shared" si="24"/>
        <v/>
      </c>
      <c r="ES617" s="1374"/>
      <c r="ET617" s="1374"/>
      <c r="EU617" s="1374"/>
      <c r="EV617" s="1375"/>
      <c r="EW617" s="1373" t="str">
        <f t="shared" si="25"/>
        <v/>
      </c>
      <c r="EX617" s="1374"/>
      <c r="EY617" s="1374"/>
      <c r="EZ617" s="1374"/>
      <c r="FA617" s="1375"/>
    </row>
    <row r="618" spans="1:157" ht="12.95" customHeight="1">
      <c r="A618" s="1277"/>
      <c r="B618" s="1277"/>
      <c r="C618" s="1277"/>
      <c r="D618" s="1277"/>
      <c r="E618" s="1277"/>
      <c r="F618" s="1277"/>
      <c r="G618" s="1277"/>
      <c r="H618" s="1277"/>
      <c r="I618" s="1277"/>
      <c r="J618" s="1277"/>
      <c r="K618" s="1277"/>
      <c r="L618" s="1277"/>
      <c r="M618" s="1277"/>
      <c r="N618" s="1277"/>
      <c r="O618" s="1277"/>
      <c r="P618" s="1277"/>
      <c r="Q618" s="1277"/>
      <c r="R618" s="1277"/>
      <c r="S618" s="1277"/>
      <c r="T618" s="1277"/>
      <c r="U618" s="1277"/>
      <c r="V618" s="1277"/>
      <c r="W618" s="1277"/>
      <c r="X618" s="1277"/>
      <c r="Y618" s="1277"/>
      <c r="Z618" s="1277"/>
      <c r="AA618" s="1277"/>
      <c r="AB618" s="1277"/>
      <c r="AC618" s="1277"/>
      <c r="AD618" s="1277"/>
      <c r="AE618" s="1277"/>
      <c r="AF618" s="1277"/>
      <c r="AG618" s="1277"/>
      <c r="AH618" s="1277"/>
      <c r="AI618" s="1277"/>
      <c r="AJ618" s="1277"/>
      <c r="AK618" s="1277"/>
      <c r="AL618" s="1277"/>
      <c r="AM618" s="1277"/>
      <c r="AN618" s="1277"/>
      <c r="AO618" s="1277"/>
      <c r="AP618" s="1277"/>
      <c r="AQ618" s="1277"/>
      <c r="AR618" s="1277"/>
      <c r="AS618" s="1277"/>
      <c r="AT618" s="1277"/>
      <c r="AZ618" s="3"/>
      <c r="BA618" s="3"/>
      <c r="BB618" s="3"/>
      <c r="BC618" s="3"/>
      <c r="BD618" s="3"/>
      <c r="BE618" s="1373">
        <f t="shared" si="4"/>
        <v>0</v>
      </c>
      <c r="BF618" s="1375"/>
      <c r="BG618" s="1401">
        <f t="shared" si="5"/>
        <v>0</v>
      </c>
      <c r="BH618" s="1403"/>
      <c r="BI618" s="1373">
        <f t="shared" si="6"/>
        <v>0</v>
      </c>
      <c r="BJ618" s="1375"/>
      <c r="BK618" s="1401">
        <f t="shared" si="7"/>
        <v>0</v>
      </c>
      <c r="BL618" s="1403"/>
      <c r="BM618" s="3"/>
      <c r="BN618" s="1406">
        <f t="shared" si="8"/>
        <v>0</v>
      </c>
      <c r="BO618" s="1407"/>
      <c r="BP618" s="1407"/>
      <c r="BQ618" s="1407"/>
      <c r="BR618" s="1408"/>
      <c r="BS618" s="1404">
        <f t="shared" si="9"/>
        <v>0</v>
      </c>
      <c r="BT618" s="1404"/>
      <c r="BU618" s="1404"/>
      <c r="BV618" s="1404"/>
      <c r="BW618" s="1404"/>
      <c r="BX618" s="1404">
        <f t="shared" si="10"/>
        <v>0</v>
      </c>
      <c r="BY618" s="1404"/>
      <c r="BZ618" s="1404"/>
      <c r="CA618" s="1404"/>
      <c r="CB618" s="1404"/>
      <c r="CC618" s="1404">
        <f t="shared" si="11"/>
        <v>0</v>
      </c>
      <c r="CD618" s="1404"/>
      <c r="CE618" s="1404"/>
      <c r="CF618" s="1404"/>
      <c r="CG618" s="1404"/>
      <c r="CH618" s="1404">
        <f t="shared" si="12"/>
        <v>0</v>
      </c>
      <c r="CI618" s="1404"/>
      <c r="CJ618" s="1404"/>
      <c r="CK618" s="1404"/>
      <c r="CL618" s="1404"/>
      <c r="CM618" s="1404">
        <f t="shared" si="13"/>
        <v>0</v>
      </c>
      <c r="CN618" s="1404"/>
      <c r="CO618" s="1404"/>
      <c r="CP618" s="1404"/>
      <c r="CQ618" s="1404"/>
      <c r="CR618" s="6"/>
      <c r="CS618" s="1376">
        <f t="shared" si="14"/>
        <v>0</v>
      </c>
      <c r="CT618" s="1376"/>
      <c r="CU618" s="1376"/>
      <c r="CV618" s="1376"/>
      <c r="CW618" s="1376"/>
      <c r="CX618" s="1376">
        <f t="shared" si="15"/>
        <v>0</v>
      </c>
      <c r="CY618" s="1376"/>
      <c r="CZ618" s="1376"/>
      <c r="DA618" s="1376"/>
      <c r="DB618" s="1376"/>
      <c r="DC618" s="1376">
        <f t="shared" si="16"/>
        <v>0</v>
      </c>
      <c r="DD618" s="1376"/>
      <c r="DE618" s="1376"/>
      <c r="DF618" s="1376"/>
      <c r="DG618" s="1376"/>
      <c r="DH618" s="1376">
        <f t="shared" si="17"/>
        <v>0</v>
      </c>
      <c r="DI618" s="1376"/>
      <c r="DJ618" s="1376"/>
      <c r="DK618" s="1376"/>
      <c r="DL618" s="1376"/>
      <c r="DM618" s="1376">
        <f t="shared" si="18"/>
        <v>0</v>
      </c>
      <c r="DN618" s="1376"/>
      <c r="DO618" s="1376"/>
      <c r="DP618" s="1376"/>
      <c r="DQ618" s="1376"/>
      <c r="DR618" s="1376">
        <f t="shared" si="19"/>
        <v>0</v>
      </c>
      <c r="DS618" s="1376"/>
      <c r="DT618" s="1376"/>
      <c r="DU618" s="1376"/>
      <c r="DV618" s="1376"/>
      <c r="DX618" s="1373" t="str">
        <f t="shared" si="20"/>
        <v/>
      </c>
      <c r="DY618" s="1374"/>
      <c r="DZ618" s="1374"/>
      <c r="EA618" s="1374"/>
      <c r="EB618" s="1375"/>
      <c r="EC618" s="1373" t="str">
        <f t="shared" si="21"/>
        <v/>
      </c>
      <c r="ED618" s="1374"/>
      <c r="EE618" s="1374"/>
      <c r="EF618" s="1374"/>
      <c r="EG618" s="1375"/>
      <c r="EH618" s="1373" t="str">
        <f t="shared" si="22"/>
        <v/>
      </c>
      <c r="EI618" s="1374"/>
      <c r="EJ618" s="1374"/>
      <c r="EK618" s="1374"/>
      <c r="EL618" s="1375"/>
      <c r="EM618" s="1373" t="str">
        <f t="shared" si="23"/>
        <v/>
      </c>
      <c r="EN618" s="1374"/>
      <c r="EO618" s="1374"/>
      <c r="EP618" s="1374"/>
      <c r="EQ618" s="1375"/>
      <c r="ER618" s="1373" t="str">
        <f t="shared" si="24"/>
        <v/>
      </c>
      <c r="ES618" s="1374"/>
      <c r="ET618" s="1374"/>
      <c r="EU618" s="1374"/>
      <c r="EV618" s="1375"/>
      <c r="EW618" s="1373" t="str">
        <f t="shared" si="25"/>
        <v/>
      </c>
      <c r="EX618" s="1374"/>
      <c r="EY618" s="1374"/>
      <c r="EZ618" s="1374"/>
      <c r="FA618" s="1375"/>
    </row>
    <row r="619" spans="1:157" ht="12.95" customHeight="1">
      <c r="AZ619" s="3"/>
      <c r="BA619" s="3"/>
      <c r="BB619" s="3"/>
      <c r="BC619" s="3"/>
      <c r="BD619" s="3"/>
      <c r="BE619" s="1373">
        <f t="shared" si="4"/>
        <v>0</v>
      </c>
      <c r="BF619" s="1375"/>
      <c r="BG619" s="1401">
        <f t="shared" si="5"/>
        <v>0</v>
      </c>
      <c r="BH619" s="1403"/>
      <c r="BI619" s="1373">
        <f t="shared" si="6"/>
        <v>0</v>
      </c>
      <c r="BJ619" s="1375"/>
      <c r="BK619" s="1401">
        <f t="shared" si="7"/>
        <v>0</v>
      </c>
      <c r="BL619" s="1403"/>
      <c r="BM619" s="3"/>
      <c r="BN619" s="1406">
        <f t="shared" si="8"/>
        <v>0</v>
      </c>
      <c r="BO619" s="1407"/>
      <c r="BP619" s="1407"/>
      <c r="BQ619" s="1407"/>
      <c r="BR619" s="1408"/>
      <c r="BS619" s="1404">
        <f t="shared" si="9"/>
        <v>0</v>
      </c>
      <c r="BT619" s="1404"/>
      <c r="BU619" s="1404"/>
      <c r="BV619" s="1404"/>
      <c r="BW619" s="1404"/>
      <c r="BX619" s="1404">
        <f t="shared" si="10"/>
        <v>0</v>
      </c>
      <c r="BY619" s="1404"/>
      <c r="BZ619" s="1404"/>
      <c r="CA619" s="1404"/>
      <c r="CB619" s="1404"/>
      <c r="CC619" s="1404">
        <f t="shared" si="11"/>
        <v>0</v>
      </c>
      <c r="CD619" s="1404"/>
      <c r="CE619" s="1404"/>
      <c r="CF619" s="1404"/>
      <c r="CG619" s="1404"/>
      <c r="CH619" s="1404">
        <f t="shared" si="12"/>
        <v>0</v>
      </c>
      <c r="CI619" s="1404"/>
      <c r="CJ619" s="1404"/>
      <c r="CK619" s="1404"/>
      <c r="CL619" s="1404"/>
      <c r="CM619" s="1404">
        <f t="shared" si="13"/>
        <v>0</v>
      </c>
      <c r="CN619" s="1404"/>
      <c r="CO619" s="1404"/>
      <c r="CP619" s="1404"/>
      <c r="CQ619" s="1404"/>
      <c r="CR619" s="6"/>
      <c r="CS619" s="1376">
        <f t="shared" si="14"/>
        <v>0</v>
      </c>
      <c r="CT619" s="1376"/>
      <c r="CU619" s="1376"/>
      <c r="CV619" s="1376"/>
      <c r="CW619" s="1376"/>
      <c r="CX619" s="1376">
        <f t="shared" si="15"/>
        <v>0</v>
      </c>
      <c r="CY619" s="1376"/>
      <c r="CZ619" s="1376"/>
      <c r="DA619" s="1376"/>
      <c r="DB619" s="1376"/>
      <c r="DC619" s="1376">
        <f t="shared" si="16"/>
        <v>0</v>
      </c>
      <c r="DD619" s="1376"/>
      <c r="DE619" s="1376"/>
      <c r="DF619" s="1376"/>
      <c r="DG619" s="1376"/>
      <c r="DH619" s="1376">
        <f t="shared" si="17"/>
        <v>0</v>
      </c>
      <c r="DI619" s="1376"/>
      <c r="DJ619" s="1376"/>
      <c r="DK619" s="1376"/>
      <c r="DL619" s="1376"/>
      <c r="DM619" s="1376">
        <f t="shared" si="18"/>
        <v>0</v>
      </c>
      <c r="DN619" s="1376"/>
      <c r="DO619" s="1376"/>
      <c r="DP619" s="1376"/>
      <c r="DQ619" s="1376"/>
      <c r="DR619" s="1376">
        <f t="shared" si="19"/>
        <v>0</v>
      </c>
      <c r="DS619" s="1376"/>
      <c r="DT619" s="1376"/>
      <c r="DU619" s="1376"/>
      <c r="DV619" s="1376"/>
      <c r="DX619" s="1373" t="str">
        <f t="shared" si="20"/>
        <v/>
      </c>
      <c r="DY619" s="1374"/>
      <c r="DZ619" s="1374"/>
      <c r="EA619" s="1374"/>
      <c r="EB619" s="1375"/>
      <c r="EC619" s="1373" t="str">
        <f t="shared" si="21"/>
        <v/>
      </c>
      <c r="ED619" s="1374"/>
      <c r="EE619" s="1374"/>
      <c r="EF619" s="1374"/>
      <c r="EG619" s="1375"/>
      <c r="EH619" s="1373" t="str">
        <f t="shared" si="22"/>
        <v/>
      </c>
      <c r="EI619" s="1374"/>
      <c r="EJ619" s="1374"/>
      <c r="EK619" s="1374"/>
      <c r="EL619" s="1375"/>
      <c r="EM619" s="1373" t="str">
        <f t="shared" si="23"/>
        <v/>
      </c>
      <c r="EN619" s="1374"/>
      <c r="EO619" s="1374"/>
      <c r="EP619" s="1374"/>
      <c r="EQ619" s="1375"/>
      <c r="ER619" s="1373" t="str">
        <f t="shared" si="24"/>
        <v/>
      </c>
      <c r="ES619" s="1374"/>
      <c r="ET619" s="1374"/>
      <c r="EU619" s="1374"/>
      <c r="EV619" s="1375"/>
      <c r="EW619" s="1373" t="str">
        <f t="shared" si="25"/>
        <v/>
      </c>
      <c r="EX619" s="1374"/>
      <c r="EY619" s="1374"/>
      <c r="EZ619" s="1374"/>
      <c r="FA619" s="1375"/>
    </row>
    <row r="620" spans="1:157" ht="12.95" customHeight="1">
      <c r="A620" s="2" t="s">
        <v>319</v>
      </c>
      <c r="B620" s="2"/>
      <c r="C620" s="2" t="s">
        <v>21</v>
      </c>
      <c r="AZ620" s="3"/>
      <c r="BA620" s="3"/>
      <c r="BB620" s="3"/>
      <c r="BC620" s="3"/>
      <c r="BD620" s="3"/>
      <c r="BE620" s="1373">
        <f t="shared" si="4"/>
        <v>0</v>
      </c>
      <c r="BF620" s="1375"/>
      <c r="BG620" s="1401">
        <f t="shared" si="5"/>
        <v>0</v>
      </c>
      <c r="BH620" s="1403"/>
      <c r="BI620" s="1373">
        <f t="shared" si="6"/>
        <v>0</v>
      </c>
      <c r="BJ620" s="1375"/>
      <c r="BK620" s="1401">
        <f t="shared" si="7"/>
        <v>0</v>
      </c>
      <c r="BL620" s="1403"/>
      <c r="BM620" s="3"/>
      <c r="BN620" s="1406">
        <f t="shared" si="8"/>
        <v>0</v>
      </c>
      <c r="BO620" s="1407"/>
      <c r="BP620" s="1407"/>
      <c r="BQ620" s="1407"/>
      <c r="BR620" s="1408"/>
      <c r="BS620" s="1404">
        <f t="shared" si="9"/>
        <v>0</v>
      </c>
      <c r="BT620" s="1404"/>
      <c r="BU620" s="1404"/>
      <c r="BV620" s="1404"/>
      <c r="BW620" s="1404"/>
      <c r="BX620" s="1404">
        <f t="shared" si="10"/>
        <v>0</v>
      </c>
      <c r="BY620" s="1404"/>
      <c r="BZ620" s="1404"/>
      <c r="CA620" s="1404"/>
      <c r="CB620" s="1404"/>
      <c r="CC620" s="1404">
        <f t="shared" si="11"/>
        <v>0</v>
      </c>
      <c r="CD620" s="1404"/>
      <c r="CE620" s="1404"/>
      <c r="CF620" s="1404"/>
      <c r="CG620" s="1404"/>
      <c r="CH620" s="1404">
        <f t="shared" si="12"/>
        <v>0</v>
      </c>
      <c r="CI620" s="1404"/>
      <c r="CJ620" s="1404"/>
      <c r="CK620" s="1404"/>
      <c r="CL620" s="1404"/>
      <c r="CM620" s="1404">
        <f t="shared" si="13"/>
        <v>0</v>
      </c>
      <c r="CN620" s="1404"/>
      <c r="CO620" s="1404"/>
      <c r="CP620" s="1404"/>
      <c r="CQ620" s="1404"/>
      <c r="CR620" s="6"/>
      <c r="CS620" s="1376">
        <f t="shared" si="14"/>
        <v>0</v>
      </c>
      <c r="CT620" s="1376"/>
      <c r="CU620" s="1376"/>
      <c r="CV620" s="1376"/>
      <c r="CW620" s="1376"/>
      <c r="CX620" s="1376">
        <f t="shared" si="15"/>
        <v>0</v>
      </c>
      <c r="CY620" s="1376"/>
      <c r="CZ620" s="1376"/>
      <c r="DA620" s="1376"/>
      <c r="DB620" s="1376"/>
      <c r="DC620" s="1376">
        <f t="shared" si="16"/>
        <v>0</v>
      </c>
      <c r="DD620" s="1376"/>
      <c r="DE620" s="1376"/>
      <c r="DF620" s="1376"/>
      <c r="DG620" s="1376"/>
      <c r="DH620" s="1376">
        <f t="shared" si="17"/>
        <v>0</v>
      </c>
      <c r="DI620" s="1376"/>
      <c r="DJ620" s="1376"/>
      <c r="DK620" s="1376"/>
      <c r="DL620" s="1376"/>
      <c r="DM620" s="1376">
        <f t="shared" si="18"/>
        <v>0</v>
      </c>
      <c r="DN620" s="1376"/>
      <c r="DO620" s="1376"/>
      <c r="DP620" s="1376"/>
      <c r="DQ620" s="1376"/>
      <c r="DR620" s="1376">
        <f t="shared" si="19"/>
        <v>0</v>
      </c>
      <c r="DS620" s="1376"/>
      <c r="DT620" s="1376"/>
      <c r="DU620" s="1376"/>
      <c r="DV620" s="1376"/>
      <c r="DX620" s="1373" t="str">
        <f t="shared" si="20"/>
        <v/>
      </c>
      <c r="DY620" s="1374"/>
      <c r="DZ620" s="1374"/>
      <c r="EA620" s="1374"/>
      <c r="EB620" s="1375"/>
      <c r="EC620" s="1373" t="str">
        <f t="shared" si="21"/>
        <v/>
      </c>
      <c r="ED620" s="1374"/>
      <c r="EE620" s="1374"/>
      <c r="EF620" s="1374"/>
      <c r="EG620" s="1375"/>
      <c r="EH620" s="1373" t="str">
        <f t="shared" si="22"/>
        <v/>
      </c>
      <c r="EI620" s="1374"/>
      <c r="EJ620" s="1374"/>
      <c r="EK620" s="1374"/>
      <c r="EL620" s="1375"/>
      <c r="EM620" s="1373" t="str">
        <f t="shared" si="23"/>
        <v/>
      </c>
      <c r="EN620" s="1374"/>
      <c r="EO620" s="1374"/>
      <c r="EP620" s="1374"/>
      <c r="EQ620" s="1375"/>
      <c r="ER620" s="1373" t="str">
        <f t="shared" si="24"/>
        <v/>
      </c>
      <c r="ES620" s="1374"/>
      <c r="ET620" s="1374"/>
      <c r="EU620" s="1374"/>
      <c r="EV620" s="1375"/>
      <c r="EW620" s="1373" t="str">
        <f t="shared" si="25"/>
        <v/>
      </c>
      <c r="EX620" s="1374"/>
      <c r="EY620" s="1374"/>
      <c r="EZ620" s="1374"/>
      <c r="FA620" s="1375"/>
    </row>
    <row r="621" spans="1:157" ht="12.95" customHeight="1">
      <c r="A621" s="2"/>
      <c r="B621" s="2"/>
      <c r="C621" s="2"/>
      <c r="AZ621" s="3"/>
      <c r="BA621" s="3"/>
      <c r="BB621" s="3"/>
      <c r="BC621" s="3"/>
      <c r="BD621" s="3"/>
      <c r="BE621" s="1373">
        <f t="shared" si="4"/>
        <v>0</v>
      </c>
      <c r="BF621" s="1375"/>
      <c r="BG621" s="1401">
        <f t="shared" si="5"/>
        <v>0</v>
      </c>
      <c r="BH621" s="1403"/>
      <c r="BI621" s="1373">
        <f t="shared" si="6"/>
        <v>0</v>
      </c>
      <c r="BJ621" s="1375"/>
      <c r="BK621" s="1401">
        <f t="shared" si="7"/>
        <v>0</v>
      </c>
      <c r="BL621" s="1403"/>
      <c r="BM621" s="3"/>
      <c r="BN621" s="1406">
        <f t="shared" si="8"/>
        <v>0</v>
      </c>
      <c r="BO621" s="1407"/>
      <c r="BP621" s="1407"/>
      <c r="BQ621" s="1407"/>
      <c r="BR621" s="1408"/>
      <c r="BS621" s="1404">
        <f t="shared" si="9"/>
        <v>0</v>
      </c>
      <c r="BT621" s="1404"/>
      <c r="BU621" s="1404"/>
      <c r="BV621" s="1404"/>
      <c r="BW621" s="1404"/>
      <c r="BX621" s="1404">
        <f t="shared" si="10"/>
        <v>0</v>
      </c>
      <c r="BY621" s="1404"/>
      <c r="BZ621" s="1404"/>
      <c r="CA621" s="1404"/>
      <c r="CB621" s="1404"/>
      <c r="CC621" s="1404">
        <f t="shared" si="11"/>
        <v>0</v>
      </c>
      <c r="CD621" s="1404"/>
      <c r="CE621" s="1404"/>
      <c r="CF621" s="1404"/>
      <c r="CG621" s="1404"/>
      <c r="CH621" s="1404">
        <f t="shared" si="12"/>
        <v>0</v>
      </c>
      <c r="CI621" s="1404"/>
      <c r="CJ621" s="1404"/>
      <c r="CK621" s="1404"/>
      <c r="CL621" s="1404"/>
      <c r="CM621" s="1404">
        <f t="shared" si="13"/>
        <v>0</v>
      </c>
      <c r="CN621" s="1404"/>
      <c r="CO621" s="1404"/>
      <c r="CP621" s="1404"/>
      <c r="CQ621" s="1404"/>
      <c r="CR621" s="6"/>
      <c r="CS621" s="1376">
        <f t="shared" si="14"/>
        <v>0</v>
      </c>
      <c r="CT621" s="1376"/>
      <c r="CU621" s="1376"/>
      <c r="CV621" s="1376"/>
      <c r="CW621" s="1376"/>
      <c r="CX621" s="1376">
        <f t="shared" si="15"/>
        <v>0</v>
      </c>
      <c r="CY621" s="1376"/>
      <c r="CZ621" s="1376"/>
      <c r="DA621" s="1376"/>
      <c r="DB621" s="1376"/>
      <c r="DC621" s="1376">
        <f t="shared" si="16"/>
        <v>0</v>
      </c>
      <c r="DD621" s="1376"/>
      <c r="DE621" s="1376"/>
      <c r="DF621" s="1376"/>
      <c r="DG621" s="1376"/>
      <c r="DH621" s="1376">
        <f t="shared" si="17"/>
        <v>0</v>
      </c>
      <c r="DI621" s="1376"/>
      <c r="DJ621" s="1376"/>
      <c r="DK621" s="1376"/>
      <c r="DL621" s="1376"/>
      <c r="DM621" s="1376">
        <f t="shared" si="18"/>
        <v>0</v>
      </c>
      <c r="DN621" s="1376"/>
      <c r="DO621" s="1376"/>
      <c r="DP621" s="1376"/>
      <c r="DQ621" s="1376"/>
      <c r="DR621" s="1376">
        <f t="shared" si="19"/>
        <v>0</v>
      </c>
      <c r="DS621" s="1376"/>
      <c r="DT621" s="1376"/>
      <c r="DU621" s="1376"/>
      <c r="DV621" s="1376"/>
      <c r="DX621" s="1373" t="str">
        <f t="shared" si="20"/>
        <v/>
      </c>
      <c r="DY621" s="1374"/>
      <c r="DZ621" s="1374"/>
      <c r="EA621" s="1374"/>
      <c r="EB621" s="1375"/>
      <c r="EC621" s="1373" t="str">
        <f t="shared" si="21"/>
        <v/>
      </c>
      <c r="ED621" s="1374"/>
      <c r="EE621" s="1374"/>
      <c r="EF621" s="1374"/>
      <c r="EG621" s="1375"/>
      <c r="EH621" s="1373" t="str">
        <f t="shared" si="22"/>
        <v/>
      </c>
      <c r="EI621" s="1374"/>
      <c r="EJ621" s="1374"/>
      <c r="EK621" s="1374"/>
      <c r="EL621" s="1375"/>
      <c r="EM621" s="1373" t="str">
        <f t="shared" si="23"/>
        <v/>
      </c>
      <c r="EN621" s="1374"/>
      <c r="EO621" s="1374"/>
      <c r="EP621" s="1374"/>
      <c r="EQ621" s="1375"/>
      <c r="ER621" s="1373" t="str">
        <f t="shared" si="24"/>
        <v/>
      </c>
      <c r="ES621" s="1374"/>
      <c r="ET621" s="1374"/>
      <c r="EU621" s="1374"/>
      <c r="EV621" s="1375"/>
      <c r="EW621" s="1373" t="str">
        <f t="shared" si="25"/>
        <v/>
      </c>
      <c r="EX621" s="1374"/>
      <c r="EY621" s="1374"/>
      <c r="EZ621" s="1374"/>
      <c r="FA621" s="1375"/>
    </row>
    <row r="622" spans="1:157" ht="12.95" customHeight="1">
      <c r="C622" s="2" t="s">
        <v>2415</v>
      </c>
      <c r="AZ622" s="3"/>
      <c r="BA622" s="3"/>
      <c r="BB622" s="3"/>
      <c r="BC622" s="3"/>
      <c r="BD622" s="3"/>
      <c r="BE622" s="1373">
        <f t="shared" si="4"/>
        <v>0</v>
      </c>
      <c r="BF622" s="1375"/>
      <c r="BG622" s="1401">
        <f t="shared" si="5"/>
        <v>0</v>
      </c>
      <c r="BH622" s="1403"/>
      <c r="BI622" s="1373">
        <f t="shared" si="6"/>
        <v>0</v>
      </c>
      <c r="BJ622" s="1375"/>
      <c r="BK622" s="1401">
        <f t="shared" si="7"/>
        <v>0</v>
      </c>
      <c r="BL622" s="1403"/>
      <c r="BM622" s="3"/>
      <c r="BN622" s="1406">
        <f t="shared" si="8"/>
        <v>0</v>
      </c>
      <c r="BO622" s="1407"/>
      <c r="BP622" s="1407"/>
      <c r="BQ622" s="1407"/>
      <c r="BR622" s="1408"/>
      <c r="BS622" s="1404">
        <f t="shared" si="9"/>
        <v>0</v>
      </c>
      <c r="BT622" s="1404"/>
      <c r="BU622" s="1404"/>
      <c r="BV622" s="1404"/>
      <c r="BW622" s="1404"/>
      <c r="BX622" s="1404">
        <f t="shared" si="10"/>
        <v>0</v>
      </c>
      <c r="BY622" s="1404"/>
      <c r="BZ622" s="1404"/>
      <c r="CA622" s="1404"/>
      <c r="CB622" s="1404"/>
      <c r="CC622" s="1404">
        <f t="shared" si="11"/>
        <v>0</v>
      </c>
      <c r="CD622" s="1404"/>
      <c r="CE622" s="1404"/>
      <c r="CF622" s="1404"/>
      <c r="CG622" s="1404"/>
      <c r="CH622" s="1404">
        <f t="shared" si="12"/>
        <v>0</v>
      </c>
      <c r="CI622" s="1404"/>
      <c r="CJ622" s="1404"/>
      <c r="CK622" s="1404"/>
      <c r="CL622" s="1404"/>
      <c r="CM622" s="1404">
        <f t="shared" si="13"/>
        <v>0</v>
      </c>
      <c r="CN622" s="1404"/>
      <c r="CO622" s="1404"/>
      <c r="CP622" s="1404"/>
      <c r="CQ622" s="1404"/>
      <c r="CR622" s="6"/>
      <c r="CS622" s="1376">
        <f t="shared" si="14"/>
        <v>0</v>
      </c>
      <c r="CT622" s="1376"/>
      <c r="CU622" s="1376"/>
      <c r="CV622" s="1376"/>
      <c r="CW622" s="1376"/>
      <c r="CX622" s="1376">
        <f t="shared" si="15"/>
        <v>0</v>
      </c>
      <c r="CY622" s="1376"/>
      <c r="CZ622" s="1376"/>
      <c r="DA622" s="1376"/>
      <c r="DB622" s="1376"/>
      <c r="DC622" s="1376">
        <f t="shared" si="16"/>
        <v>0</v>
      </c>
      <c r="DD622" s="1376"/>
      <c r="DE622" s="1376"/>
      <c r="DF622" s="1376"/>
      <c r="DG622" s="1376"/>
      <c r="DH622" s="1376">
        <f t="shared" si="17"/>
        <v>0</v>
      </c>
      <c r="DI622" s="1376"/>
      <c r="DJ622" s="1376"/>
      <c r="DK622" s="1376"/>
      <c r="DL622" s="1376"/>
      <c r="DM622" s="1376">
        <f t="shared" si="18"/>
        <v>0</v>
      </c>
      <c r="DN622" s="1376"/>
      <c r="DO622" s="1376"/>
      <c r="DP622" s="1376"/>
      <c r="DQ622" s="1376"/>
      <c r="DR622" s="1376">
        <f t="shared" si="19"/>
        <v>0</v>
      </c>
      <c r="DS622" s="1376"/>
      <c r="DT622" s="1376"/>
      <c r="DU622" s="1376"/>
      <c r="DV622" s="1376"/>
      <c r="DX622" s="1373" t="str">
        <f t="shared" si="20"/>
        <v/>
      </c>
      <c r="DY622" s="1374"/>
      <c r="DZ622" s="1374"/>
      <c r="EA622" s="1374"/>
      <c r="EB622" s="1375"/>
      <c r="EC622" s="1373" t="str">
        <f t="shared" si="21"/>
        <v/>
      </c>
      <c r="ED622" s="1374"/>
      <c r="EE622" s="1374"/>
      <c r="EF622" s="1374"/>
      <c r="EG622" s="1375"/>
      <c r="EH622" s="1373" t="str">
        <f t="shared" si="22"/>
        <v/>
      </c>
      <c r="EI622" s="1374"/>
      <c r="EJ622" s="1374"/>
      <c r="EK622" s="1374"/>
      <c r="EL622" s="1375"/>
      <c r="EM622" s="1373" t="str">
        <f t="shared" si="23"/>
        <v/>
      </c>
      <c r="EN622" s="1374"/>
      <c r="EO622" s="1374"/>
      <c r="EP622" s="1374"/>
      <c r="EQ622" s="1375"/>
      <c r="ER622" s="1373" t="str">
        <f t="shared" si="24"/>
        <v/>
      </c>
      <c r="ES622" s="1374"/>
      <c r="ET622" s="1374"/>
      <c r="EU622" s="1374"/>
      <c r="EV622" s="1375"/>
      <c r="EW622" s="1373" t="str">
        <f t="shared" si="25"/>
        <v/>
      </c>
      <c r="EX622" s="1374"/>
      <c r="EY622" s="1374"/>
      <c r="EZ622" s="1374"/>
      <c r="FA622" s="1375"/>
    </row>
    <row r="623" spans="1:157" ht="12.95" customHeight="1">
      <c r="B623" s="546"/>
      <c r="C623" s="2"/>
      <c r="AU623" s="3"/>
      <c r="AZ623" s="3"/>
      <c r="BA623" s="3"/>
      <c r="BB623" s="3"/>
      <c r="BC623" s="3"/>
      <c r="BD623" s="3"/>
      <c r="BE623" s="1373">
        <f t="shared" si="4"/>
        <v>0</v>
      </c>
      <c r="BF623" s="1375"/>
      <c r="BG623" s="1401">
        <f t="shared" si="5"/>
        <v>0</v>
      </c>
      <c r="BH623" s="1403"/>
      <c r="BI623" s="1373">
        <f t="shared" si="6"/>
        <v>0</v>
      </c>
      <c r="BJ623" s="1375"/>
      <c r="BK623" s="1401">
        <f t="shared" si="7"/>
        <v>0</v>
      </c>
      <c r="BL623" s="1403"/>
      <c r="BM623" s="3"/>
      <c r="BN623" s="1406">
        <f t="shared" si="8"/>
        <v>0</v>
      </c>
      <c r="BO623" s="1407"/>
      <c r="BP623" s="1407"/>
      <c r="BQ623" s="1407"/>
      <c r="BR623" s="1408"/>
      <c r="BS623" s="1404">
        <f t="shared" si="9"/>
        <v>0</v>
      </c>
      <c r="BT623" s="1404"/>
      <c r="BU623" s="1404"/>
      <c r="BV623" s="1404"/>
      <c r="BW623" s="1404"/>
      <c r="BX623" s="1404">
        <f t="shared" si="10"/>
        <v>0</v>
      </c>
      <c r="BY623" s="1404"/>
      <c r="BZ623" s="1404"/>
      <c r="CA623" s="1404"/>
      <c r="CB623" s="1404"/>
      <c r="CC623" s="1404">
        <f t="shared" si="11"/>
        <v>0</v>
      </c>
      <c r="CD623" s="1404"/>
      <c r="CE623" s="1404"/>
      <c r="CF623" s="1404"/>
      <c r="CG623" s="1404"/>
      <c r="CH623" s="1404">
        <f t="shared" si="12"/>
        <v>0</v>
      </c>
      <c r="CI623" s="1404"/>
      <c r="CJ623" s="1404"/>
      <c r="CK623" s="1404"/>
      <c r="CL623" s="1404"/>
      <c r="CM623" s="1404">
        <f t="shared" si="13"/>
        <v>0</v>
      </c>
      <c r="CN623" s="1404"/>
      <c r="CO623" s="1404"/>
      <c r="CP623" s="1404"/>
      <c r="CQ623" s="1404"/>
      <c r="CR623" s="6"/>
      <c r="CS623" s="1376">
        <f t="shared" si="14"/>
        <v>0</v>
      </c>
      <c r="CT623" s="1376"/>
      <c r="CU623" s="1376"/>
      <c r="CV623" s="1376"/>
      <c r="CW623" s="1376"/>
      <c r="CX623" s="1376">
        <f t="shared" si="15"/>
        <v>0</v>
      </c>
      <c r="CY623" s="1376"/>
      <c r="CZ623" s="1376"/>
      <c r="DA623" s="1376"/>
      <c r="DB623" s="1376"/>
      <c r="DC623" s="1376">
        <f t="shared" si="16"/>
        <v>0</v>
      </c>
      <c r="DD623" s="1376"/>
      <c r="DE623" s="1376"/>
      <c r="DF623" s="1376"/>
      <c r="DG623" s="1376"/>
      <c r="DH623" s="1376">
        <f t="shared" si="17"/>
        <v>0</v>
      </c>
      <c r="DI623" s="1376"/>
      <c r="DJ623" s="1376"/>
      <c r="DK623" s="1376"/>
      <c r="DL623" s="1376"/>
      <c r="DM623" s="1376">
        <f t="shared" si="18"/>
        <v>0</v>
      </c>
      <c r="DN623" s="1376"/>
      <c r="DO623" s="1376"/>
      <c r="DP623" s="1376"/>
      <c r="DQ623" s="1376"/>
      <c r="DR623" s="1376">
        <f t="shared" si="19"/>
        <v>0</v>
      </c>
      <c r="DS623" s="1376"/>
      <c r="DT623" s="1376"/>
      <c r="DU623" s="1376"/>
      <c r="DV623" s="1376"/>
      <c r="DX623" s="1373" t="str">
        <f t="shared" si="20"/>
        <v/>
      </c>
      <c r="DY623" s="1374"/>
      <c r="DZ623" s="1374"/>
      <c r="EA623" s="1374"/>
      <c r="EB623" s="1375"/>
      <c r="EC623" s="1373" t="str">
        <f t="shared" si="21"/>
        <v/>
      </c>
      <c r="ED623" s="1374"/>
      <c r="EE623" s="1374"/>
      <c r="EF623" s="1374"/>
      <c r="EG623" s="1375"/>
      <c r="EH623" s="1373" t="str">
        <f t="shared" si="22"/>
        <v/>
      </c>
      <c r="EI623" s="1374"/>
      <c r="EJ623" s="1374"/>
      <c r="EK623" s="1374"/>
      <c r="EL623" s="1375"/>
      <c r="EM623" s="1373" t="str">
        <f t="shared" si="23"/>
        <v/>
      </c>
      <c r="EN623" s="1374"/>
      <c r="EO623" s="1374"/>
      <c r="EP623" s="1374"/>
      <c r="EQ623" s="1375"/>
      <c r="ER623" s="1373" t="str">
        <f t="shared" si="24"/>
        <v/>
      </c>
      <c r="ES623" s="1374"/>
      <c r="ET623" s="1374"/>
      <c r="EU623" s="1374"/>
      <c r="EV623" s="1375"/>
      <c r="EW623" s="1373" t="str">
        <f t="shared" si="25"/>
        <v/>
      </c>
      <c r="EX623" s="1374"/>
      <c r="EY623" s="1374"/>
      <c r="EZ623" s="1374"/>
      <c r="FA623" s="1375"/>
    </row>
    <row r="624" spans="1:157" ht="12.95" customHeight="1">
      <c r="B624" s="1737" t="s">
        <v>2417</v>
      </c>
      <c r="C624" s="1737"/>
      <c r="D624" s="1737"/>
      <c r="E624" s="1737"/>
      <c r="F624" s="1737"/>
      <c r="G624" s="1737"/>
      <c r="H624" s="1737"/>
      <c r="I624" s="1737"/>
      <c r="J624" s="1737"/>
      <c r="K624" s="1737"/>
      <c r="L624" s="1737"/>
      <c r="M624" s="1721" t="s">
        <v>2418</v>
      </c>
      <c r="N624" s="1721"/>
      <c r="O624" s="1721"/>
      <c r="P624" s="1721"/>
      <c r="Q624" s="1721" t="s">
        <v>2039</v>
      </c>
      <c r="R624" s="1721"/>
      <c r="S624" s="1721"/>
      <c r="T624" s="1721" t="s">
        <v>2037</v>
      </c>
      <c r="U624" s="1721"/>
      <c r="V624" s="1721"/>
      <c r="W624" s="1863" t="s">
        <v>460</v>
      </c>
      <c r="X624" s="1863"/>
      <c r="Y624" s="1863"/>
      <c r="Z624" s="1435" t="s">
        <v>2447</v>
      </c>
      <c r="AA624" s="1435"/>
      <c r="AB624" s="1436"/>
      <c r="AC624" s="1725" t="s">
        <v>1860</v>
      </c>
      <c r="AD624" s="1726"/>
      <c r="AE624" s="1727"/>
      <c r="AF624" s="1434" t="s">
        <v>2226</v>
      </c>
      <c r="AG624" s="1435"/>
      <c r="AH624" s="1435"/>
      <c r="AI624" s="1435"/>
      <c r="AJ624" s="1436"/>
      <c r="AK624" s="1768" t="s">
        <v>2227</v>
      </c>
      <c r="AL624" s="1769"/>
      <c r="AM624" s="1769"/>
      <c r="AN624" s="1770"/>
      <c r="AO624" s="1721" t="s">
        <v>461</v>
      </c>
      <c r="AP624" s="1721"/>
      <c r="AQ624" s="1721"/>
      <c r="AR624" s="1721"/>
      <c r="AS624" s="1721"/>
      <c r="AU624" s="3"/>
      <c r="AZ624" s="3"/>
      <c r="BA624" s="3"/>
      <c r="BB624" s="3"/>
      <c r="BC624" s="3"/>
      <c r="BD624" s="3"/>
      <c r="BE624" s="1373">
        <f t="shared" si="4"/>
        <v>0</v>
      </c>
      <c r="BF624" s="1375"/>
      <c r="BG624" s="1401">
        <f t="shared" si="5"/>
        <v>0</v>
      </c>
      <c r="BH624" s="1403"/>
      <c r="BI624" s="1373">
        <f t="shared" si="6"/>
        <v>0</v>
      </c>
      <c r="BJ624" s="1375"/>
      <c r="BK624" s="1401">
        <f t="shared" si="7"/>
        <v>0</v>
      </c>
      <c r="BL624" s="1403"/>
      <c r="BM624" s="3"/>
      <c r="BN624" s="1406">
        <f t="shared" si="8"/>
        <v>0</v>
      </c>
      <c r="BO624" s="1407"/>
      <c r="BP624" s="1407"/>
      <c r="BQ624" s="1407"/>
      <c r="BR624" s="1408"/>
      <c r="BS624" s="1404">
        <f t="shared" si="9"/>
        <v>0</v>
      </c>
      <c r="BT624" s="1404"/>
      <c r="BU624" s="1404"/>
      <c r="BV624" s="1404"/>
      <c r="BW624" s="1404"/>
      <c r="BX624" s="1404">
        <f t="shared" si="10"/>
        <v>0</v>
      </c>
      <c r="BY624" s="1404"/>
      <c r="BZ624" s="1404"/>
      <c r="CA624" s="1404"/>
      <c r="CB624" s="1404"/>
      <c r="CC624" s="1404">
        <f t="shared" si="11"/>
        <v>0</v>
      </c>
      <c r="CD624" s="1404"/>
      <c r="CE624" s="1404"/>
      <c r="CF624" s="1404"/>
      <c r="CG624" s="1404"/>
      <c r="CH624" s="1404">
        <f t="shared" si="12"/>
        <v>0</v>
      </c>
      <c r="CI624" s="1404"/>
      <c r="CJ624" s="1404"/>
      <c r="CK624" s="1404"/>
      <c r="CL624" s="1404"/>
      <c r="CM624" s="1404">
        <f t="shared" si="13"/>
        <v>0</v>
      </c>
      <c r="CN624" s="1404"/>
      <c r="CO624" s="1404"/>
      <c r="CP624" s="1404"/>
      <c r="CQ624" s="1404"/>
      <c r="CR624" s="6"/>
      <c r="CS624" s="1376">
        <f t="shared" si="14"/>
        <v>0</v>
      </c>
      <c r="CT624" s="1376"/>
      <c r="CU624" s="1376"/>
      <c r="CV624" s="1376"/>
      <c r="CW624" s="1376"/>
      <c r="CX624" s="1376">
        <f t="shared" si="15"/>
        <v>0</v>
      </c>
      <c r="CY624" s="1376"/>
      <c r="CZ624" s="1376"/>
      <c r="DA624" s="1376"/>
      <c r="DB624" s="1376"/>
      <c r="DC624" s="1376">
        <f t="shared" si="16"/>
        <v>0</v>
      </c>
      <c r="DD624" s="1376"/>
      <c r="DE624" s="1376"/>
      <c r="DF624" s="1376"/>
      <c r="DG624" s="1376"/>
      <c r="DH624" s="1376">
        <f t="shared" si="17"/>
        <v>0</v>
      </c>
      <c r="DI624" s="1376"/>
      <c r="DJ624" s="1376"/>
      <c r="DK624" s="1376"/>
      <c r="DL624" s="1376"/>
      <c r="DM624" s="1376">
        <f t="shared" si="18"/>
        <v>0</v>
      </c>
      <c r="DN624" s="1376"/>
      <c r="DO624" s="1376"/>
      <c r="DP624" s="1376"/>
      <c r="DQ624" s="1376"/>
      <c r="DR624" s="1376">
        <f t="shared" si="19"/>
        <v>0</v>
      </c>
      <c r="DS624" s="1376"/>
      <c r="DT624" s="1376"/>
      <c r="DU624" s="1376"/>
      <c r="DV624" s="1376"/>
      <c r="DX624" s="1373" t="str">
        <f t="shared" si="20"/>
        <v/>
      </c>
      <c r="DY624" s="1374"/>
      <c r="DZ624" s="1374"/>
      <c r="EA624" s="1374"/>
      <c r="EB624" s="1375"/>
      <c r="EC624" s="1373" t="str">
        <f t="shared" si="21"/>
        <v/>
      </c>
      <c r="ED624" s="1374"/>
      <c r="EE624" s="1374"/>
      <c r="EF624" s="1374"/>
      <c r="EG624" s="1375"/>
      <c r="EH624" s="1373" t="str">
        <f t="shared" si="22"/>
        <v/>
      </c>
      <c r="EI624" s="1374"/>
      <c r="EJ624" s="1374"/>
      <c r="EK624" s="1374"/>
      <c r="EL624" s="1375"/>
      <c r="EM624" s="1373" t="str">
        <f t="shared" si="23"/>
        <v/>
      </c>
      <c r="EN624" s="1374"/>
      <c r="EO624" s="1374"/>
      <c r="EP624" s="1374"/>
      <c r="EQ624" s="1375"/>
      <c r="ER624" s="1373" t="str">
        <f t="shared" si="24"/>
        <v/>
      </c>
      <c r="ES624" s="1374"/>
      <c r="ET624" s="1374"/>
      <c r="EU624" s="1374"/>
      <c r="EV624" s="1375"/>
      <c r="EW624" s="1373" t="str">
        <f t="shared" si="25"/>
        <v/>
      </c>
      <c r="EX624" s="1374"/>
      <c r="EY624" s="1374"/>
      <c r="EZ624" s="1374"/>
      <c r="FA624" s="1375"/>
    </row>
    <row r="625" spans="2:157" ht="12.95" customHeight="1">
      <c r="B625" s="1737"/>
      <c r="C625" s="1737"/>
      <c r="D625" s="1737"/>
      <c r="E625" s="1737"/>
      <c r="F625" s="1737"/>
      <c r="G625" s="1737"/>
      <c r="H625" s="1737"/>
      <c r="I625" s="1737"/>
      <c r="J625" s="1737"/>
      <c r="K625" s="1737"/>
      <c r="L625" s="1737"/>
      <c r="M625" s="1721"/>
      <c r="N625" s="1721"/>
      <c r="O625" s="1721"/>
      <c r="P625" s="1721"/>
      <c r="Q625" s="1721"/>
      <c r="R625" s="1721"/>
      <c r="S625" s="1721"/>
      <c r="T625" s="1721"/>
      <c r="U625" s="1721"/>
      <c r="V625" s="1721"/>
      <c r="W625" s="1863"/>
      <c r="X625" s="1863"/>
      <c r="Y625" s="1863"/>
      <c r="Z625" s="1438"/>
      <c r="AA625" s="1438"/>
      <c r="AB625" s="1439"/>
      <c r="AC625" s="1728"/>
      <c r="AD625" s="1729"/>
      <c r="AE625" s="1730"/>
      <c r="AF625" s="1437"/>
      <c r="AG625" s="1438"/>
      <c r="AH625" s="1438"/>
      <c r="AI625" s="1438"/>
      <c r="AJ625" s="1439"/>
      <c r="AK625" s="1771"/>
      <c r="AL625" s="1772"/>
      <c r="AM625" s="1772"/>
      <c r="AN625" s="1773"/>
      <c r="AO625" s="1721"/>
      <c r="AP625" s="1721"/>
      <c r="AQ625" s="1721"/>
      <c r="AR625" s="1721"/>
      <c r="AS625" s="1721"/>
      <c r="AU625" s="3"/>
      <c r="AZ625" s="3"/>
      <c r="BA625" s="3"/>
      <c r="BB625" s="3"/>
      <c r="BC625" s="3"/>
      <c r="BD625" s="3"/>
      <c r="BE625" s="1373">
        <f t="shared" si="4"/>
        <v>0</v>
      </c>
      <c r="BF625" s="1375"/>
      <c r="BG625" s="1401">
        <f t="shared" si="5"/>
        <v>0</v>
      </c>
      <c r="BH625" s="1403"/>
      <c r="BI625" s="1373">
        <f t="shared" si="6"/>
        <v>0</v>
      </c>
      <c r="BJ625" s="1375"/>
      <c r="BK625" s="1401">
        <f t="shared" si="7"/>
        <v>0</v>
      </c>
      <c r="BL625" s="1403"/>
      <c r="BM625" s="3"/>
      <c r="BN625" s="1406">
        <f t="shared" si="8"/>
        <v>0</v>
      </c>
      <c r="BO625" s="1407"/>
      <c r="BP625" s="1407"/>
      <c r="BQ625" s="1407"/>
      <c r="BR625" s="1408"/>
      <c r="BS625" s="1404">
        <f t="shared" si="9"/>
        <v>0</v>
      </c>
      <c r="BT625" s="1404"/>
      <c r="BU625" s="1404"/>
      <c r="BV625" s="1404"/>
      <c r="BW625" s="1404"/>
      <c r="BX625" s="1404">
        <f t="shared" si="10"/>
        <v>0</v>
      </c>
      <c r="BY625" s="1404"/>
      <c r="BZ625" s="1404"/>
      <c r="CA625" s="1404"/>
      <c r="CB625" s="1404"/>
      <c r="CC625" s="1404">
        <f t="shared" si="11"/>
        <v>0</v>
      </c>
      <c r="CD625" s="1404"/>
      <c r="CE625" s="1404"/>
      <c r="CF625" s="1404"/>
      <c r="CG625" s="1404"/>
      <c r="CH625" s="1404">
        <f t="shared" si="12"/>
        <v>0</v>
      </c>
      <c r="CI625" s="1404"/>
      <c r="CJ625" s="1404"/>
      <c r="CK625" s="1404"/>
      <c r="CL625" s="1404"/>
      <c r="CM625" s="1404">
        <f t="shared" si="13"/>
        <v>0</v>
      </c>
      <c r="CN625" s="1404"/>
      <c r="CO625" s="1404"/>
      <c r="CP625" s="1404"/>
      <c r="CQ625" s="1404"/>
      <c r="CR625" s="6"/>
      <c r="CS625" s="1376">
        <f t="shared" si="14"/>
        <v>0</v>
      </c>
      <c r="CT625" s="1376"/>
      <c r="CU625" s="1376"/>
      <c r="CV625" s="1376"/>
      <c r="CW625" s="1376"/>
      <c r="CX625" s="1376">
        <f t="shared" si="15"/>
        <v>0</v>
      </c>
      <c r="CY625" s="1376"/>
      <c r="CZ625" s="1376"/>
      <c r="DA625" s="1376"/>
      <c r="DB625" s="1376"/>
      <c r="DC625" s="1376">
        <f t="shared" si="16"/>
        <v>0</v>
      </c>
      <c r="DD625" s="1376"/>
      <c r="DE625" s="1376"/>
      <c r="DF625" s="1376"/>
      <c r="DG625" s="1376"/>
      <c r="DH625" s="1376">
        <f t="shared" si="17"/>
        <v>0</v>
      </c>
      <c r="DI625" s="1376"/>
      <c r="DJ625" s="1376"/>
      <c r="DK625" s="1376"/>
      <c r="DL625" s="1376"/>
      <c r="DM625" s="1376">
        <f t="shared" si="18"/>
        <v>0</v>
      </c>
      <c r="DN625" s="1376"/>
      <c r="DO625" s="1376"/>
      <c r="DP625" s="1376"/>
      <c r="DQ625" s="1376"/>
      <c r="DR625" s="1376">
        <f t="shared" si="19"/>
        <v>0</v>
      </c>
      <c r="DS625" s="1376"/>
      <c r="DT625" s="1376"/>
      <c r="DU625" s="1376"/>
      <c r="DV625" s="1376"/>
      <c r="DX625" s="1373" t="str">
        <f t="shared" si="20"/>
        <v/>
      </c>
      <c r="DY625" s="1374"/>
      <c r="DZ625" s="1374"/>
      <c r="EA625" s="1374"/>
      <c r="EB625" s="1375"/>
      <c r="EC625" s="1373" t="str">
        <f t="shared" si="21"/>
        <v/>
      </c>
      <c r="ED625" s="1374"/>
      <c r="EE625" s="1374"/>
      <c r="EF625" s="1374"/>
      <c r="EG625" s="1375"/>
      <c r="EH625" s="1373" t="str">
        <f t="shared" si="22"/>
        <v/>
      </c>
      <c r="EI625" s="1374"/>
      <c r="EJ625" s="1374"/>
      <c r="EK625" s="1374"/>
      <c r="EL625" s="1375"/>
      <c r="EM625" s="1373" t="str">
        <f t="shared" si="23"/>
        <v/>
      </c>
      <c r="EN625" s="1374"/>
      <c r="EO625" s="1374"/>
      <c r="EP625" s="1374"/>
      <c r="EQ625" s="1375"/>
      <c r="ER625" s="1373" t="str">
        <f t="shared" si="24"/>
        <v/>
      </c>
      <c r="ES625" s="1374"/>
      <c r="ET625" s="1374"/>
      <c r="EU625" s="1374"/>
      <c r="EV625" s="1375"/>
      <c r="EW625" s="1373" t="str">
        <f t="shared" si="25"/>
        <v/>
      </c>
      <c r="EX625" s="1374"/>
      <c r="EY625" s="1374"/>
      <c r="EZ625" s="1374"/>
      <c r="FA625" s="1375"/>
    </row>
    <row r="626" spans="2:157" ht="12.95" customHeight="1">
      <c r="B626" s="1737"/>
      <c r="C626" s="1737"/>
      <c r="D626" s="1737"/>
      <c r="E626" s="1737"/>
      <c r="F626" s="1737"/>
      <c r="G626" s="1737"/>
      <c r="H626" s="1737"/>
      <c r="I626" s="1737"/>
      <c r="J626" s="1737"/>
      <c r="K626" s="1737"/>
      <c r="L626" s="1737"/>
      <c r="M626" s="1721"/>
      <c r="N626" s="1721"/>
      <c r="O626" s="1721"/>
      <c r="P626" s="1721"/>
      <c r="Q626" s="1721"/>
      <c r="R626" s="1721"/>
      <c r="S626" s="1721"/>
      <c r="T626" s="1721"/>
      <c r="U626" s="1721"/>
      <c r="V626" s="1721"/>
      <c r="W626" s="1863"/>
      <c r="X626" s="1863"/>
      <c r="Y626" s="1863"/>
      <c r="Z626" s="1441"/>
      <c r="AA626" s="1441"/>
      <c r="AB626" s="1442"/>
      <c r="AC626" s="1731"/>
      <c r="AD626" s="1732"/>
      <c r="AE626" s="1733"/>
      <c r="AF626" s="1440"/>
      <c r="AG626" s="1441"/>
      <c r="AH626" s="1441"/>
      <c r="AI626" s="1441"/>
      <c r="AJ626" s="1442"/>
      <c r="AK626" s="1774"/>
      <c r="AL626" s="1775"/>
      <c r="AM626" s="1775"/>
      <c r="AN626" s="1776"/>
      <c r="AO626" s="1721"/>
      <c r="AP626" s="1721"/>
      <c r="AQ626" s="1721"/>
      <c r="AR626" s="1721"/>
      <c r="AS626" s="1721"/>
      <c r="AT626" s="3"/>
      <c r="AU626" s="3"/>
      <c r="AZ626" s="3"/>
      <c r="BA626" s="3"/>
      <c r="BB626" s="3"/>
      <c r="BC626" s="3"/>
      <c r="BD626" s="3"/>
      <c r="BE626" s="1373">
        <f t="shared" si="4"/>
        <v>0</v>
      </c>
      <c r="BF626" s="1375"/>
      <c r="BG626" s="1401">
        <f t="shared" si="5"/>
        <v>0</v>
      </c>
      <c r="BH626" s="1403"/>
      <c r="BI626" s="1373">
        <f t="shared" si="6"/>
        <v>0</v>
      </c>
      <c r="BJ626" s="1375"/>
      <c r="BK626" s="1401">
        <f t="shared" si="7"/>
        <v>0</v>
      </c>
      <c r="BL626" s="1403"/>
      <c r="BM626" s="3"/>
      <c r="BN626" s="1406">
        <f t="shared" si="8"/>
        <v>0</v>
      </c>
      <c r="BO626" s="1407"/>
      <c r="BP626" s="1407"/>
      <c r="BQ626" s="1407"/>
      <c r="BR626" s="1408"/>
      <c r="BS626" s="1404">
        <f t="shared" si="9"/>
        <v>0</v>
      </c>
      <c r="BT626" s="1404"/>
      <c r="BU626" s="1404"/>
      <c r="BV626" s="1404"/>
      <c r="BW626" s="1404"/>
      <c r="BX626" s="1404">
        <f t="shared" si="10"/>
        <v>0</v>
      </c>
      <c r="BY626" s="1404"/>
      <c r="BZ626" s="1404"/>
      <c r="CA626" s="1404"/>
      <c r="CB626" s="1404"/>
      <c r="CC626" s="1404">
        <f t="shared" si="11"/>
        <v>0</v>
      </c>
      <c r="CD626" s="1404"/>
      <c r="CE626" s="1404"/>
      <c r="CF626" s="1404"/>
      <c r="CG626" s="1404"/>
      <c r="CH626" s="1404">
        <f t="shared" si="12"/>
        <v>0</v>
      </c>
      <c r="CI626" s="1404"/>
      <c r="CJ626" s="1404"/>
      <c r="CK626" s="1404"/>
      <c r="CL626" s="1404"/>
      <c r="CM626" s="1404">
        <f t="shared" si="13"/>
        <v>0</v>
      </c>
      <c r="CN626" s="1404"/>
      <c r="CO626" s="1404"/>
      <c r="CP626" s="1404"/>
      <c r="CQ626" s="1404"/>
      <c r="CR626" s="6"/>
      <c r="CS626" s="1376">
        <f t="shared" si="14"/>
        <v>0</v>
      </c>
      <c r="CT626" s="1376"/>
      <c r="CU626" s="1376"/>
      <c r="CV626" s="1376"/>
      <c r="CW626" s="1376"/>
      <c r="CX626" s="1376">
        <f t="shared" si="15"/>
        <v>0</v>
      </c>
      <c r="CY626" s="1376"/>
      <c r="CZ626" s="1376"/>
      <c r="DA626" s="1376"/>
      <c r="DB626" s="1376"/>
      <c r="DC626" s="1376">
        <f t="shared" si="16"/>
        <v>0</v>
      </c>
      <c r="DD626" s="1376"/>
      <c r="DE626" s="1376"/>
      <c r="DF626" s="1376"/>
      <c r="DG626" s="1376"/>
      <c r="DH626" s="1376">
        <f t="shared" si="17"/>
        <v>0</v>
      </c>
      <c r="DI626" s="1376"/>
      <c r="DJ626" s="1376"/>
      <c r="DK626" s="1376"/>
      <c r="DL626" s="1376"/>
      <c r="DM626" s="1376">
        <f t="shared" si="18"/>
        <v>0</v>
      </c>
      <c r="DN626" s="1376"/>
      <c r="DO626" s="1376"/>
      <c r="DP626" s="1376"/>
      <c r="DQ626" s="1376"/>
      <c r="DR626" s="1376">
        <f t="shared" si="19"/>
        <v>0</v>
      </c>
      <c r="DS626" s="1376"/>
      <c r="DT626" s="1376"/>
      <c r="DU626" s="1376"/>
      <c r="DV626" s="1376"/>
      <c r="DX626" s="1373" t="str">
        <f t="shared" si="20"/>
        <v/>
      </c>
      <c r="DY626" s="1374"/>
      <c r="DZ626" s="1374"/>
      <c r="EA626" s="1374"/>
      <c r="EB626" s="1375"/>
      <c r="EC626" s="1373" t="str">
        <f t="shared" si="21"/>
        <v/>
      </c>
      <c r="ED626" s="1374"/>
      <c r="EE626" s="1374"/>
      <c r="EF626" s="1374"/>
      <c r="EG626" s="1375"/>
      <c r="EH626" s="1373" t="str">
        <f t="shared" si="22"/>
        <v/>
      </c>
      <c r="EI626" s="1374"/>
      <c r="EJ626" s="1374"/>
      <c r="EK626" s="1374"/>
      <c r="EL626" s="1375"/>
      <c r="EM626" s="1373" t="str">
        <f t="shared" si="23"/>
        <v/>
      </c>
      <c r="EN626" s="1374"/>
      <c r="EO626" s="1374"/>
      <c r="EP626" s="1374"/>
      <c r="EQ626" s="1375"/>
      <c r="ER626" s="1373" t="str">
        <f t="shared" si="24"/>
        <v/>
      </c>
      <c r="ES626" s="1374"/>
      <c r="ET626" s="1374"/>
      <c r="EU626" s="1374"/>
      <c r="EV626" s="1375"/>
      <c r="EW626" s="1373" t="str">
        <f t="shared" si="25"/>
        <v/>
      </c>
      <c r="EX626" s="1374"/>
      <c r="EY626" s="1374"/>
      <c r="EZ626" s="1374"/>
      <c r="FA626" s="1375"/>
    </row>
    <row r="627" spans="2:157" ht="12.95" customHeight="1">
      <c r="B627" s="51" t="s">
        <v>112</v>
      </c>
      <c r="C627" s="1722" t="s">
        <v>2774</v>
      </c>
      <c r="D627" s="1722"/>
      <c r="E627" s="1722"/>
      <c r="F627" s="1722"/>
      <c r="G627" s="1722"/>
      <c r="H627" s="1722"/>
      <c r="I627" s="1722"/>
      <c r="J627" s="1722"/>
      <c r="K627" s="1722"/>
      <c r="L627" s="1722"/>
      <c r="M627" s="1724" t="s">
        <v>2428</v>
      </c>
      <c r="N627" s="1724"/>
      <c r="O627" s="1724"/>
      <c r="P627" s="1724"/>
      <c r="Q627" s="1543">
        <v>204</v>
      </c>
      <c r="R627" s="1543"/>
      <c r="S627" s="1544"/>
      <c r="T627" s="1542">
        <v>480</v>
      </c>
      <c r="U627" s="1543"/>
      <c r="V627" s="1544"/>
      <c r="W627" s="1409">
        <v>5.0799999999999998E-2</v>
      </c>
      <c r="X627" s="1410"/>
      <c r="Y627" s="1411"/>
      <c r="Z627" s="1608" t="s">
        <v>2446</v>
      </c>
      <c r="AA627" s="1609"/>
      <c r="AB627" s="1610"/>
      <c r="AC627" s="1430">
        <v>1</v>
      </c>
      <c r="AD627" s="1431"/>
      <c r="AE627" s="1432"/>
      <c r="AF627" s="1535">
        <v>860882</v>
      </c>
      <c r="AG627" s="1536"/>
      <c r="AH627" s="1536"/>
      <c r="AI627" s="1536"/>
      <c r="AJ627" s="1537"/>
      <c r="AK627" s="1734"/>
      <c r="AL627" s="1735"/>
      <c r="AM627" s="1735"/>
      <c r="AN627" s="1736"/>
      <c r="AO627" s="1648">
        <v>14715713</v>
      </c>
      <c r="AP627" s="1648"/>
      <c r="AQ627" s="1648"/>
      <c r="AR627" s="1648"/>
      <c r="AS627" s="1648"/>
      <c r="AT627" s="3"/>
      <c r="AU627" s="3"/>
      <c r="AZ627" s="3"/>
      <c r="BA627" s="3"/>
      <c r="BB627" s="3"/>
      <c r="BC627" s="3"/>
      <c r="BD627" s="3"/>
      <c r="BE627" s="1373">
        <f t="shared" si="4"/>
        <v>0</v>
      </c>
      <c r="BF627" s="1375"/>
      <c r="BG627" s="1401">
        <f t="shared" si="5"/>
        <v>0</v>
      </c>
      <c r="BH627" s="1403"/>
      <c r="BI627" s="1373">
        <f t="shared" si="6"/>
        <v>0</v>
      </c>
      <c r="BJ627" s="1375"/>
      <c r="BK627" s="1401">
        <f t="shared" si="7"/>
        <v>0</v>
      </c>
      <c r="BL627" s="1403"/>
      <c r="BM627" s="3"/>
      <c r="BN627" s="1406">
        <f t="shared" si="8"/>
        <v>0</v>
      </c>
      <c r="BO627" s="1407"/>
      <c r="BP627" s="1407"/>
      <c r="BQ627" s="1407"/>
      <c r="BR627" s="1408"/>
      <c r="BS627" s="1404">
        <f t="shared" si="9"/>
        <v>0</v>
      </c>
      <c r="BT627" s="1404"/>
      <c r="BU627" s="1404"/>
      <c r="BV627" s="1404"/>
      <c r="BW627" s="1404"/>
      <c r="BX627" s="1404">
        <f t="shared" si="10"/>
        <v>0</v>
      </c>
      <c r="BY627" s="1404"/>
      <c r="BZ627" s="1404"/>
      <c r="CA627" s="1404"/>
      <c r="CB627" s="1404"/>
      <c r="CC627" s="1404">
        <f t="shared" si="11"/>
        <v>0</v>
      </c>
      <c r="CD627" s="1404"/>
      <c r="CE627" s="1404"/>
      <c r="CF627" s="1404"/>
      <c r="CG627" s="1404"/>
      <c r="CH627" s="1404">
        <f t="shared" si="12"/>
        <v>0</v>
      </c>
      <c r="CI627" s="1404"/>
      <c r="CJ627" s="1404"/>
      <c r="CK627" s="1404"/>
      <c r="CL627" s="1404"/>
      <c r="CM627" s="1404">
        <f t="shared" si="13"/>
        <v>0</v>
      </c>
      <c r="CN627" s="1404"/>
      <c r="CO627" s="1404"/>
      <c r="CP627" s="1404"/>
      <c r="CQ627" s="1404"/>
      <c r="CR627" s="6"/>
      <c r="CS627" s="1376">
        <f t="shared" si="14"/>
        <v>0</v>
      </c>
      <c r="CT627" s="1376"/>
      <c r="CU627" s="1376"/>
      <c r="CV627" s="1376"/>
      <c r="CW627" s="1376"/>
      <c r="CX627" s="1376">
        <f t="shared" si="15"/>
        <v>0</v>
      </c>
      <c r="CY627" s="1376"/>
      <c r="CZ627" s="1376"/>
      <c r="DA627" s="1376"/>
      <c r="DB627" s="1376"/>
      <c r="DC627" s="1376">
        <f t="shared" si="16"/>
        <v>0</v>
      </c>
      <c r="DD627" s="1376"/>
      <c r="DE627" s="1376"/>
      <c r="DF627" s="1376"/>
      <c r="DG627" s="1376"/>
      <c r="DH627" s="1376">
        <f t="shared" si="17"/>
        <v>0</v>
      </c>
      <c r="DI627" s="1376"/>
      <c r="DJ627" s="1376"/>
      <c r="DK627" s="1376"/>
      <c r="DL627" s="1376"/>
      <c r="DM627" s="1376">
        <f t="shared" si="18"/>
        <v>0</v>
      </c>
      <c r="DN627" s="1376"/>
      <c r="DO627" s="1376"/>
      <c r="DP627" s="1376"/>
      <c r="DQ627" s="1376"/>
      <c r="DR627" s="1376">
        <f t="shared" si="19"/>
        <v>0</v>
      </c>
      <c r="DS627" s="1376"/>
      <c r="DT627" s="1376"/>
      <c r="DU627" s="1376"/>
      <c r="DV627" s="1376"/>
      <c r="DX627" s="1373" t="str">
        <f t="shared" si="20"/>
        <v/>
      </c>
      <c r="DY627" s="1374"/>
      <c r="DZ627" s="1374"/>
      <c r="EA627" s="1374"/>
      <c r="EB627" s="1375"/>
      <c r="EC627" s="1373" t="str">
        <f t="shared" si="21"/>
        <v/>
      </c>
      <c r="ED627" s="1374"/>
      <c r="EE627" s="1374"/>
      <c r="EF627" s="1374"/>
      <c r="EG627" s="1375"/>
      <c r="EH627" s="1373" t="str">
        <f t="shared" si="22"/>
        <v/>
      </c>
      <c r="EI627" s="1374"/>
      <c r="EJ627" s="1374"/>
      <c r="EK627" s="1374"/>
      <c r="EL627" s="1375"/>
      <c r="EM627" s="1373" t="str">
        <f t="shared" si="23"/>
        <v/>
      </c>
      <c r="EN627" s="1374"/>
      <c r="EO627" s="1374"/>
      <c r="EP627" s="1374"/>
      <c r="EQ627" s="1375"/>
      <c r="ER627" s="1373" t="str">
        <f t="shared" si="24"/>
        <v/>
      </c>
      <c r="ES627" s="1374"/>
      <c r="ET627" s="1374"/>
      <c r="EU627" s="1374"/>
      <c r="EV627" s="1375"/>
      <c r="EW627" s="1373" t="str">
        <f t="shared" si="25"/>
        <v/>
      </c>
      <c r="EX627" s="1374"/>
      <c r="EY627" s="1374"/>
      <c r="EZ627" s="1374"/>
      <c r="FA627" s="1375"/>
    </row>
    <row r="628" spans="2:157" ht="12.95" customHeight="1">
      <c r="B628" s="52" t="s">
        <v>113</v>
      </c>
      <c r="C628" s="1722" t="s">
        <v>2727</v>
      </c>
      <c r="D628" s="1722"/>
      <c r="E628" s="1722"/>
      <c r="F628" s="1722"/>
      <c r="G628" s="1722"/>
      <c r="H628" s="1722"/>
      <c r="I628" s="1722"/>
      <c r="J628" s="1722"/>
      <c r="K628" s="1722"/>
      <c r="L628" s="1722"/>
      <c r="M628" s="1724" t="s">
        <v>2430</v>
      </c>
      <c r="N628" s="1724"/>
      <c r="O628" s="1724"/>
      <c r="P628" s="1724"/>
      <c r="Q628" s="1542">
        <v>660</v>
      </c>
      <c r="R628" s="1543"/>
      <c r="S628" s="1544"/>
      <c r="T628" s="1542"/>
      <c r="U628" s="1543"/>
      <c r="V628" s="1544"/>
      <c r="W628" s="1409">
        <v>0.03</v>
      </c>
      <c r="X628" s="1410"/>
      <c r="Y628" s="1411"/>
      <c r="Z628" s="1608" t="s">
        <v>464</v>
      </c>
      <c r="AA628" s="1609"/>
      <c r="AB628" s="1610"/>
      <c r="AC628" s="1430">
        <v>2</v>
      </c>
      <c r="AD628" s="1431"/>
      <c r="AE628" s="1432"/>
      <c r="AF628" s="1535"/>
      <c r="AG628" s="1536"/>
      <c r="AH628" s="1536"/>
      <c r="AI628" s="1536"/>
      <c r="AJ628" s="1537"/>
      <c r="AK628" s="1734"/>
      <c r="AL628" s="1735"/>
      <c r="AM628" s="1735"/>
      <c r="AN628" s="1736"/>
      <c r="AO628" s="1605">
        <f>4000000+8397017</f>
        <v>12397017</v>
      </c>
      <c r="AP628" s="1606"/>
      <c r="AQ628" s="1606"/>
      <c r="AR628" s="1606"/>
      <c r="AS628" s="1607"/>
      <c r="AT628" s="1192" t="str">
        <f>IF(AND(NOT(C627=""),C628="",NOT(C629="")),"!","")</f>
        <v/>
      </c>
      <c r="AU628" s="3"/>
      <c r="AZ628" s="3"/>
      <c r="BA628" s="3"/>
      <c r="BB628" s="3"/>
      <c r="BC628" s="3"/>
      <c r="BD628" s="3"/>
      <c r="BE628" s="1373">
        <f t="shared" si="4"/>
        <v>0</v>
      </c>
      <c r="BF628" s="1375"/>
      <c r="BG628" s="1401">
        <f t="shared" si="5"/>
        <v>0</v>
      </c>
      <c r="BH628" s="1403"/>
      <c r="BI628" s="1373">
        <f t="shared" si="6"/>
        <v>0</v>
      </c>
      <c r="BJ628" s="1375"/>
      <c r="BK628" s="1401">
        <f t="shared" si="7"/>
        <v>0</v>
      </c>
      <c r="BL628" s="1403"/>
      <c r="BM628" s="3"/>
      <c r="BN628" s="1406">
        <f t="shared" si="8"/>
        <v>0</v>
      </c>
      <c r="BO628" s="1407"/>
      <c r="BP628" s="1407"/>
      <c r="BQ628" s="1407"/>
      <c r="BR628" s="1408"/>
      <c r="BS628" s="1404">
        <f t="shared" si="9"/>
        <v>0</v>
      </c>
      <c r="BT628" s="1404"/>
      <c r="BU628" s="1404"/>
      <c r="BV628" s="1404"/>
      <c r="BW628" s="1404"/>
      <c r="BX628" s="1404">
        <f t="shared" si="10"/>
        <v>0</v>
      </c>
      <c r="BY628" s="1404"/>
      <c r="BZ628" s="1404"/>
      <c r="CA628" s="1404"/>
      <c r="CB628" s="1404"/>
      <c r="CC628" s="1404">
        <f t="shared" si="11"/>
        <v>0</v>
      </c>
      <c r="CD628" s="1404"/>
      <c r="CE628" s="1404"/>
      <c r="CF628" s="1404"/>
      <c r="CG628" s="1404"/>
      <c r="CH628" s="1404">
        <f t="shared" si="12"/>
        <v>0</v>
      </c>
      <c r="CI628" s="1404"/>
      <c r="CJ628" s="1404"/>
      <c r="CK628" s="1404"/>
      <c r="CL628" s="1404"/>
      <c r="CM628" s="1404">
        <f t="shared" si="13"/>
        <v>0</v>
      </c>
      <c r="CN628" s="1404"/>
      <c r="CO628" s="1404"/>
      <c r="CP628" s="1404"/>
      <c r="CQ628" s="1404"/>
      <c r="CR628" s="6"/>
      <c r="CS628" s="1376">
        <f t="shared" si="14"/>
        <v>0</v>
      </c>
      <c r="CT628" s="1376"/>
      <c r="CU628" s="1376"/>
      <c r="CV628" s="1376"/>
      <c r="CW628" s="1376"/>
      <c r="CX628" s="1376">
        <f t="shared" si="15"/>
        <v>0</v>
      </c>
      <c r="CY628" s="1376"/>
      <c r="CZ628" s="1376"/>
      <c r="DA628" s="1376"/>
      <c r="DB628" s="1376"/>
      <c r="DC628" s="1376">
        <f t="shared" si="16"/>
        <v>0</v>
      </c>
      <c r="DD628" s="1376"/>
      <c r="DE628" s="1376"/>
      <c r="DF628" s="1376"/>
      <c r="DG628" s="1376"/>
      <c r="DH628" s="1376">
        <f t="shared" si="17"/>
        <v>0</v>
      </c>
      <c r="DI628" s="1376"/>
      <c r="DJ628" s="1376"/>
      <c r="DK628" s="1376"/>
      <c r="DL628" s="1376"/>
      <c r="DM628" s="1376">
        <f t="shared" si="18"/>
        <v>0</v>
      </c>
      <c r="DN628" s="1376"/>
      <c r="DO628" s="1376"/>
      <c r="DP628" s="1376"/>
      <c r="DQ628" s="1376"/>
      <c r="DR628" s="1376">
        <f t="shared" si="19"/>
        <v>0</v>
      </c>
      <c r="DS628" s="1376"/>
      <c r="DT628" s="1376"/>
      <c r="DU628" s="1376"/>
      <c r="DV628" s="1376"/>
      <c r="DX628" s="1373" t="str">
        <f t="shared" si="20"/>
        <v/>
      </c>
      <c r="DY628" s="1374"/>
      <c r="DZ628" s="1374"/>
      <c r="EA628" s="1374"/>
      <c r="EB628" s="1375"/>
      <c r="EC628" s="1373" t="str">
        <f t="shared" si="21"/>
        <v/>
      </c>
      <c r="ED628" s="1374"/>
      <c r="EE628" s="1374"/>
      <c r="EF628" s="1374"/>
      <c r="EG628" s="1375"/>
      <c r="EH628" s="1373" t="str">
        <f t="shared" si="22"/>
        <v/>
      </c>
      <c r="EI628" s="1374"/>
      <c r="EJ628" s="1374"/>
      <c r="EK628" s="1374"/>
      <c r="EL628" s="1375"/>
      <c r="EM628" s="1373" t="str">
        <f t="shared" si="23"/>
        <v/>
      </c>
      <c r="EN628" s="1374"/>
      <c r="EO628" s="1374"/>
      <c r="EP628" s="1374"/>
      <c r="EQ628" s="1375"/>
      <c r="ER628" s="1373" t="str">
        <f t="shared" si="24"/>
        <v/>
      </c>
      <c r="ES628" s="1374"/>
      <c r="ET628" s="1374"/>
      <c r="EU628" s="1374"/>
      <c r="EV628" s="1375"/>
      <c r="EW628" s="1373" t="str">
        <f t="shared" si="25"/>
        <v/>
      </c>
      <c r="EX628" s="1374"/>
      <c r="EY628" s="1374"/>
      <c r="EZ628" s="1374"/>
      <c r="FA628" s="1375"/>
    </row>
    <row r="629" spans="2:157" ht="12.95" customHeight="1">
      <c r="B629" s="52" t="s">
        <v>119</v>
      </c>
      <c r="C629" s="1722" t="s">
        <v>2729</v>
      </c>
      <c r="D629" s="1722"/>
      <c r="E629" s="1722"/>
      <c r="F629" s="1722"/>
      <c r="G629" s="1722"/>
      <c r="H629" s="1722"/>
      <c r="I629" s="1722"/>
      <c r="J629" s="1722"/>
      <c r="K629" s="1722"/>
      <c r="L629" s="1722"/>
      <c r="M629" s="1724" t="s">
        <v>2430</v>
      </c>
      <c r="N629" s="1724"/>
      <c r="O629" s="1724"/>
      <c r="P629" s="1724"/>
      <c r="Q629" s="1542">
        <v>660</v>
      </c>
      <c r="R629" s="1543"/>
      <c r="S629" s="1544"/>
      <c r="T629" s="1542"/>
      <c r="U629" s="1543"/>
      <c r="V629" s="1544"/>
      <c r="W629" s="1409">
        <v>0.03</v>
      </c>
      <c r="X629" s="1410"/>
      <c r="Y629" s="1411"/>
      <c r="Z629" s="1608" t="s">
        <v>464</v>
      </c>
      <c r="AA629" s="1609"/>
      <c r="AB629" s="1610"/>
      <c r="AC629" s="1430">
        <v>2</v>
      </c>
      <c r="AD629" s="1431"/>
      <c r="AE629" s="1432"/>
      <c r="AF629" s="1535"/>
      <c r="AG629" s="1536"/>
      <c r="AH629" s="1536"/>
      <c r="AI629" s="1536"/>
      <c r="AJ629" s="1537"/>
      <c r="AK629" s="1734"/>
      <c r="AL629" s="1735"/>
      <c r="AM629" s="1735"/>
      <c r="AN629" s="1736"/>
      <c r="AO629" s="1605">
        <v>6213322</v>
      </c>
      <c r="AP629" s="1606"/>
      <c r="AQ629" s="1606"/>
      <c r="AR629" s="1606"/>
      <c r="AS629" s="1607"/>
      <c r="AT629" s="1192" t="str">
        <f t="shared" ref="AT629:AT638" si="26">IF(AND(NOT(C628=""),C629="",NOT(C630="")),"!","")</f>
        <v/>
      </c>
      <c r="AU629" s="3"/>
      <c r="AZ629" s="3"/>
      <c r="BA629" s="3"/>
      <c r="BB629" s="3"/>
      <c r="BC629" s="3"/>
      <c r="BD629" s="3"/>
      <c r="BE629" s="1373">
        <f t="shared" si="4"/>
        <v>0</v>
      </c>
      <c r="BF629" s="1375"/>
      <c r="BG629" s="1401">
        <f t="shared" si="5"/>
        <v>0</v>
      </c>
      <c r="BH629" s="1403"/>
      <c r="BI629" s="1373">
        <f t="shared" si="6"/>
        <v>0</v>
      </c>
      <c r="BJ629" s="1375"/>
      <c r="BK629" s="1401">
        <f t="shared" si="7"/>
        <v>0</v>
      </c>
      <c r="BL629" s="1403"/>
      <c r="BM629" s="3"/>
      <c r="BN629" s="1406">
        <f t="shared" si="8"/>
        <v>0</v>
      </c>
      <c r="BO629" s="1407"/>
      <c r="BP629" s="1407"/>
      <c r="BQ629" s="1407"/>
      <c r="BR629" s="1408"/>
      <c r="BS629" s="1404">
        <f t="shared" si="9"/>
        <v>0</v>
      </c>
      <c r="BT629" s="1404"/>
      <c r="BU629" s="1404"/>
      <c r="BV629" s="1404"/>
      <c r="BW629" s="1404"/>
      <c r="BX629" s="1404">
        <f t="shared" si="10"/>
        <v>0</v>
      </c>
      <c r="BY629" s="1404"/>
      <c r="BZ629" s="1404"/>
      <c r="CA629" s="1404"/>
      <c r="CB629" s="1404"/>
      <c r="CC629" s="1404">
        <f t="shared" si="11"/>
        <v>0</v>
      </c>
      <c r="CD629" s="1404"/>
      <c r="CE629" s="1404"/>
      <c r="CF629" s="1404"/>
      <c r="CG629" s="1404"/>
      <c r="CH629" s="1404">
        <f t="shared" si="12"/>
        <v>0</v>
      </c>
      <c r="CI629" s="1404"/>
      <c r="CJ629" s="1404"/>
      <c r="CK629" s="1404"/>
      <c r="CL629" s="1404"/>
      <c r="CM629" s="1404">
        <f t="shared" si="13"/>
        <v>0</v>
      </c>
      <c r="CN629" s="1404"/>
      <c r="CO629" s="1404"/>
      <c r="CP629" s="1404"/>
      <c r="CQ629" s="1404"/>
      <c r="CR629" s="6"/>
      <c r="CS629" s="1376">
        <f t="shared" si="14"/>
        <v>0</v>
      </c>
      <c r="CT629" s="1376"/>
      <c r="CU629" s="1376"/>
      <c r="CV629" s="1376"/>
      <c r="CW629" s="1376"/>
      <c r="CX629" s="1376">
        <f t="shared" si="15"/>
        <v>0</v>
      </c>
      <c r="CY629" s="1376"/>
      <c r="CZ629" s="1376"/>
      <c r="DA629" s="1376"/>
      <c r="DB629" s="1376"/>
      <c r="DC629" s="1376">
        <f t="shared" si="16"/>
        <v>0</v>
      </c>
      <c r="DD629" s="1376"/>
      <c r="DE629" s="1376"/>
      <c r="DF629" s="1376"/>
      <c r="DG629" s="1376"/>
      <c r="DH629" s="1376">
        <f t="shared" si="17"/>
        <v>0</v>
      </c>
      <c r="DI629" s="1376"/>
      <c r="DJ629" s="1376"/>
      <c r="DK629" s="1376"/>
      <c r="DL629" s="1376"/>
      <c r="DM629" s="1376">
        <f t="shared" si="18"/>
        <v>0</v>
      </c>
      <c r="DN629" s="1376"/>
      <c r="DO629" s="1376"/>
      <c r="DP629" s="1376"/>
      <c r="DQ629" s="1376"/>
      <c r="DR629" s="1376">
        <f t="shared" si="19"/>
        <v>0</v>
      </c>
      <c r="DS629" s="1376"/>
      <c r="DT629" s="1376"/>
      <c r="DU629" s="1376"/>
      <c r="DV629" s="1376"/>
      <c r="DX629" s="1373" t="str">
        <f t="shared" si="20"/>
        <v/>
      </c>
      <c r="DY629" s="1374"/>
      <c r="DZ629" s="1374"/>
      <c r="EA629" s="1374"/>
      <c r="EB629" s="1375"/>
      <c r="EC629" s="1373" t="str">
        <f t="shared" si="21"/>
        <v/>
      </c>
      <c r="ED629" s="1374"/>
      <c r="EE629" s="1374"/>
      <c r="EF629" s="1374"/>
      <c r="EG629" s="1375"/>
      <c r="EH629" s="1373" t="str">
        <f t="shared" si="22"/>
        <v/>
      </c>
      <c r="EI629" s="1374"/>
      <c r="EJ629" s="1374"/>
      <c r="EK629" s="1374"/>
      <c r="EL629" s="1375"/>
      <c r="EM629" s="1373" t="str">
        <f t="shared" si="23"/>
        <v/>
      </c>
      <c r="EN629" s="1374"/>
      <c r="EO629" s="1374"/>
      <c r="EP629" s="1374"/>
      <c r="EQ629" s="1375"/>
      <c r="ER629" s="1373" t="str">
        <f t="shared" si="24"/>
        <v/>
      </c>
      <c r="ES629" s="1374"/>
      <c r="ET629" s="1374"/>
      <c r="EU629" s="1374"/>
      <c r="EV629" s="1375"/>
      <c r="EW629" s="1373" t="str">
        <f t="shared" si="25"/>
        <v/>
      </c>
      <c r="EX629" s="1374"/>
      <c r="EY629" s="1374"/>
      <c r="EZ629" s="1374"/>
      <c r="FA629" s="1375"/>
    </row>
    <row r="630" spans="2:157" ht="12.95" customHeight="1">
      <c r="B630" s="52" t="s">
        <v>588</v>
      </c>
      <c r="C630" s="1722" t="s">
        <v>2728</v>
      </c>
      <c r="D630" s="1723"/>
      <c r="E630" s="1723"/>
      <c r="F630" s="1723"/>
      <c r="G630" s="1723"/>
      <c r="H630" s="1723"/>
      <c r="I630" s="1723"/>
      <c r="J630" s="1723"/>
      <c r="K630" s="1723"/>
      <c r="L630" s="1723"/>
      <c r="M630" s="1724" t="s">
        <v>2430</v>
      </c>
      <c r="N630" s="1724"/>
      <c r="O630" s="1724"/>
      <c r="P630" s="1724"/>
      <c r="Q630" s="1542">
        <v>660</v>
      </c>
      <c r="R630" s="1543"/>
      <c r="S630" s="1544"/>
      <c r="T630" s="1542"/>
      <c r="U630" s="1543"/>
      <c r="V630" s="1544"/>
      <c r="W630" s="1409">
        <v>0.03</v>
      </c>
      <c r="X630" s="1410"/>
      <c r="Y630" s="1411"/>
      <c r="Z630" s="1608" t="s">
        <v>464</v>
      </c>
      <c r="AA630" s="1609"/>
      <c r="AB630" s="1610"/>
      <c r="AC630" s="1430">
        <v>2</v>
      </c>
      <c r="AD630" s="1431"/>
      <c r="AE630" s="1432"/>
      <c r="AF630" s="1535"/>
      <c r="AG630" s="1536"/>
      <c r="AH630" s="1536"/>
      <c r="AI630" s="1536"/>
      <c r="AJ630" s="1537"/>
      <c r="AK630" s="1734"/>
      <c r="AL630" s="1735"/>
      <c r="AM630" s="1735"/>
      <c r="AN630" s="1736"/>
      <c r="AO630" s="1605">
        <v>2200000</v>
      </c>
      <c r="AP630" s="1606"/>
      <c r="AQ630" s="1606"/>
      <c r="AR630" s="1606"/>
      <c r="AS630" s="1607"/>
      <c r="AT630" s="1192" t="str">
        <f t="shared" si="26"/>
        <v/>
      </c>
      <c r="AU630" s="3"/>
      <c r="AZ630" s="3"/>
      <c r="BA630" s="3"/>
      <c r="BB630" s="3"/>
      <c r="BC630" s="3"/>
      <c r="BD630" s="3"/>
      <c r="BE630" s="1373">
        <f t="shared" si="4"/>
        <v>0</v>
      </c>
      <c r="BF630" s="1375"/>
      <c r="BG630" s="1401">
        <f t="shared" si="5"/>
        <v>0</v>
      </c>
      <c r="BH630" s="1403"/>
      <c r="BI630" s="1373">
        <f t="shared" si="6"/>
        <v>0</v>
      </c>
      <c r="BJ630" s="1375"/>
      <c r="BK630" s="1401">
        <f t="shared" si="7"/>
        <v>0</v>
      </c>
      <c r="BL630" s="1403"/>
      <c r="BM630" s="3"/>
      <c r="BN630" s="1406">
        <f t="shared" si="8"/>
        <v>0</v>
      </c>
      <c r="BO630" s="1407"/>
      <c r="BP630" s="1407"/>
      <c r="BQ630" s="1407"/>
      <c r="BR630" s="1408"/>
      <c r="BS630" s="1404">
        <f t="shared" si="9"/>
        <v>0</v>
      </c>
      <c r="BT630" s="1404"/>
      <c r="BU630" s="1404"/>
      <c r="BV630" s="1404"/>
      <c r="BW630" s="1404"/>
      <c r="BX630" s="1404">
        <f t="shared" si="10"/>
        <v>0</v>
      </c>
      <c r="BY630" s="1404"/>
      <c r="BZ630" s="1404"/>
      <c r="CA630" s="1404"/>
      <c r="CB630" s="1404"/>
      <c r="CC630" s="1404">
        <f t="shared" si="11"/>
        <v>0</v>
      </c>
      <c r="CD630" s="1404"/>
      <c r="CE630" s="1404"/>
      <c r="CF630" s="1404"/>
      <c r="CG630" s="1404"/>
      <c r="CH630" s="1404">
        <f t="shared" si="12"/>
        <v>0</v>
      </c>
      <c r="CI630" s="1404"/>
      <c r="CJ630" s="1404"/>
      <c r="CK630" s="1404"/>
      <c r="CL630" s="1404"/>
      <c r="CM630" s="1404">
        <f t="shared" si="13"/>
        <v>0</v>
      </c>
      <c r="CN630" s="1404"/>
      <c r="CO630" s="1404"/>
      <c r="CP630" s="1404"/>
      <c r="CQ630" s="1404"/>
      <c r="CR630" s="6"/>
      <c r="CS630" s="1376">
        <f t="shared" si="14"/>
        <v>0</v>
      </c>
      <c r="CT630" s="1376"/>
      <c r="CU630" s="1376"/>
      <c r="CV630" s="1376"/>
      <c r="CW630" s="1376"/>
      <c r="CX630" s="1376">
        <f t="shared" si="15"/>
        <v>0</v>
      </c>
      <c r="CY630" s="1376"/>
      <c r="CZ630" s="1376"/>
      <c r="DA630" s="1376"/>
      <c r="DB630" s="1376"/>
      <c r="DC630" s="1376">
        <f t="shared" si="16"/>
        <v>0</v>
      </c>
      <c r="DD630" s="1376"/>
      <c r="DE630" s="1376"/>
      <c r="DF630" s="1376"/>
      <c r="DG630" s="1376"/>
      <c r="DH630" s="1376">
        <f t="shared" si="17"/>
        <v>0</v>
      </c>
      <c r="DI630" s="1376"/>
      <c r="DJ630" s="1376"/>
      <c r="DK630" s="1376"/>
      <c r="DL630" s="1376"/>
      <c r="DM630" s="1376">
        <f t="shared" si="18"/>
        <v>0</v>
      </c>
      <c r="DN630" s="1376"/>
      <c r="DO630" s="1376"/>
      <c r="DP630" s="1376"/>
      <c r="DQ630" s="1376"/>
      <c r="DR630" s="1376">
        <f t="shared" si="19"/>
        <v>0</v>
      </c>
      <c r="DS630" s="1376"/>
      <c r="DT630" s="1376"/>
      <c r="DU630" s="1376"/>
      <c r="DV630" s="1376"/>
      <c r="DX630" s="1373" t="str">
        <f t="shared" si="20"/>
        <v/>
      </c>
      <c r="DY630" s="1374"/>
      <c r="DZ630" s="1374"/>
      <c r="EA630" s="1374"/>
      <c r="EB630" s="1375"/>
      <c r="EC630" s="1373" t="str">
        <f t="shared" si="21"/>
        <v/>
      </c>
      <c r="ED630" s="1374"/>
      <c r="EE630" s="1374"/>
      <c r="EF630" s="1374"/>
      <c r="EG630" s="1375"/>
      <c r="EH630" s="1373" t="str">
        <f t="shared" si="22"/>
        <v/>
      </c>
      <c r="EI630" s="1374"/>
      <c r="EJ630" s="1374"/>
      <c r="EK630" s="1374"/>
      <c r="EL630" s="1375"/>
      <c r="EM630" s="1373" t="str">
        <f t="shared" si="23"/>
        <v/>
      </c>
      <c r="EN630" s="1374"/>
      <c r="EO630" s="1374"/>
      <c r="EP630" s="1374"/>
      <c r="EQ630" s="1375"/>
      <c r="ER630" s="1373" t="str">
        <f t="shared" si="24"/>
        <v/>
      </c>
      <c r="ES630" s="1374"/>
      <c r="ET630" s="1374"/>
      <c r="EU630" s="1374"/>
      <c r="EV630" s="1375"/>
      <c r="EW630" s="1373" t="str">
        <f t="shared" si="25"/>
        <v/>
      </c>
      <c r="EX630" s="1374"/>
      <c r="EY630" s="1374"/>
      <c r="EZ630" s="1374"/>
      <c r="FA630" s="1375"/>
    </row>
    <row r="631" spans="2:157" ht="12.95" customHeight="1">
      <c r="B631" s="52" t="s">
        <v>771</v>
      </c>
      <c r="C631" s="1722" t="s">
        <v>2782</v>
      </c>
      <c r="D631" s="1723"/>
      <c r="E631" s="1723"/>
      <c r="F631" s="1723"/>
      <c r="G631" s="1723"/>
      <c r="H631" s="1723"/>
      <c r="I631" s="1723"/>
      <c r="J631" s="1723"/>
      <c r="K631" s="1723"/>
      <c r="L631" s="1723"/>
      <c r="M631" s="1724" t="s">
        <v>2419</v>
      </c>
      <c r="N631" s="1724"/>
      <c r="O631" s="1724"/>
      <c r="P631" s="1724"/>
      <c r="Q631" s="1542"/>
      <c r="R631" s="1543"/>
      <c r="S631" s="1544"/>
      <c r="T631" s="1542"/>
      <c r="U631" s="1543"/>
      <c r="V631" s="1544"/>
      <c r="W631" s="1409"/>
      <c r="X631" s="1410"/>
      <c r="Y631" s="1411"/>
      <c r="Z631" s="1608" t="s">
        <v>300</v>
      </c>
      <c r="AA631" s="1609"/>
      <c r="AB631" s="1610"/>
      <c r="AC631" s="1430"/>
      <c r="AD631" s="1431"/>
      <c r="AE631" s="1432"/>
      <c r="AF631" s="1535"/>
      <c r="AG631" s="1536"/>
      <c r="AH631" s="1536"/>
      <c r="AI631" s="1536"/>
      <c r="AJ631" s="1537"/>
      <c r="AK631" s="1734"/>
      <c r="AL631" s="1735"/>
      <c r="AM631" s="1735"/>
      <c r="AN631" s="1736"/>
      <c r="AO631" s="1605">
        <v>2087222</v>
      </c>
      <c r="AP631" s="1606"/>
      <c r="AQ631" s="1606"/>
      <c r="AR631" s="1606"/>
      <c r="AS631" s="1607"/>
      <c r="AT631" s="1192" t="str">
        <f t="shared" si="26"/>
        <v/>
      </c>
      <c r="AU631" s="3"/>
      <c r="AZ631" s="3"/>
      <c r="BA631" s="3"/>
      <c r="BB631" s="3"/>
      <c r="BC631" s="3"/>
      <c r="BD631" s="3"/>
      <c r="BE631" s="1373">
        <f t="shared" si="4"/>
        <v>0</v>
      </c>
      <c r="BF631" s="1375"/>
      <c r="BG631" s="1401">
        <f t="shared" si="5"/>
        <v>0</v>
      </c>
      <c r="BH631" s="1403"/>
      <c r="BI631" s="1373">
        <f t="shared" si="6"/>
        <v>0</v>
      </c>
      <c r="BJ631" s="1375"/>
      <c r="BK631" s="1401">
        <f t="shared" si="7"/>
        <v>0</v>
      </c>
      <c r="BL631" s="1403"/>
      <c r="BM631" s="3"/>
      <c r="BN631" s="1406">
        <f t="shared" si="8"/>
        <v>0</v>
      </c>
      <c r="BO631" s="1407"/>
      <c r="BP631" s="1407"/>
      <c r="BQ631" s="1407"/>
      <c r="BR631" s="1408"/>
      <c r="BS631" s="1404">
        <f t="shared" si="9"/>
        <v>0</v>
      </c>
      <c r="BT631" s="1404"/>
      <c r="BU631" s="1404"/>
      <c r="BV631" s="1404"/>
      <c r="BW631" s="1404"/>
      <c r="BX631" s="1404">
        <f t="shared" si="10"/>
        <v>0</v>
      </c>
      <c r="BY631" s="1404"/>
      <c r="BZ631" s="1404"/>
      <c r="CA631" s="1404"/>
      <c r="CB631" s="1404"/>
      <c r="CC631" s="1404">
        <f t="shared" si="11"/>
        <v>0</v>
      </c>
      <c r="CD631" s="1404"/>
      <c r="CE631" s="1404"/>
      <c r="CF631" s="1404"/>
      <c r="CG631" s="1404"/>
      <c r="CH631" s="1404">
        <f t="shared" si="12"/>
        <v>0</v>
      </c>
      <c r="CI631" s="1404"/>
      <c r="CJ631" s="1404"/>
      <c r="CK631" s="1404"/>
      <c r="CL631" s="1404"/>
      <c r="CM631" s="1404">
        <f t="shared" si="13"/>
        <v>0</v>
      </c>
      <c r="CN631" s="1404"/>
      <c r="CO631" s="1404"/>
      <c r="CP631" s="1404"/>
      <c r="CQ631" s="1404"/>
      <c r="CR631" s="6"/>
      <c r="CS631" s="1376">
        <f t="shared" si="14"/>
        <v>0</v>
      </c>
      <c r="CT631" s="1376"/>
      <c r="CU631" s="1376"/>
      <c r="CV631" s="1376"/>
      <c r="CW631" s="1376"/>
      <c r="CX631" s="1376">
        <f t="shared" si="15"/>
        <v>0</v>
      </c>
      <c r="CY631" s="1376"/>
      <c r="CZ631" s="1376"/>
      <c r="DA631" s="1376"/>
      <c r="DB631" s="1376"/>
      <c r="DC631" s="1376">
        <f t="shared" si="16"/>
        <v>0</v>
      </c>
      <c r="DD631" s="1376"/>
      <c r="DE631" s="1376"/>
      <c r="DF631" s="1376"/>
      <c r="DG631" s="1376"/>
      <c r="DH631" s="1376">
        <f t="shared" si="17"/>
        <v>0</v>
      </c>
      <c r="DI631" s="1376"/>
      <c r="DJ631" s="1376"/>
      <c r="DK631" s="1376"/>
      <c r="DL631" s="1376"/>
      <c r="DM631" s="1376">
        <f t="shared" si="18"/>
        <v>0</v>
      </c>
      <c r="DN631" s="1376"/>
      <c r="DO631" s="1376"/>
      <c r="DP631" s="1376"/>
      <c r="DQ631" s="1376"/>
      <c r="DR631" s="1376">
        <f t="shared" si="19"/>
        <v>0</v>
      </c>
      <c r="DS631" s="1376"/>
      <c r="DT631" s="1376"/>
      <c r="DU631" s="1376"/>
      <c r="DV631" s="1376"/>
      <c r="DX631" s="1373" t="str">
        <f t="shared" si="20"/>
        <v/>
      </c>
      <c r="DY631" s="1374"/>
      <c r="DZ631" s="1374"/>
      <c r="EA631" s="1374"/>
      <c r="EB631" s="1375"/>
      <c r="EC631" s="1373" t="str">
        <f t="shared" si="21"/>
        <v/>
      </c>
      <c r="ED631" s="1374"/>
      <c r="EE631" s="1374"/>
      <c r="EF631" s="1374"/>
      <c r="EG631" s="1375"/>
      <c r="EH631" s="1373" t="str">
        <f t="shared" si="22"/>
        <v/>
      </c>
      <c r="EI631" s="1374"/>
      <c r="EJ631" s="1374"/>
      <c r="EK631" s="1374"/>
      <c r="EL631" s="1375"/>
      <c r="EM631" s="1373" t="str">
        <f t="shared" si="23"/>
        <v/>
      </c>
      <c r="EN631" s="1374"/>
      <c r="EO631" s="1374"/>
      <c r="EP631" s="1374"/>
      <c r="EQ631" s="1375"/>
      <c r="ER631" s="1373" t="str">
        <f t="shared" si="24"/>
        <v/>
      </c>
      <c r="ES631" s="1374"/>
      <c r="ET631" s="1374"/>
      <c r="EU631" s="1374"/>
      <c r="EV631" s="1375"/>
      <c r="EW631" s="1373" t="str">
        <f t="shared" si="25"/>
        <v/>
      </c>
      <c r="EX631" s="1374"/>
      <c r="EY631" s="1374"/>
      <c r="EZ631" s="1374"/>
      <c r="FA631" s="1375"/>
    </row>
    <row r="632" spans="2:157" ht="12.95" customHeight="1">
      <c r="B632" s="52" t="s">
        <v>591</v>
      </c>
      <c r="C632" s="1722" t="s">
        <v>2781</v>
      </c>
      <c r="D632" s="1723"/>
      <c r="E632" s="1723"/>
      <c r="F632" s="1723"/>
      <c r="G632" s="1723"/>
      <c r="H632" s="1723"/>
      <c r="I632" s="1723"/>
      <c r="J632" s="1723"/>
      <c r="K632" s="1723"/>
      <c r="L632" s="1723"/>
      <c r="M632" s="1724" t="s">
        <v>2421</v>
      </c>
      <c r="N632" s="1724"/>
      <c r="O632" s="1724"/>
      <c r="P632" s="1724"/>
      <c r="Q632" s="1542"/>
      <c r="R632" s="1543"/>
      <c r="S632" s="1544"/>
      <c r="T632" s="1542"/>
      <c r="U632" s="1543"/>
      <c r="V632" s="1544"/>
      <c r="W632" s="1409"/>
      <c r="X632" s="1410"/>
      <c r="Y632" s="1411"/>
      <c r="Z632" s="1608" t="s">
        <v>465</v>
      </c>
      <c r="AA632" s="1609"/>
      <c r="AB632" s="1610"/>
      <c r="AC632" s="1430"/>
      <c r="AD632" s="1431"/>
      <c r="AE632" s="1432"/>
      <c r="AF632" s="1535"/>
      <c r="AG632" s="1536"/>
      <c r="AH632" s="1536"/>
      <c r="AI632" s="1536"/>
      <c r="AJ632" s="1537"/>
      <c r="AK632" s="1734"/>
      <c r="AL632" s="1735"/>
      <c r="AM632" s="1735"/>
      <c r="AN632" s="1736"/>
      <c r="AO632" s="1605">
        <v>3128128</v>
      </c>
      <c r="AP632" s="1606"/>
      <c r="AQ632" s="1606"/>
      <c r="AR632" s="1606"/>
      <c r="AS632" s="1607"/>
      <c r="AT632" s="1192" t="str">
        <f t="shared" si="26"/>
        <v/>
      </c>
      <c r="AU632" s="3"/>
      <c r="AZ632" s="3"/>
      <c r="BA632" s="3"/>
      <c r="BB632" s="3"/>
      <c r="BC632" s="3"/>
      <c r="BD632" s="3"/>
      <c r="BE632" s="3"/>
      <c r="BF632" s="3"/>
      <c r="BG632" s="1373">
        <f>SUM(BG597:BH631)</f>
        <v>0</v>
      </c>
      <c r="BH632" s="1375"/>
      <c r="BI632" s="3"/>
      <c r="BJ632" s="3"/>
      <c r="BK632" s="1373">
        <f>SUM(BK597:BL631)</f>
        <v>39</v>
      </c>
      <c r="BL632" s="1375"/>
      <c r="BM632" s="3"/>
      <c r="BN632" s="1373">
        <f>SUM(BN597:BR631)</f>
        <v>47</v>
      </c>
      <c r="BO632" s="1374"/>
      <c r="BP632" s="1374"/>
      <c r="BQ632" s="1374"/>
      <c r="BR632" s="1375"/>
      <c r="BS632" s="1419">
        <f>SUM(BS597:BW631)</f>
        <v>29</v>
      </c>
      <c r="BT632" s="1419"/>
      <c r="BU632" s="1419"/>
      <c r="BV632" s="1419"/>
      <c r="BW632" s="1419"/>
      <c r="BX632" s="1419">
        <f>SUM(BX597:CB631)</f>
        <v>4</v>
      </c>
      <c r="BY632" s="1419"/>
      <c r="BZ632" s="1419"/>
      <c r="CA632" s="1419"/>
      <c r="CB632" s="1419"/>
      <c r="CC632" s="1419">
        <f>SUM(CC597:CG631)</f>
        <v>5</v>
      </c>
      <c r="CD632" s="1419"/>
      <c r="CE632" s="1419"/>
      <c r="CF632" s="1419"/>
      <c r="CG632" s="1419"/>
      <c r="CH632" s="1419">
        <f>SUM(CH597:CL631)</f>
        <v>0</v>
      </c>
      <c r="CI632" s="1419"/>
      <c r="CJ632" s="1419"/>
      <c r="CK632" s="1419"/>
      <c r="CL632" s="1419"/>
      <c r="CM632" s="1419">
        <f>SUM(CM597:CQ631)</f>
        <v>0</v>
      </c>
      <c r="CN632" s="1419"/>
      <c r="CO632" s="1419"/>
      <c r="CP632" s="1419"/>
      <c r="CQ632" s="1419"/>
      <c r="CR632" s="385"/>
      <c r="CS632" s="1419">
        <f>SUM(CS597:CW631)</f>
        <v>22</v>
      </c>
      <c r="CT632" s="1419"/>
      <c r="CU632" s="1419"/>
      <c r="CV632" s="1419"/>
      <c r="CW632" s="1419"/>
      <c r="CX632" s="1419">
        <f>SUM(CX597:DB631)</f>
        <v>17</v>
      </c>
      <c r="CY632" s="1419"/>
      <c r="CZ632" s="1419"/>
      <c r="DA632" s="1419"/>
      <c r="DB632" s="1419"/>
      <c r="DC632" s="1419">
        <f>SUM(DC597:DG631)</f>
        <v>0</v>
      </c>
      <c r="DD632" s="1419"/>
      <c r="DE632" s="1419"/>
      <c r="DF632" s="1419"/>
      <c r="DG632" s="1419"/>
      <c r="DH632" s="1419">
        <f>SUM(DH597:DL631)</f>
        <v>0</v>
      </c>
      <c r="DI632" s="1419"/>
      <c r="DJ632" s="1419"/>
      <c r="DK632" s="1419"/>
      <c r="DL632" s="1419"/>
      <c r="DM632" s="1419">
        <f>SUM(DM597:DQ631)</f>
        <v>0</v>
      </c>
      <c r="DN632" s="1419"/>
      <c r="DO632" s="1419"/>
      <c r="DP632" s="1419"/>
      <c r="DQ632" s="1419"/>
      <c r="DR632" s="1419">
        <f>SUM(DR597:DV631)</f>
        <v>0</v>
      </c>
      <c r="DS632" s="1419"/>
      <c r="DT632" s="1419"/>
      <c r="DU632" s="1419"/>
      <c r="DV632" s="1419"/>
      <c r="DX632" s="1419">
        <f>SUM(DX597:EB631)</f>
        <v>4752</v>
      </c>
      <c r="DY632" s="1419"/>
      <c r="DZ632" s="1419"/>
      <c r="EA632" s="1419"/>
      <c r="EB632" s="1419"/>
      <c r="EC632" s="1419">
        <f>SUM(EC597:EG631)</f>
        <v>5097</v>
      </c>
      <c r="ED632" s="1419"/>
      <c r="EE632" s="1419"/>
      <c r="EF632" s="1419"/>
      <c r="EG632" s="1419"/>
      <c r="EH632" s="1419">
        <f>SUM(EH597:EL631)</f>
        <v>2595</v>
      </c>
      <c r="EI632" s="1419"/>
      <c r="EJ632" s="1419"/>
      <c r="EK632" s="1419"/>
      <c r="EL632" s="1419"/>
      <c r="EM632" s="1419">
        <f>SUM(EM597:EQ631)</f>
        <v>3011</v>
      </c>
      <c r="EN632" s="1419"/>
      <c r="EO632" s="1419"/>
      <c r="EP632" s="1419"/>
      <c r="EQ632" s="1419"/>
      <c r="ER632" s="1419">
        <f>SUM(ER597:EV631)</f>
        <v>0</v>
      </c>
      <c r="ES632" s="1419"/>
      <c r="ET632" s="1419"/>
      <c r="EU632" s="1419"/>
      <c r="EV632" s="1419"/>
      <c r="EW632" s="1419">
        <f>SUM(EW597:FA631)</f>
        <v>0</v>
      </c>
      <c r="EX632" s="1419"/>
      <c r="EY632" s="1419"/>
      <c r="EZ632" s="1419"/>
      <c r="FA632" s="1419"/>
    </row>
    <row r="633" spans="2:157" ht="12.95" customHeight="1">
      <c r="B633" s="52" t="s">
        <v>462</v>
      </c>
      <c r="C633" s="1723"/>
      <c r="D633" s="1723"/>
      <c r="E633" s="1723"/>
      <c r="F633" s="1723"/>
      <c r="G633" s="1723"/>
      <c r="H633" s="1723"/>
      <c r="I633" s="1723"/>
      <c r="J633" s="1723"/>
      <c r="K633" s="1723"/>
      <c r="L633" s="1723"/>
      <c r="M633" s="1724" t="s">
        <v>1287</v>
      </c>
      <c r="N633" s="1724"/>
      <c r="O633" s="1724"/>
      <c r="P633" s="1724"/>
      <c r="Q633" s="1542"/>
      <c r="R633" s="1543"/>
      <c r="S633" s="1544"/>
      <c r="T633" s="1542"/>
      <c r="U633" s="1543"/>
      <c r="V633" s="1544"/>
      <c r="W633" s="1409"/>
      <c r="X633" s="1410"/>
      <c r="Y633" s="1411"/>
      <c r="Z633" s="1608" t="s">
        <v>1287</v>
      </c>
      <c r="AA633" s="1609"/>
      <c r="AB633" s="1610"/>
      <c r="AC633" s="1430"/>
      <c r="AD633" s="1431"/>
      <c r="AE633" s="1432"/>
      <c r="AF633" s="1535"/>
      <c r="AG633" s="1536"/>
      <c r="AH633" s="1536"/>
      <c r="AI633" s="1536"/>
      <c r="AJ633" s="1537"/>
      <c r="AK633" s="1734"/>
      <c r="AL633" s="1735"/>
      <c r="AM633" s="1735"/>
      <c r="AN633" s="1736"/>
      <c r="AO633" s="1605"/>
      <c r="AP633" s="1606"/>
      <c r="AQ633" s="1606"/>
      <c r="AR633" s="1606"/>
      <c r="AS633" s="1607"/>
      <c r="AT633" s="1192" t="str">
        <f t="shared" si="26"/>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2047</v>
      </c>
      <c r="CM633" s="1373">
        <f>BN632+BS632+BX632+CC632+CH632+CM632</f>
        <v>85</v>
      </c>
      <c r="CN633" s="1374"/>
      <c r="CO633" s="1374"/>
      <c r="CP633" s="1374"/>
      <c r="CQ633" s="1375"/>
      <c r="CR633" s="385"/>
      <c r="CS633" s="3"/>
      <c r="CT633" s="3"/>
      <c r="CU633" s="3"/>
      <c r="CV633" s="3"/>
      <c r="CW633" s="3"/>
      <c r="CX633" s="3"/>
      <c r="CY633" s="3"/>
      <c r="CZ633" s="3"/>
      <c r="DA633" s="3"/>
      <c r="DB633" s="3"/>
      <c r="DC633" s="3"/>
      <c r="DD633" s="3"/>
      <c r="DE633" s="3"/>
      <c r="DF633" s="3"/>
    </row>
    <row r="634" spans="2:157" ht="12.95" customHeight="1">
      <c r="B634" s="52" t="s">
        <v>463</v>
      </c>
      <c r="C634" s="1723"/>
      <c r="D634" s="1723"/>
      <c r="E634" s="1723"/>
      <c r="F634" s="1723"/>
      <c r="G634" s="1723"/>
      <c r="H634" s="1723"/>
      <c r="I634" s="1723"/>
      <c r="J634" s="1723"/>
      <c r="K634" s="1723"/>
      <c r="L634" s="1723"/>
      <c r="M634" s="1724" t="s">
        <v>1287</v>
      </c>
      <c r="N634" s="1724"/>
      <c r="O634" s="1724"/>
      <c r="P634" s="1724"/>
      <c r="Q634" s="1542"/>
      <c r="R634" s="1543"/>
      <c r="S634" s="1544"/>
      <c r="T634" s="1542"/>
      <c r="U634" s="1543"/>
      <c r="V634" s="1544"/>
      <c r="W634" s="1409"/>
      <c r="X634" s="1410"/>
      <c r="Y634" s="1411"/>
      <c r="Z634" s="1608" t="s">
        <v>1287</v>
      </c>
      <c r="AA634" s="1609"/>
      <c r="AB634" s="1610"/>
      <c r="AC634" s="1430"/>
      <c r="AD634" s="1431"/>
      <c r="AE634" s="1432"/>
      <c r="AF634" s="1535"/>
      <c r="AG634" s="1536"/>
      <c r="AH634" s="1536"/>
      <c r="AI634" s="1536"/>
      <c r="AJ634" s="1537"/>
      <c r="AK634" s="1734"/>
      <c r="AL634" s="1735"/>
      <c r="AM634" s="1735"/>
      <c r="AN634" s="1736"/>
      <c r="AO634" s="1605"/>
      <c r="AP634" s="1606"/>
      <c r="AQ634" s="1606"/>
      <c r="AR634" s="1606"/>
      <c r="AS634" s="1607"/>
      <c r="AT634" s="1192" t="str">
        <f t="shared" si="26"/>
        <v/>
      </c>
      <c r="AU634" s="3"/>
      <c r="AV634" s="3"/>
      <c r="AW634" s="3"/>
      <c r="AX634" s="3"/>
      <c r="AY634" s="3"/>
      <c r="AZ634" s="3"/>
      <c r="BA634" s="3" t="s">
        <v>1287</v>
      </c>
      <c r="BB634" s="3"/>
      <c r="BC634" s="3"/>
      <c r="BD634" s="3"/>
      <c r="BE634" s="3"/>
      <c r="BF634" s="3"/>
      <c r="BG634" s="3"/>
      <c r="BH634" s="3"/>
      <c r="BI634" s="3"/>
      <c r="BJ634" s="3"/>
      <c r="BK634" s="3"/>
      <c r="BL634" s="3"/>
      <c r="BM634" s="3"/>
      <c r="BR634" s="895">
        <f>BN632*1</f>
        <v>47</v>
      </c>
      <c r="BS634" s="3"/>
      <c r="BT634" s="3"/>
      <c r="BU634" s="3"/>
      <c r="BV634" s="3"/>
      <c r="BW634" s="895">
        <f>BS632*1</f>
        <v>29</v>
      </c>
      <c r="BX634" s="3"/>
      <c r="BY634" s="3"/>
      <c r="BZ634" s="3"/>
      <c r="CA634" s="3"/>
      <c r="CB634" s="895">
        <f>BX632*2</f>
        <v>8</v>
      </c>
      <c r="CC634" s="3"/>
      <c r="CD634" s="3"/>
      <c r="CE634" s="3"/>
      <c r="CF634" s="3"/>
      <c r="CG634" s="895">
        <f>CC632*3</f>
        <v>15</v>
      </c>
      <c r="CH634" s="3"/>
      <c r="CI634" s="3"/>
      <c r="CJ634" s="3"/>
      <c r="CK634" s="3"/>
      <c r="CL634" s="895">
        <f>CH632*4</f>
        <v>0</v>
      </c>
      <c r="CM634" s="3"/>
      <c r="CN634" s="3"/>
      <c r="CO634" s="3"/>
      <c r="CP634" s="3"/>
      <c r="CQ634" s="895">
        <f>CM632*5</f>
        <v>0</v>
      </c>
      <c r="CS634" s="895">
        <f>BR634+BW634+CB634+CG634+CL634+CQ634</f>
        <v>99</v>
      </c>
      <c r="CT634" s="57" t="s">
        <v>2049</v>
      </c>
      <c r="CU634" s="3"/>
      <c r="CV634" s="3"/>
      <c r="CW634" s="3"/>
      <c r="CX634" s="3"/>
      <c r="CY634" s="3"/>
      <c r="CZ634" s="3"/>
      <c r="DA634" s="3"/>
      <c r="DB634" s="3"/>
      <c r="DC634" s="3"/>
      <c r="DD634" s="3"/>
      <c r="DE634" s="3"/>
      <c r="DF634" s="3"/>
    </row>
    <row r="635" spans="2:157" ht="12.95" customHeight="1">
      <c r="B635" s="52" t="s">
        <v>468</v>
      </c>
      <c r="C635" s="1723"/>
      <c r="D635" s="1723"/>
      <c r="E635" s="1723"/>
      <c r="F635" s="1723"/>
      <c r="G635" s="1723"/>
      <c r="H635" s="1723"/>
      <c r="I635" s="1723"/>
      <c r="J635" s="1723"/>
      <c r="K635" s="1723"/>
      <c r="L635" s="1723"/>
      <c r="M635" s="1724" t="s">
        <v>1287</v>
      </c>
      <c r="N635" s="1724"/>
      <c r="O635" s="1724"/>
      <c r="P635" s="1724"/>
      <c r="Q635" s="1542"/>
      <c r="R635" s="1543"/>
      <c r="S635" s="1544"/>
      <c r="T635" s="1542"/>
      <c r="U635" s="1543"/>
      <c r="V635" s="1544"/>
      <c r="W635" s="1409"/>
      <c r="X635" s="1410"/>
      <c r="Y635" s="1411"/>
      <c r="Z635" s="1608" t="s">
        <v>1287</v>
      </c>
      <c r="AA635" s="1609"/>
      <c r="AB635" s="1610"/>
      <c r="AC635" s="1430"/>
      <c r="AD635" s="1431"/>
      <c r="AE635" s="1432"/>
      <c r="AF635" s="1535"/>
      <c r="AG635" s="1536"/>
      <c r="AH635" s="1536"/>
      <c r="AI635" s="1536"/>
      <c r="AJ635" s="1537"/>
      <c r="AK635" s="1734"/>
      <c r="AL635" s="1735"/>
      <c r="AM635" s="1735"/>
      <c r="AN635" s="1736"/>
      <c r="AO635" s="1605"/>
      <c r="AP635" s="1606"/>
      <c r="AQ635" s="1606"/>
      <c r="AR635" s="1606"/>
      <c r="AS635" s="1607"/>
      <c r="AT635" s="1192" t="str">
        <f t="shared" si="26"/>
        <v/>
      </c>
      <c r="AU635" s="3"/>
      <c r="AV635" s="3"/>
      <c r="AW635" s="3"/>
      <c r="AX635" s="3"/>
      <c r="AY635" s="3"/>
      <c r="AZ635" s="34"/>
      <c r="BA635" s="3" t="s">
        <v>465</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72">
        <f>DX597*(BN597/$BN$632)</f>
        <v>204.04255319148936</v>
      </c>
      <c r="DY635" s="1372"/>
      <c r="DZ635" s="1372"/>
      <c r="EA635" s="1372"/>
      <c r="EB635" s="1372"/>
      <c r="EC635" s="1372" t="e">
        <f t="shared" ref="EC635:EC657" si="27">EC597*(BS597/$BS$632)</f>
        <v>#VALUE!</v>
      </c>
      <c r="ED635" s="1372"/>
      <c r="EE635" s="1372"/>
      <c r="EF635" s="1372"/>
      <c r="EG635" s="1372"/>
      <c r="EH635" s="1372" t="e">
        <f t="shared" ref="EH635:EH657" si="28">EH597*(BX597/$BX$632)</f>
        <v>#VALUE!</v>
      </c>
      <c r="EI635" s="1372"/>
      <c r="EJ635" s="1372"/>
      <c r="EK635" s="1372"/>
      <c r="EL635" s="1372"/>
      <c r="EM635" s="1372" t="e">
        <f t="shared" ref="EM635:EM657" si="29">EM597*(CC597/$CC$632)</f>
        <v>#VALUE!</v>
      </c>
      <c r="EN635" s="1372"/>
      <c r="EO635" s="1372"/>
      <c r="EP635" s="1372"/>
      <c r="EQ635" s="1372"/>
      <c r="ER635" s="1372" t="e">
        <f t="shared" ref="ER635:ER657" si="30">ER597*(CH597/$CH$632)</f>
        <v>#VALUE!</v>
      </c>
      <c r="ES635" s="1372"/>
      <c r="ET635" s="1372"/>
      <c r="EU635" s="1372"/>
      <c r="EV635" s="1372"/>
      <c r="EW635" s="1372" t="e">
        <f t="shared" ref="EW635:EW657" si="31">EW597*(CM597/$CM$632)</f>
        <v>#VALUE!</v>
      </c>
      <c r="EX635" s="1372"/>
      <c r="EY635" s="1372"/>
      <c r="EZ635" s="1372"/>
      <c r="FA635" s="1372"/>
    </row>
    <row r="636" spans="2:157" ht="12.95" customHeight="1">
      <c r="B636" s="52" t="s">
        <v>653</v>
      </c>
      <c r="C636" s="1723"/>
      <c r="D636" s="1723"/>
      <c r="E636" s="1723"/>
      <c r="F636" s="1723"/>
      <c r="G636" s="1723"/>
      <c r="H636" s="1723"/>
      <c r="I636" s="1723"/>
      <c r="J636" s="1723"/>
      <c r="K636" s="1723"/>
      <c r="L636" s="1723"/>
      <c r="M636" s="1724" t="s">
        <v>1287</v>
      </c>
      <c r="N636" s="1724"/>
      <c r="O636" s="1724"/>
      <c r="P636" s="1724"/>
      <c r="Q636" s="1542"/>
      <c r="R636" s="1543"/>
      <c r="S636" s="1544"/>
      <c r="T636" s="1542"/>
      <c r="U636" s="1543"/>
      <c r="V636" s="1544"/>
      <c r="W636" s="1409"/>
      <c r="X636" s="1410"/>
      <c r="Y636" s="1411"/>
      <c r="Z636" s="1608" t="s">
        <v>1287</v>
      </c>
      <c r="AA636" s="1609"/>
      <c r="AB636" s="1610"/>
      <c r="AC636" s="1430"/>
      <c r="AD636" s="1431"/>
      <c r="AE636" s="1432"/>
      <c r="AF636" s="1535"/>
      <c r="AG636" s="1536"/>
      <c r="AH636" s="1536"/>
      <c r="AI636" s="1536"/>
      <c r="AJ636" s="1537"/>
      <c r="AK636" s="1734"/>
      <c r="AL636" s="1735"/>
      <c r="AM636" s="1735"/>
      <c r="AN636" s="1736"/>
      <c r="AO636" s="1605"/>
      <c r="AP636" s="1606"/>
      <c r="AQ636" s="1606"/>
      <c r="AR636" s="1606"/>
      <c r="AS636" s="1607"/>
      <c r="AT636" s="1192" t="str">
        <f t="shared" si="26"/>
        <v/>
      </c>
      <c r="AV636" s="3"/>
      <c r="AW636" s="3"/>
      <c r="AX636" s="3"/>
      <c r="AY636" s="3"/>
      <c r="AZ636" s="34"/>
      <c r="BA636" s="3" t="s">
        <v>464</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72">
        <f t="shared" ref="DX636:DX657" si="32">DX598*(BN598/$BN$632)</f>
        <v>131.23404255319147</v>
      </c>
      <c r="DY636" s="1372"/>
      <c r="DZ636" s="1372"/>
      <c r="EA636" s="1372"/>
      <c r="EB636" s="1372"/>
      <c r="EC636" s="1372" t="e">
        <f t="shared" si="27"/>
        <v>#VALUE!</v>
      </c>
      <c r="ED636" s="1372"/>
      <c r="EE636" s="1372"/>
      <c r="EF636" s="1372"/>
      <c r="EG636" s="1372"/>
      <c r="EH636" s="1372" t="e">
        <f t="shared" si="28"/>
        <v>#VALUE!</v>
      </c>
      <c r="EI636" s="1372"/>
      <c r="EJ636" s="1372"/>
      <c r="EK636" s="1372"/>
      <c r="EL636" s="1372"/>
      <c r="EM636" s="1372" t="e">
        <f t="shared" si="29"/>
        <v>#VALUE!</v>
      </c>
      <c r="EN636" s="1372"/>
      <c r="EO636" s="1372"/>
      <c r="EP636" s="1372"/>
      <c r="EQ636" s="1372"/>
      <c r="ER636" s="1372" t="e">
        <f t="shared" si="30"/>
        <v>#VALUE!</v>
      </c>
      <c r="ES636" s="1372"/>
      <c r="ET636" s="1372"/>
      <c r="EU636" s="1372"/>
      <c r="EV636" s="1372"/>
      <c r="EW636" s="1372" t="e">
        <f t="shared" si="31"/>
        <v>#VALUE!</v>
      </c>
      <c r="EX636" s="1372"/>
      <c r="EY636" s="1372"/>
      <c r="EZ636" s="1372"/>
      <c r="FA636" s="1372"/>
    </row>
    <row r="637" spans="2:157" ht="12.95" customHeight="1">
      <c r="B637" s="52" t="s">
        <v>362</v>
      </c>
      <c r="C637" s="1723"/>
      <c r="D637" s="1723"/>
      <c r="E637" s="1723"/>
      <c r="F637" s="1723"/>
      <c r="G637" s="1723"/>
      <c r="H637" s="1723"/>
      <c r="I637" s="1723"/>
      <c r="J637" s="1723"/>
      <c r="K637" s="1723"/>
      <c r="L637" s="1723"/>
      <c r="M637" s="1724" t="s">
        <v>1287</v>
      </c>
      <c r="N637" s="1724"/>
      <c r="O637" s="1724"/>
      <c r="P637" s="1724"/>
      <c r="Q637" s="1542"/>
      <c r="R637" s="1543"/>
      <c r="S637" s="1544"/>
      <c r="T637" s="1542"/>
      <c r="U637" s="1543"/>
      <c r="V637" s="1544"/>
      <c r="W637" s="1409"/>
      <c r="X637" s="1410"/>
      <c r="Y637" s="1411"/>
      <c r="Z637" s="1608" t="s">
        <v>1287</v>
      </c>
      <c r="AA637" s="1609"/>
      <c r="AB637" s="1610"/>
      <c r="AC637" s="1430"/>
      <c r="AD637" s="1431"/>
      <c r="AE637" s="1432"/>
      <c r="AF637" s="1535"/>
      <c r="AG637" s="1536"/>
      <c r="AH637" s="1536"/>
      <c r="AI637" s="1536"/>
      <c r="AJ637" s="1537"/>
      <c r="AK637" s="1734"/>
      <c r="AL637" s="1735"/>
      <c r="AM637" s="1735"/>
      <c r="AN637" s="1736"/>
      <c r="AO637" s="1605"/>
      <c r="AP637" s="1606"/>
      <c r="AQ637" s="1606"/>
      <c r="AR637" s="1606"/>
      <c r="AS637" s="1607"/>
      <c r="AT637" s="1192" t="str">
        <f t="shared" si="26"/>
        <v/>
      </c>
      <c r="AV637" s="3"/>
      <c r="AW637" s="3"/>
      <c r="AX637" s="3"/>
      <c r="AY637" s="3"/>
      <c r="AZ637" s="34"/>
      <c r="BA637" s="3" t="s">
        <v>2446</v>
      </c>
      <c r="BB637" s="34"/>
      <c r="BC637" s="34"/>
      <c r="BD637" s="34"/>
      <c r="BE637" s="34"/>
      <c r="BF637" s="34"/>
      <c r="BG637" s="34"/>
      <c r="BH637" s="34"/>
      <c r="BI637" s="34"/>
      <c r="BJ637" s="34"/>
      <c r="BK637" s="34"/>
      <c r="BL637" s="34"/>
      <c r="BM637" s="34"/>
      <c r="BN637" s="1406">
        <f>IF(J773="SRO/Studio",O773,0)</f>
        <v>0</v>
      </c>
      <c r="BO637" s="1407"/>
      <c r="BP637" s="1407"/>
      <c r="BQ637" s="1407"/>
      <c r="BR637" s="1408"/>
      <c r="BS637" s="1404">
        <f>IF(J773="1 Bedroom",O773,0)</f>
        <v>0</v>
      </c>
      <c r="BT637" s="1404"/>
      <c r="BU637" s="1404"/>
      <c r="BV637" s="1404"/>
      <c r="BW637" s="1404"/>
      <c r="BX637" s="1404">
        <f>IF(J773="2 Bedrooms",O773,0)</f>
        <v>1</v>
      </c>
      <c r="BY637" s="1404"/>
      <c r="BZ637" s="1404"/>
      <c r="CA637" s="1404"/>
      <c r="CB637" s="1404"/>
      <c r="CC637" s="1404">
        <f>IF(J773="3 Bedrooms",O773,0)</f>
        <v>0</v>
      </c>
      <c r="CD637" s="1404"/>
      <c r="CE637" s="1404"/>
      <c r="CF637" s="1404"/>
      <c r="CG637" s="1404"/>
      <c r="CH637" s="1404">
        <f>IF(J773="4 Bedrooms",O773,0)</f>
        <v>0</v>
      </c>
      <c r="CI637" s="1404"/>
      <c r="CJ637" s="1404"/>
      <c r="CK637" s="1404"/>
      <c r="CL637" s="1404"/>
      <c r="CM637" s="1404">
        <f>IF(J773="5 Bedrooms",O773,0)</f>
        <v>0</v>
      </c>
      <c r="CN637" s="1404"/>
      <c r="CO637" s="1404"/>
      <c r="CP637" s="1404"/>
      <c r="CQ637" s="1404"/>
      <c r="CR637" s="6"/>
      <c r="CS637" s="3"/>
      <c r="CT637" s="3"/>
      <c r="CU637" s="3"/>
      <c r="CV637" s="3"/>
      <c r="CW637" s="3"/>
      <c r="CX637" s="3"/>
      <c r="CY637" s="3"/>
      <c r="CZ637" s="3"/>
      <c r="DA637" s="3"/>
      <c r="DB637" s="3"/>
      <c r="DC637" s="3"/>
      <c r="DD637" s="3"/>
      <c r="DE637" s="3"/>
      <c r="DF637" s="3"/>
      <c r="DX637" s="1372">
        <f t="shared" si="32"/>
        <v>43.744680851063826</v>
      </c>
      <c r="DY637" s="1372"/>
      <c r="DZ637" s="1372"/>
      <c r="EA637" s="1372"/>
      <c r="EB637" s="1372"/>
      <c r="EC637" s="1372" t="e">
        <f t="shared" si="27"/>
        <v>#VALUE!</v>
      </c>
      <c r="ED637" s="1372"/>
      <c r="EE637" s="1372"/>
      <c r="EF637" s="1372"/>
      <c r="EG637" s="1372"/>
      <c r="EH637" s="1372" t="e">
        <f t="shared" si="28"/>
        <v>#VALUE!</v>
      </c>
      <c r="EI637" s="1372"/>
      <c r="EJ637" s="1372"/>
      <c r="EK637" s="1372"/>
      <c r="EL637" s="1372"/>
      <c r="EM637" s="1372" t="e">
        <f t="shared" si="29"/>
        <v>#VALUE!</v>
      </c>
      <c r="EN637" s="1372"/>
      <c r="EO637" s="1372"/>
      <c r="EP637" s="1372"/>
      <c r="EQ637" s="1372"/>
      <c r="ER637" s="1372" t="e">
        <f t="shared" si="30"/>
        <v>#VALUE!</v>
      </c>
      <c r="ES637" s="1372"/>
      <c r="ET637" s="1372"/>
      <c r="EU637" s="1372"/>
      <c r="EV637" s="1372"/>
      <c r="EW637" s="1372" t="e">
        <f t="shared" si="31"/>
        <v>#VALUE!</v>
      </c>
      <c r="EX637" s="1372"/>
      <c r="EY637" s="1372"/>
      <c r="EZ637" s="1372"/>
      <c r="FA637" s="1372"/>
    </row>
    <row r="638" spans="2:157" ht="12.95" customHeight="1">
      <c r="B638" s="52" t="s">
        <v>363</v>
      </c>
      <c r="C638" s="1723"/>
      <c r="D638" s="1723"/>
      <c r="E638" s="1723"/>
      <c r="F638" s="1723"/>
      <c r="G638" s="1723"/>
      <c r="H638" s="1723"/>
      <c r="I638" s="1723"/>
      <c r="J638" s="1723"/>
      <c r="K638" s="1723"/>
      <c r="L638" s="1723"/>
      <c r="M638" s="1724" t="s">
        <v>1287</v>
      </c>
      <c r="N638" s="1724"/>
      <c r="O638" s="1724"/>
      <c r="P638" s="1724"/>
      <c r="Q638" s="1542"/>
      <c r="R638" s="1543"/>
      <c r="S638" s="1544"/>
      <c r="T638" s="1542"/>
      <c r="U638" s="1543"/>
      <c r="V638" s="1544"/>
      <c r="W638" s="1409"/>
      <c r="X638" s="1410"/>
      <c r="Y638" s="1411"/>
      <c r="Z638" s="1608" t="s">
        <v>1287</v>
      </c>
      <c r="AA638" s="1609"/>
      <c r="AB638" s="1610"/>
      <c r="AC638" s="1430"/>
      <c r="AD638" s="1431"/>
      <c r="AE638" s="1432"/>
      <c r="AF638" s="1535"/>
      <c r="AG638" s="1536"/>
      <c r="AH638" s="1536"/>
      <c r="AI638" s="1536"/>
      <c r="AJ638" s="1537"/>
      <c r="AK638" s="1734"/>
      <c r="AL638" s="1735"/>
      <c r="AM638" s="1735"/>
      <c r="AN638" s="1736"/>
      <c r="AO638" s="1605"/>
      <c r="AP638" s="1606"/>
      <c r="AQ638" s="1606"/>
      <c r="AR638" s="1606"/>
      <c r="AS638" s="1607"/>
      <c r="AT638" s="1192" t="str">
        <f t="shared" si="26"/>
        <v/>
      </c>
      <c r="AV638" s="3"/>
      <c r="AW638" s="3"/>
      <c r="AX638" s="3"/>
      <c r="AY638" s="3"/>
      <c r="AZ638" s="34"/>
      <c r="BA638" s="3" t="s">
        <v>300</v>
      </c>
      <c r="BB638" s="34"/>
      <c r="BC638" s="34"/>
      <c r="BD638" s="34"/>
      <c r="BE638" s="34"/>
      <c r="BF638" s="34"/>
      <c r="BG638" s="34"/>
      <c r="BH638" s="34"/>
      <c r="BI638" s="34"/>
      <c r="BJ638" s="34"/>
      <c r="BK638" s="34"/>
      <c r="BL638" s="34"/>
      <c r="BM638" s="34"/>
      <c r="BN638" s="1406">
        <f>IF(J774="SRO/Studio",O774,0)</f>
        <v>0</v>
      </c>
      <c r="BO638" s="1407"/>
      <c r="BP638" s="1407"/>
      <c r="BQ638" s="1407"/>
      <c r="BR638" s="1408"/>
      <c r="BS638" s="1404">
        <f>IF(J774="1 Bedroom",O774,0)</f>
        <v>0</v>
      </c>
      <c r="BT638" s="1404"/>
      <c r="BU638" s="1404"/>
      <c r="BV638" s="1404"/>
      <c r="BW638" s="1404"/>
      <c r="BX638" s="1404">
        <f>IF(J774="2 Bedrooms",O774,0)</f>
        <v>0</v>
      </c>
      <c r="BY638" s="1404"/>
      <c r="BZ638" s="1404"/>
      <c r="CA638" s="1404"/>
      <c r="CB638" s="1404"/>
      <c r="CC638" s="1404">
        <f>IF(J774="3 Bedrooms",O774,0)</f>
        <v>0</v>
      </c>
      <c r="CD638" s="1404"/>
      <c r="CE638" s="1404"/>
      <c r="CF638" s="1404"/>
      <c r="CG638" s="1404"/>
      <c r="CH638" s="1404">
        <f>IF(J774="4 Bedrooms",O774,0)</f>
        <v>0</v>
      </c>
      <c r="CI638" s="1404"/>
      <c r="CJ638" s="1404"/>
      <c r="CK638" s="1404"/>
      <c r="CL638" s="1404"/>
      <c r="CM638" s="1404">
        <f>IF(J774="5 Bedrooms",O774,0)</f>
        <v>0</v>
      </c>
      <c r="CN638" s="1404"/>
      <c r="CO638" s="1404"/>
      <c r="CP638" s="1404"/>
      <c r="CQ638" s="1404"/>
      <c r="CR638" s="6"/>
      <c r="CS638" s="3"/>
      <c r="CT638" s="3"/>
      <c r="CU638" s="3"/>
      <c r="CV638" s="3"/>
      <c r="CW638" s="3"/>
      <c r="CX638" s="3"/>
      <c r="CY638" s="3"/>
      <c r="CZ638" s="3"/>
      <c r="DA638" s="3"/>
      <c r="DB638" s="3"/>
      <c r="DC638" s="3"/>
      <c r="DD638" s="3"/>
      <c r="DE638" s="3"/>
      <c r="DF638" s="3"/>
      <c r="DX638" s="1372">
        <f t="shared" si="32"/>
        <v>1069.6808510638298</v>
      </c>
      <c r="DY638" s="1372"/>
      <c r="DZ638" s="1372"/>
      <c r="EA638" s="1372"/>
      <c r="EB638" s="1372"/>
      <c r="EC638" s="1372" t="e">
        <f t="shared" si="27"/>
        <v>#VALUE!</v>
      </c>
      <c r="ED638" s="1372"/>
      <c r="EE638" s="1372"/>
      <c r="EF638" s="1372"/>
      <c r="EG638" s="1372"/>
      <c r="EH638" s="1372" t="e">
        <f t="shared" si="28"/>
        <v>#VALUE!</v>
      </c>
      <c r="EI638" s="1372"/>
      <c r="EJ638" s="1372"/>
      <c r="EK638" s="1372"/>
      <c r="EL638" s="1372"/>
      <c r="EM638" s="1372" t="e">
        <f t="shared" si="29"/>
        <v>#VALUE!</v>
      </c>
      <c r="EN638" s="1372"/>
      <c r="EO638" s="1372"/>
      <c r="EP638" s="1372"/>
      <c r="EQ638" s="1372"/>
      <c r="ER638" s="1372" t="e">
        <f t="shared" si="30"/>
        <v>#VALUE!</v>
      </c>
      <c r="ES638" s="1372"/>
      <c r="ET638" s="1372"/>
      <c r="EU638" s="1372"/>
      <c r="EV638" s="1372"/>
      <c r="EW638" s="1372" t="e">
        <f t="shared" si="31"/>
        <v>#VALUE!</v>
      </c>
      <c r="EX638" s="1372"/>
      <c r="EY638" s="1372"/>
      <c r="EZ638" s="1372"/>
      <c r="FA638" s="1372"/>
    </row>
    <row r="639" spans="2:157" ht="12.95" customHeight="1">
      <c r="B639" s="1617" t="s">
        <v>128</v>
      </c>
      <c r="C639" s="1618"/>
      <c r="D639" s="1618"/>
      <c r="E639" s="1618"/>
      <c r="F639" s="1618"/>
      <c r="G639" s="1618"/>
      <c r="H639" s="1618"/>
      <c r="I639" s="1618"/>
      <c r="J639" s="1618"/>
      <c r="K639" s="1618"/>
      <c r="L639" s="1618"/>
      <c r="M639" s="1618"/>
      <c r="N639" s="1618"/>
      <c r="O639" s="1618"/>
      <c r="P639" s="1618"/>
      <c r="Q639" s="1618"/>
      <c r="R639" s="1618"/>
      <c r="S639" s="1618"/>
      <c r="T639" s="1618"/>
      <c r="U639" s="1618"/>
      <c r="V639" s="1618"/>
      <c r="W639" s="1618"/>
      <c r="X639" s="1618"/>
      <c r="Y639" s="1618"/>
      <c r="Z639" s="1618"/>
      <c r="AA639" s="1618"/>
      <c r="AB639" s="1618"/>
      <c r="AC639" s="1618"/>
      <c r="AD639" s="1618"/>
      <c r="AE639" s="1618"/>
      <c r="AF639" s="1618"/>
      <c r="AG639" s="1618"/>
      <c r="AH639" s="1618"/>
      <c r="AI639" s="1618"/>
      <c r="AJ639" s="1618"/>
      <c r="AK639" s="1618"/>
      <c r="AL639" s="1618"/>
      <c r="AM639" s="1618"/>
      <c r="AN639" s="1619"/>
      <c r="AO639" s="1614">
        <f>SUM(AO627:AR638)</f>
        <v>40741402</v>
      </c>
      <c r="AP639" s="1615"/>
      <c r="AQ639" s="1615"/>
      <c r="AR639" s="1615"/>
      <c r="AS639" s="1616"/>
      <c r="AV639" s="3"/>
      <c r="AW639" s="3"/>
      <c r="AX639" s="3"/>
      <c r="AY639" s="3"/>
      <c r="AZ639" s="34"/>
      <c r="BA639" s="34"/>
      <c r="BB639" s="34"/>
      <c r="BC639" s="34"/>
      <c r="BD639" s="34"/>
      <c r="BE639" s="34"/>
      <c r="BF639" s="34"/>
      <c r="BG639" s="34"/>
      <c r="BH639" s="34"/>
      <c r="BI639" s="34"/>
      <c r="BJ639" s="34"/>
      <c r="BK639" s="34"/>
      <c r="BL639" s="34"/>
      <c r="BM639" s="34"/>
      <c r="BN639" s="1406">
        <f>IF(J775="SRO/Studio",O775,0)</f>
        <v>0</v>
      </c>
      <c r="BO639" s="1407"/>
      <c r="BP639" s="1407"/>
      <c r="BQ639" s="1407"/>
      <c r="BR639" s="1408"/>
      <c r="BS639" s="1404">
        <f>IF(J775="1 Bedroom",O775,0)</f>
        <v>0</v>
      </c>
      <c r="BT639" s="1404"/>
      <c r="BU639" s="1404"/>
      <c r="BV639" s="1404"/>
      <c r="BW639" s="1404"/>
      <c r="BX639" s="1404">
        <f>IF(J775="2 Bedrooms",O775,0)</f>
        <v>0</v>
      </c>
      <c r="BY639" s="1404"/>
      <c r="BZ639" s="1404"/>
      <c r="CA639" s="1404"/>
      <c r="CB639" s="1404"/>
      <c r="CC639" s="1404">
        <f>IF(J775="3 Bedrooms",O775,0)</f>
        <v>0</v>
      </c>
      <c r="CD639" s="1404"/>
      <c r="CE639" s="1404"/>
      <c r="CF639" s="1404"/>
      <c r="CG639" s="1404"/>
      <c r="CH639" s="1404">
        <f>IF(J775="4 Bedrooms",O775,0)</f>
        <v>0</v>
      </c>
      <c r="CI639" s="1404"/>
      <c r="CJ639" s="1404"/>
      <c r="CK639" s="1404"/>
      <c r="CL639" s="1404"/>
      <c r="CM639" s="1404">
        <f>IF(J775="5 Bedrooms",O775,0)</f>
        <v>0</v>
      </c>
      <c r="CN639" s="1404"/>
      <c r="CO639" s="1404"/>
      <c r="CP639" s="1404"/>
      <c r="CQ639" s="1404"/>
      <c r="CR639" s="1047"/>
      <c r="CV639" s="3"/>
      <c r="CW639" s="3"/>
      <c r="CX639" s="3"/>
      <c r="CY639" s="3"/>
      <c r="CZ639" s="3"/>
      <c r="DA639" s="3"/>
      <c r="DB639" s="3"/>
      <c r="DC639" s="3"/>
      <c r="DD639" s="3"/>
      <c r="DE639" s="3"/>
      <c r="DF639" s="3"/>
      <c r="DX639" s="1372" t="e">
        <f t="shared" si="32"/>
        <v>#VALUE!</v>
      </c>
      <c r="DY639" s="1372"/>
      <c r="DZ639" s="1372"/>
      <c r="EA639" s="1372"/>
      <c r="EB639" s="1372"/>
      <c r="EC639" s="1372">
        <f t="shared" si="27"/>
        <v>253.10344827586209</v>
      </c>
      <c r="ED639" s="1372"/>
      <c r="EE639" s="1372"/>
      <c r="EF639" s="1372"/>
      <c r="EG639" s="1372"/>
      <c r="EH639" s="1372" t="e">
        <f t="shared" si="28"/>
        <v>#VALUE!</v>
      </c>
      <c r="EI639" s="1372"/>
      <c r="EJ639" s="1372"/>
      <c r="EK639" s="1372"/>
      <c r="EL639" s="1372"/>
      <c r="EM639" s="1372" t="e">
        <f t="shared" si="29"/>
        <v>#VALUE!</v>
      </c>
      <c r="EN639" s="1372"/>
      <c r="EO639" s="1372"/>
      <c r="EP639" s="1372"/>
      <c r="EQ639" s="1372"/>
      <c r="ER639" s="1372" t="e">
        <f t="shared" si="30"/>
        <v>#VALUE!</v>
      </c>
      <c r="ES639" s="1372"/>
      <c r="ET639" s="1372"/>
      <c r="EU639" s="1372"/>
      <c r="EV639" s="1372"/>
      <c r="EW639" s="1372" t="e">
        <f t="shared" si="31"/>
        <v>#VALUE!</v>
      </c>
      <c r="EX639" s="1372"/>
      <c r="EY639" s="1372"/>
      <c r="EZ639" s="1372"/>
      <c r="FA639" s="1372"/>
    </row>
    <row r="640" spans="2:157" ht="12.95" customHeight="1">
      <c r="B640" s="1617" t="s">
        <v>267</v>
      </c>
      <c r="C640" s="1618"/>
      <c r="D640" s="1618"/>
      <c r="E640" s="1618"/>
      <c r="F640" s="1618"/>
      <c r="G640" s="1618"/>
      <c r="H640" s="1618"/>
      <c r="I640" s="1618"/>
      <c r="J640" s="1618"/>
      <c r="K640" s="1618"/>
      <c r="L640" s="1618"/>
      <c r="M640" s="1618"/>
      <c r="N640" s="1618"/>
      <c r="O640" s="1618"/>
      <c r="P640" s="1618"/>
      <c r="Q640" s="1618"/>
      <c r="R640" s="1618"/>
      <c r="S640" s="1618"/>
      <c r="T640" s="1618"/>
      <c r="U640" s="1618"/>
      <c r="V640" s="1618"/>
      <c r="W640" s="1618"/>
      <c r="X640" s="1618"/>
      <c r="Y640" s="1618"/>
      <c r="Z640" s="1618"/>
      <c r="AA640" s="1618"/>
      <c r="AB640" s="1618"/>
      <c r="AC640" s="1618"/>
      <c r="AD640" s="1618"/>
      <c r="AE640" s="1618"/>
      <c r="AF640" s="1618"/>
      <c r="AG640" s="1618"/>
      <c r="AH640" s="1618"/>
      <c r="AI640" s="1618"/>
      <c r="AJ640" s="1618"/>
      <c r="AK640" s="1618"/>
      <c r="AL640" s="1618"/>
      <c r="AM640" s="1618"/>
      <c r="AN640" s="1619"/>
      <c r="AO640" s="1605">
        <v>27891374</v>
      </c>
      <c r="AP640" s="1606"/>
      <c r="AQ640" s="1606"/>
      <c r="AR640" s="1606"/>
      <c r="AS640" s="1607"/>
      <c r="AV640" s="3"/>
      <c r="AW640" s="3"/>
      <c r="AX640" s="3"/>
      <c r="AY640" s="3"/>
      <c r="AZ640" s="34"/>
      <c r="BA640" s="34"/>
      <c r="BB640" s="34"/>
      <c r="BC640" s="34"/>
      <c r="BD640" s="34"/>
      <c r="BE640" s="34"/>
      <c r="BF640" s="34"/>
      <c r="BG640" s="34"/>
      <c r="BH640" s="34"/>
      <c r="BI640" s="34"/>
      <c r="BJ640" s="34"/>
      <c r="BK640" s="34"/>
      <c r="BL640" s="34"/>
      <c r="BM640" s="34"/>
      <c r="BN640" s="1406">
        <f>IF(J776="SRO/Studio",O776,0)</f>
        <v>0</v>
      </c>
      <c r="BO640" s="1407"/>
      <c r="BP640" s="1407"/>
      <c r="BQ640" s="1407"/>
      <c r="BR640" s="1408"/>
      <c r="BS640" s="1404">
        <f>IF(J776="1 Bedroom",O776,0)</f>
        <v>0</v>
      </c>
      <c r="BT640" s="1404"/>
      <c r="BU640" s="1404"/>
      <c r="BV640" s="1404"/>
      <c r="BW640" s="1404"/>
      <c r="BX640" s="1404">
        <f>IF(J776="2 Bedrooms",O776,0)</f>
        <v>0</v>
      </c>
      <c r="BY640" s="1404"/>
      <c r="BZ640" s="1404"/>
      <c r="CA640" s="1404"/>
      <c r="CB640" s="1404"/>
      <c r="CC640" s="1404">
        <f>IF(J776="3 Bedrooms",O776,0)</f>
        <v>0</v>
      </c>
      <c r="CD640" s="1404"/>
      <c r="CE640" s="1404"/>
      <c r="CF640" s="1404"/>
      <c r="CG640" s="1404"/>
      <c r="CH640" s="1404">
        <f>IF(J776="4 Bedrooms",O776,0)</f>
        <v>0</v>
      </c>
      <c r="CI640" s="1404"/>
      <c r="CJ640" s="1404"/>
      <c r="CK640" s="1404"/>
      <c r="CL640" s="1404"/>
      <c r="CM640" s="1404">
        <f>IF(J776="5 Bedrooms",O776,0)</f>
        <v>0</v>
      </c>
      <c r="CN640" s="1404"/>
      <c r="CO640" s="1404"/>
      <c r="CP640" s="1404"/>
      <c r="CQ640" s="1404"/>
      <c r="CV640" s="3"/>
      <c r="CW640" s="3"/>
      <c r="CX640" s="3"/>
      <c r="CY640" s="3"/>
      <c r="CZ640" s="3"/>
      <c r="DA640" s="3"/>
      <c r="DB640" s="3"/>
      <c r="DC640" s="3"/>
      <c r="DD640" s="3"/>
      <c r="DE640" s="3"/>
      <c r="DF640" s="3"/>
      <c r="DX640" s="1372" t="e">
        <f t="shared" si="32"/>
        <v>#VALUE!</v>
      </c>
      <c r="DY640" s="1372"/>
      <c r="DZ640" s="1372"/>
      <c r="EA640" s="1372"/>
      <c r="EB640" s="1372"/>
      <c r="EC640" s="1372">
        <f t="shared" si="27"/>
        <v>189.82758620689657</v>
      </c>
      <c r="ED640" s="1372"/>
      <c r="EE640" s="1372"/>
      <c r="EF640" s="1372"/>
      <c r="EG640" s="1372"/>
      <c r="EH640" s="1372" t="e">
        <f t="shared" si="28"/>
        <v>#VALUE!</v>
      </c>
      <c r="EI640" s="1372"/>
      <c r="EJ640" s="1372"/>
      <c r="EK640" s="1372"/>
      <c r="EL640" s="1372"/>
      <c r="EM640" s="1372" t="e">
        <f t="shared" si="29"/>
        <v>#VALUE!</v>
      </c>
      <c r="EN640" s="1372"/>
      <c r="EO640" s="1372"/>
      <c r="EP640" s="1372"/>
      <c r="EQ640" s="1372"/>
      <c r="ER640" s="1372" t="e">
        <f t="shared" si="30"/>
        <v>#VALUE!</v>
      </c>
      <c r="ES640" s="1372"/>
      <c r="ET640" s="1372"/>
      <c r="EU640" s="1372"/>
      <c r="EV640" s="1372"/>
      <c r="EW640" s="1372" t="e">
        <f t="shared" si="31"/>
        <v>#VALUE!</v>
      </c>
      <c r="EX640" s="1372"/>
      <c r="EY640" s="1372"/>
      <c r="EZ640" s="1372"/>
      <c r="FA640" s="1372"/>
    </row>
    <row r="641" spans="1:157" ht="12.95" customHeight="1">
      <c r="B641" s="1539" t="s">
        <v>268</v>
      </c>
      <c r="C641" s="1540"/>
      <c r="D641" s="1540"/>
      <c r="E641" s="1540"/>
      <c r="F641" s="1540"/>
      <c r="G641" s="1540"/>
      <c r="H641" s="1540"/>
      <c r="I641" s="1540"/>
      <c r="J641" s="1540"/>
      <c r="K641" s="1540"/>
      <c r="L641" s="1540"/>
      <c r="M641" s="1540"/>
      <c r="N641" s="1540"/>
      <c r="O641" s="1540"/>
      <c r="P641" s="1540"/>
      <c r="Q641" s="1540"/>
      <c r="R641" s="1540"/>
      <c r="S641" s="1540"/>
      <c r="T641" s="1540"/>
      <c r="U641" s="1540"/>
      <c r="V641" s="1540"/>
      <c r="W641" s="1540"/>
      <c r="X641" s="1540"/>
      <c r="Y641" s="1540"/>
      <c r="Z641" s="1540"/>
      <c r="AA641" s="1540"/>
      <c r="AB641" s="1540"/>
      <c r="AC641" s="1540"/>
      <c r="AD641" s="1540"/>
      <c r="AE641" s="1540"/>
      <c r="AF641" s="1540"/>
      <c r="AG641" s="1540"/>
      <c r="AH641" s="1540"/>
      <c r="AI641" s="1540"/>
      <c r="AJ641" s="1540"/>
      <c r="AK641" s="1540"/>
      <c r="AL641" s="1540"/>
      <c r="AM641" s="1540"/>
      <c r="AN641" s="1541"/>
      <c r="AO641" s="1614">
        <f>AO639+AO640</f>
        <v>68632776</v>
      </c>
      <c r="AP641" s="1615"/>
      <c r="AQ641" s="1615"/>
      <c r="AR641" s="1615"/>
      <c r="AS641" s="1616"/>
      <c r="AV641" s="3"/>
      <c r="AW641" s="3"/>
      <c r="AX641" s="3"/>
      <c r="AY641" s="3"/>
      <c r="AZ641" s="34"/>
      <c r="BA641" s="34"/>
      <c r="BB641" s="34"/>
      <c r="BC641" s="34"/>
      <c r="BD641" s="34"/>
      <c r="BE641" s="34"/>
      <c r="BF641" s="34"/>
      <c r="BG641" s="34"/>
      <c r="BH641" s="34"/>
      <c r="BI641" s="34"/>
      <c r="BJ641" s="34"/>
      <c r="BK641" s="34"/>
      <c r="BL641" s="34"/>
      <c r="BM641" s="34"/>
      <c r="BN641" s="1401">
        <f>SUM(BN637:BR640)</f>
        <v>0</v>
      </c>
      <c r="BO641" s="1402"/>
      <c r="BP641" s="1402"/>
      <c r="BQ641" s="1402"/>
      <c r="BR641" s="1403"/>
      <c r="BS641" s="1414">
        <f>SUM(BS637:BW640)</f>
        <v>0</v>
      </c>
      <c r="BT641" s="1415"/>
      <c r="BU641" s="1415"/>
      <c r="BV641" s="1415"/>
      <c r="BW641" s="1416"/>
      <c r="BX641" s="1414">
        <f>SUM(BX637:CB640)</f>
        <v>1</v>
      </c>
      <c r="BY641" s="1415"/>
      <c r="BZ641" s="1415"/>
      <c r="CA641" s="1415"/>
      <c r="CB641" s="1416"/>
      <c r="CC641" s="1414">
        <f>SUM(CC637:CG640)</f>
        <v>0</v>
      </c>
      <c r="CD641" s="1415"/>
      <c r="CE641" s="1415"/>
      <c r="CF641" s="1415"/>
      <c r="CG641" s="1416"/>
      <c r="CH641" s="1414">
        <f>SUM(CH637:CL640)</f>
        <v>0</v>
      </c>
      <c r="CI641" s="1415"/>
      <c r="CJ641" s="1415"/>
      <c r="CK641" s="1415"/>
      <c r="CL641" s="1416"/>
      <c r="CM641" s="1414">
        <f>SUM(CM637:CQ640)</f>
        <v>0</v>
      </c>
      <c r="CN641" s="1415"/>
      <c r="CO641" s="1415"/>
      <c r="CP641" s="1415"/>
      <c r="CQ641" s="1416"/>
      <c r="CS641" s="895">
        <f>BN641+BS641+BX641+CC641+CH641+CM641</f>
        <v>1</v>
      </c>
      <c r="CT641" s="57" t="s">
        <v>2046</v>
      </c>
      <c r="CU641" s="3"/>
      <c r="CV641" s="3"/>
      <c r="CW641" s="3"/>
      <c r="CX641" s="3"/>
      <c r="CY641" s="3"/>
      <c r="CZ641" s="3"/>
      <c r="DA641" s="3"/>
      <c r="DB641" s="3"/>
      <c r="DC641" s="3"/>
      <c r="DD641" s="3"/>
      <c r="DE641" s="3"/>
      <c r="DF641" s="3"/>
      <c r="DX641" s="1372" t="e">
        <f t="shared" si="32"/>
        <v>#VALUE!</v>
      </c>
      <c r="DY641" s="1372"/>
      <c r="DZ641" s="1372"/>
      <c r="EA641" s="1372"/>
      <c r="EB641" s="1372"/>
      <c r="EC641" s="1372">
        <f t="shared" si="27"/>
        <v>75.931034482758619</v>
      </c>
      <c r="ED641" s="1372"/>
      <c r="EE641" s="1372"/>
      <c r="EF641" s="1372"/>
      <c r="EG641" s="1372"/>
      <c r="EH641" s="1372" t="e">
        <f t="shared" si="28"/>
        <v>#VALUE!</v>
      </c>
      <c r="EI641" s="1372"/>
      <c r="EJ641" s="1372"/>
      <c r="EK641" s="1372"/>
      <c r="EL641" s="1372"/>
      <c r="EM641" s="1372" t="e">
        <f t="shared" si="29"/>
        <v>#VALUE!</v>
      </c>
      <c r="EN641" s="1372"/>
      <c r="EO641" s="1372"/>
      <c r="EP641" s="1372"/>
      <c r="EQ641" s="1372"/>
      <c r="ER641" s="1372" t="e">
        <f t="shared" si="30"/>
        <v>#VALUE!</v>
      </c>
      <c r="ES641" s="1372"/>
      <c r="ET641" s="1372"/>
      <c r="EU641" s="1372"/>
      <c r="EV641" s="1372"/>
      <c r="EW641" s="1372" t="e">
        <f t="shared" si="31"/>
        <v>#VALUE!</v>
      </c>
      <c r="EX641" s="1372"/>
      <c r="EY641" s="1372"/>
      <c r="EZ641" s="1372"/>
      <c r="FA641" s="1372"/>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2</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2</v>
      </c>
      <c r="CT642" s="57" t="s">
        <v>2048</v>
      </c>
      <c r="CU642" s="3"/>
      <c r="CV642" s="3"/>
      <c r="CW642" s="3"/>
      <c r="CX642" s="3"/>
      <c r="CY642" s="3"/>
      <c r="CZ642" s="3"/>
      <c r="DA642" s="3"/>
      <c r="DB642" s="3"/>
      <c r="DC642" s="3"/>
      <c r="DD642" s="3"/>
      <c r="DE642" s="3"/>
      <c r="DF642" s="3"/>
      <c r="DX642" s="1372" t="e">
        <f t="shared" si="32"/>
        <v>#VALUE!</v>
      </c>
      <c r="DY642" s="1372"/>
      <c r="DZ642" s="1372"/>
      <c r="EA642" s="1372"/>
      <c r="EB642" s="1372"/>
      <c r="EC642" s="1372">
        <f t="shared" si="27"/>
        <v>894.20689655172407</v>
      </c>
      <c r="ED642" s="1372"/>
      <c r="EE642" s="1372"/>
      <c r="EF642" s="1372"/>
      <c r="EG642" s="1372"/>
      <c r="EH642" s="1372" t="e">
        <f t="shared" si="28"/>
        <v>#VALUE!</v>
      </c>
      <c r="EI642" s="1372"/>
      <c r="EJ642" s="1372"/>
      <c r="EK642" s="1372"/>
      <c r="EL642" s="1372"/>
      <c r="EM642" s="1372" t="e">
        <f t="shared" si="29"/>
        <v>#VALUE!</v>
      </c>
      <c r="EN642" s="1372"/>
      <c r="EO642" s="1372"/>
      <c r="EP642" s="1372"/>
      <c r="EQ642" s="1372"/>
      <c r="ER642" s="1372" t="e">
        <f t="shared" si="30"/>
        <v>#VALUE!</v>
      </c>
      <c r="ES642" s="1372"/>
      <c r="ET642" s="1372"/>
      <c r="EU642" s="1372"/>
      <c r="EV642" s="1372"/>
      <c r="EW642" s="1372" t="e">
        <f t="shared" si="31"/>
        <v>#VALUE!</v>
      </c>
      <c r="EX642" s="1372"/>
      <c r="EY642" s="1372"/>
      <c r="EZ642" s="1372"/>
      <c r="FA642" s="1372"/>
    </row>
    <row r="643" spans="1:157" ht="12.95" customHeight="1">
      <c r="A643" s="55" t="s">
        <v>112</v>
      </c>
      <c r="B643" t="s">
        <v>470</v>
      </c>
      <c r="G643" s="1418" t="str">
        <f>C627</f>
        <v>Lument Real Estate Capital, LLC</v>
      </c>
      <c r="H643" s="1418"/>
      <c r="I643" s="1418"/>
      <c r="J643" s="1418"/>
      <c r="K643" s="1418"/>
      <c r="L643" s="1418"/>
      <c r="M643" s="1418"/>
      <c r="N643" s="1418"/>
      <c r="O643" s="1418"/>
      <c r="P643" s="1418"/>
      <c r="Q643" s="1418"/>
      <c r="R643" s="1418"/>
      <c r="S643" s="8"/>
      <c r="T643" s="55" t="s">
        <v>113</v>
      </c>
      <c r="U643" t="s">
        <v>470</v>
      </c>
      <c r="Z643" s="1418" t="str">
        <f>C628</f>
        <v>San Mateo County Measure K</v>
      </c>
      <c r="AA643" s="1418"/>
      <c r="AB643" s="1418"/>
      <c r="AC643" s="1418"/>
      <c r="AD643" s="1418"/>
      <c r="AE643" s="1418"/>
      <c r="AF643" s="1418"/>
      <c r="AG643" s="1418"/>
      <c r="AH643" s="1418"/>
      <c r="AI643" s="1418"/>
      <c r="AJ643" s="1418"/>
      <c r="AK643" s="1418"/>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72" t="e">
        <f t="shared" si="32"/>
        <v>#VALUE!</v>
      </c>
      <c r="DY643" s="1372"/>
      <c r="DZ643" s="1372"/>
      <c r="EA643" s="1372"/>
      <c r="EB643" s="1372"/>
      <c r="EC643" s="1372" t="e">
        <f t="shared" si="27"/>
        <v>#VALUE!</v>
      </c>
      <c r="ED643" s="1372"/>
      <c r="EE643" s="1372"/>
      <c r="EF643" s="1372"/>
      <c r="EG643" s="1372"/>
      <c r="EH643" s="1372">
        <f t="shared" si="28"/>
        <v>2595</v>
      </c>
      <c r="EI643" s="1372"/>
      <c r="EJ643" s="1372"/>
      <c r="EK643" s="1372"/>
      <c r="EL643" s="1372"/>
      <c r="EM643" s="1372" t="e">
        <f t="shared" si="29"/>
        <v>#VALUE!</v>
      </c>
      <c r="EN643" s="1372"/>
      <c r="EO643" s="1372"/>
      <c r="EP643" s="1372"/>
      <c r="EQ643" s="1372"/>
      <c r="ER643" s="1372" t="e">
        <f t="shared" si="30"/>
        <v>#VALUE!</v>
      </c>
      <c r="ES643" s="1372"/>
      <c r="ET643" s="1372"/>
      <c r="EU643" s="1372"/>
      <c r="EV643" s="1372"/>
      <c r="EW643" s="1372" t="e">
        <f t="shared" si="31"/>
        <v>#VALUE!</v>
      </c>
      <c r="EX643" s="1372"/>
      <c r="EY643" s="1372"/>
      <c r="EZ643" s="1372"/>
      <c r="FA643" s="1372"/>
    </row>
    <row r="644" spans="1:157" ht="12.95" customHeight="1">
      <c r="A644" s="22"/>
      <c r="B644" t="s">
        <v>85</v>
      </c>
      <c r="G644" s="1412" t="s">
        <v>2775</v>
      </c>
      <c r="H644" s="1412"/>
      <c r="I644" s="1412"/>
      <c r="J644" s="1412"/>
      <c r="K644" s="1412"/>
      <c r="L644" s="1412"/>
      <c r="M644" s="1412"/>
      <c r="N644" s="1412"/>
      <c r="O644" s="1412"/>
      <c r="P644" s="1412"/>
      <c r="Q644" s="1412"/>
      <c r="R644" s="1412"/>
      <c r="S644" s="8"/>
      <c r="T644" s="22"/>
      <c r="U644" t="s">
        <v>85</v>
      </c>
      <c r="Z644" s="1412" t="str">
        <f>G578</f>
        <v>264 Harbor Blvd., Bldg. A</v>
      </c>
      <c r="AA644" s="1412"/>
      <c r="AB644" s="1412"/>
      <c r="AC644" s="1412"/>
      <c r="AD644" s="1412"/>
      <c r="AE644" s="1412"/>
      <c r="AF644" s="1412"/>
      <c r="AG644" s="1412"/>
      <c r="AH644" s="1412"/>
      <c r="AI644" s="1412"/>
      <c r="AJ644" s="1412"/>
      <c r="AK644" s="1412"/>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2053</v>
      </c>
      <c r="CT644" s="3"/>
      <c r="CU644" s="3"/>
      <c r="CV644" s="3"/>
      <c r="CW644" s="3"/>
      <c r="CX644" s="3"/>
      <c r="CY644" s="3"/>
      <c r="CZ644" s="3"/>
      <c r="DA644" s="3"/>
      <c r="DB644" s="3"/>
      <c r="DC644" s="3"/>
      <c r="DD644" s="3"/>
      <c r="DE644" s="3"/>
      <c r="DF644" s="3"/>
      <c r="DX644" s="1372" t="e">
        <f t="shared" si="32"/>
        <v>#VALUE!</v>
      </c>
      <c r="DY644" s="1372"/>
      <c r="DZ644" s="1372"/>
      <c r="EA644" s="1372"/>
      <c r="EB644" s="1372"/>
      <c r="EC644" s="1372" t="e">
        <f t="shared" si="27"/>
        <v>#VALUE!</v>
      </c>
      <c r="ED644" s="1372"/>
      <c r="EE644" s="1372"/>
      <c r="EF644" s="1372"/>
      <c r="EG644" s="1372"/>
      <c r="EH644" s="1372" t="e">
        <f t="shared" si="28"/>
        <v>#VALUE!</v>
      </c>
      <c r="EI644" s="1372"/>
      <c r="EJ644" s="1372"/>
      <c r="EK644" s="1372"/>
      <c r="EL644" s="1372"/>
      <c r="EM644" s="1372">
        <f t="shared" si="29"/>
        <v>3011</v>
      </c>
      <c r="EN644" s="1372"/>
      <c r="EO644" s="1372"/>
      <c r="EP644" s="1372"/>
      <c r="EQ644" s="1372"/>
      <c r="ER644" s="1372" t="e">
        <f t="shared" si="30"/>
        <v>#VALUE!</v>
      </c>
      <c r="ES644" s="1372"/>
      <c r="ET644" s="1372"/>
      <c r="EU644" s="1372"/>
      <c r="EV644" s="1372"/>
      <c r="EW644" s="1372" t="e">
        <f t="shared" si="31"/>
        <v>#VALUE!</v>
      </c>
      <c r="EX644" s="1372"/>
      <c r="EY644" s="1372"/>
      <c r="EZ644" s="1372"/>
      <c r="FA644" s="1372"/>
    </row>
    <row r="645" spans="1:157" ht="12.95" customHeight="1">
      <c r="A645" s="22"/>
      <c r="B645" t="s">
        <v>587</v>
      </c>
      <c r="G645" s="1412" t="s">
        <v>737</v>
      </c>
      <c r="H645" s="1412"/>
      <c r="I645" s="1412"/>
      <c r="J645" s="1412"/>
      <c r="K645" s="1412"/>
      <c r="L645" s="1412"/>
      <c r="M645" s="1412"/>
      <c r="N645" s="1412"/>
      <c r="O645" s="1412"/>
      <c r="P645" s="1412"/>
      <c r="Q645" s="1412"/>
      <c r="R645" s="1412"/>
      <c r="T645" s="22"/>
      <c r="U645" t="s">
        <v>587</v>
      </c>
      <c r="Z645" s="1479" t="str">
        <f>G579</f>
        <v>Belmont, CA</v>
      </c>
      <c r="AA645" s="1479"/>
      <c r="AB645" s="1479"/>
      <c r="AC645" s="1479"/>
      <c r="AD645" s="1479"/>
      <c r="AE645" s="1479"/>
      <c r="AF645" s="1479"/>
      <c r="AG645" s="1479"/>
      <c r="AH645" s="1479"/>
      <c r="AI645" s="1479"/>
      <c r="AJ645" s="1479"/>
      <c r="AK645" s="1479"/>
      <c r="AV645" s="3"/>
      <c r="AW645" s="3"/>
      <c r="AX645" s="3"/>
      <c r="AY645" s="3"/>
      <c r="AZ645" s="3"/>
      <c r="BA645" s="3"/>
      <c r="BB645" s="3"/>
      <c r="BC645" s="3"/>
      <c r="BD645" s="3"/>
      <c r="BE645" s="3"/>
      <c r="BF645" s="3"/>
      <c r="BG645" s="3"/>
      <c r="BH645" s="3"/>
      <c r="BI645" s="3"/>
      <c r="BJ645" s="3"/>
      <c r="BK645" s="3"/>
      <c r="BL645" s="3"/>
      <c r="BM645" s="3"/>
      <c r="BN645" s="1406">
        <f t="shared" ref="BN645:BN654" si="33">IF(J787="SRO/Studio",O787,0)</f>
        <v>0</v>
      </c>
      <c r="BO645" s="1407"/>
      <c r="BP645" s="1407"/>
      <c r="BQ645" s="1407"/>
      <c r="BR645" s="1408"/>
      <c r="BS645" s="1404">
        <f t="shared" ref="BS645:BS654" si="34">IF(J787="1 Bedroom",O787,0)</f>
        <v>0</v>
      </c>
      <c r="BT645" s="1404"/>
      <c r="BU645" s="1404"/>
      <c r="BV645" s="1404"/>
      <c r="BW645" s="1404"/>
      <c r="BX645" s="1404">
        <f t="shared" ref="BX645:BX654" si="35">IF(J787="2 Bedrooms",O787,0)</f>
        <v>0</v>
      </c>
      <c r="BY645" s="1404"/>
      <c r="BZ645" s="1404"/>
      <c r="CA645" s="1404"/>
      <c r="CB645" s="1404"/>
      <c r="CC645" s="1404">
        <f t="shared" ref="CC645:CC654" si="36">IF(J787="3 Bedrooms",O787,0)</f>
        <v>0</v>
      </c>
      <c r="CD645" s="1404"/>
      <c r="CE645" s="1404"/>
      <c r="CF645" s="1404"/>
      <c r="CG645" s="1404"/>
      <c r="CH645" s="1404">
        <f t="shared" ref="CH645:CH654" si="37">IF(J787="4 Bedrooms",O787,0)</f>
        <v>0</v>
      </c>
      <c r="CI645" s="1404"/>
      <c r="CJ645" s="1404"/>
      <c r="CK645" s="1404"/>
      <c r="CL645" s="1404"/>
      <c r="CM645" s="1404">
        <f t="shared" ref="CM645:CM654" si="38">IF(J787="5 Bedrooms",O787,0)</f>
        <v>0</v>
      </c>
      <c r="CN645" s="1404"/>
      <c r="CO645" s="1404"/>
      <c r="CP645" s="1404"/>
      <c r="CQ645" s="1404"/>
      <c r="CR645" s="6"/>
      <c r="CS645" s="1406">
        <f t="shared" ref="CS645:CS654" si="39">IF(AND(BN645&gt;=1,AH787&gt;=0.1,AH787&lt;=1),O787,0)</f>
        <v>0</v>
      </c>
      <c r="CT645" s="1407"/>
      <c r="CU645" s="1407"/>
      <c r="CV645" s="1407"/>
      <c r="CW645" s="1408"/>
      <c r="CX645" s="1406">
        <f t="shared" ref="CX645:CX654" si="40">IF(AND(BS645&gt;=1,AH787&gt;=0.1,AH787&lt;=1),O787,0)</f>
        <v>0</v>
      </c>
      <c r="CY645" s="1407"/>
      <c r="CZ645" s="1407"/>
      <c r="DA645" s="1407"/>
      <c r="DB645" s="1408"/>
      <c r="DC645" s="1406">
        <f t="shared" ref="DC645:DC654" si="41">IF(AND(BX645&gt;=1,AH787&gt;=0.1,AH787&lt;=1),O787,0)</f>
        <v>0</v>
      </c>
      <c r="DD645" s="1407"/>
      <c r="DE645" s="1407"/>
      <c r="DF645" s="1407"/>
      <c r="DG645" s="1408"/>
      <c r="DH645" s="1406">
        <f t="shared" ref="DH645:DH654" si="42">IF(AND(CC645&gt;=1,AH787&gt;=0.1,AH787&lt;=1),O787,0)</f>
        <v>0</v>
      </c>
      <c r="DI645" s="1407"/>
      <c r="DJ645" s="1407"/>
      <c r="DK645" s="1407"/>
      <c r="DL645" s="1408"/>
      <c r="DM645" s="1406">
        <f t="shared" ref="DM645:DM654" si="43">IF(AND(CH645&gt;=1,AH787&gt;=0.1,AH787&lt;=1),O787,0)</f>
        <v>0</v>
      </c>
      <c r="DN645" s="1407"/>
      <c r="DO645" s="1407"/>
      <c r="DP645" s="1407"/>
      <c r="DQ645" s="1408"/>
      <c r="DR645" s="1406">
        <f t="shared" ref="DR645:DR654" si="44">IF(AND(CM645&gt;=1,AH787&gt;=0.1,AH787&lt;=1),O787,0)</f>
        <v>0</v>
      </c>
      <c r="DS645" s="1407"/>
      <c r="DT645" s="1407"/>
      <c r="DU645" s="1407"/>
      <c r="DV645" s="1408"/>
      <c r="DX645" s="1372" t="e">
        <f t="shared" si="32"/>
        <v>#VALUE!</v>
      </c>
      <c r="DY645" s="1372"/>
      <c r="DZ645" s="1372"/>
      <c r="EA645" s="1372"/>
      <c r="EB645" s="1372"/>
      <c r="EC645" s="1372" t="e">
        <f t="shared" si="27"/>
        <v>#VALUE!</v>
      </c>
      <c r="ED645" s="1372"/>
      <c r="EE645" s="1372"/>
      <c r="EF645" s="1372"/>
      <c r="EG645" s="1372"/>
      <c r="EH645" s="1372" t="e">
        <f t="shared" si="28"/>
        <v>#VALUE!</v>
      </c>
      <c r="EI645" s="1372"/>
      <c r="EJ645" s="1372"/>
      <c r="EK645" s="1372"/>
      <c r="EL645" s="1372"/>
      <c r="EM645" s="1372" t="e">
        <f t="shared" si="29"/>
        <v>#VALUE!</v>
      </c>
      <c r="EN645" s="1372"/>
      <c r="EO645" s="1372"/>
      <c r="EP645" s="1372"/>
      <c r="EQ645" s="1372"/>
      <c r="ER645" s="1372" t="e">
        <f t="shared" si="30"/>
        <v>#VALUE!</v>
      </c>
      <c r="ES645" s="1372"/>
      <c r="ET645" s="1372"/>
      <c r="EU645" s="1372"/>
      <c r="EV645" s="1372"/>
      <c r="EW645" s="1372" t="e">
        <f t="shared" si="31"/>
        <v>#VALUE!</v>
      </c>
      <c r="EX645" s="1372"/>
      <c r="EY645" s="1372"/>
      <c r="EZ645" s="1372"/>
      <c r="FA645" s="1372"/>
    </row>
    <row r="646" spans="1:157" ht="12.95" customHeight="1">
      <c r="A646" s="22"/>
      <c r="B646" t="s">
        <v>17</v>
      </c>
      <c r="G646" s="1412" t="s">
        <v>2741</v>
      </c>
      <c r="H646" s="1412"/>
      <c r="I646" s="1412"/>
      <c r="J646" s="1412"/>
      <c r="K646" s="1412"/>
      <c r="L646" s="1412"/>
      <c r="M646" s="1412"/>
      <c r="N646" s="1412"/>
      <c r="O646" s="1412"/>
      <c r="P646" s="1412"/>
      <c r="Q646" s="1412"/>
      <c r="R646" s="1412"/>
      <c r="S646" s="8"/>
      <c r="T646" s="22"/>
      <c r="U646" t="s">
        <v>17</v>
      </c>
      <c r="Z646" s="1479" t="str">
        <f>G580</f>
        <v>Jan Stokely</v>
      </c>
      <c r="AA646" s="1479"/>
      <c r="AB646" s="1479"/>
      <c r="AC646" s="1479"/>
      <c r="AD646" s="1479"/>
      <c r="AE646" s="1479"/>
      <c r="AF646" s="1479"/>
      <c r="AG646" s="1479"/>
      <c r="AH646" s="1479"/>
      <c r="AI646" s="1479"/>
      <c r="AJ646" s="1479"/>
      <c r="AK646" s="1479"/>
      <c r="AZ646" s="3"/>
      <c r="BA646" s="3"/>
      <c r="BB646" s="3"/>
      <c r="BC646" s="3"/>
      <c r="BD646" s="3"/>
      <c r="BE646" s="3"/>
      <c r="BF646" s="3"/>
      <c r="BG646" s="3"/>
      <c r="BH646" s="3"/>
      <c r="BI646" s="3"/>
      <c r="BJ646" s="3"/>
      <c r="BK646" s="3"/>
      <c r="BL646" s="3"/>
      <c r="BM646" s="3"/>
      <c r="BN646" s="1406">
        <f t="shared" si="33"/>
        <v>0</v>
      </c>
      <c r="BO646" s="1407"/>
      <c r="BP646" s="1407"/>
      <c r="BQ646" s="1407"/>
      <c r="BR646" s="1408"/>
      <c r="BS646" s="1404">
        <f t="shared" si="34"/>
        <v>0</v>
      </c>
      <c r="BT646" s="1404"/>
      <c r="BU646" s="1404"/>
      <c r="BV646" s="1404"/>
      <c r="BW646" s="1404"/>
      <c r="BX646" s="1404">
        <f t="shared" si="35"/>
        <v>0</v>
      </c>
      <c r="BY646" s="1404"/>
      <c r="BZ646" s="1404"/>
      <c r="CA646" s="1404"/>
      <c r="CB646" s="1404"/>
      <c r="CC646" s="1404">
        <f t="shared" si="36"/>
        <v>0</v>
      </c>
      <c r="CD646" s="1404"/>
      <c r="CE646" s="1404"/>
      <c r="CF646" s="1404"/>
      <c r="CG646" s="1404"/>
      <c r="CH646" s="1404">
        <f t="shared" si="37"/>
        <v>0</v>
      </c>
      <c r="CI646" s="1404"/>
      <c r="CJ646" s="1404"/>
      <c r="CK646" s="1404"/>
      <c r="CL646" s="1404"/>
      <c r="CM646" s="1404">
        <f t="shared" si="38"/>
        <v>0</v>
      </c>
      <c r="CN646" s="1404"/>
      <c r="CO646" s="1404"/>
      <c r="CP646" s="1404"/>
      <c r="CQ646" s="1404"/>
      <c r="CR646" s="6"/>
      <c r="CS646" s="1406">
        <f t="shared" si="39"/>
        <v>0</v>
      </c>
      <c r="CT646" s="1407"/>
      <c r="CU646" s="1407"/>
      <c r="CV646" s="1407"/>
      <c r="CW646" s="1408"/>
      <c r="CX646" s="1406">
        <f t="shared" si="40"/>
        <v>0</v>
      </c>
      <c r="CY646" s="1407"/>
      <c r="CZ646" s="1407"/>
      <c r="DA646" s="1407"/>
      <c r="DB646" s="1408"/>
      <c r="DC646" s="1406">
        <f t="shared" si="41"/>
        <v>0</v>
      </c>
      <c r="DD646" s="1407"/>
      <c r="DE646" s="1407"/>
      <c r="DF646" s="1407"/>
      <c r="DG646" s="1408"/>
      <c r="DH646" s="1406">
        <f t="shared" si="42"/>
        <v>0</v>
      </c>
      <c r="DI646" s="1407"/>
      <c r="DJ646" s="1407"/>
      <c r="DK646" s="1407"/>
      <c r="DL646" s="1408"/>
      <c r="DM646" s="1406">
        <f t="shared" si="43"/>
        <v>0</v>
      </c>
      <c r="DN646" s="1407"/>
      <c r="DO646" s="1407"/>
      <c r="DP646" s="1407"/>
      <c r="DQ646" s="1408"/>
      <c r="DR646" s="1406">
        <f t="shared" si="44"/>
        <v>0</v>
      </c>
      <c r="DS646" s="1407"/>
      <c r="DT646" s="1407"/>
      <c r="DU646" s="1407"/>
      <c r="DV646" s="1408"/>
      <c r="DX646" s="1372" t="e">
        <f t="shared" si="32"/>
        <v>#VALUE!</v>
      </c>
      <c r="DY646" s="1372"/>
      <c r="DZ646" s="1372"/>
      <c r="EA646" s="1372"/>
      <c r="EB646" s="1372"/>
      <c r="EC646" s="1372" t="e">
        <f t="shared" si="27"/>
        <v>#VALUE!</v>
      </c>
      <c r="ED646" s="1372"/>
      <c r="EE646" s="1372"/>
      <c r="EF646" s="1372"/>
      <c r="EG646" s="1372"/>
      <c r="EH646" s="1372" t="e">
        <f t="shared" si="28"/>
        <v>#VALUE!</v>
      </c>
      <c r="EI646" s="1372"/>
      <c r="EJ646" s="1372"/>
      <c r="EK646" s="1372"/>
      <c r="EL646" s="1372"/>
      <c r="EM646" s="1372" t="e">
        <f t="shared" si="29"/>
        <v>#VALUE!</v>
      </c>
      <c r="EN646" s="1372"/>
      <c r="EO646" s="1372"/>
      <c r="EP646" s="1372"/>
      <c r="EQ646" s="1372"/>
      <c r="ER646" s="1372" t="e">
        <f t="shared" si="30"/>
        <v>#VALUE!</v>
      </c>
      <c r="ES646" s="1372"/>
      <c r="ET646" s="1372"/>
      <c r="EU646" s="1372"/>
      <c r="EV646" s="1372"/>
      <c r="EW646" s="1372" t="e">
        <f t="shared" si="31"/>
        <v>#VALUE!</v>
      </c>
      <c r="EX646" s="1372"/>
      <c r="EY646" s="1372"/>
      <c r="EZ646" s="1372"/>
      <c r="FA646" s="1372"/>
    </row>
    <row r="647" spans="1:157" ht="12.95" customHeight="1">
      <c r="A647" s="22"/>
      <c r="B647" t="s">
        <v>316</v>
      </c>
      <c r="G647" s="1517" t="str">
        <f>Z589</f>
        <v>757-784-0154</v>
      </c>
      <c r="H647" s="1517"/>
      <c r="I647" s="1517"/>
      <c r="J647" s="1517"/>
      <c r="K647" s="1517"/>
      <c r="L647" s="1517"/>
      <c r="O647" s="33" t="s">
        <v>206</v>
      </c>
      <c r="P647" s="1522" t="s">
        <v>598</v>
      </c>
      <c r="Q647" s="1405"/>
      <c r="R647" s="1405"/>
      <c r="S647" s="10"/>
      <c r="T647" s="22"/>
      <c r="U647" t="s">
        <v>316</v>
      </c>
      <c r="Z647" s="1517">
        <f>G581</f>
        <v>6508023397</v>
      </c>
      <c r="AA647" s="1517"/>
      <c r="AB647" s="1517"/>
      <c r="AC647" s="1517"/>
      <c r="AD647" s="1517"/>
      <c r="AE647" s="1517"/>
      <c r="AH647" s="33" t="s">
        <v>206</v>
      </c>
      <c r="AI647" s="1522" t="s">
        <v>598</v>
      </c>
      <c r="AJ647" s="1405"/>
      <c r="AK647" s="1405"/>
      <c r="AZ647" s="34"/>
      <c r="BA647" s="34"/>
      <c r="BB647" s="34"/>
      <c r="BC647" s="34"/>
      <c r="BD647" s="34"/>
      <c r="BE647" s="34"/>
      <c r="BF647" s="34"/>
      <c r="BG647" s="34"/>
      <c r="BH647" s="34"/>
      <c r="BI647" s="34"/>
      <c r="BJ647" s="34"/>
      <c r="BK647" s="34"/>
      <c r="BL647" s="34"/>
      <c r="BM647" s="34"/>
      <c r="BN647" s="1406">
        <f t="shared" si="33"/>
        <v>0</v>
      </c>
      <c r="BO647" s="1407"/>
      <c r="BP647" s="1407"/>
      <c r="BQ647" s="1407"/>
      <c r="BR647" s="1408"/>
      <c r="BS647" s="1404">
        <f t="shared" si="34"/>
        <v>0</v>
      </c>
      <c r="BT647" s="1404"/>
      <c r="BU647" s="1404"/>
      <c r="BV647" s="1404"/>
      <c r="BW647" s="1404"/>
      <c r="BX647" s="1404">
        <f t="shared" si="35"/>
        <v>0</v>
      </c>
      <c r="BY647" s="1404"/>
      <c r="BZ647" s="1404"/>
      <c r="CA647" s="1404"/>
      <c r="CB647" s="1404"/>
      <c r="CC647" s="1404">
        <f t="shared" si="36"/>
        <v>0</v>
      </c>
      <c r="CD647" s="1404"/>
      <c r="CE647" s="1404"/>
      <c r="CF647" s="1404"/>
      <c r="CG647" s="1404"/>
      <c r="CH647" s="1404">
        <f t="shared" si="37"/>
        <v>0</v>
      </c>
      <c r="CI647" s="1404"/>
      <c r="CJ647" s="1404"/>
      <c r="CK647" s="1404"/>
      <c r="CL647" s="1404"/>
      <c r="CM647" s="1404">
        <f t="shared" si="38"/>
        <v>0</v>
      </c>
      <c r="CN647" s="1404"/>
      <c r="CO647" s="1404"/>
      <c r="CP647" s="1404"/>
      <c r="CQ647" s="1404"/>
      <c r="CR647" s="6"/>
      <c r="CS647" s="1406">
        <f t="shared" si="39"/>
        <v>0</v>
      </c>
      <c r="CT647" s="1407"/>
      <c r="CU647" s="1407"/>
      <c r="CV647" s="1407"/>
      <c r="CW647" s="1408"/>
      <c r="CX647" s="1406">
        <f t="shared" si="40"/>
        <v>0</v>
      </c>
      <c r="CY647" s="1407"/>
      <c r="CZ647" s="1407"/>
      <c r="DA647" s="1407"/>
      <c r="DB647" s="1408"/>
      <c r="DC647" s="1406">
        <f t="shared" si="41"/>
        <v>0</v>
      </c>
      <c r="DD647" s="1407"/>
      <c r="DE647" s="1407"/>
      <c r="DF647" s="1407"/>
      <c r="DG647" s="1408"/>
      <c r="DH647" s="1406">
        <f t="shared" si="42"/>
        <v>0</v>
      </c>
      <c r="DI647" s="1407"/>
      <c r="DJ647" s="1407"/>
      <c r="DK647" s="1407"/>
      <c r="DL647" s="1408"/>
      <c r="DM647" s="1406">
        <f t="shared" si="43"/>
        <v>0</v>
      </c>
      <c r="DN647" s="1407"/>
      <c r="DO647" s="1407"/>
      <c r="DP647" s="1407"/>
      <c r="DQ647" s="1408"/>
      <c r="DR647" s="1406">
        <f t="shared" si="44"/>
        <v>0</v>
      </c>
      <c r="DS647" s="1407"/>
      <c r="DT647" s="1407"/>
      <c r="DU647" s="1407"/>
      <c r="DV647" s="1408"/>
      <c r="DX647" s="1372" t="e">
        <f t="shared" si="32"/>
        <v>#VALUE!</v>
      </c>
      <c r="DY647" s="1372"/>
      <c r="DZ647" s="1372"/>
      <c r="EA647" s="1372"/>
      <c r="EB647" s="1372"/>
      <c r="EC647" s="1372" t="e">
        <f t="shared" si="27"/>
        <v>#VALUE!</v>
      </c>
      <c r="ED647" s="1372"/>
      <c r="EE647" s="1372"/>
      <c r="EF647" s="1372"/>
      <c r="EG647" s="1372"/>
      <c r="EH647" s="1372" t="e">
        <f t="shared" si="28"/>
        <v>#VALUE!</v>
      </c>
      <c r="EI647" s="1372"/>
      <c r="EJ647" s="1372"/>
      <c r="EK647" s="1372"/>
      <c r="EL647" s="1372"/>
      <c r="EM647" s="1372" t="e">
        <f t="shared" si="29"/>
        <v>#VALUE!</v>
      </c>
      <c r="EN647" s="1372"/>
      <c r="EO647" s="1372"/>
      <c r="EP647" s="1372"/>
      <c r="EQ647" s="1372"/>
      <c r="ER647" s="1372" t="e">
        <f t="shared" si="30"/>
        <v>#VALUE!</v>
      </c>
      <c r="ES647" s="1372"/>
      <c r="ET647" s="1372"/>
      <c r="EU647" s="1372"/>
      <c r="EV647" s="1372"/>
      <c r="EW647" s="1372" t="e">
        <f t="shared" si="31"/>
        <v>#VALUE!</v>
      </c>
      <c r="EX647" s="1372"/>
      <c r="EY647" s="1372"/>
      <c r="EZ647" s="1372"/>
      <c r="FA647" s="1372"/>
    </row>
    <row r="648" spans="1:157" ht="12.95" customHeight="1">
      <c r="A648" s="22"/>
      <c r="B648" t="s">
        <v>18</v>
      </c>
      <c r="H648" s="1417" t="s">
        <v>2743</v>
      </c>
      <c r="I648" s="1412"/>
      <c r="J648" s="1412"/>
      <c r="K648" s="1412"/>
      <c r="L648" s="1412"/>
      <c r="M648" s="1412"/>
      <c r="N648" s="1412"/>
      <c r="O648" s="1412"/>
      <c r="P648" s="1412"/>
      <c r="Q648" s="1412"/>
      <c r="R648" s="1412"/>
      <c r="S648" s="8"/>
      <c r="T648" s="22"/>
      <c r="U648" t="s">
        <v>18</v>
      </c>
      <c r="AA648" s="1412" t="str">
        <f>H590</f>
        <v>Residual Receipts Loan</v>
      </c>
      <c r="AB648" s="1412"/>
      <c r="AC648" s="1412"/>
      <c r="AD648" s="1412"/>
      <c r="AE648" s="1412"/>
      <c r="AF648" s="1412"/>
      <c r="AG648" s="1412"/>
      <c r="AH648" s="1412"/>
      <c r="AI648" s="1412"/>
      <c r="AJ648" s="1412"/>
      <c r="AK648" s="1412"/>
      <c r="AZ648" s="34"/>
      <c r="BA648" s="34"/>
      <c r="BB648" s="34"/>
      <c r="BC648" s="34"/>
      <c r="BD648" s="34"/>
      <c r="BE648" s="34"/>
      <c r="BF648" s="34"/>
      <c r="BG648" s="34"/>
      <c r="BH648" s="34"/>
      <c r="BI648" s="34"/>
      <c r="BJ648" s="34"/>
      <c r="BK648" s="34"/>
      <c r="BL648" s="34"/>
      <c r="BM648" s="34"/>
      <c r="BN648" s="1406">
        <f t="shared" si="33"/>
        <v>0</v>
      </c>
      <c r="BO648" s="1407"/>
      <c r="BP648" s="1407"/>
      <c r="BQ648" s="1407"/>
      <c r="BR648" s="1408"/>
      <c r="BS648" s="1404">
        <f t="shared" si="34"/>
        <v>0</v>
      </c>
      <c r="BT648" s="1404"/>
      <c r="BU648" s="1404"/>
      <c r="BV648" s="1404"/>
      <c r="BW648" s="1404"/>
      <c r="BX648" s="1404">
        <f t="shared" si="35"/>
        <v>0</v>
      </c>
      <c r="BY648" s="1404"/>
      <c r="BZ648" s="1404"/>
      <c r="CA648" s="1404"/>
      <c r="CB648" s="1404"/>
      <c r="CC648" s="1404">
        <f t="shared" si="36"/>
        <v>0</v>
      </c>
      <c r="CD648" s="1404"/>
      <c r="CE648" s="1404"/>
      <c r="CF648" s="1404"/>
      <c r="CG648" s="1404"/>
      <c r="CH648" s="1404">
        <f t="shared" si="37"/>
        <v>0</v>
      </c>
      <c r="CI648" s="1404"/>
      <c r="CJ648" s="1404"/>
      <c r="CK648" s="1404"/>
      <c r="CL648" s="1404"/>
      <c r="CM648" s="1404">
        <f t="shared" si="38"/>
        <v>0</v>
      </c>
      <c r="CN648" s="1404"/>
      <c r="CO648" s="1404"/>
      <c r="CP648" s="1404"/>
      <c r="CQ648" s="1404"/>
      <c r="CR648" s="6"/>
      <c r="CS648" s="1406">
        <f t="shared" si="39"/>
        <v>0</v>
      </c>
      <c r="CT648" s="1407"/>
      <c r="CU648" s="1407"/>
      <c r="CV648" s="1407"/>
      <c r="CW648" s="1408"/>
      <c r="CX648" s="1406">
        <f t="shared" si="40"/>
        <v>0</v>
      </c>
      <c r="CY648" s="1407"/>
      <c r="CZ648" s="1407"/>
      <c r="DA648" s="1407"/>
      <c r="DB648" s="1408"/>
      <c r="DC648" s="1406">
        <f t="shared" si="41"/>
        <v>0</v>
      </c>
      <c r="DD648" s="1407"/>
      <c r="DE648" s="1407"/>
      <c r="DF648" s="1407"/>
      <c r="DG648" s="1408"/>
      <c r="DH648" s="1406">
        <f t="shared" si="42"/>
        <v>0</v>
      </c>
      <c r="DI648" s="1407"/>
      <c r="DJ648" s="1407"/>
      <c r="DK648" s="1407"/>
      <c r="DL648" s="1408"/>
      <c r="DM648" s="1406">
        <f t="shared" si="43"/>
        <v>0</v>
      </c>
      <c r="DN648" s="1407"/>
      <c r="DO648" s="1407"/>
      <c r="DP648" s="1407"/>
      <c r="DQ648" s="1408"/>
      <c r="DR648" s="1406">
        <f t="shared" si="44"/>
        <v>0</v>
      </c>
      <c r="DS648" s="1407"/>
      <c r="DT648" s="1407"/>
      <c r="DU648" s="1407"/>
      <c r="DV648" s="1408"/>
      <c r="DX648" s="1372" t="e">
        <f t="shared" si="32"/>
        <v>#VALUE!</v>
      </c>
      <c r="DY648" s="1372"/>
      <c r="DZ648" s="1372"/>
      <c r="EA648" s="1372"/>
      <c r="EB648" s="1372"/>
      <c r="EC648" s="1372" t="e">
        <f t="shared" si="27"/>
        <v>#VALUE!</v>
      </c>
      <c r="ED648" s="1372"/>
      <c r="EE648" s="1372"/>
      <c r="EF648" s="1372"/>
      <c r="EG648" s="1372"/>
      <c r="EH648" s="1372" t="e">
        <f t="shared" si="28"/>
        <v>#VALUE!</v>
      </c>
      <c r="EI648" s="1372"/>
      <c r="EJ648" s="1372"/>
      <c r="EK648" s="1372"/>
      <c r="EL648" s="1372"/>
      <c r="EM648" s="1372" t="e">
        <f t="shared" si="29"/>
        <v>#VALUE!</v>
      </c>
      <c r="EN648" s="1372"/>
      <c r="EO648" s="1372"/>
      <c r="EP648" s="1372"/>
      <c r="EQ648" s="1372"/>
      <c r="ER648" s="1372" t="e">
        <f t="shared" si="30"/>
        <v>#VALUE!</v>
      </c>
      <c r="ES648" s="1372"/>
      <c r="ET648" s="1372"/>
      <c r="EU648" s="1372"/>
      <c r="EV648" s="1372"/>
      <c r="EW648" s="1372" t="e">
        <f t="shared" si="31"/>
        <v>#VALUE!</v>
      </c>
      <c r="EX648" s="1372"/>
      <c r="EY648" s="1372"/>
      <c r="EZ648" s="1372"/>
      <c r="FA648" s="1372"/>
    </row>
    <row r="649" spans="1:157" ht="12.95" customHeight="1">
      <c r="A649" s="22"/>
      <c r="B649" t="s">
        <v>20</v>
      </c>
      <c r="N649" s="1413" t="s">
        <v>552</v>
      </c>
      <c r="O649" s="1413"/>
      <c r="T649" s="22"/>
      <c r="U649" t="s">
        <v>20</v>
      </c>
      <c r="AG649" s="1413" t="s">
        <v>552</v>
      </c>
      <c r="AH649" s="1413"/>
      <c r="AZ649" s="34"/>
      <c r="BA649" s="34"/>
      <c r="BB649" s="34"/>
      <c r="BC649" s="34"/>
      <c r="BD649" s="34"/>
      <c r="BE649" s="34"/>
      <c r="BF649" s="34"/>
      <c r="BG649" s="34"/>
      <c r="BH649" s="34"/>
      <c r="BI649" s="34"/>
      <c r="BJ649" s="34"/>
      <c r="BK649" s="34"/>
      <c r="BL649" s="34"/>
      <c r="BM649" s="34"/>
      <c r="BN649" s="1406">
        <f t="shared" si="33"/>
        <v>0</v>
      </c>
      <c r="BO649" s="1407"/>
      <c r="BP649" s="1407"/>
      <c r="BQ649" s="1407"/>
      <c r="BR649" s="1408"/>
      <c r="BS649" s="1404">
        <f t="shared" si="34"/>
        <v>0</v>
      </c>
      <c r="BT649" s="1404"/>
      <c r="BU649" s="1404"/>
      <c r="BV649" s="1404"/>
      <c r="BW649" s="1404"/>
      <c r="BX649" s="1404">
        <f t="shared" si="35"/>
        <v>0</v>
      </c>
      <c r="BY649" s="1404"/>
      <c r="BZ649" s="1404"/>
      <c r="CA649" s="1404"/>
      <c r="CB649" s="1404"/>
      <c r="CC649" s="1404">
        <f t="shared" si="36"/>
        <v>0</v>
      </c>
      <c r="CD649" s="1404"/>
      <c r="CE649" s="1404"/>
      <c r="CF649" s="1404"/>
      <c r="CG649" s="1404"/>
      <c r="CH649" s="1404">
        <f t="shared" si="37"/>
        <v>0</v>
      </c>
      <c r="CI649" s="1404"/>
      <c r="CJ649" s="1404"/>
      <c r="CK649" s="1404"/>
      <c r="CL649" s="1404"/>
      <c r="CM649" s="1404">
        <f t="shared" si="38"/>
        <v>0</v>
      </c>
      <c r="CN649" s="1404"/>
      <c r="CO649" s="1404"/>
      <c r="CP649" s="1404"/>
      <c r="CQ649" s="1404"/>
      <c r="CR649" s="6"/>
      <c r="CS649" s="1406">
        <f t="shared" si="39"/>
        <v>0</v>
      </c>
      <c r="CT649" s="1407"/>
      <c r="CU649" s="1407"/>
      <c r="CV649" s="1407"/>
      <c r="CW649" s="1408"/>
      <c r="CX649" s="1406">
        <f t="shared" si="40"/>
        <v>0</v>
      </c>
      <c r="CY649" s="1407"/>
      <c r="CZ649" s="1407"/>
      <c r="DA649" s="1407"/>
      <c r="DB649" s="1408"/>
      <c r="DC649" s="1406">
        <f t="shared" si="41"/>
        <v>0</v>
      </c>
      <c r="DD649" s="1407"/>
      <c r="DE649" s="1407"/>
      <c r="DF649" s="1407"/>
      <c r="DG649" s="1408"/>
      <c r="DH649" s="1406">
        <f t="shared" si="42"/>
        <v>0</v>
      </c>
      <c r="DI649" s="1407"/>
      <c r="DJ649" s="1407"/>
      <c r="DK649" s="1407"/>
      <c r="DL649" s="1408"/>
      <c r="DM649" s="1406">
        <f t="shared" si="43"/>
        <v>0</v>
      </c>
      <c r="DN649" s="1407"/>
      <c r="DO649" s="1407"/>
      <c r="DP649" s="1407"/>
      <c r="DQ649" s="1408"/>
      <c r="DR649" s="1406">
        <f t="shared" si="44"/>
        <v>0</v>
      </c>
      <c r="DS649" s="1407"/>
      <c r="DT649" s="1407"/>
      <c r="DU649" s="1407"/>
      <c r="DV649" s="1408"/>
      <c r="DX649" s="1372" t="e">
        <f t="shared" si="32"/>
        <v>#VALUE!</v>
      </c>
      <c r="DY649" s="1372"/>
      <c r="DZ649" s="1372"/>
      <c r="EA649" s="1372"/>
      <c r="EB649" s="1372"/>
      <c r="EC649" s="1372" t="e">
        <f t="shared" si="27"/>
        <v>#VALUE!</v>
      </c>
      <c r="ED649" s="1372"/>
      <c r="EE649" s="1372"/>
      <c r="EF649" s="1372"/>
      <c r="EG649" s="1372"/>
      <c r="EH649" s="1372" t="e">
        <f t="shared" si="28"/>
        <v>#VALUE!</v>
      </c>
      <c r="EI649" s="1372"/>
      <c r="EJ649" s="1372"/>
      <c r="EK649" s="1372"/>
      <c r="EL649" s="1372"/>
      <c r="EM649" s="1372" t="e">
        <f t="shared" si="29"/>
        <v>#VALUE!</v>
      </c>
      <c r="EN649" s="1372"/>
      <c r="EO649" s="1372"/>
      <c r="EP649" s="1372"/>
      <c r="EQ649" s="1372"/>
      <c r="ER649" s="1372" t="e">
        <f t="shared" si="30"/>
        <v>#VALUE!</v>
      </c>
      <c r="ES649" s="1372"/>
      <c r="ET649" s="1372"/>
      <c r="EU649" s="1372"/>
      <c r="EV649" s="1372"/>
      <c r="EW649" s="1372" t="e">
        <f t="shared" si="31"/>
        <v>#VALUE!</v>
      </c>
      <c r="EX649" s="1372"/>
      <c r="EY649" s="1372"/>
      <c r="EZ649" s="1372"/>
      <c r="FA649" s="1372"/>
    </row>
    <row r="650" spans="1:157" ht="12.95" customHeight="1">
      <c r="A650" s="22"/>
      <c r="T650" s="22"/>
      <c r="AZ650" s="34"/>
      <c r="BA650" s="34"/>
      <c r="BB650" s="34"/>
      <c r="BC650" s="34"/>
      <c r="BD650" s="34"/>
      <c r="BE650" s="34"/>
      <c r="BF650" s="34"/>
      <c r="BG650" s="34"/>
      <c r="BH650" s="34"/>
      <c r="BI650" s="34"/>
      <c r="BJ650" s="34"/>
      <c r="BK650" s="34"/>
      <c r="BL650" s="34"/>
      <c r="BM650" s="34"/>
      <c r="BN650" s="1406">
        <f t="shared" si="33"/>
        <v>0</v>
      </c>
      <c r="BO650" s="1407"/>
      <c r="BP650" s="1407"/>
      <c r="BQ650" s="1407"/>
      <c r="BR650" s="1408"/>
      <c r="BS650" s="1404">
        <f t="shared" si="34"/>
        <v>0</v>
      </c>
      <c r="BT650" s="1404"/>
      <c r="BU650" s="1404"/>
      <c r="BV650" s="1404"/>
      <c r="BW650" s="1404"/>
      <c r="BX650" s="1404">
        <f t="shared" si="35"/>
        <v>0</v>
      </c>
      <c r="BY650" s="1404"/>
      <c r="BZ650" s="1404"/>
      <c r="CA650" s="1404"/>
      <c r="CB650" s="1404"/>
      <c r="CC650" s="1404">
        <f t="shared" si="36"/>
        <v>0</v>
      </c>
      <c r="CD650" s="1404"/>
      <c r="CE650" s="1404"/>
      <c r="CF650" s="1404"/>
      <c r="CG650" s="1404"/>
      <c r="CH650" s="1404">
        <f t="shared" si="37"/>
        <v>0</v>
      </c>
      <c r="CI650" s="1404"/>
      <c r="CJ650" s="1404"/>
      <c r="CK650" s="1404"/>
      <c r="CL650" s="1404"/>
      <c r="CM650" s="1404">
        <f t="shared" si="38"/>
        <v>0</v>
      </c>
      <c r="CN650" s="1404"/>
      <c r="CO650" s="1404"/>
      <c r="CP650" s="1404"/>
      <c r="CQ650" s="1404"/>
      <c r="CR650" s="6"/>
      <c r="CS650" s="1406">
        <f t="shared" si="39"/>
        <v>0</v>
      </c>
      <c r="CT650" s="1407"/>
      <c r="CU650" s="1407"/>
      <c r="CV650" s="1407"/>
      <c r="CW650" s="1408"/>
      <c r="CX650" s="1406">
        <f t="shared" si="40"/>
        <v>0</v>
      </c>
      <c r="CY650" s="1407"/>
      <c r="CZ650" s="1407"/>
      <c r="DA650" s="1407"/>
      <c r="DB650" s="1408"/>
      <c r="DC650" s="1406">
        <f t="shared" si="41"/>
        <v>0</v>
      </c>
      <c r="DD650" s="1407"/>
      <c r="DE650" s="1407"/>
      <c r="DF650" s="1407"/>
      <c r="DG650" s="1408"/>
      <c r="DH650" s="1406">
        <f t="shared" si="42"/>
        <v>0</v>
      </c>
      <c r="DI650" s="1407"/>
      <c r="DJ650" s="1407"/>
      <c r="DK650" s="1407"/>
      <c r="DL650" s="1408"/>
      <c r="DM650" s="1406">
        <f t="shared" si="43"/>
        <v>0</v>
      </c>
      <c r="DN650" s="1407"/>
      <c r="DO650" s="1407"/>
      <c r="DP650" s="1407"/>
      <c r="DQ650" s="1408"/>
      <c r="DR650" s="1406">
        <f t="shared" si="44"/>
        <v>0</v>
      </c>
      <c r="DS650" s="1407"/>
      <c r="DT650" s="1407"/>
      <c r="DU650" s="1407"/>
      <c r="DV650" s="1408"/>
      <c r="DX650" s="1372" t="e">
        <f t="shared" si="32"/>
        <v>#VALUE!</v>
      </c>
      <c r="DY650" s="1372"/>
      <c r="DZ650" s="1372"/>
      <c r="EA650" s="1372"/>
      <c r="EB650" s="1372"/>
      <c r="EC650" s="1372" t="e">
        <f t="shared" si="27"/>
        <v>#VALUE!</v>
      </c>
      <c r="ED650" s="1372"/>
      <c r="EE650" s="1372"/>
      <c r="EF650" s="1372"/>
      <c r="EG650" s="1372"/>
      <c r="EH650" s="1372" t="e">
        <f t="shared" si="28"/>
        <v>#VALUE!</v>
      </c>
      <c r="EI650" s="1372"/>
      <c r="EJ650" s="1372"/>
      <c r="EK650" s="1372"/>
      <c r="EL650" s="1372"/>
      <c r="EM650" s="1372" t="e">
        <f t="shared" si="29"/>
        <v>#VALUE!</v>
      </c>
      <c r="EN650" s="1372"/>
      <c r="EO650" s="1372"/>
      <c r="EP650" s="1372"/>
      <c r="EQ650" s="1372"/>
      <c r="ER650" s="1372" t="e">
        <f t="shared" si="30"/>
        <v>#VALUE!</v>
      </c>
      <c r="ES650" s="1372"/>
      <c r="ET650" s="1372"/>
      <c r="EU650" s="1372"/>
      <c r="EV650" s="1372"/>
      <c r="EW650" s="1372" t="e">
        <f t="shared" si="31"/>
        <v>#VALUE!</v>
      </c>
      <c r="EX650" s="1372"/>
      <c r="EY650" s="1372"/>
      <c r="EZ650" s="1372"/>
      <c r="FA650" s="1372"/>
    </row>
    <row r="651" spans="1:157" ht="12.95" customHeight="1">
      <c r="A651" s="55" t="s">
        <v>119</v>
      </c>
      <c r="B651" t="s">
        <v>470</v>
      </c>
      <c r="G651" s="1418" t="str">
        <f>C629</f>
        <v>San Mateo County HHC</v>
      </c>
      <c r="H651" s="1418"/>
      <c r="I651" s="1418"/>
      <c r="J651" s="1418"/>
      <c r="K651" s="1418"/>
      <c r="L651" s="1418"/>
      <c r="M651" s="1418"/>
      <c r="N651" s="1418"/>
      <c r="O651" s="1418"/>
      <c r="P651" s="1418"/>
      <c r="Q651" s="1418"/>
      <c r="R651" s="1418"/>
      <c r="T651" s="55" t="s">
        <v>588</v>
      </c>
      <c r="U651" t="s">
        <v>470</v>
      </c>
      <c r="Z651" s="1418" t="str">
        <f>C630</f>
        <v>San Mateo County MHSA</v>
      </c>
      <c r="AA651" s="1418"/>
      <c r="AB651" s="1418"/>
      <c r="AC651" s="1418"/>
      <c r="AD651" s="1418"/>
      <c r="AE651" s="1418"/>
      <c r="AF651" s="1418"/>
      <c r="AG651" s="1418"/>
      <c r="AH651" s="1418"/>
      <c r="AI651" s="1418"/>
      <c r="AJ651" s="1418"/>
      <c r="AK651" s="1418"/>
      <c r="AZ651" s="34"/>
      <c r="BA651" s="34"/>
      <c r="BB651" s="34"/>
      <c r="BC651" s="34"/>
      <c r="BD651" s="34"/>
      <c r="BE651" s="34"/>
      <c r="BF651" s="34"/>
      <c r="BG651" s="34"/>
      <c r="BH651" s="34"/>
      <c r="BI651" s="34"/>
      <c r="BJ651" s="34"/>
      <c r="BK651" s="34"/>
      <c r="BL651" s="34"/>
      <c r="BM651" s="34"/>
      <c r="BN651" s="1406">
        <f t="shared" si="33"/>
        <v>0</v>
      </c>
      <c r="BO651" s="1407"/>
      <c r="BP651" s="1407"/>
      <c r="BQ651" s="1407"/>
      <c r="BR651" s="1408"/>
      <c r="BS651" s="1404">
        <f t="shared" si="34"/>
        <v>0</v>
      </c>
      <c r="BT651" s="1404"/>
      <c r="BU651" s="1404"/>
      <c r="BV651" s="1404"/>
      <c r="BW651" s="1404"/>
      <c r="BX651" s="1404">
        <f t="shared" si="35"/>
        <v>0</v>
      </c>
      <c r="BY651" s="1404"/>
      <c r="BZ651" s="1404"/>
      <c r="CA651" s="1404"/>
      <c r="CB651" s="1404"/>
      <c r="CC651" s="1404">
        <f t="shared" si="36"/>
        <v>0</v>
      </c>
      <c r="CD651" s="1404"/>
      <c r="CE651" s="1404"/>
      <c r="CF651" s="1404"/>
      <c r="CG651" s="1404"/>
      <c r="CH651" s="1404">
        <f t="shared" si="37"/>
        <v>0</v>
      </c>
      <c r="CI651" s="1404"/>
      <c r="CJ651" s="1404"/>
      <c r="CK651" s="1404"/>
      <c r="CL651" s="1404"/>
      <c r="CM651" s="1404">
        <f t="shared" si="38"/>
        <v>0</v>
      </c>
      <c r="CN651" s="1404"/>
      <c r="CO651" s="1404"/>
      <c r="CP651" s="1404"/>
      <c r="CQ651" s="1404"/>
      <c r="CR651" s="6"/>
      <c r="CS651" s="1406">
        <f t="shared" si="39"/>
        <v>0</v>
      </c>
      <c r="CT651" s="1407"/>
      <c r="CU651" s="1407"/>
      <c r="CV651" s="1407"/>
      <c r="CW651" s="1408"/>
      <c r="CX651" s="1406">
        <f t="shared" si="40"/>
        <v>0</v>
      </c>
      <c r="CY651" s="1407"/>
      <c r="CZ651" s="1407"/>
      <c r="DA651" s="1407"/>
      <c r="DB651" s="1408"/>
      <c r="DC651" s="1406">
        <f t="shared" si="41"/>
        <v>0</v>
      </c>
      <c r="DD651" s="1407"/>
      <c r="DE651" s="1407"/>
      <c r="DF651" s="1407"/>
      <c r="DG651" s="1408"/>
      <c r="DH651" s="1406">
        <f t="shared" si="42"/>
        <v>0</v>
      </c>
      <c r="DI651" s="1407"/>
      <c r="DJ651" s="1407"/>
      <c r="DK651" s="1407"/>
      <c r="DL651" s="1408"/>
      <c r="DM651" s="1406">
        <f t="shared" si="43"/>
        <v>0</v>
      </c>
      <c r="DN651" s="1407"/>
      <c r="DO651" s="1407"/>
      <c r="DP651" s="1407"/>
      <c r="DQ651" s="1408"/>
      <c r="DR651" s="1406">
        <f t="shared" si="44"/>
        <v>0</v>
      </c>
      <c r="DS651" s="1407"/>
      <c r="DT651" s="1407"/>
      <c r="DU651" s="1407"/>
      <c r="DV651" s="1408"/>
      <c r="DX651" s="1372" t="e">
        <f t="shared" si="32"/>
        <v>#VALUE!</v>
      </c>
      <c r="DY651" s="1372"/>
      <c r="DZ651" s="1372"/>
      <c r="EA651" s="1372"/>
      <c r="EB651" s="1372"/>
      <c r="EC651" s="1372" t="e">
        <f t="shared" si="27"/>
        <v>#VALUE!</v>
      </c>
      <c r="ED651" s="1372"/>
      <c r="EE651" s="1372"/>
      <c r="EF651" s="1372"/>
      <c r="EG651" s="1372"/>
      <c r="EH651" s="1372" t="e">
        <f t="shared" si="28"/>
        <v>#VALUE!</v>
      </c>
      <c r="EI651" s="1372"/>
      <c r="EJ651" s="1372"/>
      <c r="EK651" s="1372"/>
      <c r="EL651" s="1372"/>
      <c r="EM651" s="1372" t="e">
        <f t="shared" si="29"/>
        <v>#VALUE!</v>
      </c>
      <c r="EN651" s="1372"/>
      <c r="EO651" s="1372"/>
      <c r="EP651" s="1372"/>
      <c r="EQ651" s="1372"/>
      <c r="ER651" s="1372" t="e">
        <f t="shared" si="30"/>
        <v>#VALUE!</v>
      </c>
      <c r="ES651" s="1372"/>
      <c r="ET651" s="1372"/>
      <c r="EU651" s="1372"/>
      <c r="EV651" s="1372"/>
      <c r="EW651" s="1372" t="e">
        <f t="shared" si="31"/>
        <v>#VALUE!</v>
      </c>
      <c r="EX651" s="1372"/>
      <c r="EY651" s="1372"/>
      <c r="EZ651" s="1372"/>
      <c r="FA651" s="1372"/>
    </row>
    <row r="652" spans="1:157" ht="12.95" customHeight="1">
      <c r="A652" s="22"/>
      <c r="B652" t="s">
        <v>85</v>
      </c>
      <c r="G652" s="1412" t="str">
        <f>Z644</f>
        <v>264 Harbor Blvd., Bldg. A</v>
      </c>
      <c r="H652" s="1412"/>
      <c r="I652" s="1412"/>
      <c r="J652" s="1412"/>
      <c r="K652" s="1412"/>
      <c r="L652" s="1412"/>
      <c r="M652" s="1412"/>
      <c r="N652" s="1412"/>
      <c r="O652" s="1412"/>
      <c r="P652" s="1412"/>
      <c r="Q652" s="1412"/>
      <c r="R652" s="1412"/>
      <c r="T652" s="22"/>
      <c r="U652" t="s">
        <v>85</v>
      </c>
      <c r="Z652" s="1412" t="str">
        <f>Z644</f>
        <v>264 Harbor Blvd., Bldg. A</v>
      </c>
      <c r="AA652" s="1412"/>
      <c r="AB652" s="1412"/>
      <c r="AC652" s="1412"/>
      <c r="AD652" s="1412"/>
      <c r="AE652" s="1412"/>
      <c r="AF652" s="1412"/>
      <c r="AG652" s="1412"/>
      <c r="AH652" s="1412"/>
      <c r="AI652" s="1412"/>
      <c r="AJ652" s="1412"/>
      <c r="AK652" s="1412"/>
      <c r="AZ652" s="34"/>
      <c r="BA652" s="34"/>
      <c r="BB652" s="34"/>
      <c r="BC652" s="34"/>
      <c r="BD652" s="34"/>
      <c r="BE652" s="34"/>
      <c r="BF652" s="34"/>
      <c r="BG652" s="34"/>
      <c r="BH652" s="34"/>
      <c r="BI652" s="34"/>
      <c r="BJ652" s="34"/>
      <c r="BK652" s="34"/>
      <c r="BL652" s="34"/>
      <c r="BM652" s="34"/>
      <c r="BN652" s="1406">
        <f t="shared" si="33"/>
        <v>0</v>
      </c>
      <c r="BO652" s="1407"/>
      <c r="BP652" s="1407"/>
      <c r="BQ652" s="1407"/>
      <c r="BR652" s="1408"/>
      <c r="BS652" s="1404">
        <f t="shared" si="34"/>
        <v>0</v>
      </c>
      <c r="BT652" s="1404"/>
      <c r="BU652" s="1404"/>
      <c r="BV652" s="1404"/>
      <c r="BW652" s="1404"/>
      <c r="BX652" s="1404">
        <f t="shared" si="35"/>
        <v>0</v>
      </c>
      <c r="BY652" s="1404"/>
      <c r="BZ652" s="1404"/>
      <c r="CA652" s="1404"/>
      <c r="CB652" s="1404"/>
      <c r="CC652" s="1404">
        <f t="shared" si="36"/>
        <v>0</v>
      </c>
      <c r="CD652" s="1404"/>
      <c r="CE652" s="1404"/>
      <c r="CF652" s="1404"/>
      <c r="CG652" s="1404"/>
      <c r="CH652" s="1404">
        <f t="shared" si="37"/>
        <v>0</v>
      </c>
      <c r="CI652" s="1404"/>
      <c r="CJ652" s="1404"/>
      <c r="CK652" s="1404"/>
      <c r="CL652" s="1404"/>
      <c r="CM652" s="1404">
        <f t="shared" si="38"/>
        <v>0</v>
      </c>
      <c r="CN652" s="1404"/>
      <c r="CO652" s="1404"/>
      <c r="CP652" s="1404"/>
      <c r="CQ652" s="1404"/>
      <c r="CR652" s="6"/>
      <c r="CS652" s="1406">
        <f t="shared" si="39"/>
        <v>0</v>
      </c>
      <c r="CT652" s="1407"/>
      <c r="CU652" s="1407"/>
      <c r="CV652" s="1407"/>
      <c r="CW652" s="1408"/>
      <c r="CX652" s="1406">
        <f t="shared" si="40"/>
        <v>0</v>
      </c>
      <c r="CY652" s="1407"/>
      <c r="CZ652" s="1407"/>
      <c r="DA652" s="1407"/>
      <c r="DB652" s="1408"/>
      <c r="DC652" s="1406">
        <f t="shared" si="41"/>
        <v>0</v>
      </c>
      <c r="DD652" s="1407"/>
      <c r="DE652" s="1407"/>
      <c r="DF652" s="1407"/>
      <c r="DG652" s="1408"/>
      <c r="DH652" s="1406">
        <f t="shared" si="42"/>
        <v>0</v>
      </c>
      <c r="DI652" s="1407"/>
      <c r="DJ652" s="1407"/>
      <c r="DK652" s="1407"/>
      <c r="DL652" s="1408"/>
      <c r="DM652" s="1406">
        <f t="shared" si="43"/>
        <v>0</v>
      </c>
      <c r="DN652" s="1407"/>
      <c r="DO652" s="1407"/>
      <c r="DP652" s="1407"/>
      <c r="DQ652" s="1408"/>
      <c r="DR652" s="1406">
        <f t="shared" si="44"/>
        <v>0</v>
      </c>
      <c r="DS652" s="1407"/>
      <c r="DT652" s="1407"/>
      <c r="DU652" s="1407"/>
      <c r="DV652" s="1408"/>
      <c r="DX652" s="1372" t="e">
        <f t="shared" si="32"/>
        <v>#VALUE!</v>
      </c>
      <c r="DY652" s="1372"/>
      <c r="DZ652" s="1372"/>
      <c r="EA652" s="1372"/>
      <c r="EB652" s="1372"/>
      <c r="EC652" s="1372" t="e">
        <f t="shared" si="27"/>
        <v>#VALUE!</v>
      </c>
      <c r="ED652" s="1372"/>
      <c r="EE652" s="1372"/>
      <c r="EF652" s="1372"/>
      <c r="EG652" s="1372"/>
      <c r="EH652" s="1372" t="e">
        <f t="shared" si="28"/>
        <v>#VALUE!</v>
      </c>
      <c r="EI652" s="1372"/>
      <c r="EJ652" s="1372"/>
      <c r="EK652" s="1372"/>
      <c r="EL652" s="1372"/>
      <c r="EM652" s="1372" t="e">
        <f t="shared" si="29"/>
        <v>#VALUE!</v>
      </c>
      <c r="EN652" s="1372"/>
      <c r="EO652" s="1372"/>
      <c r="EP652" s="1372"/>
      <c r="EQ652" s="1372"/>
      <c r="ER652" s="1372" t="e">
        <f t="shared" si="30"/>
        <v>#VALUE!</v>
      </c>
      <c r="ES652" s="1372"/>
      <c r="ET652" s="1372"/>
      <c r="EU652" s="1372"/>
      <c r="EV652" s="1372"/>
      <c r="EW652" s="1372" t="e">
        <f t="shared" si="31"/>
        <v>#VALUE!</v>
      </c>
      <c r="EX652" s="1372"/>
      <c r="EY652" s="1372"/>
      <c r="EZ652" s="1372"/>
      <c r="FA652" s="1372"/>
    </row>
    <row r="653" spans="1:157" ht="12.95" customHeight="1">
      <c r="A653" s="22"/>
      <c r="B653" t="s">
        <v>587</v>
      </c>
      <c r="G653" s="1479" t="str">
        <f t="shared" ref="G653:G654" si="45">Z645</f>
        <v>Belmont, CA</v>
      </c>
      <c r="H653" s="1479"/>
      <c r="I653" s="1479"/>
      <c r="J653" s="1479"/>
      <c r="K653" s="1479"/>
      <c r="L653" s="1479"/>
      <c r="M653" s="1479"/>
      <c r="N653" s="1479"/>
      <c r="O653" s="1479"/>
      <c r="P653" s="1479"/>
      <c r="Q653" s="1479"/>
      <c r="R653" s="1479"/>
      <c r="T653" s="22"/>
      <c r="U653" t="s">
        <v>587</v>
      </c>
      <c r="Z653" s="1479" t="str">
        <f>Z645</f>
        <v>Belmont, CA</v>
      </c>
      <c r="AA653" s="1479"/>
      <c r="AB653" s="1479"/>
      <c r="AC653" s="1479"/>
      <c r="AD653" s="1479"/>
      <c r="AE653" s="1479"/>
      <c r="AF653" s="1479"/>
      <c r="AG653" s="1479"/>
      <c r="AH653" s="1479"/>
      <c r="AI653" s="1479"/>
      <c r="AJ653" s="1479"/>
      <c r="AK653" s="1479"/>
      <c r="AZ653" s="34"/>
      <c r="BA653" s="34"/>
      <c r="BB653" s="34"/>
      <c r="BC653" s="34"/>
      <c r="BD653" s="34"/>
      <c r="BE653" s="34"/>
      <c r="BF653" s="34"/>
      <c r="BG653" s="34"/>
      <c r="BH653" s="34"/>
      <c r="BI653" s="34"/>
      <c r="BJ653" s="34"/>
      <c r="BK653" s="34"/>
      <c r="BL653" s="34"/>
      <c r="BM653" s="34"/>
      <c r="BN653" s="1406">
        <f t="shared" si="33"/>
        <v>0</v>
      </c>
      <c r="BO653" s="1407"/>
      <c r="BP653" s="1407"/>
      <c r="BQ653" s="1407"/>
      <c r="BR653" s="1408"/>
      <c r="BS653" s="1404">
        <f t="shared" si="34"/>
        <v>0</v>
      </c>
      <c r="BT653" s="1404"/>
      <c r="BU653" s="1404"/>
      <c r="BV653" s="1404"/>
      <c r="BW653" s="1404"/>
      <c r="BX653" s="1404">
        <f t="shared" si="35"/>
        <v>0</v>
      </c>
      <c r="BY653" s="1404"/>
      <c r="BZ653" s="1404"/>
      <c r="CA653" s="1404"/>
      <c r="CB653" s="1404"/>
      <c r="CC653" s="1404">
        <f t="shared" si="36"/>
        <v>0</v>
      </c>
      <c r="CD653" s="1404"/>
      <c r="CE653" s="1404"/>
      <c r="CF653" s="1404"/>
      <c r="CG653" s="1404"/>
      <c r="CH653" s="1404">
        <f t="shared" si="37"/>
        <v>0</v>
      </c>
      <c r="CI653" s="1404"/>
      <c r="CJ653" s="1404"/>
      <c r="CK653" s="1404"/>
      <c r="CL653" s="1404"/>
      <c r="CM653" s="1404">
        <f t="shared" si="38"/>
        <v>0</v>
      </c>
      <c r="CN653" s="1404"/>
      <c r="CO653" s="1404"/>
      <c r="CP653" s="1404"/>
      <c r="CQ653" s="1404"/>
      <c r="CR653" s="6"/>
      <c r="CS653" s="1406">
        <f t="shared" si="39"/>
        <v>0</v>
      </c>
      <c r="CT653" s="1407"/>
      <c r="CU653" s="1407"/>
      <c r="CV653" s="1407"/>
      <c r="CW653" s="1408"/>
      <c r="CX653" s="1406">
        <f t="shared" si="40"/>
        <v>0</v>
      </c>
      <c r="CY653" s="1407"/>
      <c r="CZ653" s="1407"/>
      <c r="DA653" s="1407"/>
      <c r="DB653" s="1408"/>
      <c r="DC653" s="1406">
        <f t="shared" si="41"/>
        <v>0</v>
      </c>
      <c r="DD653" s="1407"/>
      <c r="DE653" s="1407"/>
      <c r="DF653" s="1407"/>
      <c r="DG653" s="1408"/>
      <c r="DH653" s="1406">
        <f t="shared" si="42"/>
        <v>0</v>
      </c>
      <c r="DI653" s="1407"/>
      <c r="DJ653" s="1407"/>
      <c r="DK653" s="1407"/>
      <c r="DL653" s="1408"/>
      <c r="DM653" s="1406">
        <f t="shared" si="43"/>
        <v>0</v>
      </c>
      <c r="DN653" s="1407"/>
      <c r="DO653" s="1407"/>
      <c r="DP653" s="1407"/>
      <c r="DQ653" s="1408"/>
      <c r="DR653" s="1406">
        <f t="shared" si="44"/>
        <v>0</v>
      </c>
      <c r="DS653" s="1407"/>
      <c r="DT653" s="1407"/>
      <c r="DU653" s="1407"/>
      <c r="DV653" s="1408"/>
      <c r="DX653" s="1372" t="e">
        <f t="shared" si="32"/>
        <v>#VALUE!</v>
      </c>
      <c r="DY653" s="1372"/>
      <c r="DZ653" s="1372"/>
      <c r="EA653" s="1372"/>
      <c r="EB653" s="1372"/>
      <c r="EC653" s="1372" t="e">
        <f t="shared" si="27"/>
        <v>#VALUE!</v>
      </c>
      <c r="ED653" s="1372"/>
      <c r="EE653" s="1372"/>
      <c r="EF653" s="1372"/>
      <c r="EG653" s="1372"/>
      <c r="EH653" s="1372" t="e">
        <f t="shared" si="28"/>
        <v>#VALUE!</v>
      </c>
      <c r="EI653" s="1372"/>
      <c r="EJ653" s="1372"/>
      <c r="EK653" s="1372"/>
      <c r="EL653" s="1372"/>
      <c r="EM653" s="1372" t="e">
        <f t="shared" si="29"/>
        <v>#VALUE!</v>
      </c>
      <c r="EN653" s="1372"/>
      <c r="EO653" s="1372"/>
      <c r="EP653" s="1372"/>
      <c r="EQ653" s="1372"/>
      <c r="ER653" s="1372" t="e">
        <f t="shared" si="30"/>
        <v>#VALUE!</v>
      </c>
      <c r="ES653" s="1372"/>
      <c r="ET653" s="1372"/>
      <c r="EU653" s="1372"/>
      <c r="EV653" s="1372"/>
      <c r="EW653" s="1372" t="e">
        <f t="shared" si="31"/>
        <v>#VALUE!</v>
      </c>
      <c r="EX653" s="1372"/>
      <c r="EY653" s="1372"/>
      <c r="EZ653" s="1372"/>
      <c r="FA653" s="1372"/>
    </row>
    <row r="654" spans="1:157" ht="12.95" customHeight="1">
      <c r="A654" s="22"/>
      <c r="B654" t="s">
        <v>17</v>
      </c>
      <c r="G654" s="1479" t="str">
        <f t="shared" si="45"/>
        <v>Jan Stokely</v>
      </c>
      <c r="H654" s="1479"/>
      <c r="I654" s="1479"/>
      <c r="J654" s="1479"/>
      <c r="K654" s="1479"/>
      <c r="L654" s="1479"/>
      <c r="M654" s="1479"/>
      <c r="N654" s="1479"/>
      <c r="O654" s="1479"/>
      <c r="P654" s="1479"/>
      <c r="Q654" s="1479"/>
      <c r="R654" s="1479"/>
      <c r="T654" s="22"/>
      <c r="U654" t="s">
        <v>17</v>
      </c>
      <c r="Z654" s="1479" t="str">
        <f>Z646</f>
        <v>Jan Stokely</v>
      </c>
      <c r="AA654" s="1479"/>
      <c r="AB654" s="1479"/>
      <c r="AC654" s="1479"/>
      <c r="AD654" s="1479"/>
      <c r="AE654" s="1479"/>
      <c r="AF654" s="1479"/>
      <c r="AG654" s="1479"/>
      <c r="AH654" s="1479"/>
      <c r="AI654" s="1479"/>
      <c r="AJ654" s="1479"/>
      <c r="AK654" s="1479"/>
      <c r="AZ654" s="34"/>
      <c r="BA654" s="34"/>
      <c r="BB654" s="34"/>
      <c r="BC654" s="34"/>
      <c r="BD654" s="34"/>
      <c r="BE654" s="34"/>
      <c r="BF654" s="34"/>
      <c r="BG654" s="34"/>
      <c r="BH654" s="34"/>
      <c r="BI654" s="34"/>
      <c r="BJ654" s="34"/>
      <c r="BK654" s="34"/>
      <c r="BL654" s="34"/>
      <c r="BM654" s="34"/>
      <c r="BN654" s="1406">
        <f t="shared" si="33"/>
        <v>0</v>
      </c>
      <c r="BO654" s="1407"/>
      <c r="BP654" s="1407"/>
      <c r="BQ654" s="1407"/>
      <c r="BR654" s="1408"/>
      <c r="BS654" s="1404">
        <f t="shared" si="34"/>
        <v>0</v>
      </c>
      <c r="BT654" s="1404"/>
      <c r="BU654" s="1404"/>
      <c r="BV654" s="1404"/>
      <c r="BW654" s="1404"/>
      <c r="BX654" s="1404">
        <f t="shared" si="35"/>
        <v>0</v>
      </c>
      <c r="BY654" s="1404"/>
      <c r="BZ654" s="1404"/>
      <c r="CA654" s="1404"/>
      <c r="CB654" s="1404"/>
      <c r="CC654" s="1404">
        <f t="shared" si="36"/>
        <v>0</v>
      </c>
      <c r="CD654" s="1404"/>
      <c r="CE654" s="1404"/>
      <c r="CF654" s="1404"/>
      <c r="CG654" s="1404"/>
      <c r="CH654" s="1404">
        <f t="shared" si="37"/>
        <v>0</v>
      </c>
      <c r="CI654" s="1404"/>
      <c r="CJ654" s="1404"/>
      <c r="CK654" s="1404"/>
      <c r="CL654" s="1404"/>
      <c r="CM654" s="1404">
        <f t="shared" si="38"/>
        <v>0</v>
      </c>
      <c r="CN654" s="1404"/>
      <c r="CO654" s="1404"/>
      <c r="CP654" s="1404"/>
      <c r="CQ654" s="1404"/>
      <c r="CR654" s="6"/>
      <c r="CS654" s="1406">
        <f t="shared" si="39"/>
        <v>0</v>
      </c>
      <c r="CT654" s="1407"/>
      <c r="CU654" s="1407"/>
      <c r="CV654" s="1407"/>
      <c r="CW654" s="1408"/>
      <c r="CX654" s="1406">
        <f t="shared" si="40"/>
        <v>0</v>
      </c>
      <c r="CY654" s="1407"/>
      <c r="CZ654" s="1407"/>
      <c r="DA654" s="1407"/>
      <c r="DB654" s="1408"/>
      <c r="DC654" s="1406">
        <f t="shared" si="41"/>
        <v>0</v>
      </c>
      <c r="DD654" s="1407"/>
      <c r="DE654" s="1407"/>
      <c r="DF654" s="1407"/>
      <c r="DG654" s="1408"/>
      <c r="DH654" s="1406">
        <f t="shared" si="42"/>
        <v>0</v>
      </c>
      <c r="DI654" s="1407"/>
      <c r="DJ654" s="1407"/>
      <c r="DK654" s="1407"/>
      <c r="DL654" s="1408"/>
      <c r="DM654" s="1406">
        <f t="shared" si="43"/>
        <v>0</v>
      </c>
      <c r="DN654" s="1407"/>
      <c r="DO654" s="1407"/>
      <c r="DP654" s="1407"/>
      <c r="DQ654" s="1408"/>
      <c r="DR654" s="1406">
        <f t="shared" si="44"/>
        <v>0</v>
      </c>
      <c r="DS654" s="1407"/>
      <c r="DT654" s="1407"/>
      <c r="DU654" s="1407"/>
      <c r="DV654" s="1408"/>
      <c r="DX654" s="1372" t="e">
        <f t="shared" si="32"/>
        <v>#VALUE!</v>
      </c>
      <c r="DY654" s="1372"/>
      <c r="DZ654" s="1372"/>
      <c r="EA654" s="1372"/>
      <c r="EB654" s="1372"/>
      <c r="EC654" s="1372" t="e">
        <f t="shared" si="27"/>
        <v>#VALUE!</v>
      </c>
      <c r="ED654" s="1372"/>
      <c r="EE654" s="1372"/>
      <c r="EF654" s="1372"/>
      <c r="EG654" s="1372"/>
      <c r="EH654" s="1372" t="e">
        <f t="shared" si="28"/>
        <v>#VALUE!</v>
      </c>
      <c r="EI654" s="1372"/>
      <c r="EJ654" s="1372"/>
      <c r="EK654" s="1372"/>
      <c r="EL654" s="1372"/>
      <c r="EM654" s="1372" t="e">
        <f t="shared" si="29"/>
        <v>#VALUE!</v>
      </c>
      <c r="EN654" s="1372"/>
      <c r="EO654" s="1372"/>
      <c r="EP654" s="1372"/>
      <c r="EQ654" s="1372"/>
      <c r="ER654" s="1372" t="e">
        <f t="shared" si="30"/>
        <v>#VALUE!</v>
      </c>
      <c r="ES654" s="1372"/>
      <c r="ET654" s="1372"/>
      <c r="EU654" s="1372"/>
      <c r="EV654" s="1372"/>
      <c r="EW654" s="1372" t="e">
        <f t="shared" si="31"/>
        <v>#VALUE!</v>
      </c>
      <c r="EX654" s="1372"/>
      <c r="EY654" s="1372"/>
      <c r="EZ654" s="1372"/>
      <c r="FA654" s="1372"/>
    </row>
    <row r="655" spans="1:157" ht="12.95" customHeight="1">
      <c r="A655" s="22"/>
      <c r="B655" t="s">
        <v>316</v>
      </c>
      <c r="G655" s="1517">
        <f>Z647</f>
        <v>6508023397</v>
      </c>
      <c r="H655" s="1517"/>
      <c r="I655" s="1517"/>
      <c r="J655" s="1517"/>
      <c r="K655" s="1517"/>
      <c r="L655" s="1517"/>
      <c r="O655" s="33" t="s">
        <v>206</v>
      </c>
      <c r="P655" s="1522" t="s">
        <v>598</v>
      </c>
      <c r="Q655" s="1405"/>
      <c r="R655" s="1405"/>
      <c r="T655" s="22"/>
      <c r="U655" t="s">
        <v>316</v>
      </c>
      <c r="Z655" s="1517">
        <f>Z647</f>
        <v>6508023397</v>
      </c>
      <c r="AA655" s="1517"/>
      <c r="AB655" s="1517"/>
      <c r="AC655" s="1517"/>
      <c r="AD655" s="1517"/>
      <c r="AE655" s="1517"/>
      <c r="AH655" s="33" t="s">
        <v>206</v>
      </c>
      <c r="AI655" s="1405"/>
      <c r="AJ655" s="1405"/>
      <c r="AK655" s="1405"/>
      <c r="AZ655" s="34"/>
      <c r="BA655" s="34"/>
      <c r="BB655" s="34"/>
      <c r="BC655" s="34"/>
      <c r="BD655" s="34"/>
      <c r="BE655" s="34"/>
      <c r="BF655" s="34"/>
      <c r="BG655" s="34"/>
      <c r="BH655" s="34"/>
      <c r="BI655" s="34"/>
      <c r="BJ655" s="34"/>
      <c r="BK655" s="34"/>
      <c r="BL655" s="34"/>
      <c r="BM655" s="34"/>
      <c r="BN655" s="1401">
        <f>SUM(BN645:BR654)</f>
        <v>0</v>
      </c>
      <c r="BO655" s="1402"/>
      <c r="BP655" s="1402"/>
      <c r="BQ655" s="1402"/>
      <c r="BR655" s="1403"/>
      <c r="BS655" s="1414">
        <f>SUM(BS645:BW654)</f>
        <v>0</v>
      </c>
      <c r="BT655" s="1415"/>
      <c r="BU655" s="1415"/>
      <c r="BV655" s="1415"/>
      <c r="BW655" s="1416"/>
      <c r="BX655" s="1414">
        <f>SUM(BX645:CB654)</f>
        <v>0</v>
      </c>
      <c r="BY655" s="1415"/>
      <c r="BZ655" s="1415"/>
      <c r="CA655" s="1415"/>
      <c r="CB655" s="1416"/>
      <c r="CC655" s="1414">
        <f>SUM(CC645:CG654)</f>
        <v>0</v>
      </c>
      <c r="CD655" s="1415"/>
      <c r="CE655" s="1415"/>
      <c r="CF655" s="1415"/>
      <c r="CG655" s="1416"/>
      <c r="CH655" s="1414">
        <f>SUM(CH645:CL654)</f>
        <v>0</v>
      </c>
      <c r="CI655" s="1415"/>
      <c r="CJ655" s="1415"/>
      <c r="CK655" s="1415"/>
      <c r="CL655" s="1416"/>
      <c r="CM655" s="1414">
        <f>SUM(CM645:CQ654)</f>
        <v>0</v>
      </c>
      <c r="CN655" s="1415"/>
      <c r="CO655" s="1415"/>
      <c r="CP655" s="1415"/>
      <c r="CQ655" s="1416"/>
      <c r="CR655" s="1047"/>
      <c r="CS655" s="1633">
        <f>SUM(CS645:CW654)</f>
        <v>0</v>
      </c>
      <c r="CT655" s="1633"/>
      <c r="CU655" s="1633"/>
      <c r="CV655" s="1633"/>
      <c r="CW655" s="1633"/>
      <c r="CX655" s="1633">
        <f>SUM(CX645:DB654)</f>
        <v>0</v>
      </c>
      <c r="CY655" s="1633"/>
      <c r="CZ655" s="1633"/>
      <c r="DA655" s="1633"/>
      <c r="DB655" s="1633"/>
      <c r="DC655" s="1633">
        <f>SUM(DC645:DG654)</f>
        <v>0</v>
      </c>
      <c r="DD655" s="1633"/>
      <c r="DE655" s="1633"/>
      <c r="DF655" s="1633"/>
      <c r="DG655" s="1633"/>
      <c r="DH655" s="1633">
        <f>SUM(DH645:DL654)</f>
        <v>0</v>
      </c>
      <c r="DI655" s="1633"/>
      <c r="DJ655" s="1633"/>
      <c r="DK655" s="1633"/>
      <c r="DL655" s="1633"/>
      <c r="DM655" s="1633">
        <f>SUM(DM645:DQ654)</f>
        <v>0</v>
      </c>
      <c r="DN655" s="1633"/>
      <c r="DO655" s="1633"/>
      <c r="DP655" s="1633"/>
      <c r="DQ655" s="1633"/>
      <c r="DR655" s="1633">
        <f>SUM(DR645:DV654)</f>
        <v>0</v>
      </c>
      <c r="DS655" s="1633"/>
      <c r="DT655" s="1633"/>
      <c r="DU655" s="1633"/>
      <c r="DV655" s="1633"/>
      <c r="DX655" s="1372" t="e">
        <f t="shared" si="32"/>
        <v>#VALUE!</v>
      </c>
      <c r="DY655" s="1372"/>
      <c r="DZ655" s="1372"/>
      <c r="EA655" s="1372"/>
      <c r="EB655" s="1372"/>
      <c r="EC655" s="1372" t="e">
        <f t="shared" si="27"/>
        <v>#VALUE!</v>
      </c>
      <c r="ED655" s="1372"/>
      <c r="EE655" s="1372"/>
      <c r="EF655" s="1372"/>
      <c r="EG655" s="1372"/>
      <c r="EH655" s="1372" t="e">
        <f t="shared" si="28"/>
        <v>#VALUE!</v>
      </c>
      <c r="EI655" s="1372"/>
      <c r="EJ655" s="1372"/>
      <c r="EK655" s="1372"/>
      <c r="EL655" s="1372"/>
      <c r="EM655" s="1372" t="e">
        <f t="shared" si="29"/>
        <v>#VALUE!</v>
      </c>
      <c r="EN655" s="1372"/>
      <c r="EO655" s="1372"/>
      <c r="EP655" s="1372"/>
      <c r="EQ655" s="1372"/>
      <c r="ER655" s="1372" t="e">
        <f t="shared" si="30"/>
        <v>#VALUE!</v>
      </c>
      <c r="ES655" s="1372"/>
      <c r="ET655" s="1372"/>
      <c r="EU655" s="1372"/>
      <c r="EV655" s="1372"/>
      <c r="EW655" s="1372" t="e">
        <f t="shared" si="31"/>
        <v>#VALUE!</v>
      </c>
      <c r="EX655" s="1372"/>
      <c r="EY655" s="1372"/>
      <c r="EZ655" s="1372"/>
      <c r="FA655" s="1372"/>
    </row>
    <row r="656" spans="1:157" ht="12.95" customHeight="1">
      <c r="A656" s="22"/>
      <c r="B656" t="s">
        <v>18</v>
      </c>
      <c r="H656" s="1412" t="str">
        <f>AA648</f>
        <v>Residual Receipts Loan</v>
      </c>
      <c r="I656" s="1412"/>
      <c r="J656" s="1412"/>
      <c r="K656" s="1412"/>
      <c r="L656" s="1412"/>
      <c r="M656" s="1412"/>
      <c r="N656" s="1412"/>
      <c r="O656" s="1412"/>
      <c r="P656" s="1412"/>
      <c r="Q656" s="1412"/>
      <c r="R656" s="1412"/>
      <c r="T656" s="22"/>
      <c r="U656" t="s">
        <v>18</v>
      </c>
      <c r="AA656" s="1412" t="str">
        <f>AA648</f>
        <v>Residual Receipts Loan</v>
      </c>
      <c r="AB656" s="1412"/>
      <c r="AC656" s="1412"/>
      <c r="AD656" s="1412"/>
      <c r="AE656" s="1412"/>
      <c r="AF656" s="1412"/>
      <c r="AG656" s="1412"/>
      <c r="AH656" s="1412"/>
      <c r="AI656" s="1412"/>
      <c r="AJ656" s="1412"/>
      <c r="AK656" s="1412"/>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72" t="e">
        <f t="shared" si="32"/>
        <v>#VALUE!</v>
      </c>
      <c r="DY656" s="1372"/>
      <c r="DZ656" s="1372"/>
      <c r="EA656" s="1372"/>
      <c r="EB656" s="1372"/>
      <c r="EC656" s="1372" t="e">
        <f t="shared" si="27"/>
        <v>#VALUE!</v>
      </c>
      <c r="ED656" s="1372"/>
      <c r="EE656" s="1372"/>
      <c r="EF656" s="1372"/>
      <c r="EG656" s="1372"/>
      <c r="EH656" s="1372" t="e">
        <f t="shared" si="28"/>
        <v>#VALUE!</v>
      </c>
      <c r="EI656" s="1372"/>
      <c r="EJ656" s="1372"/>
      <c r="EK656" s="1372"/>
      <c r="EL656" s="1372"/>
      <c r="EM656" s="1372" t="e">
        <f t="shared" si="29"/>
        <v>#VALUE!</v>
      </c>
      <c r="EN656" s="1372"/>
      <c r="EO656" s="1372"/>
      <c r="EP656" s="1372"/>
      <c r="EQ656" s="1372"/>
      <c r="ER656" s="1372" t="e">
        <f t="shared" si="30"/>
        <v>#VALUE!</v>
      </c>
      <c r="ES656" s="1372"/>
      <c r="ET656" s="1372"/>
      <c r="EU656" s="1372"/>
      <c r="EV656" s="1372"/>
      <c r="EW656" s="1372" t="e">
        <f t="shared" si="31"/>
        <v>#VALUE!</v>
      </c>
      <c r="EX656" s="1372"/>
      <c r="EY656" s="1372"/>
      <c r="EZ656" s="1372"/>
      <c r="FA656" s="1372"/>
    </row>
    <row r="657" spans="1:157" ht="12.95" customHeight="1">
      <c r="A657" s="22"/>
      <c r="B657" t="s">
        <v>20</v>
      </c>
      <c r="N657" s="1413" t="s">
        <v>552</v>
      </c>
      <c r="O657" s="1413"/>
      <c r="T657" s="22"/>
      <c r="U657" t="s">
        <v>20</v>
      </c>
      <c r="AG657" s="1413" t="s">
        <v>552</v>
      </c>
      <c r="AH657" s="1413"/>
      <c r="AZ657" s="34"/>
      <c r="BA657" s="34"/>
      <c r="BB657" s="34"/>
      <c r="BC657" s="34"/>
      <c r="BD657" s="34"/>
      <c r="BE657" s="34"/>
      <c r="BF657" s="34"/>
      <c r="BG657" s="34"/>
      <c r="BH657" s="34"/>
      <c r="BI657" s="34"/>
      <c r="BJ657" s="34"/>
      <c r="BK657" s="34"/>
      <c r="BL657" s="34"/>
      <c r="BM657" s="34"/>
      <c r="CR657" s="3"/>
      <c r="CS657" s="895">
        <f>BN655+BS655+BX655+CC655+CH655+CM655</f>
        <v>0</v>
      </c>
      <c r="CT657" s="57" t="s">
        <v>2045</v>
      </c>
      <c r="CU657" s="3"/>
      <c r="CV657" s="3"/>
      <c r="CW657" s="3"/>
      <c r="CX657" s="3"/>
      <c r="CY657" s="3"/>
      <c r="CZ657" s="3"/>
      <c r="DA657" s="3"/>
      <c r="DB657" s="3"/>
      <c r="DC657" s="3"/>
      <c r="DD657" s="3"/>
      <c r="DE657" s="3"/>
      <c r="DF657" s="3"/>
      <c r="DQ657" s="56" t="s">
        <v>2054</v>
      </c>
      <c r="DR657" s="1372">
        <f>SUM(CS655:DV655)</f>
        <v>0</v>
      </c>
      <c r="DS657" s="1372"/>
      <c r="DT657" s="1372"/>
      <c r="DU657" s="1372"/>
      <c r="DV657" s="1372"/>
      <c r="DX657" s="1372" t="e">
        <f t="shared" si="32"/>
        <v>#VALUE!</v>
      </c>
      <c r="DY657" s="1372"/>
      <c r="DZ657" s="1372"/>
      <c r="EA657" s="1372"/>
      <c r="EB657" s="1372"/>
      <c r="EC657" s="1372" t="e">
        <f t="shared" si="27"/>
        <v>#VALUE!</v>
      </c>
      <c r="ED657" s="1372"/>
      <c r="EE657" s="1372"/>
      <c r="EF657" s="1372"/>
      <c r="EG657" s="1372"/>
      <c r="EH657" s="1372" t="e">
        <f t="shared" si="28"/>
        <v>#VALUE!</v>
      </c>
      <c r="EI657" s="1372"/>
      <c r="EJ657" s="1372"/>
      <c r="EK657" s="1372"/>
      <c r="EL657" s="1372"/>
      <c r="EM657" s="1372" t="e">
        <f t="shared" si="29"/>
        <v>#VALUE!</v>
      </c>
      <c r="EN657" s="1372"/>
      <c r="EO657" s="1372"/>
      <c r="EP657" s="1372"/>
      <c r="EQ657" s="1372"/>
      <c r="ER657" s="1372" t="e">
        <f t="shared" si="30"/>
        <v>#VALUE!</v>
      </c>
      <c r="ES657" s="1372"/>
      <c r="ET657" s="1372"/>
      <c r="EU657" s="1372"/>
      <c r="EV657" s="1372"/>
      <c r="EW657" s="1372" t="e">
        <f t="shared" si="31"/>
        <v>#VALUE!</v>
      </c>
      <c r="EX657" s="1372"/>
      <c r="EY657" s="1372"/>
      <c r="EZ657" s="1372"/>
      <c r="FA657" s="1372"/>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1738</v>
      </c>
      <c r="CU658" s="3"/>
      <c r="CV658" s="3"/>
      <c r="CW658" s="3"/>
      <c r="CX658" s="3"/>
      <c r="CY658" s="3"/>
      <c r="CZ658" s="3"/>
      <c r="DA658" s="3"/>
      <c r="DB658" s="3"/>
      <c r="DC658" s="3"/>
      <c r="DD658" s="3"/>
      <c r="DE658" s="3"/>
      <c r="DF658" s="3"/>
      <c r="DX658" s="1372" t="e">
        <f t="shared" ref="DX658:DX667" si="46">DX620*(BN620/$BN$632)</f>
        <v>#VALUE!</v>
      </c>
      <c r="DY658" s="1372"/>
      <c r="DZ658" s="1372"/>
      <c r="EA658" s="1372"/>
      <c r="EB658" s="1372"/>
      <c r="EC658" s="1372" t="e">
        <f t="shared" ref="EC658:EC667" si="47">EC620*(BS620/$BS$632)</f>
        <v>#VALUE!</v>
      </c>
      <c r="ED658" s="1372"/>
      <c r="EE658" s="1372"/>
      <c r="EF658" s="1372"/>
      <c r="EG658" s="1372"/>
      <c r="EH658" s="1372" t="e">
        <f t="shared" ref="EH658:EH667" si="48">EH620*(BX620/$BX$632)</f>
        <v>#VALUE!</v>
      </c>
      <c r="EI658" s="1372"/>
      <c r="EJ658" s="1372"/>
      <c r="EK658" s="1372"/>
      <c r="EL658" s="1372"/>
      <c r="EM658" s="1372" t="e">
        <f t="shared" ref="EM658:EM667" si="49">EM620*(CC620/$CC$632)</f>
        <v>#VALUE!</v>
      </c>
      <c r="EN658" s="1372"/>
      <c r="EO658" s="1372"/>
      <c r="EP658" s="1372"/>
      <c r="EQ658" s="1372"/>
      <c r="ER658" s="1372" t="e">
        <f t="shared" ref="ER658:ER667" si="50">ER620*(CH620/$CH$632)</f>
        <v>#VALUE!</v>
      </c>
      <c r="ES658" s="1372"/>
      <c r="ET658" s="1372"/>
      <c r="EU658" s="1372"/>
      <c r="EV658" s="1372"/>
      <c r="EW658" s="1372" t="e">
        <f t="shared" ref="EW658:EW667" si="51">EW620*(CM620/$CM$632)</f>
        <v>#VALUE!</v>
      </c>
      <c r="EX658" s="1372"/>
      <c r="EY658" s="1372"/>
      <c r="EZ658" s="1372"/>
      <c r="FA658" s="1372"/>
    </row>
    <row r="659" spans="1:157" ht="12.95" customHeight="1">
      <c r="A659" s="55" t="s">
        <v>771</v>
      </c>
      <c r="B659" t="s">
        <v>470</v>
      </c>
      <c r="G659" s="1418" t="str">
        <f>C631</f>
        <v>Lument Securities, LLC</v>
      </c>
      <c r="H659" s="1418"/>
      <c r="I659" s="1418"/>
      <c r="J659" s="1418"/>
      <c r="K659" s="1418"/>
      <c r="L659" s="1418"/>
      <c r="M659" s="1418"/>
      <c r="N659" s="1418"/>
      <c r="O659" s="1418"/>
      <c r="P659" s="1418"/>
      <c r="Q659" s="1418"/>
      <c r="R659" s="1418"/>
      <c r="T659" s="55" t="s">
        <v>591</v>
      </c>
      <c r="U659" t="s">
        <v>470</v>
      </c>
      <c r="Z659" s="1418" t="str">
        <f>C632</f>
        <v>Affimred Housing Group, Inc.</v>
      </c>
      <c r="AA659" s="1418"/>
      <c r="AB659" s="1418"/>
      <c r="AC659" s="1418"/>
      <c r="AD659" s="1418"/>
      <c r="AE659" s="1418"/>
      <c r="AF659" s="1418"/>
      <c r="AG659" s="1418"/>
      <c r="AH659" s="1418"/>
      <c r="AI659" s="1418"/>
      <c r="AJ659" s="1418"/>
      <c r="AK659" s="1418"/>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72" t="e">
        <f t="shared" si="46"/>
        <v>#VALUE!</v>
      </c>
      <c r="DY659" s="1372"/>
      <c r="DZ659" s="1372"/>
      <c r="EA659" s="1372"/>
      <c r="EB659" s="1372"/>
      <c r="EC659" s="1372" t="e">
        <f t="shared" si="47"/>
        <v>#VALUE!</v>
      </c>
      <c r="ED659" s="1372"/>
      <c r="EE659" s="1372"/>
      <c r="EF659" s="1372"/>
      <c r="EG659" s="1372"/>
      <c r="EH659" s="1372" t="e">
        <f t="shared" si="48"/>
        <v>#VALUE!</v>
      </c>
      <c r="EI659" s="1372"/>
      <c r="EJ659" s="1372"/>
      <c r="EK659" s="1372"/>
      <c r="EL659" s="1372"/>
      <c r="EM659" s="1372" t="e">
        <f t="shared" si="49"/>
        <v>#VALUE!</v>
      </c>
      <c r="EN659" s="1372"/>
      <c r="EO659" s="1372"/>
      <c r="EP659" s="1372"/>
      <c r="EQ659" s="1372"/>
      <c r="ER659" s="1372" t="e">
        <f t="shared" si="50"/>
        <v>#VALUE!</v>
      </c>
      <c r="ES659" s="1372"/>
      <c r="ET659" s="1372"/>
      <c r="EU659" s="1372"/>
      <c r="EV659" s="1372"/>
      <c r="EW659" s="1372" t="e">
        <f t="shared" si="51"/>
        <v>#VALUE!</v>
      </c>
      <c r="EX659" s="1372"/>
      <c r="EY659" s="1372"/>
      <c r="EZ659" s="1372"/>
      <c r="FA659" s="1372"/>
    </row>
    <row r="660" spans="1:157" ht="12.95" customHeight="1">
      <c r="A660" s="22"/>
      <c r="B660" t="s">
        <v>85</v>
      </c>
      <c r="G660" s="1412" t="s">
        <v>2739</v>
      </c>
      <c r="H660" s="1412"/>
      <c r="I660" s="1412"/>
      <c r="J660" s="1412"/>
      <c r="K660" s="1412"/>
      <c r="L660" s="1412"/>
      <c r="M660" s="1412"/>
      <c r="N660" s="1412"/>
      <c r="O660" s="1412"/>
      <c r="P660" s="1412"/>
      <c r="Q660" s="1412"/>
      <c r="R660" s="1412"/>
      <c r="T660" s="22"/>
      <c r="U660" t="s">
        <v>85</v>
      </c>
      <c r="Z660" s="1417" t="s">
        <v>2744</v>
      </c>
      <c r="AA660" s="1412"/>
      <c r="AB660" s="1412"/>
      <c r="AC660" s="1412"/>
      <c r="AD660" s="1412"/>
      <c r="AE660" s="1412"/>
      <c r="AF660" s="1412"/>
      <c r="AG660" s="1412"/>
      <c r="AH660" s="1412"/>
      <c r="AI660" s="1412"/>
      <c r="AJ660" s="1412"/>
      <c r="AK660" s="1412"/>
      <c r="AZ660" s="34"/>
      <c r="BA660" s="34"/>
      <c r="BB660" s="34"/>
      <c r="BC660" s="34"/>
      <c r="BD660" s="34"/>
      <c r="BE660" s="34"/>
      <c r="BF660" s="34"/>
      <c r="BG660" s="34"/>
      <c r="BH660" s="34"/>
      <c r="BI660" s="34"/>
      <c r="BJ660" s="34"/>
      <c r="BK660" s="34"/>
      <c r="BL660" s="34"/>
      <c r="BM660" s="34"/>
      <c r="BN660" s="1414">
        <f>BN632+BN641+BN655</f>
        <v>47</v>
      </c>
      <c r="BO660" s="1415"/>
      <c r="BP660" s="1415"/>
      <c r="BQ660" s="1415"/>
      <c r="BR660" s="1416"/>
      <c r="BS660" s="1414">
        <f>BS632+BS641+BS655</f>
        <v>29</v>
      </c>
      <c r="BT660" s="1415"/>
      <c r="BU660" s="1415"/>
      <c r="BV660" s="1415"/>
      <c r="BW660" s="1416"/>
      <c r="BX660" s="1414">
        <f>BX632+BX641+BX655</f>
        <v>5</v>
      </c>
      <c r="BY660" s="1415"/>
      <c r="BZ660" s="1415"/>
      <c r="CA660" s="1415"/>
      <c r="CB660" s="1416"/>
      <c r="CC660" s="1414">
        <f>CC632+CC641+CC655</f>
        <v>5</v>
      </c>
      <c r="CD660" s="1415"/>
      <c r="CE660" s="1415"/>
      <c r="CF660" s="1415"/>
      <c r="CG660" s="1416"/>
      <c r="CH660" s="1414">
        <f>CH632+CH641+CH655</f>
        <v>0</v>
      </c>
      <c r="CI660" s="1415"/>
      <c r="CJ660" s="1415"/>
      <c r="CK660" s="1415"/>
      <c r="CL660" s="1416"/>
      <c r="CM660" s="1373">
        <f>CM655+CM641+CM632</f>
        <v>0</v>
      </c>
      <c r="CN660" s="1374"/>
      <c r="CO660" s="1374"/>
      <c r="CP660" s="1374"/>
      <c r="CQ660" s="1375"/>
      <c r="CR660" s="3"/>
      <c r="CS660" s="895">
        <f>CS634+CS658</f>
        <v>99</v>
      </c>
      <c r="CT660" s="57" t="s">
        <v>2050</v>
      </c>
      <c r="CU660" s="3"/>
      <c r="CV660" s="3"/>
      <c r="CW660" s="3"/>
      <c r="CX660" s="3"/>
      <c r="CY660" s="3"/>
      <c r="CZ660" s="3"/>
      <c r="DA660" s="3"/>
      <c r="DB660" s="3"/>
      <c r="DC660" s="3"/>
      <c r="DD660" s="3"/>
      <c r="DE660" s="3"/>
      <c r="DF660" s="3"/>
      <c r="DX660" s="1372" t="e">
        <f t="shared" si="46"/>
        <v>#VALUE!</v>
      </c>
      <c r="DY660" s="1372"/>
      <c r="DZ660" s="1372"/>
      <c r="EA660" s="1372"/>
      <c r="EB660" s="1372"/>
      <c r="EC660" s="1372" t="e">
        <f t="shared" si="47"/>
        <v>#VALUE!</v>
      </c>
      <c r="ED660" s="1372"/>
      <c r="EE660" s="1372"/>
      <c r="EF660" s="1372"/>
      <c r="EG660" s="1372"/>
      <c r="EH660" s="1372" t="e">
        <f t="shared" si="48"/>
        <v>#VALUE!</v>
      </c>
      <c r="EI660" s="1372"/>
      <c r="EJ660" s="1372"/>
      <c r="EK660" s="1372"/>
      <c r="EL660" s="1372"/>
      <c r="EM660" s="1372" t="e">
        <f t="shared" si="49"/>
        <v>#VALUE!</v>
      </c>
      <c r="EN660" s="1372"/>
      <c r="EO660" s="1372"/>
      <c r="EP660" s="1372"/>
      <c r="EQ660" s="1372"/>
      <c r="ER660" s="1372" t="e">
        <f t="shared" si="50"/>
        <v>#VALUE!</v>
      </c>
      <c r="ES660" s="1372"/>
      <c r="ET660" s="1372"/>
      <c r="EU660" s="1372"/>
      <c r="EV660" s="1372"/>
      <c r="EW660" s="1372" t="e">
        <f t="shared" si="51"/>
        <v>#VALUE!</v>
      </c>
      <c r="EX660" s="1372"/>
      <c r="EY660" s="1372"/>
      <c r="EZ660" s="1372"/>
      <c r="FA660" s="1372"/>
    </row>
    <row r="661" spans="1:157" ht="12.95" customHeight="1">
      <c r="A661" s="22"/>
      <c r="B661" t="s">
        <v>587</v>
      </c>
      <c r="G661" s="1412" t="s">
        <v>2740</v>
      </c>
      <c r="H661" s="1412"/>
      <c r="I661" s="1412"/>
      <c r="J661" s="1412"/>
      <c r="K661" s="1412"/>
      <c r="L661" s="1412"/>
      <c r="M661" s="1412"/>
      <c r="N661" s="1412"/>
      <c r="O661" s="1412"/>
      <c r="P661" s="1412"/>
      <c r="Q661" s="1412"/>
      <c r="R661" s="1412"/>
      <c r="T661" s="22"/>
      <c r="U661" t="s">
        <v>587</v>
      </c>
      <c r="Z661" s="1522" t="s">
        <v>737</v>
      </c>
      <c r="AA661" s="1479"/>
      <c r="AB661" s="1479"/>
      <c r="AC661" s="1479"/>
      <c r="AD661" s="1479"/>
      <c r="AE661" s="1479"/>
      <c r="AF661" s="1479"/>
      <c r="AG661" s="1479"/>
      <c r="AH661" s="1479"/>
      <c r="AI661" s="1479"/>
      <c r="AJ661" s="1479"/>
      <c r="AK661" s="1479"/>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72" t="e">
        <f t="shared" si="46"/>
        <v>#VALUE!</v>
      </c>
      <c r="DY661" s="1372"/>
      <c r="DZ661" s="1372"/>
      <c r="EA661" s="1372"/>
      <c r="EB661" s="1372"/>
      <c r="EC661" s="1372" t="e">
        <f t="shared" si="47"/>
        <v>#VALUE!</v>
      </c>
      <c r="ED661" s="1372"/>
      <c r="EE661" s="1372"/>
      <c r="EF661" s="1372"/>
      <c r="EG661" s="1372"/>
      <c r="EH661" s="1372" t="e">
        <f t="shared" si="48"/>
        <v>#VALUE!</v>
      </c>
      <c r="EI661" s="1372"/>
      <c r="EJ661" s="1372"/>
      <c r="EK661" s="1372"/>
      <c r="EL661" s="1372"/>
      <c r="EM661" s="1372" t="e">
        <f t="shared" si="49"/>
        <v>#VALUE!</v>
      </c>
      <c r="EN661" s="1372"/>
      <c r="EO661" s="1372"/>
      <c r="EP661" s="1372"/>
      <c r="EQ661" s="1372"/>
      <c r="ER661" s="1372" t="e">
        <f t="shared" si="50"/>
        <v>#VALUE!</v>
      </c>
      <c r="ES661" s="1372"/>
      <c r="ET661" s="1372"/>
      <c r="EU661" s="1372"/>
      <c r="EV661" s="1372"/>
      <c r="EW661" s="1372" t="e">
        <f t="shared" si="51"/>
        <v>#VALUE!</v>
      </c>
      <c r="EX661" s="1372"/>
      <c r="EY661" s="1372"/>
      <c r="EZ661" s="1372"/>
      <c r="FA661" s="1372"/>
    </row>
    <row r="662" spans="1:157" ht="12.95" customHeight="1">
      <c r="A662" s="22"/>
      <c r="B662" t="s">
        <v>17</v>
      </c>
      <c r="G662" s="1412" t="s">
        <v>2741</v>
      </c>
      <c r="H662" s="1412"/>
      <c r="I662" s="1412"/>
      <c r="J662" s="1412"/>
      <c r="K662" s="1412"/>
      <c r="L662" s="1412"/>
      <c r="M662" s="1412"/>
      <c r="N662" s="1412"/>
      <c r="O662" s="1412"/>
      <c r="P662" s="1412"/>
      <c r="Q662" s="1412"/>
      <c r="R662" s="1412"/>
      <c r="T662" s="22"/>
      <c r="U662" t="s">
        <v>17</v>
      </c>
      <c r="Z662" s="1522" t="s">
        <v>2664</v>
      </c>
      <c r="AA662" s="1479"/>
      <c r="AB662" s="1479"/>
      <c r="AC662" s="1479"/>
      <c r="AD662" s="1479"/>
      <c r="AE662" s="1479"/>
      <c r="AF662" s="1479"/>
      <c r="AG662" s="1479"/>
      <c r="AH662" s="1479"/>
      <c r="AI662" s="1479"/>
      <c r="AJ662" s="1479"/>
      <c r="AK662" s="1479"/>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72" t="e">
        <f t="shared" si="46"/>
        <v>#VALUE!</v>
      </c>
      <c r="DY662" s="1372"/>
      <c r="DZ662" s="1372"/>
      <c r="EA662" s="1372"/>
      <c r="EB662" s="1372"/>
      <c r="EC662" s="1372" t="e">
        <f t="shared" si="47"/>
        <v>#VALUE!</v>
      </c>
      <c r="ED662" s="1372"/>
      <c r="EE662" s="1372"/>
      <c r="EF662" s="1372"/>
      <c r="EG662" s="1372"/>
      <c r="EH662" s="1372" t="e">
        <f t="shared" si="48"/>
        <v>#VALUE!</v>
      </c>
      <c r="EI662" s="1372"/>
      <c r="EJ662" s="1372"/>
      <c r="EK662" s="1372"/>
      <c r="EL662" s="1372"/>
      <c r="EM662" s="1372" t="e">
        <f t="shared" si="49"/>
        <v>#VALUE!</v>
      </c>
      <c r="EN662" s="1372"/>
      <c r="EO662" s="1372"/>
      <c r="EP662" s="1372"/>
      <c r="EQ662" s="1372"/>
      <c r="ER662" s="1372" t="e">
        <f t="shared" si="50"/>
        <v>#VALUE!</v>
      </c>
      <c r="ES662" s="1372"/>
      <c r="ET662" s="1372"/>
      <c r="EU662" s="1372"/>
      <c r="EV662" s="1372"/>
      <c r="EW662" s="1372" t="e">
        <f t="shared" si="51"/>
        <v>#VALUE!</v>
      </c>
      <c r="EX662" s="1372"/>
      <c r="EY662" s="1372"/>
      <c r="EZ662" s="1372"/>
      <c r="FA662" s="1372"/>
    </row>
    <row r="663" spans="1:157" ht="12.95" customHeight="1">
      <c r="A663" s="22"/>
      <c r="B663" t="s">
        <v>316</v>
      </c>
      <c r="G663" s="1517" t="str">
        <f>G647</f>
        <v>757-784-0154</v>
      </c>
      <c r="H663" s="1517"/>
      <c r="I663" s="1517"/>
      <c r="J663" s="1517"/>
      <c r="K663" s="1517"/>
      <c r="L663" s="1517"/>
      <c r="O663" s="33" t="s">
        <v>206</v>
      </c>
      <c r="P663" s="1522" t="s">
        <v>598</v>
      </c>
      <c r="Q663" s="1405"/>
      <c r="R663" s="1405"/>
      <c r="T663" s="22"/>
      <c r="U663" t="s">
        <v>316</v>
      </c>
      <c r="Z663" s="1517">
        <v>4154887743</v>
      </c>
      <c r="AA663" s="1517"/>
      <c r="AB663" s="1517"/>
      <c r="AC663" s="1517"/>
      <c r="AD663" s="1517"/>
      <c r="AE663" s="1517"/>
      <c r="AH663" s="33" t="s">
        <v>206</v>
      </c>
      <c r="AI663" s="1522" t="s">
        <v>598</v>
      </c>
      <c r="AJ663" s="1405"/>
      <c r="AK663" s="1405"/>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72" t="e">
        <f t="shared" si="46"/>
        <v>#VALUE!</v>
      </c>
      <c r="DY663" s="1372"/>
      <c r="DZ663" s="1372"/>
      <c r="EA663" s="1372"/>
      <c r="EB663" s="1372"/>
      <c r="EC663" s="1372" t="e">
        <f t="shared" si="47"/>
        <v>#VALUE!</v>
      </c>
      <c r="ED663" s="1372"/>
      <c r="EE663" s="1372"/>
      <c r="EF663" s="1372"/>
      <c r="EG663" s="1372"/>
      <c r="EH663" s="1372" t="e">
        <f t="shared" si="48"/>
        <v>#VALUE!</v>
      </c>
      <c r="EI663" s="1372"/>
      <c r="EJ663" s="1372"/>
      <c r="EK663" s="1372"/>
      <c r="EL663" s="1372"/>
      <c r="EM663" s="1372" t="e">
        <f t="shared" si="49"/>
        <v>#VALUE!</v>
      </c>
      <c r="EN663" s="1372"/>
      <c r="EO663" s="1372"/>
      <c r="EP663" s="1372"/>
      <c r="EQ663" s="1372"/>
      <c r="ER663" s="1372" t="e">
        <f t="shared" si="50"/>
        <v>#VALUE!</v>
      </c>
      <c r="ES663" s="1372"/>
      <c r="ET663" s="1372"/>
      <c r="EU663" s="1372"/>
      <c r="EV663" s="1372"/>
      <c r="EW663" s="1372" t="e">
        <f t="shared" si="51"/>
        <v>#VALUE!</v>
      </c>
      <c r="EX663" s="1372"/>
      <c r="EY663" s="1372"/>
      <c r="EZ663" s="1372"/>
      <c r="FA663" s="1372"/>
    </row>
    <row r="664" spans="1:157" ht="12.95" customHeight="1">
      <c r="A664" s="22"/>
      <c r="B664" t="s">
        <v>18</v>
      </c>
      <c r="H664" s="1417" t="s">
        <v>2776</v>
      </c>
      <c r="I664" s="1412"/>
      <c r="J664" s="1412"/>
      <c r="K664" s="1412"/>
      <c r="L664" s="1412"/>
      <c r="M664" s="1412"/>
      <c r="N664" s="1412"/>
      <c r="O664" s="1412"/>
      <c r="P664" s="1412"/>
      <c r="Q664" s="1412"/>
      <c r="R664" s="1412"/>
      <c r="T664" s="22"/>
      <c r="U664" t="s">
        <v>18</v>
      </c>
      <c r="AA664" s="1417" t="s">
        <v>1846</v>
      </c>
      <c r="AB664" s="1412"/>
      <c r="AC664" s="1412"/>
      <c r="AD664" s="1412"/>
      <c r="AE664" s="1412"/>
      <c r="AF664" s="1412"/>
      <c r="AG664" s="1412"/>
      <c r="AH664" s="1412"/>
      <c r="AI664" s="1412"/>
      <c r="AJ664" s="1412"/>
      <c r="AK664" s="1412"/>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72" t="e">
        <f t="shared" si="46"/>
        <v>#VALUE!</v>
      </c>
      <c r="DY664" s="1372"/>
      <c r="DZ664" s="1372"/>
      <c r="EA664" s="1372"/>
      <c r="EB664" s="1372"/>
      <c r="EC664" s="1372" t="e">
        <f t="shared" si="47"/>
        <v>#VALUE!</v>
      </c>
      <c r="ED664" s="1372"/>
      <c r="EE664" s="1372"/>
      <c r="EF664" s="1372"/>
      <c r="EG664" s="1372"/>
      <c r="EH664" s="1372" t="e">
        <f t="shared" si="48"/>
        <v>#VALUE!</v>
      </c>
      <c r="EI664" s="1372"/>
      <c r="EJ664" s="1372"/>
      <c r="EK664" s="1372"/>
      <c r="EL664" s="1372"/>
      <c r="EM664" s="1372" t="e">
        <f t="shared" si="49"/>
        <v>#VALUE!</v>
      </c>
      <c r="EN664" s="1372"/>
      <c r="EO664" s="1372"/>
      <c r="EP664" s="1372"/>
      <c r="EQ664" s="1372"/>
      <c r="ER664" s="1372" t="e">
        <f t="shared" si="50"/>
        <v>#VALUE!</v>
      </c>
      <c r="ES664" s="1372"/>
      <c r="ET664" s="1372"/>
      <c r="EU664" s="1372"/>
      <c r="EV664" s="1372"/>
      <c r="EW664" s="1372" t="e">
        <f t="shared" si="51"/>
        <v>#VALUE!</v>
      </c>
      <c r="EX664" s="1372"/>
      <c r="EY664" s="1372"/>
      <c r="EZ664" s="1372"/>
      <c r="FA664" s="1372"/>
    </row>
    <row r="665" spans="1:157" ht="12.95" customHeight="1">
      <c r="A665" s="22"/>
      <c r="B665" t="s">
        <v>20</v>
      </c>
      <c r="N665" s="1413" t="s">
        <v>552</v>
      </c>
      <c r="O665" s="1413"/>
      <c r="T665" s="22"/>
      <c r="U665" t="s">
        <v>20</v>
      </c>
      <c r="AG665" s="1413" t="s">
        <v>552</v>
      </c>
      <c r="AH665" s="1413"/>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72" t="e">
        <f t="shared" si="46"/>
        <v>#VALUE!</v>
      </c>
      <c r="DY665" s="1372"/>
      <c r="DZ665" s="1372"/>
      <c r="EA665" s="1372"/>
      <c r="EB665" s="1372"/>
      <c r="EC665" s="1372" t="e">
        <f t="shared" si="47"/>
        <v>#VALUE!</v>
      </c>
      <c r="ED665" s="1372"/>
      <c r="EE665" s="1372"/>
      <c r="EF665" s="1372"/>
      <c r="EG665" s="1372"/>
      <c r="EH665" s="1372" t="e">
        <f t="shared" si="48"/>
        <v>#VALUE!</v>
      </c>
      <c r="EI665" s="1372"/>
      <c r="EJ665" s="1372"/>
      <c r="EK665" s="1372"/>
      <c r="EL665" s="1372"/>
      <c r="EM665" s="1372" t="e">
        <f t="shared" si="49"/>
        <v>#VALUE!</v>
      </c>
      <c r="EN665" s="1372"/>
      <c r="EO665" s="1372"/>
      <c r="EP665" s="1372"/>
      <c r="EQ665" s="1372"/>
      <c r="ER665" s="1372" t="e">
        <f t="shared" si="50"/>
        <v>#VALUE!</v>
      </c>
      <c r="ES665" s="1372"/>
      <c r="ET665" s="1372"/>
      <c r="EU665" s="1372"/>
      <c r="EV665" s="1372"/>
      <c r="EW665" s="1372" t="e">
        <f t="shared" si="51"/>
        <v>#VALUE!</v>
      </c>
      <c r="EX665" s="1372"/>
      <c r="EY665" s="1372"/>
      <c r="EZ665" s="1372"/>
      <c r="FA665" s="1372"/>
    </row>
    <row r="666" spans="1:157" ht="12.95" customHeight="1">
      <c r="A666" s="22"/>
      <c r="T666" s="22"/>
      <c r="AZ666" s="3"/>
      <c r="BA666" s="166" t="s">
        <v>656</v>
      </c>
      <c r="BB666" s="3"/>
      <c r="BC666" s="3"/>
      <c r="BD666" s="3"/>
      <c r="BE666" s="3"/>
      <c r="BF666" s="218"/>
      <c r="BG666" s="219" t="s">
        <v>909</v>
      </c>
      <c r="BH666" s="218"/>
      <c r="BI666" s="218"/>
      <c r="BJ666" s="3"/>
      <c r="BK666" s="3"/>
      <c r="BL666" s="3"/>
      <c r="BM666" s="3"/>
      <c r="BN666" s="3"/>
      <c r="BO666" s="3"/>
      <c r="BT666" s="219" t="s">
        <v>1735</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72" t="e">
        <f t="shared" si="46"/>
        <v>#VALUE!</v>
      </c>
      <c r="DY666" s="1372"/>
      <c r="DZ666" s="1372"/>
      <c r="EA666" s="1372"/>
      <c r="EB666" s="1372"/>
      <c r="EC666" s="1372" t="e">
        <f t="shared" si="47"/>
        <v>#VALUE!</v>
      </c>
      <c r="ED666" s="1372"/>
      <c r="EE666" s="1372"/>
      <c r="EF666" s="1372"/>
      <c r="EG666" s="1372"/>
      <c r="EH666" s="1372" t="e">
        <f t="shared" si="48"/>
        <v>#VALUE!</v>
      </c>
      <c r="EI666" s="1372"/>
      <c r="EJ666" s="1372"/>
      <c r="EK666" s="1372"/>
      <c r="EL666" s="1372"/>
      <c r="EM666" s="1372" t="e">
        <f t="shared" si="49"/>
        <v>#VALUE!</v>
      </c>
      <c r="EN666" s="1372"/>
      <c r="EO666" s="1372"/>
      <c r="EP666" s="1372"/>
      <c r="EQ666" s="1372"/>
      <c r="ER666" s="1372" t="e">
        <f t="shared" si="50"/>
        <v>#VALUE!</v>
      </c>
      <c r="ES666" s="1372"/>
      <c r="ET666" s="1372"/>
      <c r="EU666" s="1372"/>
      <c r="EV666" s="1372"/>
      <c r="EW666" s="1372" t="e">
        <f t="shared" si="51"/>
        <v>#VALUE!</v>
      </c>
      <c r="EX666" s="1372"/>
      <c r="EY666" s="1372"/>
      <c r="EZ666" s="1372"/>
      <c r="FA666" s="1372"/>
    </row>
    <row r="667" spans="1:157" ht="12.95" customHeight="1">
      <c r="A667" s="55" t="s">
        <v>462</v>
      </c>
      <c r="B667" t="s">
        <v>470</v>
      </c>
      <c r="G667" s="1418">
        <f>C633</f>
        <v>0</v>
      </c>
      <c r="H667" s="1418"/>
      <c r="I667" s="1418"/>
      <c r="J667" s="1418"/>
      <c r="K667" s="1418"/>
      <c r="L667" s="1418"/>
      <c r="M667" s="1418"/>
      <c r="N667" s="1418"/>
      <c r="O667" s="1418"/>
      <c r="P667" s="1418"/>
      <c r="Q667" s="1418"/>
      <c r="R667" s="1418"/>
      <c r="T667" s="55" t="s">
        <v>463</v>
      </c>
      <c r="U667" t="s">
        <v>470</v>
      </c>
      <c r="Z667" s="1418">
        <f>C634</f>
        <v>0</v>
      </c>
      <c r="AA667" s="1418"/>
      <c r="AB667" s="1418"/>
      <c r="AC667" s="1418"/>
      <c r="AD667" s="1418"/>
      <c r="AE667" s="1418"/>
      <c r="AF667" s="1418"/>
      <c r="AG667" s="1418"/>
      <c r="AH667" s="1418"/>
      <c r="AI667" s="1418"/>
      <c r="AJ667" s="1418"/>
      <c r="AK667" s="1418"/>
      <c r="AZ667" s="3"/>
      <c r="BA667" s="118">
        <f t="shared" ref="BA667:BA699" si="52">IF($G718=0,"N/A",VLOOKUP($T$189,TC_Rent,(MATCH($B718,bedrooms,FALSE))))</f>
        <v>3426</v>
      </c>
      <c r="BB667" s="3"/>
      <c r="BC667" s="3"/>
      <c r="BD667" s="3"/>
      <c r="BE667" s="3"/>
      <c r="BF667" s="218"/>
      <c r="BG667" s="313" t="s">
        <v>910</v>
      </c>
      <c r="BH667" s="318" t="s">
        <v>911</v>
      </c>
      <c r="BI667" s="317" t="s">
        <v>912</v>
      </c>
      <c r="BJ667" s="3"/>
      <c r="BK667" s="3"/>
      <c r="BL667" s="3"/>
      <c r="BM667" s="3"/>
      <c r="BN667" s="3"/>
      <c r="BO667" s="3"/>
      <c r="BT667" s="313" t="s">
        <v>910</v>
      </c>
      <c r="BU667" s="318" t="s">
        <v>911</v>
      </c>
      <c r="BV667" s="317" t="s">
        <v>912</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72" t="e">
        <f t="shared" si="46"/>
        <v>#VALUE!</v>
      </c>
      <c r="DY667" s="1372"/>
      <c r="DZ667" s="1372"/>
      <c r="EA667" s="1372"/>
      <c r="EB667" s="1372"/>
      <c r="EC667" s="1372" t="e">
        <f t="shared" si="47"/>
        <v>#VALUE!</v>
      </c>
      <c r="ED667" s="1372"/>
      <c r="EE667" s="1372"/>
      <c r="EF667" s="1372"/>
      <c r="EG667" s="1372"/>
      <c r="EH667" s="1372" t="e">
        <f t="shared" si="48"/>
        <v>#VALUE!</v>
      </c>
      <c r="EI667" s="1372"/>
      <c r="EJ667" s="1372"/>
      <c r="EK667" s="1372"/>
      <c r="EL667" s="1372"/>
      <c r="EM667" s="1372" t="e">
        <f t="shared" si="49"/>
        <v>#VALUE!</v>
      </c>
      <c r="EN667" s="1372"/>
      <c r="EO667" s="1372"/>
      <c r="EP667" s="1372"/>
      <c r="EQ667" s="1372"/>
      <c r="ER667" s="1372" t="e">
        <f t="shared" si="50"/>
        <v>#VALUE!</v>
      </c>
      <c r="ES667" s="1372"/>
      <c r="ET667" s="1372"/>
      <c r="EU667" s="1372"/>
      <c r="EV667" s="1372"/>
      <c r="EW667" s="1372" t="e">
        <f t="shared" si="51"/>
        <v>#VALUE!</v>
      </c>
      <c r="EX667" s="1372"/>
      <c r="EY667" s="1372"/>
      <c r="EZ667" s="1372"/>
      <c r="FA667" s="1372"/>
    </row>
    <row r="668" spans="1:157" ht="12.95" customHeight="1">
      <c r="A668" s="22"/>
      <c r="B668" t="s">
        <v>85</v>
      </c>
      <c r="G668" s="1412"/>
      <c r="H668" s="1412"/>
      <c r="I668" s="1412"/>
      <c r="J668" s="1412"/>
      <c r="K668" s="1412"/>
      <c r="L668" s="1412"/>
      <c r="M668" s="1412"/>
      <c r="N668" s="1412"/>
      <c r="O668" s="1412"/>
      <c r="P668" s="1412"/>
      <c r="Q668" s="1412"/>
      <c r="R668" s="1412"/>
      <c r="T668" s="22"/>
      <c r="U668" t="s">
        <v>85</v>
      </c>
      <c r="Z668" s="1412"/>
      <c r="AA668" s="1412"/>
      <c r="AB668" s="1412"/>
      <c r="AC668" s="1412"/>
      <c r="AD668" s="1412"/>
      <c r="AE668" s="1412"/>
      <c r="AF668" s="1412"/>
      <c r="AG668" s="1412"/>
      <c r="AH668" s="1412"/>
      <c r="AI668" s="1412"/>
      <c r="AJ668" s="1412"/>
      <c r="AK668" s="1412"/>
      <c r="AZ668" s="3"/>
      <c r="BA668" s="118">
        <f t="shared" si="52"/>
        <v>3426</v>
      </c>
      <c r="BB668" s="3"/>
      <c r="BC668" s="3"/>
      <c r="BD668" s="3"/>
      <c r="BE668" s="3"/>
      <c r="BF668" s="218"/>
      <c r="BG668" s="315">
        <f t="shared" ref="BG668:BG700" si="53">G718</f>
        <v>14</v>
      </c>
      <c r="BH668" s="319">
        <f t="shared" ref="BH668:BH702" si="54">IF($BG$703=0,0,BG668/$BG$703)</f>
        <v>0.16470588235294117</v>
      </c>
      <c r="BI668" s="320">
        <f t="shared" ref="BI668:BI691" si="55">IF(BH668=0,"",BH668*AC718)</f>
        <v>3.2941176470588238E-2</v>
      </c>
      <c r="BJ668" s="3"/>
      <c r="BK668" s="3"/>
      <c r="BL668" s="3"/>
      <c r="BM668" s="3"/>
      <c r="BN668" s="3"/>
      <c r="BO668" s="3"/>
      <c r="BT668" s="315">
        <f t="shared" ref="BT668:BT700" si="56">G718</f>
        <v>14</v>
      </c>
      <c r="BU668" s="319">
        <f t="shared" ref="BU668:BU702" si="57">IF($BT$703=0,0,BT668/$BT$703)</f>
        <v>0.16470588235294117</v>
      </c>
      <c r="BV668" s="320">
        <f t="shared" ref="BV668:BV700" si="58">IF(BU668=0,"",BU668*AH718)</f>
        <v>3.293156141616016E-2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72" t="e">
        <f>DX630*(BN630/$BN$632)</f>
        <v>#VALUE!</v>
      </c>
      <c r="DY668" s="1372"/>
      <c r="DZ668" s="1372"/>
      <c r="EA668" s="1372"/>
      <c r="EB668" s="1372"/>
      <c r="EC668" s="1372" t="e">
        <f>EC630*(BS630/$BS$632)</f>
        <v>#VALUE!</v>
      </c>
      <c r="ED668" s="1372"/>
      <c r="EE668" s="1372"/>
      <c r="EF668" s="1372"/>
      <c r="EG668" s="1372"/>
      <c r="EH668" s="1372" t="e">
        <f>EH630*(BX630/$BX$632)</f>
        <v>#VALUE!</v>
      </c>
      <c r="EI668" s="1372"/>
      <c r="EJ668" s="1372"/>
      <c r="EK668" s="1372"/>
      <c r="EL668" s="1372"/>
      <c r="EM668" s="1372" t="e">
        <f>EM630*(CC630/$CC$632)</f>
        <v>#VALUE!</v>
      </c>
      <c r="EN668" s="1372"/>
      <c r="EO668" s="1372"/>
      <c r="EP668" s="1372"/>
      <c r="EQ668" s="1372"/>
      <c r="ER668" s="1372" t="e">
        <f>ER630*(CH630/$CH$632)</f>
        <v>#VALUE!</v>
      </c>
      <c r="ES668" s="1372"/>
      <c r="ET668" s="1372"/>
      <c r="EU668" s="1372"/>
      <c r="EV668" s="1372"/>
      <c r="EW668" s="1372" t="e">
        <f>EW630*(CM630/$CM$632)</f>
        <v>#VALUE!</v>
      </c>
      <c r="EX668" s="1372"/>
      <c r="EY668" s="1372"/>
      <c r="EZ668" s="1372"/>
      <c r="FA668" s="1372"/>
    </row>
    <row r="669" spans="1:157" ht="12.95" customHeight="1">
      <c r="A669" s="22"/>
      <c r="B669" t="s">
        <v>587</v>
      </c>
      <c r="G669" s="1412"/>
      <c r="H669" s="1412"/>
      <c r="I669" s="1412"/>
      <c r="J669" s="1412"/>
      <c r="K669" s="1412"/>
      <c r="L669" s="1412"/>
      <c r="M669" s="1412"/>
      <c r="N669" s="1412"/>
      <c r="O669" s="1412"/>
      <c r="P669" s="1412"/>
      <c r="Q669" s="1412"/>
      <c r="R669" s="1412"/>
      <c r="T669" s="22"/>
      <c r="U669" t="s">
        <v>587</v>
      </c>
      <c r="Z669" s="1479"/>
      <c r="AA669" s="1479"/>
      <c r="AB669" s="1479"/>
      <c r="AC669" s="1479"/>
      <c r="AD669" s="1479"/>
      <c r="AE669" s="1479"/>
      <c r="AF669" s="1479"/>
      <c r="AG669" s="1479"/>
      <c r="AH669" s="1479"/>
      <c r="AI669" s="1479"/>
      <c r="AJ669" s="1479"/>
      <c r="AK669" s="1479"/>
      <c r="AZ669" s="3"/>
      <c r="BA669" s="118">
        <f t="shared" si="52"/>
        <v>3426</v>
      </c>
      <c r="BB669" s="3"/>
      <c r="BC669" s="3"/>
      <c r="BD669" s="3"/>
      <c r="BE669" s="3"/>
      <c r="BF669" s="218"/>
      <c r="BG669" s="316">
        <f t="shared" si="53"/>
        <v>6</v>
      </c>
      <c r="BH669" s="319">
        <f t="shared" si="54"/>
        <v>7.0588235294117646E-2</v>
      </c>
      <c r="BI669" s="320">
        <f t="shared" si="55"/>
        <v>2.1176470588235293E-2</v>
      </c>
      <c r="BJ669" s="3"/>
      <c r="BK669" s="3"/>
      <c r="BL669" s="3"/>
      <c r="BM669" s="3"/>
      <c r="BN669" s="3"/>
      <c r="BO669" s="3"/>
      <c r="BT669" s="316">
        <f t="shared" si="56"/>
        <v>6</v>
      </c>
      <c r="BU669" s="319">
        <f t="shared" si="57"/>
        <v>7.0588235294117646E-2</v>
      </c>
      <c r="BV669" s="320">
        <f t="shared" si="58"/>
        <v>2.1180591325847327E-2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72" t="e">
        <f>DX631*(BN631/$BN$632)</f>
        <v>#VALUE!</v>
      </c>
      <c r="DY669" s="1372"/>
      <c r="DZ669" s="1372"/>
      <c r="EA669" s="1372"/>
      <c r="EB669" s="1372"/>
      <c r="EC669" s="1372" t="e">
        <f>EC631*(BS631/$BS$632)</f>
        <v>#VALUE!</v>
      </c>
      <c r="ED669" s="1372"/>
      <c r="EE669" s="1372"/>
      <c r="EF669" s="1372"/>
      <c r="EG669" s="1372"/>
      <c r="EH669" s="1372" t="e">
        <f>EH631*(BX631/$BX$632)</f>
        <v>#VALUE!</v>
      </c>
      <c r="EI669" s="1372"/>
      <c r="EJ669" s="1372"/>
      <c r="EK669" s="1372"/>
      <c r="EL669" s="1372"/>
      <c r="EM669" s="1372" t="e">
        <f>EM631*(CC631/$CC$632)</f>
        <v>#VALUE!</v>
      </c>
      <c r="EN669" s="1372"/>
      <c r="EO669" s="1372"/>
      <c r="EP669" s="1372"/>
      <c r="EQ669" s="1372"/>
      <c r="ER669" s="1372" t="e">
        <f>ER631*(CH631/$CH$632)</f>
        <v>#VALUE!</v>
      </c>
      <c r="ES669" s="1372"/>
      <c r="ET669" s="1372"/>
      <c r="EU669" s="1372"/>
      <c r="EV669" s="1372"/>
      <c r="EW669" s="1372" t="e">
        <f>EW631*(CM631/$CM$632)</f>
        <v>#VALUE!</v>
      </c>
      <c r="EX669" s="1372"/>
      <c r="EY669" s="1372"/>
      <c r="EZ669" s="1372"/>
      <c r="FA669" s="1372"/>
    </row>
    <row r="670" spans="1:157" ht="12.95" customHeight="1">
      <c r="A670" s="22"/>
      <c r="B670" t="s">
        <v>17</v>
      </c>
      <c r="G670" s="1412"/>
      <c r="H670" s="1412"/>
      <c r="I670" s="1412"/>
      <c r="J670" s="1412"/>
      <c r="K670" s="1412"/>
      <c r="L670" s="1412"/>
      <c r="M670" s="1412"/>
      <c r="N670" s="1412"/>
      <c r="O670" s="1412"/>
      <c r="P670" s="1412"/>
      <c r="Q670" s="1412"/>
      <c r="R670" s="1412"/>
      <c r="T670" s="22"/>
      <c r="U670" t="s">
        <v>17</v>
      </c>
      <c r="Z670" s="1479"/>
      <c r="AA670" s="1479"/>
      <c r="AB670" s="1479"/>
      <c r="AC670" s="1479"/>
      <c r="AD670" s="1479"/>
      <c r="AE670" s="1479"/>
      <c r="AF670" s="1479"/>
      <c r="AG670" s="1479"/>
      <c r="AH670" s="1479"/>
      <c r="AI670" s="1479"/>
      <c r="AJ670" s="1479"/>
      <c r="AK670" s="1479"/>
      <c r="AZ670" s="3"/>
      <c r="BA670" s="118">
        <f t="shared" si="52"/>
        <v>3426</v>
      </c>
      <c r="BB670" s="3"/>
      <c r="BC670" s="3"/>
      <c r="BD670" s="3"/>
      <c r="BE670" s="3"/>
      <c r="BF670" s="218"/>
      <c r="BG670" s="316">
        <f t="shared" si="53"/>
        <v>2</v>
      </c>
      <c r="BH670" s="319">
        <f t="shared" si="54"/>
        <v>2.3529411764705882E-2</v>
      </c>
      <c r="BI670" s="320">
        <f t="shared" si="55"/>
        <v>7.0588235294117641E-3</v>
      </c>
      <c r="BJ670" s="3"/>
      <c r="BK670" s="3"/>
      <c r="BL670" s="3"/>
      <c r="BM670" s="3"/>
      <c r="BN670" s="3"/>
      <c r="BO670" s="3"/>
      <c r="BT670" s="316">
        <f t="shared" si="56"/>
        <v>2</v>
      </c>
      <c r="BU670" s="319">
        <f t="shared" si="57"/>
        <v>2.3529411764705882E-2</v>
      </c>
      <c r="BV670" s="320">
        <f t="shared" si="58"/>
        <v>7.0601971086157751E-3</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72">
        <f>SUMIF(DX635:EB669,"&gt;0")</f>
        <v>1448.7021276595744</v>
      </c>
      <c r="DY670" s="1372"/>
      <c r="DZ670" s="1372"/>
      <c r="EA670" s="1372"/>
      <c r="EB670" s="1372"/>
      <c r="EC670" s="1372">
        <f>SUMIF(EC635:EG669,"&gt;0")</f>
        <v>1413.0689655172414</v>
      </c>
      <c r="ED670" s="1372"/>
      <c r="EE670" s="1372"/>
      <c r="EF670" s="1372"/>
      <c r="EG670" s="1372"/>
      <c r="EH670" s="1372">
        <f>SUMIF(EH635:EL669,"&gt;0")</f>
        <v>2595</v>
      </c>
      <c r="EI670" s="1372"/>
      <c r="EJ670" s="1372"/>
      <c r="EK670" s="1372"/>
      <c r="EL670" s="1372"/>
      <c r="EM670" s="1372">
        <f>SUMIF(EM635:EQ669,"&gt;0")</f>
        <v>3011</v>
      </c>
      <c r="EN670" s="1372"/>
      <c r="EO670" s="1372"/>
      <c r="EP670" s="1372"/>
      <c r="EQ670" s="1372"/>
      <c r="ER670" s="1372">
        <f>SUMIF(ER635:EV669,"&gt;0")</f>
        <v>0</v>
      </c>
      <c r="ES670" s="1372"/>
      <c r="ET670" s="1372"/>
      <c r="EU670" s="1372"/>
      <c r="EV670" s="1372"/>
      <c r="EW670" s="1372">
        <f>SUMIF(EW635:FA669,"&gt;0")</f>
        <v>0</v>
      </c>
      <c r="EX670" s="1372"/>
      <c r="EY670" s="1372"/>
      <c r="EZ670" s="1372"/>
      <c r="FA670" s="1372"/>
    </row>
    <row r="671" spans="1:157" ht="12.95" customHeight="1">
      <c r="A671" s="22"/>
      <c r="B671" t="s">
        <v>316</v>
      </c>
      <c r="G671" s="1517"/>
      <c r="H671" s="1517"/>
      <c r="I671" s="1517"/>
      <c r="J671" s="1517"/>
      <c r="K671" s="1517"/>
      <c r="L671" s="1517"/>
      <c r="O671" s="33" t="s">
        <v>206</v>
      </c>
      <c r="P671" s="1405"/>
      <c r="Q671" s="1405"/>
      <c r="R671" s="1405"/>
      <c r="T671" s="22"/>
      <c r="U671" t="s">
        <v>316</v>
      </c>
      <c r="Z671" s="1517"/>
      <c r="AA671" s="1517"/>
      <c r="AB671" s="1517"/>
      <c r="AC671" s="1517"/>
      <c r="AD671" s="1517"/>
      <c r="AE671" s="1517"/>
      <c r="AH671" s="33" t="s">
        <v>206</v>
      </c>
      <c r="AI671" s="1405"/>
      <c r="AJ671" s="1405"/>
      <c r="AK671" s="1405"/>
      <c r="AZ671" s="3"/>
      <c r="BA671" s="118">
        <f t="shared" si="52"/>
        <v>3672</v>
      </c>
      <c r="BB671" s="3"/>
      <c r="BC671" s="3"/>
      <c r="BD671" s="3"/>
      <c r="BE671" s="3"/>
      <c r="BF671" s="218"/>
      <c r="BG671" s="316">
        <f t="shared" si="53"/>
        <v>25</v>
      </c>
      <c r="BH671" s="319">
        <f t="shared" si="54"/>
        <v>0.29411764705882354</v>
      </c>
      <c r="BI671" s="320">
        <f t="shared" si="55"/>
        <v>0.17647058823529413</v>
      </c>
      <c r="BJ671" s="3"/>
      <c r="BK671" s="3"/>
      <c r="BL671" s="3"/>
      <c r="BM671" s="3"/>
      <c r="BN671" s="3"/>
      <c r="BO671" s="3"/>
      <c r="BT671" s="316">
        <f t="shared" si="56"/>
        <v>25</v>
      </c>
      <c r="BU671" s="319">
        <f t="shared" si="57"/>
        <v>0.29411764705882354</v>
      </c>
      <c r="BV671" s="320">
        <f t="shared" si="58"/>
        <v>0.17650492771539439</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12"/>
      <c r="I672" s="1412"/>
      <c r="J672" s="1412"/>
      <c r="K672" s="1412"/>
      <c r="L672" s="1412"/>
      <c r="M672" s="1412"/>
      <c r="N672" s="1412"/>
      <c r="O672" s="1412"/>
      <c r="P672" s="1412"/>
      <c r="Q672" s="1412"/>
      <c r="R672" s="1412"/>
      <c r="T672" s="22"/>
      <c r="U672" t="s">
        <v>18</v>
      </c>
      <c r="AA672" s="1412"/>
      <c r="AB672" s="1412"/>
      <c r="AC672" s="1412"/>
      <c r="AD672" s="1412"/>
      <c r="AE672" s="1412"/>
      <c r="AF672" s="1412"/>
      <c r="AG672" s="1412"/>
      <c r="AH672" s="1412"/>
      <c r="AI672" s="1412"/>
      <c r="AJ672" s="1412"/>
      <c r="AK672" s="1412"/>
      <c r="AZ672" s="3"/>
      <c r="BA672" s="118">
        <f t="shared" si="52"/>
        <v>3672</v>
      </c>
      <c r="BB672" s="3"/>
      <c r="BC672" s="3"/>
      <c r="BD672" s="3"/>
      <c r="BE672" s="3"/>
      <c r="BF672" s="218"/>
      <c r="BG672" s="316">
        <f t="shared" si="53"/>
        <v>10</v>
      </c>
      <c r="BH672" s="319">
        <f t="shared" si="54"/>
        <v>0.11764705882352941</v>
      </c>
      <c r="BI672" s="320">
        <f t="shared" si="55"/>
        <v>2.3529411764705882E-2</v>
      </c>
      <c r="BJ672" s="3"/>
      <c r="BK672" s="3"/>
      <c r="BL672" s="3"/>
      <c r="BM672" s="3"/>
      <c r="BN672" s="3"/>
      <c r="BO672" s="3"/>
      <c r="BT672" s="316">
        <f t="shared" si="56"/>
        <v>10</v>
      </c>
      <c r="BU672" s="319">
        <f t="shared" si="57"/>
        <v>0.11764705882352941</v>
      </c>
      <c r="BV672" s="320">
        <f t="shared" si="58"/>
        <v>2.3516596180956043E-2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413" t="s">
        <v>676</v>
      </c>
      <c r="O673" s="1413"/>
      <c r="T673" s="22"/>
      <c r="U673" t="s">
        <v>20</v>
      </c>
      <c r="AG673" s="1413" t="s">
        <v>676</v>
      </c>
      <c r="AH673" s="1413"/>
      <c r="AZ673" s="3"/>
      <c r="BA673" s="118">
        <f t="shared" si="52"/>
        <v>3672</v>
      </c>
      <c r="BB673" s="3"/>
      <c r="BC673" s="3"/>
      <c r="BD673" s="3"/>
      <c r="BE673" s="3"/>
      <c r="BF673" s="218"/>
      <c r="BG673" s="316">
        <f t="shared" si="53"/>
        <v>5</v>
      </c>
      <c r="BH673" s="319">
        <f t="shared" si="54"/>
        <v>5.8823529411764705E-2</v>
      </c>
      <c r="BI673" s="320">
        <f t="shared" si="55"/>
        <v>1.7647058823529412E-2</v>
      </c>
      <c r="BJ673" s="3"/>
      <c r="BK673" s="3"/>
      <c r="BL673" s="3"/>
      <c r="BM673" s="3"/>
      <c r="BN673" s="3"/>
      <c r="BO673" s="3"/>
      <c r="BT673" s="316">
        <f t="shared" si="56"/>
        <v>5</v>
      </c>
      <c r="BU673" s="319">
        <f t="shared" si="57"/>
        <v>5.8823529411764705E-2</v>
      </c>
      <c r="BV673" s="320">
        <f t="shared" si="58"/>
        <v>1.7637447135717032E-2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52"/>
        <v>3672</v>
      </c>
      <c r="BB674" s="3"/>
      <c r="BC674" s="3"/>
      <c r="BD674" s="3"/>
      <c r="BE674" s="3"/>
      <c r="BF674" s="218"/>
      <c r="BG674" s="316">
        <f t="shared" si="53"/>
        <v>2</v>
      </c>
      <c r="BH674" s="319">
        <f t="shared" si="54"/>
        <v>2.3529411764705882E-2</v>
      </c>
      <c r="BI674" s="320">
        <f t="shared" si="55"/>
        <v>7.0588235294117641E-3</v>
      </c>
      <c r="BJ674" s="3"/>
      <c r="BK674" s="3"/>
      <c r="BL674" s="3"/>
      <c r="BM674" s="3"/>
      <c r="BN674" s="3"/>
      <c r="BO674" s="3"/>
      <c r="BT674" s="316">
        <f t="shared" si="56"/>
        <v>2</v>
      </c>
      <c r="BU674" s="319">
        <f t="shared" si="57"/>
        <v>2.3529411764705882E-2</v>
      </c>
      <c r="BV674" s="320">
        <f t="shared" si="58"/>
        <v>7.0549788542868122E-3</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468</v>
      </c>
      <c r="B675" t="s">
        <v>470</v>
      </c>
      <c r="G675" s="1418">
        <f>C635</f>
        <v>0</v>
      </c>
      <c r="H675" s="1418"/>
      <c r="I675" s="1418"/>
      <c r="J675" s="1418"/>
      <c r="K675" s="1418"/>
      <c r="L675" s="1418"/>
      <c r="M675" s="1418"/>
      <c r="N675" s="1418"/>
      <c r="O675" s="1418"/>
      <c r="P675" s="1418"/>
      <c r="Q675" s="1418"/>
      <c r="R675" s="1418"/>
      <c r="T675" s="55" t="s">
        <v>653</v>
      </c>
      <c r="U675" t="s">
        <v>470</v>
      </c>
      <c r="Z675" s="1418">
        <f>C636</f>
        <v>0</v>
      </c>
      <c r="AA675" s="1418"/>
      <c r="AB675" s="1418"/>
      <c r="AC675" s="1418"/>
      <c r="AD675" s="1418"/>
      <c r="AE675" s="1418"/>
      <c r="AF675" s="1418"/>
      <c r="AG675" s="1418"/>
      <c r="AH675" s="1418"/>
      <c r="AI675" s="1418"/>
      <c r="AJ675" s="1418"/>
      <c r="AK675" s="1418"/>
      <c r="AZ675" s="3"/>
      <c r="BA675" s="118">
        <f t="shared" si="52"/>
        <v>4406</v>
      </c>
      <c r="BB675" s="3"/>
      <c r="BC675" s="3"/>
      <c r="BD675" s="3"/>
      <c r="BE675" s="3"/>
      <c r="BF675" s="218"/>
      <c r="BG675" s="316">
        <f t="shared" si="53"/>
        <v>12</v>
      </c>
      <c r="BH675" s="319">
        <f t="shared" si="54"/>
        <v>0.14117647058823529</v>
      </c>
      <c r="BI675" s="320">
        <f t="shared" si="55"/>
        <v>8.4705882352941173E-2</v>
      </c>
      <c r="BJ675" s="3"/>
      <c r="BK675" s="3"/>
      <c r="BL675" s="3"/>
      <c r="BM675" s="3"/>
      <c r="BN675" s="3"/>
      <c r="BO675" s="3"/>
      <c r="BT675" s="316">
        <f t="shared" si="56"/>
        <v>12</v>
      </c>
      <c r="BU675" s="319">
        <f t="shared" si="57"/>
        <v>0.14117647058823529</v>
      </c>
      <c r="BV675" s="320">
        <f t="shared" si="58"/>
        <v>8.4688581314878886E-2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412"/>
      <c r="H676" s="1412"/>
      <c r="I676" s="1412"/>
      <c r="J676" s="1412"/>
      <c r="K676" s="1412"/>
      <c r="L676" s="1412"/>
      <c r="M676" s="1412"/>
      <c r="N676" s="1412"/>
      <c r="O676" s="1412"/>
      <c r="P676" s="1412"/>
      <c r="Q676" s="1412"/>
      <c r="R676" s="1412"/>
      <c r="T676" s="22"/>
      <c r="U676" t="s">
        <v>85</v>
      </c>
      <c r="Z676" s="1412"/>
      <c r="AA676" s="1412"/>
      <c r="AB676" s="1412"/>
      <c r="AC676" s="1412"/>
      <c r="AD676" s="1412"/>
      <c r="AE676" s="1412"/>
      <c r="AF676" s="1412"/>
      <c r="AG676" s="1412"/>
      <c r="AH676" s="1412"/>
      <c r="AI676" s="1412"/>
      <c r="AJ676" s="1412"/>
      <c r="AK676" s="1412"/>
      <c r="AZ676" s="3"/>
      <c r="BA676" s="118">
        <f t="shared" si="52"/>
        <v>5090</v>
      </c>
      <c r="BB676" s="3"/>
      <c r="BC676" s="3"/>
      <c r="BD676" s="3"/>
      <c r="BE676" s="3"/>
      <c r="BF676" s="218"/>
      <c r="BG676" s="316">
        <f t="shared" si="53"/>
        <v>4</v>
      </c>
      <c r="BH676" s="319">
        <f t="shared" si="54"/>
        <v>4.7058823529411764E-2</v>
      </c>
      <c r="BI676" s="320">
        <f t="shared" si="55"/>
        <v>2.8235294117647056E-2</v>
      </c>
      <c r="BJ676" s="3"/>
      <c r="BK676" s="3"/>
      <c r="BL676" s="3"/>
      <c r="BM676" s="3"/>
      <c r="BN676" s="3"/>
      <c r="BO676" s="3"/>
      <c r="BT676" s="316">
        <f t="shared" si="56"/>
        <v>4</v>
      </c>
      <c r="BU676" s="319">
        <f t="shared" si="57"/>
        <v>4.7058823529411764E-2</v>
      </c>
      <c r="BV676" s="320">
        <f t="shared" si="58"/>
        <v>2.8235721342554268E-2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587</v>
      </c>
      <c r="G677" s="1412"/>
      <c r="H677" s="1412"/>
      <c r="I677" s="1412"/>
      <c r="J677" s="1412"/>
      <c r="K677" s="1412"/>
      <c r="L677" s="1412"/>
      <c r="M677" s="1412"/>
      <c r="N677" s="1412"/>
      <c r="O677" s="1412"/>
      <c r="P677" s="1412"/>
      <c r="Q677" s="1412"/>
      <c r="R677" s="1412"/>
      <c r="T677" s="22"/>
      <c r="U677" t="s">
        <v>587</v>
      </c>
      <c r="Z677" s="1479"/>
      <c r="AA677" s="1479"/>
      <c r="AB677" s="1479"/>
      <c r="AC677" s="1479"/>
      <c r="AD677" s="1479"/>
      <c r="AE677" s="1479"/>
      <c r="AF677" s="1479"/>
      <c r="AG677" s="1479"/>
      <c r="AH677" s="1479"/>
      <c r="AI677" s="1479"/>
      <c r="AJ677" s="1479"/>
      <c r="AK677" s="1479"/>
      <c r="AZ677" s="3"/>
      <c r="BA677" s="118" t="str">
        <f t="shared" si="52"/>
        <v>N/A</v>
      </c>
      <c r="BB677" s="3"/>
      <c r="BC677" s="3"/>
      <c r="BD677" s="3"/>
      <c r="BE677" s="3"/>
      <c r="BF677" s="218"/>
      <c r="BG677" s="316">
        <f t="shared" si="53"/>
        <v>5</v>
      </c>
      <c r="BH677" s="319">
        <f t="shared" si="54"/>
        <v>5.8823529411764705E-2</v>
      </c>
      <c r="BI677" s="320">
        <f t="shared" si="55"/>
        <v>3.5294117647058823E-2</v>
      </c>
      <c r="BJ677" s="3"/>
      <c r="BK677" s="3"/>
      <c r="BL677" s="3"/>
      <c r="BM677" s="3"/>
      <c r="BN677" s="3"/>
      <c r="BO677" s="3"/>
      <c r="BT677" s="316">
        <f t="shared" si="56"/>
        <v>5</v>
      </c>
      <c r="BU677" s="319">
        <f t="shared" si="57"/>
        <v>5.8823529411764705E-2</v>
      </c>
      <c r="BV677" s="320">
        <f t="shared" si="58"/>
        <v>3.5294117647058823E-2</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412"/>
      <c r="H678" s="1412"/>
      <c r="I678" s="1412"/>
      <c r="J678" s="1412"/>
      <c r="K678" s="1412"/>
      <c r="L678" s="1412"/>
      <c r="M678" s="1412"/>
      <c r="N678" s="1412"/>
      <c r="O678" s="1412"/>
      <c r="P678" s="1412"/>
      <c r="Q678" s="1412"/>
      <c r="R678" s="1412"/>
      <c r="T678" s="22"/>
      <c r="U678" t="s">
        <v>17</v>
      </c>
      <c r="Z678" s="1479"/>
      <c r="AA678" s="1479"/>
      <c r="AB678" s="1479"/>
      <c r="AC678" s="1479"/>
      <c r="AD678" s="1479"/>
      <c r="AE678" s="1479"/>
      <c r="AF678" s="1479"/>
      <c r="AG678" s="1479"/>
      <c r="AH678" s="1479"/>
      <c r="AI678" s="1479"/>
      <c r="AJ678" s="1479"/>
      <c r="AK678" s="1479"/>
      <c r="AZ678" s="3"/>
      <c r="BA678" s="118" t="str">
        <f t="shared" si="52"/>
        <v>N/A</v>
      </c>
      <c r="BB678" s="3"/>
      <c r="BC678" s="3"/>
      <c r="BD678" s="3"/>
      <c r="BE678" s="3"/>
      <c r="BF678" s="218"/>
      <c r="BG678" s="316">
        <f t="shared" si="53"/>
        <v>0</v>
      </c>
      <c r="BH678" s="319">
        <f t="shared" si="54"/>
        <v>0</v>
      </c>
      <c r="BI678" s="320" t="str">
        <f t="shared" si="55"/>
        <v/>
      </c>
      <c r="BJ678" s="3"/>
      <c r="BK678" s="3"/>
      <c r="BL678" s="3"/>
      <c r="BM678" s="3"/>
      <c r="BN678" s="3"/>
      <c r="BO678" s="3"/>
      <c r="BT678" s="316">
        <f t="shared" si="56"/>
        <v>0</v>
      </c>
      <c r="BU678" s="319">
        <f t="shared" si="57"/>
        <v>0</v>
      </c>
      <c r="BV678" s="320" t="str">
        <f t="shared" si="58"/>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316</v>
      </c>
      <c r="G679" s="1517"/>
      <c r="H679" s="1517"/>
      <c r="I679" s="1517"/>
      <c r="J679" s="1517"/>
      <c r="K679" s="1517"/>
      <c r="L679" s="1517"/>
      <c r="O679" s="33" t="s">
        <v>206</v>
      </c>
      <c r="P679" s="1405"/>
      <c r="Q679" s="1405"/>
      <c r="R679" s="1405"/>
      <c r="T679" s="22"/>
      <c r="U679" t="s">
        <v>316</v>
      </c>
      <c r="Z679" s="1517"/>
      <c r="AA679" s="1517"/>
      <c r="AB679" s="1517"/>
      <c r="AC679" s="1517"/>
      <c r="AD679" s="1517"/>
      <c r="AE679" s="1517"/>
      <c r="AH679" s="33" t="s">
        <v>206</v>
      </c>
      <c r="AI679" s="1405"/>
      <c r="AJ679" s="1405"/>
      <c r="AK679" s="1405"/>
      <c r="AZ679" s="3"/>
      <c r="BA679" s="118" t="str">
        <f t="shared" si="52"/>
        <v>N/A</v>
      </c>
      <c r="BB679" s="3"/>
      <c r="BC679" s="3"/>
      <c r="BD679" s="3"/>
      <c r="BE679" s="3"/>
      <c r="BF679" s="218"/>
      <c r="BG679" s="316">
        <f t="shared" si="53"/>
        <v>0</v>
      </c>
      <c r="BH679" s="319">
        <f t="shared" si="54"/>
        <v>0</v>
      </c>
      <c r="BI679" s="320" t="str">
        <f t="shared" si="55"/>
        <v/>
      </c>
      <c r="BJ679" s="3"/>
      <c r="BK679" s="3"/>
      <c r="BL679" s="3"/>
      <c r="BM679" s="3"/>
      <c r="BN679" s="3"/>
      <c r="BO679" s="3"/>
      <c r="BT679" s="316">
        <f t="shared" si="56"/>
        <v>0</v>
      </c>
      <c r="BU679" s="319">
        <f t="shared" si="57"/>
        <v>0</v>
      </c>
      <c r="BV679" s="320" t="str">
        <f t="shared" si="58"/>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412"/>
      <c r="I680" s="1412"/>
      <c r="J680" s="1412"/>
      <c r="K680" s="1412"/>
      <c r="L680" s="1412"/>
      <c r="M680" s="1412"/>
      <c r="N680" s="1412"/>
      <c r="O680" s="1412"/>
      <c r="P680" s="1412"/>
      <c r="Q680" s="1412"/>
      <c r="R680" s="1412"/>
      <c r="T680" s="22"/>
      <c r="U680" t="s">
        <v>18</v>
      </c>
      <c r="AA680" s="1412"/>
      <c r="AB680" s="1412"/>
      <c r="AC680" s="1412"/>
      <c r="AD680" s="1412"/>
      <c r="AE680" s="1412"/>
      <c r="AF680" s="1412"/>
      <c r="AG680" s="1412"/>
      <c r="AH680" s="1412"/>
      <c r="AI680" s="1412"/>
      <c r="AJ680" s="1412"/>
      <c r="AK680" s="1412"/>
      <c r="AZ680" s="3"/>
      <c r="BA680" s="118" t="str">
        <f t="shared" si="52"/>
        <v>N/A</v>
      </c>
      <c r="BB680" s="3"/>
      <c r="BC680" s="3"/>
      <c r="BD680" s="3"/>
      <c r="BE680" s="3"/>
      <c r="BF680" s="218"/>
      <c r="BG680" s="316">
        <f t="shared" si="53"/>
        <v>0</v>
      </c>
      <c r="BH680" s="319">
        <f t="shared" si="54"/>
        <v>0</v>
      </c>
      <c r="BI680" s="320" t="str">
        <f t="shared" si="55"/>
        <v/>
      </c>
      <c r="BJ680" s="3"/>
      <c r="BK680" s="3"/>
      <c r="BL680" s="3"/>
      <c r="BM680" s="3"/>
      <c r="BN680" s="3"/>
      <c r="BO680" s="3"/>
      <c r="BT680" s="316">
        <f t="shared" si="56"/>
        <v>0</v>
      </c>
      <c r="BU680" s="319">
        <f t="shared" si="57"/>
        <v>0</v>
      </c>
      <c r="BV680" s="320" t="str">
        <f t="shared" si="58"/>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413" t="s">
        <v>676</v>
      </c>
      <c r="O681" s="1413"/>
      <c r="T681" s="22"/>
      <c r="U681" t="s">
        <v>20</v>
      </c>
      <c r="AG681" s="1413" t="s">
        <v>676</v>
      </c>
      <c r="AH681" s="1413"/>
      <c r="AZ681" s="3"/>
      <c r="BA681" s="118" t="str">
        <f t="shared" si="52"/>
        <v>N/A</v>
      </c>
      <c r="BB681" s="3"/>
      <c r="BC681" s="3"/>
      <c r="BD681" s="3"/>
      <c r="BE681" s="3"/>
      <c r="BF681" s="218"/>
      <c r="BG681" s="316">
        <f t="shared" si="53"/>
        <v>0</v>
      </c>
      <c r="BH681" s="319">
        <f t="shared" si="54"/>
        <v>0</v>
      </c>
      <c r="BI681" s="320" t="str">
        <f t="shared" si="55"/>
        <v/>
      </c>
      <c r="BJ681" s="3"/>
      <c r="BK681" s="3"/>
      <c r="BL681" s="3"/>
      <c r="BM681" s="3"/>
      <c r="BN681" s="3"/>
      <c r="BO681" s="3"/>
      <c r="BT681" s="316">
        <f t="shared" si="56"/>
        <v>0</v>
      </c>
      <c r="BU681" s="319">
        <f t="shared" si="57"/>
        <v>0</v>
      </c>
      <c r="BV681" s="320" t="str">
        <f t="shared" si="58"/>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52"/>
        <v>N/A</v>
      </c>
      <c r="BB682" s="3"/>
      <c r="BC682" s="3"/>
      <c r="BD682" s="3"/>
      <c r="BE682" s="3"/>
      <c r="BF682" s="218"/>
      <c r="BG682" s="316">
        <f t="shared" si="53"/>
        <v>0</v>
      </c>
      <c r="BH682" s="319">
        <f t="shared" si="54"/>
        <v>0</v>
      </c>
      <c r="BI682" s="320" t="str">
        <f t="shared" si="55"/>
        <v/>
      </c>
      <c r="BJ682" s="3"/>
      <c r="BK682" s="3"/>
      <c r="BL682" s="3"/>
      <c r="BM682" s="3"/>
      <c r="BN682" s="3"/>
      <c r="BO682" s="3"/>
      <c r="BT682" s="316">
        <f t="shared" si="56"/>
        <v>0</v>
      </c>
      <c r="BU682" s="319">
        <f t="shared" si="57"/>
        <v>0</v>
      </c>
      <c r="BV682" s="320" t="str">
        <f t="shared" si="58"/>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362</v>
      </c>
      <c r="B683" t="s">
        <v>470</v>
      </c>
      <c r="G683" s="1418">
        <f>C637</f>
        <v>0</v>
      </c>
      <c r="H683" s="1418"/>
      <c r="I683" s="1418"/>
      <c r="J683" s="1418"/>
      <c r="K683" s="1418"/>
      <c r="L683" s="1418"/>
      <c r="M683" s="1418"/>
      <c r="N683" s="1418"/>
      <c r="O683" s="1418"/>
      <c r="P683" s="1418"/>
      <c r="Q683" s="1418"/>
      <c r="R683" s="1418"/>
      <c r="T683" s="55" t="s">
        <v>363</v>
      </c>
      <c r="U683" t="s">
        <v>470</v>
      </c>
      <c r="Z683" s="1418">
        <f>C638</f>
        <v>0</v>
      </c>
      <c r="AA683" s="1418"/>
      <c r="AB683" s="1418"/>
      <c r="AC683" s="1418"/>
      <c r="AD683" s="1418"/>
      <c r="AE683" s="1418"/>
      <c r="AF683" s="1418"/>
      <c r="AG683" s="1418"/>
      <c r="AH683" s="1418"/>
      <c r="AI683" s="1418"/>
      <c r="AJ683" s="1418"/>
      <c r="AK683" s="1418"/>
      <c r="AZ683" s="3"/>
      <c r="BA683" s="118" t="str">
        <f t="shared" si="52"/>
        <v>N/A</v>
      </c>
      <c r="BB683" s="3"/>
      <c r="BC683" s="3"/>
      <c r="BD683" s="3"/>
      <c r="BE683" s="3"/>
      <c r="BF683" s="218"/>
      <c r="BG683" s="316">
        <f t="shared" si="53"/>
        <v>0</v>
      </c>
      <c r="BH683" s="319">
        <f t="shared" si="54"/>
        <v>0</v>
      </c>
      <c r="BI683" s="320" t="str">
        <f t="shared" si="55"/>
        <v/>
      </c>
      <c r="BJ683" s="3"/>
      <c r="BK683" s="3"/>
      <c r="BL683" s="3"/>
      <c r="BM683" s="3"/>
      <c r="BN683" s="3"/>
      <c r="BO683" s="3"/>
      <c r="BT683" s="316">
        <f t="shared" si="56"/>
        <v>0</v>
      </c>
      <c r="BU683" s="319">
        <f t="shared" si="57"/>
        <v>0</v>
      </c>
      <c r="BV683" s="320" t="str">
        <f t="shared" si="58"/>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412"/>
      <c r="H684" s="1412"/>
      <c r="I684" s="1412"/>
      <c r="J684" s="1412"/>
      <c r="K684" s="1412"/>
      <c r="L684" s="1412"/>
      <c r="M684" s="1412"/>
      <c r="N684" s="1412"/>
      <c r="O684" s="1412"/>
      <c r="P684" s="1412"/>
      <c r="Q684" s="1412"/>
      <c r="R684" s="1412"/>
      <c r="T684" s="22"/>
      <c r="U684" t="s">
        <v>85</v>
      </c>
      <c r="Z684" s="1412"/>
      <c r="AA684" s="1412"/>
      <c r="AB684" s="1412"/>
      <c r="AC684" s="1412"/>
      <c r="AD684" s="1412"/>
      <c r="AE684" s="1412"/>
      <c r="AF684" s="1412"/>
      <c r="AG684" s="1412"/>
      <c r="AH684" s="1412"/>
      <c r="AI684" s="1412"/>
      <c r="AJ684" s="1412"/>
      <c r="AK684" s="1412"/>
      <c r="AZ684" s="3"/>
      <c r="BA684" s="118" t="str">
        <f t="shared" si="52"/>
        <v>N/A</v>
      </c>
      <c r="BB684" s="3"/>
      <c r="BC684" s="3"/>
      <c r="BD684" s="3"/>
      <c r="BE684" s="3"/>
      <c r="BF684" s="218"/>
      <c r="BG684" s="316">
        <f t="shared" si="53"/>
        <v>0</v>
      </c>
      <c r="BH684" s="319">
        <f t="shared" si="54"/>
        <v>0</v>
      </c>
      <c r="BI684" s="320" t="str">
        <f t="shared" si="55"/>
        <v/>
      </c>
      <c r="BJ684" s="3"/>
      <c r="BK684" s="3"/>
      <c r="BL684" s="3"/>
      <c r="BM684" s="3"/>
      <c r="BN684" s="3"/>
      <c r="BO684" s="3"/>
      <c r="BT684" s="316">
        <f t="shared" si="56"/>
        <v>0</v>
      </c>
      <c r="BU684" s="319">
        <f t="shared" si="57"/>
        <v>0</v>
      </c>
      <c r="BV684" s="320" t="str">
        <f t="shared" si="58"/>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587</v>
      </c>
      <c r="G685" s="1412"/>
      <c r="H685" s="1412"/>
      <c r="I685" s="1412"/>
      <c r="J685" s="1412"/>
      <c r="K685" s="1412"/>
      <c r="L685" s="1412"/>
      <c r="M685" s="1412"/>
      <c r="N685" s="1412"/>
      <c r="O685" s="1412"/>
      <c r="P685" s="1412"/>
      <c r="Q685" s="1412"/>
      <c r="R685" s="1412"/>
      <c r="U685" t="s">
        <v>587</v>
      </c>
      <c r="Z685" s="1479"/>
      <c r="AA685" s="1479"/>
      <c r="AB685" s="1479"/>
      <c r="AC685" s="1479"/>
      <c r="AD685" s="1479"/>
      <c r="AE685" s="1479"/>
      <c r="AF685" s="1479"/>
      <c r="AG685" s="1479"/>
      <c r="AH685" s="1479"/>
      <c r="AI685" s="1479"/>
      <c r="AJ685" s="1479"/>
      <c r="AK685" s="1479"/>
      <c r="AZ685" s="3"/>
      <c r="BA685" s="118" t="str">
        <f t="shared" si="52"/>
        <v>N/A</v>
      </c>
      <c r="BB685" s="3"/>
      <c r="BC685" s="3"/>
      <c r="BD685" s="3"/>
      <c r="BE685" s="3"/>
      <c r="BF685" s="218"/>
      <c r="BG685" s="316">
        <f t="shared" si="53"/>
        <v>0</v>
      </c>
      <c r="BH685" s="319">
        <f t="shared" si="54"/>
        <v>0</v>
      </c>
      <c r="BI685" s="320" t="str">
        <f t="shared" si="55"/>
        <v/>
      </c>
      <c r="BJ685" s="3"/>
      <c r="BK685" s="3"/>
      <c r="BL685" s="3"/>
      <c r="BM685" s="3"/>
      <c r="BN685" s="3"/>
      <c r="BO685" s="3"/>
      <c r="BT685" s="316">
        <f t="shared" si="56"/>
        <v>0</v>
      </c>
      <c r="BU685" s="319">
        <f t="shared" si="57"/>
        <v>0</v>
      </c>
      <c r="BV685" s="320" t="str">
        <f t="shared" si="58"/>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412"/>
      <c r="H686" s="1412"/>
      <c r="I686" s="1412"/>
      <c r="J686" s="1412"/>
      <c r="K686" s="1412"/>
      <c r="L686" s="1412"/>
      <c r="M686" s="1412"/>
      <c r="N686" s="1412"/>
      <c r="O686" s="1412"/>
      <c r="P686" s="1412"/>
      <c r="Q686" s="1412"/>
      <c r="R686" s="1412"/>
      <c r="U686" t="s">
        <v>17</v>
      </c>
      <c r="Z686" s="1479"/>
      <c r="AA686" s="1479"/>
      <c r="AB686" s="1479"/>
      <c r="AC686" s="1479"/>
      <c r="AD686" s="1479"/>
      <c r="AE686" s="1479"/>
      <c r="AF686" s="1479"/>
      <c r="AG686" s="1479"/>
      <c r="AH686" s="1479"/>
      <c r="AI686" s="1479"/>
      <c r="AJ686" s="1479"/>
      <c r="AK686" s="1479"/>
      <c r="AZ686" s="3"/>
      <c r="BA686" s="118" t="str">
        <f t="shared" si="52"/>
        <v>N/A</v>
      </c>
      <c r="BB686" s="3"/>
      <c r="BC686" s="3"/>
      <c r="BD686" s="3"/>
      <c r="BE686" s="3"/>
      <c r="BF686" s="218"/>
      <c r="BG686" s="316">
        <f t="shared" si="53"/>
        <v>0</v>
      </c>
      <c r="BH686" s="319">
        <f t="shared" si="54"/>
        <v>0</v>
      </c>
      <c r="BI686" s="320" t="str">
        <f t="shared" si="55"/>
        <v/>
      </c>
      <c r="BJ686" s="3"/>
      <c r="BK686" s="3"/>
      <c r="BL686" s="3"/>
      <c r="BM686" s="3"/>
      <c r="BN686" s="3"/>
      <c r="BO686" s="3"/>
      <c r="BT686" s="316">
        <f t="shared" si="56"/>
        <v>0</v>
      </c>
      <c r="BU686" s="319">
        <f t="shared" si="57"/>
        <v>0</v>
      </c>
      <c r="BV686" s="320" t="str">
        <f t="shared" si="58"/>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316</v>
      </c>
      <c r="G687" s="1517"/>
      <c r="H687" s="1517"/>
      <c r="I687" s="1517"/>
      <c r="J687" s="1517"/>
      <c r="K687" s="1517"/>
      <c r="L687" s="1517"/>
      <c r="O687" s="33" t="s">
        <v>206</v>
      </c>
      <c r="P687" s="1405"/>
      <c r="Q687" s="1405"/>
      <c r="R687" s="1405"/>
      <c r="U687" t="s">
        <v>316</v>
      </c>
      <c r="Z687" s="1517"/>
      <c r="AA687" s="1517"/>
      <c r="AB687" s="1517"/>
      <c r="AC687" s="1517"/>
      <c r="AD687" s="1517"/>
      <c r="AE687" s="1517"/>
      <c r="AH687" s="33" t="s">
        <v>206</v>
      </c>
      <c r="AI687" s="1405"/>
      <c r="AJ687" s="1405"/>
      <c r="AK687" s="1405"/>
      <c r="AZ687" s="3"/>
      <c r="BA687" s="118" t="str">
        <f t="shared" si="52"/>
        <v>N/A</v>
      </c>
      <c r="BB687" s="3"/>
      <c r="BC687" s="3"/>
      <c r="BD687" s="3"/>
      <c r="BE687" s="3"/>
      <c r="BF687" s="218"/>
      <c r="BG687" s="316">
        <f t="shared" si="53"/>
        <v>0</v>
      </c>
      <c r="BH687" s="319">
        <f t="shared" si="54"/>
        <v>0</v>
      </c>
      <c r="BI687" s="320" t="str">
        <f t="shared" si="55"/>
        <v/>
      </c>
      <c r="BJ687" s="3"/>
      <c r="BK687" s="3"/>
      <c r="BL687" s="3"/>
      <c r="BM687" s="3"/>
      <c r="BN687" s="3"/>
      <c r="BO687" s="3"/>
      <c r="BT687" s="316">
        <f t="shared" si="56"/>
        <v>0</v>
      </c>
      <c r="BU687" s="319">
        <f t="shared" si="57"/>
        <v>0</v>
      </c>
      <c r="BV687" s="320" t="str">
        <f t="shared" si="58"/>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412"/>
      <c r="I688" s="1412"/>
      <c r="J688" s="1412"/>
      <c r="K688" s="1412"/>
      <c r="L688" s="1412"/>
      <c r="M688" s="1412"/>
      <c r="N688" s="1412"/>
      <c r="O688" s="1412"/>
      <c r="P688" s="1412"/>
      <c r="Q688" s="1412"/>
      <c r="R688" s="1412"/>
      <c r="U688" t="s">
        <v>18</v>
      </c>
      <c r="AA688" s="1412"/>
      <c r="AB688" s="1412"/>
      <c r="AC688" s="1412"/>
      <c r="AD688" s="1412"/>
      <c r="AE688" s="1412"/>
      <c r="AF688" s="1412"/>
      <c r="AG688" s="1412"/>
      <c r="AH688" s="1412"/>
      <c r="AI688" s="1412"/>
      <c r="AJ688" s="1412"/>
      <c r="AK688" s="1412"/>
      <c r="AZ688" s="3"/>
      <c r="BA688" s="118" t="str">
        <f t="shared" si="52"/>
        <v>N/A</v>
      </c>
      <c r="BB688" s="3"/>
      <c r="BF688" s="218"/>
      <c r="BG688" s="316">
        <f t="shared" si="53"/>
        <v>0</v>
      </c>
      <c r="BH688" s="319">
        <f t="shared" si="54"/>
        <v>0</v>
      </c>
      <c r="BI688" s="320" t="str">
        <f t="shared" si="55"/>
        <v/>
      </c>
      <c r="BL688" s="3"/>
      <c r="BM688" s="3"/>
      <c r="BN688" s="3"/>
      <c r="BO688" s="3"/>
      <c r="BT688" s="316">
        <f t="shared" si="56"/>
        <v>0</v>
      </c>
      <c r="BU688" s="319">
        <f t="shared" si="57"/>
        <v>0</v>
      </c>
      <c r="BV688" s="320" t="str">
        <f t="shared" si="58"/>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413" t="s">
        <v>676</v>
      </c>
      <c r="O689" s="1413"/>
      <c r="U689" t="s">
        <v>20</v>
      </c>
      <c r="AG689" s="1413" t="s">
        <v>676</v>
      </c>
      <c r="AH689" s="1413"/>
      <c r="AZ689" s="3"/>
      <c r="BA689" s="118" t="str">
        <f t="shared" si="52"/>
        <v>N/A</v>
      </c>
      <c r="BB689" s="3"/>
      <c r="BF689" s="218"/>
      <c r="BG689" s="316">
        <f t="shared" si="53"/>
        <v>0</v>
      </c>
      <c r="BH689" s="319">
        <f t="shared" si="54"/>
        <v>0</v>
      </c>
      <c r="BI689" s="320" t="str">
        <f t="shared" si="55"/>
        <v/>
      </c>
      <c r="BL689" s="3"/>
      <c r="BM689" s="3"/>
      <c r="BN689" s="3"/>
      <c r="BO689" s="3"/>
      <c r="BT689" s="316">
        <f t="shared" si="56"/>
        <v>0</v>
      </c>
      <c r="BU689" s="319">
        <f t="shared" si="57"/>
        <v>0</v>
      </c>
      <c r="BV689" s="320" t="str">
        <f t="shared" si="58"/>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52"/>
        <v>N/A</v>
      </c>
      <c r="BB690" s="3"/>
      <c r="BF690" s="218"/>
      <c r="BG690" s="316">
        <f t="shared" si="53"/>
        <v>0</v>
      </c>
      <c r="BH690" s="319">
        <f t="shared" si="54"/>
        <v>0</v>
      </c>
      <c r="BI690" s="320" t="str">
        <f t="shared" si="55"/>
        <v/>
      </c>
      <c r="BL690" s="3"/>
      <c r="BM690" s="3"/>
      <c r="BN690" s="3"/>
      <c r="BO690" s="3"/>
      <c r="BT690" s="316">
        <f t="shared" si="56"/>
        <v>0</v>
      </c>
      <c r="BU690" s="319">
        <f t="shared" si="57"/>
        <v>0</v>
      </c>
      <c r="BV690" s="320" t="str">
        <f t="shared" si="58"/>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583</v>
      </c>
      <c r="C691" s="2" t="s">
        <v>327</v>
      </c>
      <c r="E691" s="130"/>
      <c r="F691" s="130"/>
      <c r="G691" s="130"/>
      <c r="H691" s="130"/>
      <c r="AZ691" s="3"/>
      <c r="BA691" s="118" t="str">
        <f t="shared" si="52"/>
        <v>N/A</v>
      </c>
      <c r="BB691" s="3"/>
      <c r="BF691" s="218"/>
      <c r="BG691" s="316">
        <f t="shared" si="53"/>
        <v>0</v>
      </c>
      <c r="BH691" s="319">
        <f t="shared" si="54"/>
        <v>0</v>
      </c>
      <c r="BI691" s="320" t="str">
        <f t="shared" si="55"/>
        <v/>
      </c>
      <c r="BL691" s="3"/>
      <c r="BM691" s="3"/>
      <c r="BN691" s="3"/>
      <c r="BO691" s="3"/>
      <c r="BT691" s="316">
        <f t="shared" si="56"/>
        <v>0</v>
      </c>
      <c r="BU691" s="319">
        <f t="shared" si="57"/>
        <v>0</v>
      </c>
      <c r="BV691" s="320" t="str">
        <f t="shared" si="58"/>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435</v>
      </c>
      <c r="E692" s="135"/>
      <c r="F692" s="135"/>
      <c r="G692" s="135"/>
      <c r="H692" s="135"/>
      <c r="AZ692" s="3"/>
      <c r="BA692" s="118" t="str">
        <f t="shared" si="52"/>
        <v>N/A</v>
      </c>
      <c r="BB692" s="3"/>
      <c r="BC692" s="3"/>
      <c r="BF692" s="218"/>
      <c r="BG692" s="316">
        <f t="shared" si="53"/>
        <v>0</v>
      </c>
      <c r="BH692" s="319">
        <f t="shared" si="54"/>
        <v>0</v>
      </c>
      <c r="BI692" s="320" t="str">
        <f t="shared" ref="BI692:BI697" si="59">IF(BH692=0,"",BH692*AC752)</f>
        <v/>
      </c>
      <c r="BM692" s="3"/>
      <c r="BN692" s="3"/>
      <c r="BO692" s="3"/>
      <c r="BT692" s="316">
        <f t="shared" si="56"/>
        <v>0</v>
      </c>
      <c r="BU692" s="319">
        <f t="shared" si="57"/>
        <v>0</v>
      </c>
      <c r="BV692" s="320" t="str">
        <f t="shared" si="58"/>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436</v>
      </c>
      <c r="F693" s="135"/>
      <c r="G693" s="135"/>
      <c r="H693" s="135"/>
      <c r="AE693" s="1413" t="s">
        <v>552</v>
      </c>
      <c r="AF693" s="1413"/>
      <c r="AZ693" s="3"/>
      <c r="BA693" s="118" t="str">
        <f t="shared" si="52"/>
        <v>N/A</v>
      </c>
      <c r="BB693" s="3"/>
      <c r="BC693" s="3"/>
      <c r="BD693" s="3"/>
      <c r="BG693" s="316">
        <f t="shared" si="53"/>
        <v>0</v>
      </c>
      <c r="BH693" s="319">
        <f t="shared" si="54"/>
        <v>0</v>
      </c>
      <c r="BI693" s="320" t="str">
        <f t="shared" si="59"/>
        <v/>
      </c>
      <c r="BT693" s="316">
        <f t="shared" si="56"/>
        <v>0</v>
      </c>
      <c r="BU693" s="319">
        <f t="shared" si="57"/>
        <v>0</v>
      </c>
      <c r="BV693" s="320" t="str">
        <f t="shared" si="58"/>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439</v>
      </c>
      <c r="E694" s="135"/>
      <c r="F694" s="135"/>
      <c r="G694" s="135"/>
      <c r="H694" s="135"/>
      <c r="AE694" s="1413" t="s">
        <v>676</v>
      </c>
      <c r="AF694" s="1413"/>
      <c r="AZ694" s="3"/>
      <c r="BA694" s="118" t="str">
        <f t="shared" si="52"/>
        <v>N/A</v>
      </c>
      <c r="BB694" s="3"/>
      <c r="BC694" s="3"/>
      <c r="BD694" s="3"/>
      <c r="BE694" s="3"/>
      <c r="BF694" s="3"/>
      <c r="BG694" s="316">
        <f t="shared" si="53"/>
        <v>0</v>
      </c>
      <c r="BH694" s="319">
        <f t="shared" si="54"/>
        <v>0</v>
      </c>
      <c r="BI694" s="320" t="str">
        <f t="shared" si="59"/>
        <v/>
      </c>
      <c r="BJ694" s="3"/>
      <c r="BK694" s="3"/>
      <c r="BL694" s="3"/>
      <c r="BM694" s="3"/>
      <c r="BN694" s="3"/>
      <c r="BO694" s="3"/>
      <c r="BT694" s="316">
        <f t="shared" si="56"/>
        <v>0</v>
      </c>
      <c r="BU694" s="319">
        <f t="shared" si="57"/>
        <v>0</v>
      </c>
      <c r="BV694" s="320" t="str">
        <f t="shared" si="58"/>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936</v>
      </c>
      <c r="E695" s="135"/>
      <c r="F695" s="135"/>
      <c r="G695" s="135"/>
      <c r="H695" s="135"/>
      <c r="AE695" s="1575">
        <v>45531</v>
      </c>
      <c r="AF695" s="1575"/>
      <c r="AG695" s="1575"/>
      <c r="AH695" s="1575"/>
      <c r="AI695" s="1575"/>
      <c r="AZ695" s="3"/>
      <c r="BA695" s="118" t="str">
        <f t="shared" si="52"/>
        <v>N/A</v>
      </c>
      <c r="BB695" s="3"/>
      <c r="BC695" s="3"/>
      <c r="BD695" s="3"/>
      <c r="BE695" s="3"/>
      <c r="BF695" s="3"/>
      <c r="BG695" s="316">
        <f t="shared" si="53"/>
        <v>0</v>
      </c>
      <c r="BH695" s="319">
        <f t="shared" si="54"/>
        <v>0</v>
      </c>
      <c r="BI695" s="320" t="str">
        <f t="shared" si="59"/>
        <v/>
      </c>
      <c r="BJ695" s="3"/>
      <c r="BK695" s="3"/>
      <c r="BL695" s="3"/>
      <c r="BM695" s="3"/>
      <c r="BN695" s="3"/>
      <c r="BO695" s="3"/>
      <c r="BT695" s="316">
        <f t="shared" si="56"/>
        <v>0</v>
      </c>
      <c r="BU695" s="319">
        <f t="shared" si="57"/>
        <v>0</v>
      </c>
      <c r="BV695" s="320" t="str">
        <f t="shared" si="58"/>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999</v>
      </c>
      <c r="E696" s="135"/>
      <c r="F696" s="135"/>
      <c r="G696" s="135"/>
      <c r="H696" s="135"/>
      <c r="AE696" s="1611">
        <v>45637</v>
      </c>
      <c r="AF696" s="1611"/>
      <c r="AG696" s="1611"/>
      <c r="AH696" s="1611"/>
      <c r="AI696" s="1611"/>
      <c r="AZ696" s="34"/>
      <c r="BA696" s="118" t="str">
        <f t="shared" si="52"/>
        <v>N/A</v>
      </c>
      <c r="BB696" s="34"/>
      <c r="BC696" s="34"/>
      <c r="BD696" s="34"/>
      <c r="BE696" s="34"/>
      <c r="BF696" s="34"/>
      <c r="BG696" s="316">
        <f t="shared" si="53"/>
        <v>0</v>
      </c>
      <c r="BH696" s="319">
        <f t="shared" si="54"/>
        <v>0</v>
      </c>
      <c r="BI696" s="320" t="str">
        <f t="shared" si="59"/>
        <v/>
      </c>
      <c r="BJ696" s="34"/>
      <c r="BK696" s="34"/>
      <c r="BL696" s="34"/>
      <c r="BM696" s="34"/>
      <c r="BN696" s="34"/>
      <c r="BO696" s="34"/>
      <c r="BT696" s="316">
        <f t="shared" si="56"/>
        <v>0</v>
      </c>
      <c r="BU696" s="319">
        <f t="shared" si="57"/>
        <v>0</v>
      </c>
      <c r="BV696" s="320" t="str">
        <f t="shared" si="58"/>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52"/>
        <v>N/A</v>
      </c>
      <c r="BB697" s="34"/>
      <c r="BC697" s="34"/>
      <c r="BD697" s="34"/>
      <c r="BE697" s="34"/>
      <c r="BF697" s="34"/>
      <c r="BG697" s="316">
        <f t="shared" si="53"/>
        <v>0</v>
      </c>
      <c r="BH697" s="319">
        <f t="shared" si="54"/>
        <v>0</v>
      </c>
      <c r="BI697" s="320" t="str">
        <f t="shared" si="59"/>
        <v/>
      </c>
      <c r="BJ697" s="34"/>
      <c r="BK697" s="34"/>
      <c r="BL697" s="34"/>
      <c r="BM697" s="34"/>
      <c r="BN697" s="34"/>
      <c r="BO697" s="34"/>
      <c r="BT697" s="316">
        <f t="shared" si="56"/>
        <v>0</v>
      </c>
      <c r="BU697" s="319">
        <f t="shared" si="57"/>
        <v>0</v>
      </c>
      <c r="BV697" s="320" t="str">
        <f t="shared" si="58"/>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824</v>
      </c>
      <c r="E698" s="135"/>
      <c r="F698" s="135"/>
      <c r="G698" s="135"/>
      <c r="H698" s="135"/>
      <c r="AE698" s="1575">
        <v>45807</v>
      </c>
      <c r="AF698" s="1575"/>
      <c r="AG698" s="1575"/>
      <c r="AH698" s="1575"/>
      <c r="AI698" s="1575"/>
      <c r="AZ698" s="34"/>
      <c r="BA698" s="118" t="str">
        <f t="shared" si="52"/>
        <v>N/A</v>
      </c>
      <c r="BB698" s="34"/>
      <c r="BC698" s="34"/>
      <c r="BD698" s="34"/>
      <c r="BE698" s="34"/>
      <c r="BF698" s="34"/>
      <c r="BG698" s="316">
        <f t="shared" si="53"/>
        <v>0</v>
      </c>
      <c r="BH698" s="319">
        <f t="shared" si="54"/>
        <v>0</v>
      </c>
      <c r="BI698" s="320" t="str">
        <f>IF(BH698=0,"",BH698*AC759)</f>
        <v/>
      </c>
      <c r="BJ698" s="3"/>
      <c r="BK698" s="34"/>
      <c r="BL698" s="34"/>
      <c r="BM698" s="34"/>
      <c r="BN698" s="34"/>
      <c r="BO698" s="34"/>
      <c r="BT698" s="316">
        <f t="shared" si="56"/>
        <v>0</v>
      </c>
      <c r="BU698" s="319">
        <f t="shared" si="57"/>
        <v>0</v>
      </c>
      <c r="BV698" s="320" t="str">
        <f t="shared" si="58"/>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437</v>
      </c>
      <c r="E699" s="135"/>
      <c r="F699" s="135"/>
      <c r="G699" s="135"/>
      <c r="H699" s="135"/>
      <c r="AE699" s="1534">
        <v>0.53959999999999997</v>
      </c>
      <c r="AF699" s="1534"/>
      <c r="AG699" s="1534"/>
      <c r="AH699" s="1534"/>
      <c r="AI699" s="1534"/>
      <c r="AZ699" s="34"/>
      <c r="BA699" s="118" t="str">
        <f t="shared" si="52"/>
        <v>N/A</v>
      </c>
      <c r="BB699" s="34"/>
      <c r="BC699" s="34"/>
      <c r="BD699" s="34"/>
      <c r="BE699" s="34"/>
      <c r="BF699" s="34"/>
      <c r="BG699" s="316">
        <f t="shared" si="53"/>
        <v>0</v>
      </c>
      <c r="BH699" s="319">
        <f t="shared" si="54"/>
        <v>0</v>
      </c>
      <c r="BI699" s="320" t="str">
        <f>IF(BH699=0,"",BH699*AC760)</f>
        <v/>
      </c>
      <c r="BJ699" s="3"/>
      <c r="BK699" s="34"/>
      <c r="BL699" s="34"/>
      <c r="BM699" s="34"/>
      <c r="BN699" s="34"/>
      <c r="BO699" s="34"/>
      <c r="BT699" s="316">
        <f t="shared" si="56"/>
        <v>0</v>
      </c>
      <c r="BU699" s="319">
        <f t="shared" si="57"/>
        <v>0</v>
      </c>
      <c r="BV699" s="320" t="str">
        <f t="shared" si="58"/>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438</v>
      </c>
      <c r="E700" s="135"/>
      <c r="F700" s="135"/>
      <c r="G700" s="135"/>
      <c r="H700" s="135"/>
      <c r="W700" s="1418" t="str">
        <f>H335</f>
        <v>California Muncipal Finance Authority</v>
      </c>
      <c r="X700" s="1418"/>
      <c r="Y700" s="1418"/>
      <c r="Z700" s="1418"/>
      <c r="AA700" s="1418"/>
      <c r="AB700" s="1418"/>
      <c r="AC700" s="1418"/>
      <c r="AD700" s="1418"/>
      <c r="AE700" s="1418"/>
      <c r="AF700" s="1418"/>
      <c r="AG700" s="1418"/>
      <c r="AH700" s="1418"/>
      <c r="AI700" s="1418"/>
      <c r="AJ700" s="1418"/>
      <c r="AK700" s="1418"/>
      <c r="AZ700" s="34"/>
      <c r="BA700" s="118" t="str">
        <f>IF($G751=0,"N/A",VLOOKUP($T$189,TC_Rent,(MATCH($B751,bedrooms,FALSE))))</f>
        <v>N/A</v>
      </c>
      <c r="BB700" s="34"/>
      <c r="BC700" s="34"/>
      <c r="BD700" s="34"/>
      <c r="BE700" s="34"/>
      <c r="BF700" s="34"/>
      <c r="BG700" s="316">
        <f t="shared" si="53"/>
        <v>0</v>
      </c>
      <c r="BH700" s="319">
        <f t="shared" si="54"/>
        <v>0</v>
      </c>
      <c r="BI700" s="320" t="str">
        <f>IF(BH700=0,"",BH700*AC761)</f>
        <v/>
      </c>
      <c r="BJ700" s="3"/>
      <c r="BK700" s="34"/>
      <c r="BL700" s="34"/>
      <c r="BM700" s="34"/>
      <c r="BN700" s="34"/>
      <c r="BO700" s="34"/>
      <c r="BT700" s="316">
        <f t="shared" si="56"/>
        <v>0</v>
      </c>
      <c r="BU700" s="319">
        <f t="shared" si="57"/>
        <v>0</v>
      </c>
      <c r="BV700" s="320" t="str">
        <f t="shared" si="58"/>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60">G751</f>
        <v>0</v>
      </c>
      <c r="BH701" s="319">
        <f t="shared" si="54"/>
        <v>0</v>
      </c>
      <c r="BI701" s="320" t="str">
        <f>IF(BH701=0,"",BH701*AC762)</f>
        <v/>
      </c>
      <c r="BJ701" s="3"/>
      <c r="BK701" s="34"/>
      <c r="BL701" s="34"/>
      <c r="BM701" s="34"/>
      <c r="BN701" s="34"/>
      <c r="BO701" s="34"/>
      <c r="BT701" s="316">
        <f t="shared" ref="BT701" si="61">G751</f>
        <v>0</v>
      </c>
      <c r="BU701" s="319">
        <f t="shared" si="57"/>
        <v>0</v>
      </c>
      <c r="BV701" s="320" t="str">
        <f t="shared" ref="BV701" si="62">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440</v>
      </c>
      <c r="E702" s="135"/>
      <c r="F702" s="135"/>
      <c r="G702" s="135"/>
      <c r="H702" s="135"/>
      <c r="AE702" s="1413" t="s">
        <v>552</v>
      </c>
      <c r="AF702" s="1413"/>
      <c r="AZ702" s="34"/>
      <c r="BA702" s="34"/>
      <c r="BB702" s="34"/>
      <c r="BC702" s="34"/>
      <c r="BD702" s="34"/>
      <c r="BE702" s="3"/>
      <c r="BG702" s="316">
        <f>G752</f>
        <v>0</v>
      </c>
      <c r="BH702" s="319">
        <f t="shared" si="54"/>
        <v>0</v>
      </c>
      <c r="BI702" s="320" t="str">
        <f>IF(BH702=0,"",BH702*AC762)</f>
        <v/>
      </c>
      <c r="BJ702" s="3"/>
      <c r="BK702" s="34"/>
      <c r="BL702" s="34"/>
      <c r="BM702" s="34"/>
      <c r="BN702" s="34"/>
      <c r="BO702" s="34"/>
      <c r="BT702" s="894">
        <f>G752</f>
        <v>0</v>
      </c>
      <c r="BU702" s="319">
        <f t="shared" si="57"/>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443</v>
      </c>
      <c r="E703" s="135"/>
      <c r="F703" s="135"/>
      <c r="G703" s="135"/>
      <c r="H703" s="135"/>
      <c r="W703" s="1417" t="s">
        <v>2777</v>
      </c>
      <c r="X703" s="1412"/>
      <c r="Y703" s="1412"/>
      <c r="Z703" s="1412"/>
      <c r="AA703" s="1412"/>
      <c r="AB703" s="1412"/>
      <c r="AC703" s="1412"/>
      <c r="AD703" s="1412"/>
      <c r="AE703" s="1412"/>
      <c r="AF703" s="1412"/>
      <c r="AG703" s="1412"/>
      <c r="AH703" s="1412"/>
      <c r="AI703" s="1412"/>
      <c r="AJ703" s="1412"/>
      <c r="AK703" s="1412"/>
      <c r="AZ703" s="34"/>
      <c r="BA703" s="34"/>
      <c r="BB703" s="34"/>
      <c r="BC703" s="34"/>
      <c r="BD703" s="34"/>
      <c r="BE703" s="3"/>
      <c r="BF703" s="312" t="s">
        <v>913</v>
      </c>
      <c r="BG703" s="321">
        <f>SUM(BG668:BG702)</f>
        <v>85</v>
      </c>
      <c r="BH703" s="322">
        <f>SUM(BH668:BH702)</f>
        <v>1.0000000000000002</v>
      </c>
      <c r="BI703" s="322">
        <f>SUM(BI668:BI702)</f>
        <v>0.43411764705882361</v>
      </c>
      <c r="BN703" s="3"/>
      <c r="BO703" s="3"/>
      <c r="BT703" s="893">
        <f>SUM(BT668:BT702)</f>
        <v>85</v>
      </c>
      <c r="BU703" s="322">
        <f>SUM(BU668:BU702)</f>
        <v>1.0000000000000002</v>
      </c>
      <c r="BV703" s="322">
        <f>SUM(BV668:BV702)</f>
        <v>0.43410472004146944</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417" t="s">
        <v>2741</v>
      </c>
      <c r="K704" s="1412"/>
      <c r="L704" s="1412"/>
      <c r="M704" s="1412"/>
      <c r="N704" s="1412"/>
      <c r="O704" s="1412"/>
      <c r="P704" s="1412"/>
      <c r="Q704" s="1412"/>
      <c r="R704" s="1412"/>
      <c r="S704" s="1412"/>
      <c r="T704" s="1412"/>
      <c r="U704" s="1412"/>
      <c r="V704" s="1412"/>
      <c r="W704" s="1412"/>
      <c r="X704" s="1412"/>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532" t="s">
        <v>2742</v>
      </c>
      <c r="K705" s="1517"/>
      <c r="L705" s="1517"/>
      <c r="M705" s="1517"/>
      <c r="N705" s="1517"/>
      <c r="O705" s="1517"/>
      <c r="P705" s="4" t="s">
        <v>206</v>
      </c>
      <c r="Q705" s="4"/>
      <c r="R705" s="1522" t="s">
        <v>598</v>
      </c>
      <c r="S705" s="1405"/>
      <c r="T705" s="1405"/>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444</v>
      </c>
      <c r="W706" s="1412" t="s">
        <v>300</v>
      </c>
      <c r="X706" s="1412"/>
      <c r="Y706" s="1412"/>
      <c r="Z706" s="1412"/>
      <c r="AA706" s="1412"/>
      <c r="AB706" s="1412"/>
      <c r="AC706" s="1412"/>
      <c r="AD706" s="1412"/>
      <c r="AE706" s="1412"/>
      <c r="AF706" s="1412"/>
      <c r="AG706" s="1412"/>
      <c r="AH706" s="1412"/>
      <c r="AI706" s="1412"/>
      <c r="AJ706" s="1412"/>
      <c r="AK706" s="1412"/>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412" t="s">
        <v>2778</v>
      </c>
      <c r="F707" s="1412"/>
      <c r="G707" s="1412"/>
      <c r="H707" s="1412"/>
      <c r="I707" s="1412"/>
      <c r="J707" s="1412"/>
      <c r="K707" s="1412"/>
      <c r="L707" s="1412"/>
      <c r="M707" s="1412"/>
      <c r="N707" s="1412"/>
      <c r="O707" s="1412"/>
      <c r="P707" s="1412"/>
      <c r="Q707" s="1412"/>
      <c r="R707" s="1412"/>
      <c r="S707" s="1412"/>
      <c r="T707" s="1412"/>
      <c r="U707" s="1412"/>
      <c r="V707" s="1412"/>
      <c r="W707" s="1412"/>
      <c r="X707" s="1412"/>
      <c r="Y707" s="1412"/>
      <c r="Z707" s="1412"/>
      <c r="AA707" s="1412"/>
      <c r="AB707" s="1412"/>
      <c r="AC707" s="1412"/>
      <c r="AD707" s="1412"/>
      <c r="AE707" s="1412"/>
      <c r="AF707" s="1412"/>
      <c r="AG707" s="1412"/>
      <c r="AH707" s="1412"/>
      <c r="AI707" s="1412"/>
      <c r="AJ707" s="1412"/>
      <c r="AK707" s="1412"/>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77" t="s">
        <v>95</v>
      </c>
      <c r="B709" s="1277"/>
      <c r="C709" s="1277"/>
      <c r="D709" s="1277"/>
      <c r="E709" s="1277"/>
      <c r="F709" s="1277"/>
      <c r="G709" s="1277"/>
      <c r="H709" s="1277"/>
      <c r="I709" s="1277"/>
      <c r="J709" s="1277"/>
      <c r="K709" s="1277"/>
      <c r="L709" s="1277"/>
      <c r="M709" s="1277"/>
      <c r="N709" s="1277"/>
      <c r="O709" s="1277"/>
      <c r="P709" s="1277"/>
      <c r="Q709" s="1277"/>
      <c r="R709" s="1277"/>
      <c r="S709" s="1277"/>
      <c r="T709" s="1277"/>
      <c r="U709" s="1277"/>
      <c r="V709" s="1277"/>
      <c r="W709" s="1277"/>
      <c r="X709" s="1277"/>
      <c r="Y709" s="1277"/>
      <c r="Z709" s="1277"/>
      <c r="AA709" s="1277"/>
      <c r="AB709" s="1277"/>
      <c r="AC709" s="1277"/>
      <c r="AD709" s="1277"/>
      <c r="AE709" s="1277"/>
      <c r="AF709" s="1277"/>
      <c r="AG709" s="1277"/>
      <c r="AH709" s="1277"/>
      <c r="AI709" s="1277"/>
      <c r="AJ709" s="1277"/>
      <c r="AK709" s="1277"/>
      <c r="AL709" s="1277"/>
      <c r="AM709" s="1277"/>
      <c r="AN709" s="1277"/>
      <c r="AO709" s="1277"/>
      <c r="AP709" s="1277"/>
      <c r="AQ709" s="1277"/>
      <c r="AR709" s="1277"/>
      <c r="AS709" s="1277"/>
      <c r="AT709" s="1277"/>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77"/>
      <c r="B710" s="1277"/>
      <c r="C710" s="1277"/>
      <c r="D710" s="1277"/>
      <c r="E710" s="1277"/>
      <c r="F710" s="1277"/>
      <c r="G710" s="1277"/>
      <c r="H710" s="1277"/>
      <c r="I710" s="1277"/>
      <c r="J710" s="1277"/>
      <c r="K710" s="1277"/>
      <c r="L710" s="1277"/>
      <c r="M710" s="1277"/>
      <c r="N710" s="1277"/>
      <c r="O710" s="1277"/>
      <c r="P710" s="1277"/>
      <c r="Q710" s="1277"/>
      <c r="R710" s="1277"/>
      <c r="S710" s="1277"/>
      <c r="T710" s="1277"/>
      <c r="U710" s="1277"/>
      <c r="V710" s="1277"/>
      <c r="W710" s="1277"/>
      <c r="X710" s="1277"/>
      <c r="Y710" s="1277"/>
      <c r="Z710" s="1277"/>
      <c r="AA710" s="1277"/>
      <c r="AB710" s="1277"/>
      <c r="AC710" s="1277"/>
      <c r="AD710" s="1277"/>
      <c r="AE710" s="1277"/>
      <c r="AF710" s="1277"/>
      <c r="AG710" s="1277"/>
      <c r="AH710" s="1277"/>
      <c r="AI710" s="1277"/>
      <c r="AJ710" s="1277"/>
      <c r="AK710" s="1277"/>
      <c r="AL710" s="1277"/>
      <c r="AM710" s="1277"/>
      <c r="AN710" s="1277"/>
      <c r="AO710" s="1277"/>
      <c r="AP710" s="1277"/>
      <c r="AQ710" s="1277"/>
      <c r="AR710" s="1277"/>
      <c r="AS710" s="1277"/>
      <c r="AT710" s="1277"/>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77"/>
      <c r="B711" s="1277"/>
      <c r="C711" s="1277"/>
      <c r="D711" s="1277"/>
      <c r="E711" s="1277"/>
      <c r="F711" s="1277"/>
      <c r="G711" s="1277"/>
      <c r="H711" s="1277"/>
      <c r="I711" s="1277"/>
      <c r="J711" s="1277"/>
      <c r="K711" s="1277"/>
      <c r="L711" s="1277"/>
      <c r="M711" s="1277"/>
      <c r="N711" s="1277"/>
      <c r="O711" s="1277"/>
      <c r="P711" s="1277"/>
      <c r="Q711" s="1277"/>
      <c r="R711" s="1277"/>
      <c r="S711" s="1277"/>
      <c r="T711" s="1277"/>
      <c r="U711" s="1277"/>
      <c r="V711" s="1277"/>
      <c r="W711" s="1277"/>
      <c r="X711" s="1277"/>
      <c r="Y711" s="1277"/>
      <c r="Z711" s="1277"/>
      <c r="AA711" s="1277"/>
      <c r="AB711" s="1277"/>
      <c r="AC711" s="1277"/>
      <c r="AD711" s="1277"/>
      <c r="AE711" s="1277"/>
      <c r="AF711" s="1277"/>
      <c r="AG711" s="1277"/>
      <c r="AH711" s="1277"/>
      <c r="AI711" s="1277"/>
      <c r="AJ711" s="1277"/>
      <c r="AK711" s="1277"/>
      <c r="AL711" s="1277"/>
      <c r="AM711" s="1277"/>
      <c r="AN711" s="1277"/>
      <c r="AO711" s="1277"/>
      <c r="AP711" s="1277"/>
      <c r="AQ711" s="1277"/>
      <c r="AR711" s="1277"/>
      <c r="AS711" s="1277"/>
      <c r="AT711" s="1277"/>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538" t="s">
        <v>389</v>
      </c>
      <c r="C714" s="1378"/>
      <c r="D714" s="1378"/>
      <c r="E714" s="1378"/>
      <c r="F714" s="1379"/>
      <c r="G714" s="1538" t="s">
        <v>285</v>
      </c>
      <c r="H714" s="1378"/>
      <c r="I714" s="1378"/>
      <c r="J714" s="1379"/>
      <c r="K714" s="1395" t="s">
        <v>1863</v>
      </c>
      <c r="L714" s="1396"/>
      <c r="M714" s="1396"/>
      <c r="N714" s="1397"/>
      <c r="O714" s="1538" t="s">
        <v>454</v>
      </c>
      <c r="P714" s="1378"/>
      <c r="Q714" s="1378"/>
      <c r="R714" s="1378"/>
      <c r="S714" s="1379"/>
      <c r="T714" s="1377" t="s">
        <v>2247</v>
      </c>
      <c r="U714" s="1378"/>
      <c r="V714" s="1378"/>
      <c r="W714" s="1379"/>
      <c r="X714" s="1377" t="s">
        <v>2249</v>
      </c>
      <c r="Y714" s="1378"/>
      <c r="Z714" s="1378"/>
      <c r="AA714" s="1378"/>
      <c r="AB714" s="1379"/>
      <c r="AC714" s="1377" t="s">
        <v>2248</v>
      </c>
      <c r="AD714" s="1378"/>
      <c r="AE714" s="1378"/>
      <c r="AF714" s="1378"/>
      <c r="AG714" s="1379"/>
      <c r="AH714" s="1377" t="s">
        <v>2250</v>
      </c>
      <c r="AI714" s="1378"/>
      <c r="AJ714" s="1379"/>
      <c r="AK714" s="1377" t="s">
        <v>2284</v>
      </c>
      <c r="AL714" s="1378"/>
      <c r="AM714" s="1378"/>
      <c r="AN714" s="1378"/>
      <c r="AO714" s="1379"/>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80"/>
      <c r="C715" s="1381"/>
      <c r="D715" s="1381"/>
      <c r="E715" s="1381"/>
      <c r="F715" s="1382"/>
      <c r="G715" s="1380"/>
      <c r="H715" s="1381"/>
      <c r="I715" s="1381"/>
      <c r="J715" s="1382"/>
      <c r="K715" s="1398"/>
      <c r="L715" s="1399"/>
      <c r="M715" s="1399"/>
      <c r="N715" s="1400"/>
      <c r="O715" s="1380"/>
      <c r="P715" s="1381"/>
      <c r="Q715" s="1381"/>
      <c r="R715" s="1381"/>
      <c r="S715" s="1382"/>
      <c r="T715" s="1380"/>
      <c r="U715" s="1381"/>
      <c r="V715" s="1381"/>
      <c r="W715" s="1382"/>
      <c r="X715" s="1380"/>
      <c r="Y715" s="1381"/>
      <c r="Z715" s="1381"/>
      <c r="AA715" s="1381"/>
      <c r="AB715" s="1382"/>
      <c r="AC715" s="1380"/>
      <c r="AD715" s="1381"/>
      <c r="AE715" s="1381"/>
      <c r="AF715" s="1381"/>
      <c r="AG715" s="1382"/>
      <c r="AH715" s="1380"/>
      <c r="AI715" s="1381"/>
      <c r="AJ715" s="1382"/>
      <c r="AK715" s="1380"/>
      <c r="AL715" s="1381"/>
      <c r="AM715" s="1381"/>
      <c r="AN715" s="1381"/>
      <c r="AO715" s="1382"/>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80"/>
      <c r="C716" s="1381"/>
      <c r="D716" s="1381"/>
      <c r="E716" s="1381"/>
      <c r="F716" s="1382"/>
      <c r="G716" s="1380"/>
      <c r="H716" s="1381"/>
      <c r="I716" s="1381"/>
      <c r="J716" s="1382"/>
      <c r="K716" s="1398"/>
      <c r="L716" s="1399"/>
      <c r="M716" s="1399"/>
      <c r="N716" s="1400"/>
      <c r="O716" s="1380"/>
      <c r="P716" s="1381"/>
      <c r="Q716" s="1381"/>
      <c r="R716" s="1381"/>
      <c r="S716" s="1382"/>
      <c r="T716" s="1380"/>
      <c r="U716" s="1381"/>
      <c r="V716" s="1381"/>
      <c r="W716" s="1382"/>
      <c r="X716" s="1380"/>
      <c r="Y716" s="1381"/>
      <c r="Z716" s="1381"/>
      <c r="AA716" s="1381"/>
      <c r="AB716" s="1382"/>
      <c r="AC716" s="1380"/>
      <c r="AD716" s="1381"/>
      <c r="AE716" s="1381"/>
      <c r="AF716" s="1381"/>
      <c r="AG716" s="1382"/>
      <c r="AH716" s="1380"/>
      <c r="AI716" s="1381"/>
      <c r="AJ716" s="1382"/>
      <c r="AK716" s="1380"/>
      <c r="AL716" s="1381"/>
      <c r="AM716" s="1381"/>
      <c r="AN716" s="1381"/>
      <c r="AO716" s="1382"/>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83"/>
      <c r="C717" s="1384"/>
      <c r="D717" s="1384"/>
      <c r="E717" s="1384"/>
      <c r="F717" s="1385"/>
      <c r="G717" s="1383"/>
      <c r="H717" s="1384"/>
      <c r="I717" s="1384"/>
      <c r="J717" s="1385"/>
      <c r="K717" s="1398"/>
      <c r="L717" s="1399"/>
      <c r="M717" s="1399"/>
      <c r="N717" s="1400"/>
      <c r="O717" s="1383"/>
      <c r="P717" s="1384"/>
      <c r="Q717" s="1384"/>
      <c r="R717" s="1384"/>
      <c r="S717" s="1385"/>
      <c r="T717" s="1383"/>
      <c r="U717" s="1384"/>
      <c r="V717" s="1384"/>
      <c r="W717" s="1385"/>
      <c r="X717" s="1383"/>
      <c r="Y717" s="1384"/>
      <c r="Z717" s="1384"/>
      <c r="AA717" s="1384"/>
      <c r="AB717" s="1385"/>
      <c r="AC717" s="1383"/>
      <c r="AD717" s="1384"/>
      <c r="AE717" s="1384"/>
      <c r="AF717" s="1384"/>
      <c r="AG717" s="1385"/>
      <c r="AH717" s="1383"/>
      <c r="AI717" s="1384"/>
      <c r="AJ717" s="1385"/>
      <c r="AK717" s="1383"/>
      <c r="AL717" s="1384"/>
      <c r="AM717" s="1384"/>
      <c r="AN717" s="1384"/>
      <c r="AO717" s="1385"/>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66" t="s">
        <v>324</v>
      </c>
      <c r="C718" s="1367"/>
      <c r="D718" s="1367"/>
      <c r="E718" s="1367"/>
      <c r="F718" s="1368"/>
      <c r="G718" s="1369">
        <v>14</v>
      </c>
      <c r="H718" s="1370"/>
      <c r="I718" s="1370"/>
      <c r="J718" s="1371"/>
      <c r="K718" s="1360">
        <v>365</v>
      </c>
      <c r="L718" s="1361"/>
      <c r="M718" s="1361"/>
      <c r="N718" s="1362"/>
      <c r="O718" s="1363">
        <v>685</v>
      </c>
      <c r="P718" s="1364"/>
      <c r="Q718" s="1364"/>
      <c r="R718" s="1364"/>
      <c r="S718" s="1365"/>
      <c r="T718" s="1363">
        <v>0</v>
      </c>
      <c r="U718" s="1364"/>
      <c r="V718" s="1364"/>
      <c r="W718" s="1365"/>
      <c r="X718" s="1386">
        <f t="shared" ref="X718:X741" si="63">O718+T718</f>
        <v>685</v>
      </c>
      <c r="Y718" s="1387"/>
      <c r="Z718" s="1387"/>
      <c r="AA718" s="1387"/>
      <c r="AB718" s="1388"/>
      <c r="AC718" s="1392">
        <v>0.2</v>
      </c>
      <c r="AD718" s="1393"/>
      <c r="AE718" s="1393"/>
      <c r="AF718" s="1393"/>
      <c r="AG718" s="1394"/>
      <c r="AH718" s="1389">
        <f t="shared" ref="AH718:AH751" si="64">IF($AC718&gt;0,($X718/$BA667), "")</f>
        <v>0.19994162288382955</v>
      </c>
      <c r="AI718" s="1390"/>
      <c r="AJ718" s="1391"/>
      <c r="AK718" s="1366" t="s">
        <v>2413</v>
      </c>
      <c r="AL718" s="1367"/>
      <c r="AM718" s="1367"/>
      <c r="AN718" s="1367"/>
      <c r="AO718" s="1368"/>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66" t="s">
        <v>324</v>
      </c>
      <c r="C719" s="1367"/>
      <c r="D719" s="1367"/>
      <c r="E719" s="1367"/>
      <c r="F719" s="1368"/>
      <c r="G719" s="1369">
        <v>6</v>
      </c>
      <c r="H719" s="1370"/>
      <c r="I719" s="1370"/>
      <c r="J719" s="1371"/>
      <c r="K719" s="1360">
        <v>365</v>
      </c>
      <c r="L719" s="1361"/>
      <c r="M719" s="1361"/>
      <c r="N719" s="1362"/>
      <c r="O719" s="1363">
        <v>1028</v>
      </c>
      <c r="P719" s="1364"/>
      <c r="Q719" s="1364"/>
      <c r="R719" s="1364"/>
      <c r="S719" s="1365"/>
      <c r="T719" s="1363">
        <v>0</v>
      </c>
      <c r="U719" s="1364"/>
      <c r="V719" s="1364"/>
      <c r="W719" s="1365"/>
      <c r="X719" s="1386">
        <f t="shared" si="63"/>
        <v>1028</v>
      </c>
      <c r="Y719" s="1387"/>
      <c r="Z719" s="1387"/>
      <c r="AA719" s="1387"/>
      <c r="AB719" s="1388"/>
      <c r="AC719" s="1392">
        <v>0.3</v>
      </c>
      <c r="AD719" s="1393"/>
      <c r="AE719" s="1393"/>
      <c r="AF719" s="1393"/>
      <c r="AG719" s="1394"/>
      <c r="AH719" s="1389">
        <f t="shared" si="64"/>
        <v>0.30005837711617045</v>
      </c>
      <c r="AI719" s="1390"/>
      <c r="AJ719" s="1391"/>
      <c r="AK719" s="1366" t="s">
        <v>2413</v>
      </c>
      <c r="AL719" s="1367"/>
      <c r="AM719" s="1367"/>
      <c r="AN719" s="1367"/>
      <c r="AO719" s="1368"/>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66" t="s">
        <v>324</v>
      </c>
      <c r="C720" s="1367"/>
      <c r="D720" s="1367"/>
      <c r="E720" s="1367"/>
      <c r="F720" s="1368"/>
      <c r="G720" s="1369">
        <v>2</v>
      </c>
      <c r="H720" s="1370"/>
      <c r="I720" s="1370"/>
      <c r="J720" s="1371"/>
      <c r="K720" s="1360">
        <v>365</v>
      </c>
      <c r="L720" s="1361"/>
      <c r="M720" s="1361"/>
      <c r="N720" s="1362"/>
      <c r="O720" s="1363">
        <v>1028</v>
      </c>
      <c r="P720" s="1364"/>
      <c r="Q720" s="1364"/>
      <c r="R720" s="1364"/>
      <c r="S720" s="1365"/>
      <c r="T720" s="1363">
        <v>0</v>
      </c>
      <c r="U720" s="1364"/>
      <c r="V720" s="1364"/>
      <c r="W720" s="1365"/>
      <c r="X720" s="1386">
        <f t="shared" si="63"/>
        <v>1028</v>
      </c>
      <c r="Y720" s="1387"/>
      <c r="Z720" s="1387"/>
      <c r="AA720" s="1387"/>
      <c r="AB720" s="1388"/>
      <c r="AC720" s="1392">
        <v>0.3</v>
      </c>
      <c r="AD720" s="1393"/>
      <c r="AE720" s="1393"/>
      <c r="AF720" s="1393"/>
      <c r="AG720" s="1394"/>
      <c r="AH720" s="1389">
        <f t="shared" si="64"/>
        <v>0.30005837711617045</v>
      </c>
      <c r="AI720" s="1390"/>
      <c r="AJ720" s="1391"/>
      <c r="AK720" s="1366" t="s">
        <v>2413</v>
      </c>
      <c r="AL720" s="1367"/>
      <c r="AM720" s="1367"/>
      <c r="AN720" s="1367"/>
      <c r="AO720" s="1368"/>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66" t="s">
        <v>324</v>
      </c>
      <c r="C721" s="1367"/>
      <c r="D721" s="1367"/>
      <c r="E721" s="1367"/>
      <c r="F721" s="1368"/>
      <c r="G721" s="1369">
        <v>25</v>
      </c>
      <c r="H721" s="1370"/>
      <c r="I721" s="1370"/>
      <c r="J721" s="1371"/>
      <c r="K721" s="1360">
        <v>365</v>
      </c>
      <c r="L721" s="1361"/>
      <c r="M721" s="1361"/>
      <c r="N721" s="1362"/>
      <c r="O721" s="1363">
        <v>2011</v>
      </c>
      <c r="P721" s="1364"/>
      <c r="Q721" s="1364"/>
      <c r="R721" s="1364"/>
      <c r="S721" s="1365"/>
      <c r="T721" s="1363">
        <v>45</v>
      </c>
      <c r="U721" s="1364"/>
      <c r="V721" s="1364"/>
      <c r="W721" s="1365"/>
      <c r="X721" s="1386">
        <f t="shared" si="63"/>
        <v>2056</v>
      </c>
      <c r="Y721" s="1387"/>
      <c r="Z721" s="1387"/>
      <c r="AA721" s="1387"/>
      <c r="AB721" s="1388"/>
      <c r="AC721" s="1392">
        <v>0.6</v>
      </c>
      <c r="AD721" s="1393"/>
      <c r="AE721" s="1393"/>
      <c r="AF721" s="1393"/>
      <c r="AG721" s="1394"/>
      <c r="AH721" s="1389">
        <f t="shared" si="64"/>
        <v>0.6001167542323409</v>
      </c>
      <c r="AI721" s="1390"/>
      <c r="AJ721" s="1391"/>
      <c r="AK721" s="1366" t="s">
        <v>598</v>
      </c>
      <c r="AL721" s="1367"/>
      <c r="AM721" s="1367"/>
      <c r="AN721" s="1367"/>
      <c r="AO721" s="1368"/>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66" t="s">
        <v>325</v>
      </c>
      <c r="C722" s="1367"/>
      <c r="D722" s="1367"/>
      <c r="E722" s="1367"/>
      <c r="F722" s="1368"/>
      <c r="G722" s="1369">
        <v>10</v>
      </c>
      <c r="H722" s="1370"/>
      <c r="I722" s="1370"/>
      <c r="J722" s="1371"/>
      <c r="K722" s="1360">
        <v>550</v>
      </c>
      <c r="L722" s="1361"/>
      <c r="M722" s="1361"/>
      <c r="N722" s="1362"/>
      <c r="O722" s="1363">
        <v>734</v>
      </c>
      <c r="P722" s="1364"/>
      <c r="Q722" s="1364"/>
      <c r="R722" s="1364"/>
      <c r="S722" s="1365"/>
      <c r="T722" s="1363">
        <v>0</v>
      </c>
      <c r="U722" s="1364"/>
      <c r="V722" s="1364"/>
      <c r="W722" s="1365"/>
      <c r="X722" s="1386">
        <f t="shared" si="63"/>
        <v>734</v>
      </c>
      <c r="Y722" s="1387"/>
      <c r="Z722" s="1387"/>
      <c r="AA722" s="1387"/>
      <c r="AB722" s="1388"/>
      <c r="AC722" s="1392">
        <v>0.2</v>
      </c>
      <c r="AD722" s="1393"/>
      <c r="AE722" s="1393"/>
      <c r="AF722" s="1393"/>
      <c r="AG722" s="1394"/>
      <c r="AH722" s="1389">
        <f t="shared" si="64"/>
        <v>0.19989106753812635</v>
      </c>
      <c r="AI722" s="1390"/>
      <c r="AJ722" s="1391"/>
      <c r="AK722" s="1366" t="s">
        <v>2413</v>
      </c>
      <c r="AL722" s="1367"/>
      <c r="AM722" s="1367"/>
      <c r="AN722" s="1367"/>
      <c r="AO722" s="1368"/>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66" t="s">
        <v>325</v>
      </c>
      <c r="C723" s="1367"/>
      <c r="D723" s="1367"/>
      <c r="E723" s="1367"/>
      <c r="F723" s="1368"/>
      <c r="G723" s="1369">
        <v>5</v>
      </c>
      <c r="H723" s="1370"/>
      <c r="I723" s="1370"/>
      <c r="J723" s="1371"/>
      <c r="K723" s="1360">
        <v>550</v>
      </c>
      <c r="L723" s="1361"/>
      <c r="M723" s="1361"/>
      <c r="N723" s="1362"/>
      <c r="O723" s="1363">
        <v>1101</v>
      </c>
      <c r="P723" s="1364"/>
      <c r="Q723" s="1364"/>
      <c r="R723" s="1364"/>
      <c r="S723" s="1365"/>
      <c r="T723" s="1363">
        <v>0</v>
      </c>
      <c r="U723" s="1364"/>
      <c r="V723" s="1364"/>
      <c r="W723" s="1365"/>
      <c r="X723" s="1386">
        <f t="shared" si="63"/>
        <v>1101</v>
      </c>
      <c r="Y723" s="1387"/>
      <c r="Z723" s="1387"/>
      <c r="AA723" s="1387"/>
      <c r="AB723" s="1388"/>
      <c r="AC723" s="1392">
        <v>0.3</v>
      </c>
      <c r="AD723" s="1393"/>
      <c r="AE723" s="1393"/>
      <c r="AF723" s="1393"/>
      <c r="AG723" s="1394"/>
      <c r="AH723" s="1389">
        <f t="shared" si="64"/>
        <v>0.29983660130718953</v>
      </c>
      <c r="AI723" s="1390"/>
      <c r="AJ723" s="1391"/>
      <c r="AK723" s="1366" t="s">
        <v>2413</v>
      </c>
      <c r="AL723" s="1367"/>
      <c r="AM723" s="1367"/>
      <c r="AN723" s="1367"/>
      <c r="AO723" s="1368"/>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66" t="s">
        <v>325</v>
      </c>
      <c r="C724" s="1367"/>
      <c r="D724" s="1367"/>
      <c r="E724" s="1367"/>
      <c r="F724" s="1368"/>
      <c r="G724" s="1369">
        <v>2</v>
      </c>
      <c r="H724" s="1370"/>
      <c r="I724" s="1370"/>
      <c r="J724" s="1371"/>
      <c r="K724" s="1360">
        <v>550</v>
      </c>
      <c r="L724" s="1361"/>
      <c r="M724" s="1361"/>
      <c r="N724" s="1362"/>
      <c r="O724" s="1363">
        <v>1101</v>
      </c>
      <c r="P724" s="1364"/>
      <c r="Q724" s="1364"/>
      <c r="R724" s="1364"/>
      <c r="S724" s="1365"/>
      <c r="T724" s="1363">
        <v>0</v>
      </c>
      <c r="U724" s="1364"/>
      <c r="V724" s="1364"/>
      <c r="W724" s="1365"/>
      <c r="X724" s="1386">
        <f t="shared" si="63"/>
        <v>1101</v>
      </c>
      <c r="Y724" s="1387"/>
      <c r="Z724" s="1387"/>
      <c r="AA724" s="1387"/>
      <c r="AB724" s="1388"/>
      <c r="AC724" s="1392">
        <v>0.3</v>
      </c>
      <c r="AD724" s="1393"/>
      <c r="AE724" s="1393"/>
      <c r="AF724" s="1393"/>
      <c r="AG724" s="1394"/>
      <c r="AH724" s="1389">
        <f t="shared" si="64"/>
        <v>0.29983660130718953</v>
      </c>
      <c r="AI724" s="1390"/>
      <c r="AJ724" s="1391"/>
      <c r="AK724" s="1366" t="s">
        <v>2413</v>
      </c>
      <c r="AL724" s="1367"/>
      <c r="AM724" s="1367"/>
      <c r="AN724" s="1367"/>
      <c r="AO724" s="1368"/>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66" t="s">
        <v>325</v>
      </c>
      <c r="C725" s="1367"/>
      <c r="D725" s="1367"/>
      <c r="E725" s="1367"/>
      <c r="F725" s="1368"/>
      <c r="G725" s="1369">
        <v>12</v>
      </c>
      <c r="H725" s="1370"/>
      <c r="I725" s="1370"/>
      <c r="J725" s="1371"/>
      <c r="K725" s="1360">
        <v>550</v>
      </c>
      <c r="L725" s="1361"/>
      <c r="M725" s="1361"/>
      <c r="N725" s="1362"/>
      <c r="O725" s="1363">
        <v>2161</v>
      </c>
      <c r="P725" s="1364"/>
      <c r="Q725" s="1364"/>
      <c r="R725" s="1364"/>
      <c r="S725" s="1365"/>
      <c r="T725" s="1363">
        <v>41.75</v>
      </c>
      <c r="U725" s="1364"/>
      <c r="V725" s="1364"/>
      <c r="W725" s="1365"/>
      <c r="X725" s="1386">
        <f t="shared" si="63"/>
        <v>2202.75</v>
      </c>
      <c r="Y725" s="1387"/>
      <c r="Z725" s="1387"/>
      <c r="AA725" s="1387"/>
      <c r="AB725" s="1388"/>
      <c r="AC725" s="1392">
        <v>0.6</v>
      </c>
      <c r="AD725" s="1393"/>
      <c r="AE725" s="1393"/>
      <c r="AF725" s="1393"/>
      <c r="AG725" s="1394"/>
      <c r="AH725" s="1389">
        <f t="shared" si="64"/>
        <v>0.59987745098039214</v>
      </c>
      <c r="AI725" s="1390"/>
      <c r="AJ725" s="1391"/>
      <c r="AK725" s="1366" t="s">
        <v>598</v>
      </c>
      <c r="AL725" s="1367"/>
      <c r="AM725" s="1367"/>
      <c r="AN725" s="1367"/>
      <c r="AO725" s="1368"/>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66" t="s">
        <v>163</v>
      </c>
      <c r="C726" s="1367"/>
      <c r="D726" s="1367"/>
      <c r="E726" s="1367"/>
      <c r="F726" s="1368"/>
      <c r="G726" s="1369">
        <v>4</v>
      </c>
      <c r="H726" s="1370"/>
      <c r="I726" s="1370"/>
      <c r="J726" s="1371"/>
      <c r="K726" s="1360">
        <v>754</v>
      </c>
      <c r="L726" s="1361"/>
      <c r="M726" s="1361"/>
      <c r="N726" s="1362"/>
      <c r="O726" s="1363">
        <v>2595</v>
      </c>
      <c r="P726" s="1364"/>
      <c r="Q726" s="1364"/>
      <c r="R726" s="1364"/>
      <c r="S726" s="1365"/>
      <c r="T726" s="1363">
        <v>48.64</v>
      </c>
      <c r="U726" s="1364"/>
      <c r="V726" s="1364"/>
      <c r="W726" s="1365"/>
      <c r="X726" s="1386">
        <f t="shared" si="63"/>
        <v>2643.64</v>
      </c>
      <c r="Y726" s="1387"/>
      <c r="Z726" s="1387"/>
      <c r="AA726" s="1387"/>
      <c r="AB726" s="1388"/>
      <c r="AC726" s="1392">
        <v>0.6</v>
      </c>
      <c r="AD726" s="1393"/>
      <c r="AE726" s="1393"/>
      <c r="AF726" s="1393"/>
      <c r="AG726" s="1394"/>
      <c r="AH726" s="1389">
        <f t="shared" si="64"/>
        <v>0.60000907852927821</v>
      </c>
      <c r="AI726" s="1390"/>
      <c r="AJ726" s="1391"/>
      <c r="AK726" s="1366" t="s">
        <v>598</v>
      </c>
      <c r="AL726" s="1367"/>
      <c r="AM726" s="1367"/>
      <c r="AN726" s="1367"/>
      <c r="AO726" s="1368"/>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66" t="s">
        <v>164</v>
      </c>
      <c r="C727" s="1367"/>
      <c r="D727" s="1367"/>
      <c r="E727" s="1367"/>
      <c r="F727" s="1368"/>
      <c r="G727" s="1369">
        <v>5</v>
      </c>
      <c r="H727" s="1370"/>
      <c r="I727" s="1370"/>
      <c r="J727" s="1371"/>
      <c r="K727" s="1360">
        <v>1130</v>
      </c>
      <c r="L727" s="1361"/>
      <c r="M727" s="1361"/>
      <c r="N727" s="1362"/>
      <c r="O727" s="1363">
        <v>3011</v>
      </c>
      <c r="P727" s="1364"/>
      <c r="Q727" s="1364"/>
      <c r="R727" s="1364"/>
      <c r="S727" s="1365"/>
      <c r="T727" s="1363">
        <v>43</v>
      </c>
      <c r="U727" s="1364"/>
      <c r="V727" s="1364"/>
      <c r="W727" s="1365"/>
      <c r="X727" s="1386">
        <f t="shared" si="63"/>
        <v>3054</v>
      </c>
      <c r="Y727" s="1387"/>
      <c r="Z727" s="1387"/>
      <c r="AA727" s="1387"/>
      <c r="AB727" s="1388"/>
      <c r="AC727" s="1392">
        <v>0.6</v>
      </c>
      <c r="AD727" s="1393"/>
      <c r="AE727" s="1393"/>
      <c r="AF727" s="1393"/>
      <c r="AG727" s="1394"/>
      <c r="AH727" s="1389">
        <f t="shared" si="64"/>
        <v>0.6</v>
      </c>
      <c r="AI727" s="1390"/>
      <c r="AJ727" s="1391"/>
      <c r="AK727" s="1366" t="s">
        <v>598</v>
      </c>
      <c r="AL727" s="1367"/>
      <c r="AM727" s="1367"/>
      <c r="AN727" s="1367"/>
      <c r="AO727" s="1368"/>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66"/>
      <c r="C728" s="1367"/>
      <c r="D728" s="1367"/>
      <c r="E728" s="1367"/>
      <c r="F728" s="1368"/>
      <c r="G728" s="1369"/>
      <c r="H728" s="1370"/>
      <c r="I728" s="1370"/>
      <c r="J728" s="1371"/>
      <c r="K728" s="1360"/>
      <c r="L728" s="1361"/>
      <c r="M728" s="1361"/>
      <c r="N728" s="1362"/>
      <c r="O728" s="1363"/>
      <c r="P728" s="1364"/>
      <c r="Q728" s="1364"/>
      <c r="R728" s="1364"/>
      <c r="S728" s="1365"/>
      <c r="T728" s="1363"/>
      <c r="U728" s="1364"/>
      <c r="V728" s="1364"/>
      <c r="W728" s="1365"/>
      <c r="X728" s="1386">
        <f t="shared" si="63"/>
        <v>0</v>
      </c>
      <c r="Y728" s="1387"/>
      <c r="Z728" s="1387"/>
      <c r="AA728" s="1387"/>
      <c r="AB728" s="1388"/>
      <c r="AC728" s="1392"/>
      <c r="AD728" s="1393"/>
      <c r="AE728" s="1393"/>
      <c r="AF728" s="1393"/>
      <c r="AG728" s="1394"/>
      <c r="AH728" s="1389" t="str">
        <f t="shared" si="64"/>
        <v/>
      </c>
      <c r="AI728" s="1390"/>
      <c r="AJ728" s="1391"/>
      <c r="AK728" s="1366" t="s">
        <v>598</v>
      </c>
      <c r="AL728" s="1367"/>
      <c r="AM728" s="1367"/>
      <c r="AN728" s="1367"/>
      <c r="AO728" s="1368"/>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66"/>
      <c r="C729" s="1367"/>
      <c r="D729" s="1367"/>
      <c r="E729" s="1367"/>
      <c r="F729" s="1368"/>
      <c r="G729" s="1369"/>
      <c r="H729" s="1370"/>
      <c r="I729" s="1370"/>
      <c r="J729" s="1371"/>
      <c r="K729" s="1360"/>
      <c r="L729" s="1361"/>
      <c r="M729" s="1361"/>
      <c r="N729" s="1362"/>
      <c r="O729" s="1363"/>
      <c r="P729" s="1364"/>
      <c r="Q729" s="1364"/>
      <c r="R729" s="1364"/>
      <c r="S729" s="1365"/>
      <c r="T729" s="1363"/>
      <c r="U729" s="1364"/>
      <c r="V729" s="1364"/>
      <c r="W729" s="1365"/>
      <c r="X729" s="1386">
        <f t="shared" si="63"/>
        <v>0</v>
      </c>
      <c r="Y729" s="1387"/>
      <c r="Z729" s="1387"/>
      <c r="AA729" s="1387"/>
      <c r="AB729" s="1388"/>
      <c r="AC729" s="1392"/>
      <c r="AD729" s="1393"/>
      <c r="AE729" s="1393"/>
      <c r="AF729" s="1393"/>
      <c r="AG729" s="1394"/>
      <c r="AH729" s="1389" t="str">
        <f t="shared" si="64"/>
        <v/>
      </c>
      <c r="AI729" s="1390"/>
      <c r="AJ729" s="1391"/>
      <c r="AK729" s="1366" t="s">
        <v>598</v>
      </c>
      <c r="AL729" s="1367"/>
      <c r="AM729" s="1367"/>
      <c r="AN729" s="1367"/>
      <c r="AO729" s="1368"/>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66"/>
      <c r="C730" s="1367"/>
      <c r="D730" s="1367"/>
      <c r="E730" s="1367"/>
      <c r="F730" s="1368"/>
      <c r="G730" s="1369"/>
      <c r="H730" s="1370"/>
      <c r="I730" s="1370"/>
      <c r="J730" s="1371"/>
      <c r="K730" s="1360"/>
      <c r="L730" s="1361"/>
      <c r="M730" s="1361"/>
      <c r="N730" s="1362"/>
      <c r="O730" s="1363"/>
      <c r="P730" s="1364"/>
      <c r="Q730" s="1364"/>
      <c r="R730" s="1364"/>
      <c r="S730" s="1365"/>
      <c r="T730" s="1363"/>
      <c r="U730" s="1364"/>
      <c r="V730" s="1364"/>
      <c r="W730" s="1365"/>
      <c r="X730" s="1386">
        <f t="shared" si="63"/>
        <v>0</v>
      </c>
      <c r="Y730" s="1387"/>
      <c r="Z730" s="1387"/>
      <c r="AA730" s="1387"/>
      <c r="AB730" s="1388"/>
      <c r="AC730" s="1392"/>
      <c r="AD730" s="1393"/>
      <c r="AE730" s="1393"/>
      <c r="AF730" s="1393"/>
      <c r="AG730" s="1394"/>
      <c r="AH730" s="1389" t="str">
        <f t="shared" si="64"/>
        <v/>
      </c>
      <c r="AI730" s="1390"/>
      <c r="AJ730" s="1391"/>
      <c r="AK730" s="1366" t="s">
        <v>598</v>
      </c>
      <c r="AL730" s="1367"/>
      <c r="AM730" s="1367"/>
      <c r="AN730" s="1367"/>
      <c r="AO730" s="1368"/>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66"/>
      <c r="C731" s="1367"/>
      <c r="D731" s="1367"/>
      <c r="E731" s="1367"/>
      <c r="F731" s="1368"/>
      <c r="G731" s="1369"/>
      <c r="H731" s="1370"/>
      <c r="I731" s="1370"/>
      <c r="J731" s="1371"/>
      <c r="K731" s="1360"/>
      <c r="L731" s="1361"/>
      <c r="M731" s="1361"/>
      <c r="N731" s="1362"/>
      <c r="O731" s="1363"/>
      <c r="P731" s="1364"/>
      <c r="Q731" s="1364"/>
      <c r="R731" s="1364"/>
      <c r="S731" s="1365"/>
      <c r="T731" s="1363"/>
      <c r="U731" s="1364"/>
      <c r="V731" s="1364"/>
      <c r="W731" s="1365"/>
      <c r="X731" s="1386">
        <f t="shared" si="63"/>
        <v>0</v>
      </c>
      <c r="Y731" s="1387"/>
      <c r="Z731" s="1387"/>
      <c r="AA731" s="1387"/>
      <c r="AB731" s="1388"/>
      <c r="AC731" s="1392"/>
      <c r="AD731" s="1393"/>
      <c r="AE731" s="1393"/>
      <c r="AF731" s="1393"/>
      <c r="AG731" s="1394"/>
      <c r="AH731" s="1389" t="str">
        <f t="shared" si="64"/>
        <v/>
      </c>
      <c r="AI731" s="1390"/>
      <c r="AJ731" s="1391"/>
      <c r="AK731" s="1366" t="s">
        <v>598</v>
      </c>
      <c r="AL731" s="1367"/>
      <c r="AM731" s="1367"/>
      <c r="AN731" s="1367"/>
      <c r="AO731" s="1368"/>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66"/>
      <c r="C732" s="1367"/>
      <c r="D732" s="1367"/>
      <c r="E732" s="1367"/>
      <c r="F732" s="1368"/>
      <c r="G732" s="1369"/>
      <c r="H732" s="1370"/>
      <c r="I732" s="1370"/>
      <c r="J732" s="1371"/>
      <c r="K732" s="1360"/>
      <c r="L732" s="1361"/>
      <c r="M732" s="1361"/>
      <c r="N732" s="1362"/>
      <c r="O732" s="1363"/>
      <c r="P732" s="1364"/>
      <c r="Q732" s="1364"/>
      <c r="R732" s="1364"/>
      <c r="S732" s="1365"/>
      <c r="T732" s="1363"/>
      <c r="U732" s="1364"/>
      <c r="V732" s="1364"/>
      <c r="W732" s="1365"/>
      <c r="X732" s="1386">
        <f t="shared" si="63"/>
        <v>0</v>
      </c>
      <c r="Y732" s="1387"/>
      <c r="Z732" s="1387"/>
      <c r="AA732" s="1387"/>
      <c r="AB732" s="1388"/>
      <c r="AC732" s="1392"/>
      <c r="AD732" s="1393"/>
      <c r="AE732" s="1393"/>
      <c r="AF732" s="1393"/>
      <c r="AG732" s="1394"/>
      <c r="AH732" s="1389" t="str">
        <f t="shared" si="64"/>
        <v/>
      </c>
      <c r="AI732" s="1390"/>
      <c r="AJ732" s="1391"/>
      <c r="AK732" s="1366" t="s">
        <v>598</v>
      </c>
      <c r="AL732" s="1367"/>
      <c r="AM732" s="1367"/>
      <c r="AN732" s="1367"/>
      <c r="AO732" s="1368"/>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66"/>
      <c r="C733" s="1367"/>
      <c r="D733" s="1367"/>
      <c r="E733" s="1367"/>
      <c r="F733" s="1368"/>
      <c r="G733" s="1369"/>
      <c r="H733" s="1370"/>
      <c r="I733" s="1370"/>
      <c r="J733" s="1371"/>
      <c r="K733" s="1360"/>
      <c r="L733" s="1361"/>
      <c r="M733" s="1361"/>
      <c r="N733" s="1362"/>
      <c r="O733" s="1363"/>
      <c r="P733" s="1364"/>
      <c r="Q733" s="1364"/>
      <c r="R733" s="1364"/>
      <c r="S733" s="1365"/>
      <c r="T733" s="1363"/>
      <c r="U733" s="1364"/>
      <c r="V733" s="1364"/>
      <c r="W733" s="1365"/>
      <c r="X733" s="1386">
        <f t="shared" si="63"/>
        <v>0</v>
      </c>
      <c r="Y733" s="1387"/>
      <c r="Z733" s="1387"/>
      <c r="AA733" s="1387"/>
      <c r="AB733" s="1388"/>
      <c r="AC733" s="1392"/>
      <c r="AD733" s="1393"/>
      <c r="AE733" s="1393"/>
      <c r="AF733" s="1393"/>
      <c r="AG733" s="1394"/>
      <c r="AH733" s="1389" t="str">
        <f t="shared" si="64"/>
        <v/>
      </c>
      <c r="AI733" s="1390"/>
      <c r="AJ733" s="1391"/>
      <c r="AK733" s="1366" t="s">
        <v>598</v>
      </c>
      <c r="AL733" s="1367"/>
      <c r="AM733" s="1367"/>
      <c r="AN733" s="1367"/>
      <c r="AO733" s="1368"/>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66"/>
      <c r="C734" s="1367"/>
      <c r="D734" s="1367"/>
      <c r="E734" s="1367"/>
      <c r="F734" s="1368"/>
      <c r="G734" s="1369"/>
      <c r="H734" s="1370"/>
      <c r="I734" s="1370"/>
      <c r="J734" s="1371"/>
      <c r="K734" s="1360"/>
      <c r="L734" s="1361"/>
      <c r="M734" s="1361"/>
      <c r="N734" s="1362"/>
      <c r="O734" s="1363"/>
      <c r="P734" s="1364"/>
      <c r="Q734" s="1364"/>
      <c r="R734" s="1364"/>
      <c r="S734" s="1365"/>
      <c r="T734" s="1363"/>
      <c r="U734" s="1364"/>
      <c r="V734" s="1364"/>
      <c r="W734" s="1365"/>
      <c r="X734" s="1386">
        <f t="shared" si="63"/>
        <v>0</v>
      </c>
      <c r="Y734" s="1387"/>
      <c r="Z734" s="1387"/>
      <c r="AA734" s="1387"/>
      <c r="AB734" s="1388"/>
      <c r="AC734" s="1392"/>
      <c r="AD734" s="1393"/>
      <c r="AE734" s="1393"/>
      <c r="AF734" s="1393"/>
      <c r="AG734" s="1394"/>
      <c r="AH734" s="1389" t="str">
        <f t="shared" si="64"/>
        <v/>
      </c>
      <c r="AI734" s="1390"/>
      <c r="AJ734" s="1391"/>
      <c r="AK734" s="1366" t="s">
        <v>598</v>
      </c>
      <c r="AL734" s="1367"/>
      <c r="AM734" s="1367"/>
      <c r="AN734" s="1367"/>
      <c r="AO734" s="1368"/>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66"/>
      <c r="C735" s="1367"/>
      <c r="D735" s="1367"/>
      <c r="E735" s="1367"/>
      <c r="F735" s="1368"/>
      <c r="G735" s="1369"/>
      <c r="H735" s="1370"/>
      <c r="I735" s="1370"/>
      <c r="J735" s="1371"/>
      <c r="K735" s="1360"/>
      <c r="L735" s="1361"/>
      <c r="M735" s="1361"/>
      <c r="N735" s="1362"/>
      <c r="O735" s="1363"/>
      <c r="P735" s="1364"/>
      <c r="Q735" s="1364"/>
      <c r="R735" s="1364"/>
      <c r="S735" s="1365"/>
      <c r="T735" s="1363"/>
      <c r="U735" s="1364"/>
      <c r="V735" s="1364"/>
      <c r="W735" s="1365"/>
      <c r="X735" s="1386">
        <f t="shared" si="63"/>
        <v>0</v>
      </c>
      <c r="Y735" s="1387"/>
      <c r="Z735" s="1387"/>
      <c r="AA735" s="1387"/>
      <c r="AB735" s="1388"/>
      <c r="AC735" s="1392"/>
      <c r="AD735" s="1393"/>
      <c r="AE735" s="1393"/>
      <c r="AF735" s="1393"/>
      <c r="AG735" s="1394"/>
      <c r="AH735" s="1389" t="str">
        <f t="shared" si="64"/>
        <v/>
      </c>
      <c r="AI735" s="1390"/>
      <c r="AJ735" s="1391"/>
      <c r="AK735" s="1366" t="s">
        <v>598</v>
      </c>
      <c r="AL735" s="1367"/>
      <c r="AM735" s="1367"/>
      <c r="AN735" s="1367"/>
      <c r="AO735" s="1368"/>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66"/>
      <c r="C736" s="1367"/>
      <c r="D736" s="1367"/>
      <c r="E736" s="1367"/>
      <c r="F736" s="1368"/>
      <c r="G736" s="1369"/>
      <c r="H736" s="1370"/>
      <c r="I736" s="1370"/>
      <c r="J736" s="1371"/>
      <c r="K736" s="1360"/>
      <c r="L736" s="1361"/>
      <c r="M736" s="1361"/>
      <c r="N736" s="1362"/>
      <c r="O736" s="1363"/>
      <c r="P736" s="1364"/>
      <c r="Q736" s="1364"/>
      <c r="R736" s="1364"/>
      <c r="S736" s="1365"/>
      <c r="T736" s="1363"/>
      <c r="U736" s="1364"/>
      <c r="V736" s="1364"/>
      <c r="W736" s="1365"/>
      <c r="X736" s="1386">
        <f t="shared" si="63"/>
        <v>0</v>
      </c>
      <c r="Y736" s="1387"/>
      <c r="Z736" s="1387"/>
      <c r="AA736" s="1387"/>
      <c r="AB736" s="1388"/>
      <c r="AC736" s="1392"/>
      <c r="AD736" s="1393"/>
      <c r="AE736" s="1393"/>
      <c r="AF736" s="1393"/>
      <c r="AG736" s="1394"/>
      <c r="AH736" s="1389" t="str">
        <f t="shared" si="64"/>
        <v/>
      </c>
      <c r="AI736" s="1390"/>
      <c r="AJ736" s="1391"/>
      <c r="AK736" s="1366" t="s">
        <v>598</v>
      </c>
      <c r="AL736" s="1367"/>
      <c r="AM736" s="1367"/>
      <c r="AN736" s="1367"/>
      <c r="AO736" s="1368"/>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66"/>
      <c r="C737" s="1367"/>
      <c r="D737" s="1367"/>
      <c r="E737" s="1367"/>
      <c r="F737" s="1368"/>
      <c r="G737" s="1369"/>
      <c r="H737" s="1370"/>
      <c r="I737" s="1370"/>
      <c r="J737" s="1371"/>
      <c r="K737" s="1360"/>
      <c r="L737" s="1361"/>
      <c r="M737" s="1361"/>
      <c r="N737" s="1362"/>
      <c r="O737" s="1363"/>
      <c r="P737" s="1364"/>
      <c r="Q737" s="1364"/>
      <c r="R737" s="1364"/>
      <c r="S737" s="1365"/>
      <c r="T737" s="1363"/>
      <c r="U737" s="1364"/>
      <c r="V737" s="1364"/>
      <c r="W737" s="1365"/>
      <c r="X737" s="1386">
        <f t="shared" si="63"/>
        <v>0</v>
      </c>
      <c r="Y737" s="1387"/>
      <c r="Z737" s="1387"/>
      <c r="AA737" s="1387"/>
      <c r="AB737" s="1388"/>
      <c r="AC737" s="1392"/>
      <c r="AD737" s="1393"/>
      <c r="AE737" s="1393"/>
      <c r="AF737" s="1393"/>
      <c r="AG737" s="1394"/>
      <c r="AH737" s="1389" t="str">
        <f t="shared" si="64"/>
        <v/>
      </c>
      <c r="AI737" s="1390"/>
      <c r="AJ737" s="1391"/>
      <c r="AK737" s="1366" t="s">
        <v>598</v>
      </c>
      <c r="AL737" s="1367"/>
      <c r="AM737" s="1367"/>
      <c r="AN737" s="1367"/>
      <c r="AO737" s="1368"/>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66"/>
      <c r="C738" s="1367"/>
      <c r="D738" s="1367"/>
      <c r="E738" s="1367"/>
      <c r="F738" s="1368"/>
      <c r="G738" s="1369"/>
      <c r="H738" s="1370"/>
      <c r="I738" s="1370"/>
      <c r="J738" s="1371"/>
      <c r="K738" s="1360"/>
      <c r="L738" s="1361"/>
      <c r="M738" s="1361"/>
      <c r="N738" s="1362"/>
      <c r="O738" s="1363"/>
      <c r="P738" s="1364"/>
      <c r="Q738" s="1364"/>
      <c r="R738" s="1364"/>
      <c r="S738" s="1365"/>
      <c r="T738" s="1363"/>
      <c r="U738" s="1364"/>
      <c r="V738" s="1364"/>
      <c r="W738" s="1365"/>
      <c r="X738" s="1386">
        <f t="shared" si="63"/>
        <v>0</v>
      </c>
      <c r="Y738" s="1387"/>
      <c r="Z738" s="1387"/>
      <c r="AA738" s="1387"/>
      <c r="AB738" s="1388"/>
      <c r="AC738" s="1392"/>
      <c r="AD738" s="1393"/>
      <c r="AE738" s="1393"/>
      <c r="AF738" s="1393"/>
      <c r="AG738" s="1394"/>
      <c r="AH738" s="1389" t="str">
        <f t="shared" si="64"/>
        <v/>
      </c>
      <c r="AI738" s="1390"/>
      <c r="AJ738" s="1391"/>
      <c r="AK738" s="1366" t="s">
        <v>598</v>
      </c>
      <c r="AL738" s="1367"/>
      <c r="AM738" s="1367"/>
      <c r="AN738" s="1367"/>
      <c r="AO738" s="1368"/>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66"/>
      <c r="C739" s="1367"/>
      <c r="D739" s="1367"/>
      <c r="E739" s="1367"/>
      <c r="F739" s="1368"/>
      <c r="G739" s="1369"/>
      <c r="H739" s="1370"/>
      <c r="I739" s="1370"/>
      <c r="J739" s="1371"/>
      <c r="K739" s="1360"/>
      <c r="L739" s="1361"/>
      <c r="M739" s="1361"/>
      <c r="N739" s="1362"/>
      <c r="O739" s="1363"/>
      <c r="P739" s="1364"/>
      <c r="Q739" s="1364"/>
      <c r="R739" s="1364"/>
      <c r="S739" s="1365"/>
      <c r="T739" s="1363"/>
      <c r="U739" s="1364"/>
      <c r="V739" s="1364"/>
      <c r="W739" s="1365"/>
      <c r="X739" s="1386">
        <f t="shared" si="63"/>
        <v>0</v>
      </c>
      <c r="Y739" s="1387"/>
      <c r="Z739" s="1387"/>
      <c r="AA739" s="1387"/>
      <c r="AB739" s="1388"/>
      <c r="AC739" s="1392"/>
      <c r="AD739" s="1393"/>
      <c r="AE739" s="1393"/>
      <c r="AF739" s="1393"/>
      <c r="AG739" s="1394"/>
      <c r="AH739" s="1389" t="str">
        <f t="shared" si="64"/>
        <v/>
      </c>
      <c r="AI739" s="1390"/>
      <c r="AJ739" s="1391"/>
      <c r="AK739" s="1366" t="s">
        <v>598</v>
      </c>
      <c r="AL739" s="1367"/>
      <c r="AM739" s="1367"/>
      <c r="AN739" s="1367"/>
      <c r="AO739" s="1368"/>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66"/>
      <c r="C740" s="1367"/>
      <c r="D740" s="1367"/>
      <c r="E740" s="1367"/>
      <c r="F740" s="1368"/>
      <c r="G740" s="1369"/>
      <c r="H740" s="1370"/>
      <c r="I740" s="1370"/>
      <c r="J740" s="1371"/>
      <c r="K740" s="1360"/>
      <c r="L740" s="1361"/>
      <c r="M740" s="1361"/>
      <c r="N740" s="1362"/>
      <c r="O740" s="1363"/>
      <c r="P740" s="1364"/>
      <c r="Q740" s="1364"/>
      <c r="R740" s="1364"/>
      <c r="S740" s="1365"/>
      <c r="T740" s="1363"/>
      <c r="U740" s="1364"/>
      <c r="V740" s="1364"/>
      <c r="W740" s="1365"/>
      <c r="X740" s="1386">
        <f t="shared" si="63"/>
        <v>0</v>
      </c>
      <c r="Y740" s="1387"/>
      <c r="Z740" s="1387"/>
      <c r="AA740" s="1387"/>
      <c r="AB740" s="1388"/>
      <c r="AC740" s="1392"/>
      <c r="AD740" s="1393"/>
      <c r="AE740" s="1393"/>
      <c r="AF740" s="1393"/>
      <c r="AG740" s="1394"/>
      <c r="AH740" s="1389" t="str">
        <f t="shared" si="64"/>
        <v/>
      </c>
      <c r="AI740" s="1390"/>
      <c r="AJ740" s="1391"/>
      <c r="AK740" s="1366" t="s">
        <v>598</v>
      </c>
      <c r="AL740" s="1367"/>
      <c r="AM740" s="1367"/>
      <c r="AN740" s="1367"/>
      <c r="AO740" s="1368"/>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66"/>
      <c r="C741" s="1367"/>
      <c r="D741" s="1367"/>
      <c r="E741" s="1367"/>
      <c r="F741" s="1368"/>
      <c r="G741" s="1369"/>
      <c r="H741" s="1370"/>
      <c r="I741" s="1370"/>
      <c r="J741" s="1371"/>
      <c r="K741" s="1360"/>
      <c r="L741" s="1361"/>
      <c r="M741" s="1361"/>
      <c r="N741" s="1362"/>
      <c r="O741" s="1363"/>
      <c r="P741" s="1364"/>
      <c r="Q741" s="1364"/>
      <c r="R741" s="1364"/>
      <c r="S741" s="1365"/>
      <c r="T741" s="1363"/>
      <c r="U741" s="1364"/>
      <c r="V741" s="1364"/>
      <c r="W741" s="1365"/>
      <c r="X741" s="1386">
        <f t="shared" si="63"/>
        <v>0</v>
      </c>
      <c r="Y741" s="1387"/>
      <c r="Z741" s="1387"/>
      <c r="AA741" s="1387"/>
      <c r="AB741" s="1388"/>
      <c r="AC741" s="1392"/>
      <c r="AD741" s="1393"/>
      <c r="AE741" s="1393"/>
      <c r="AF741" s="1393"/>
      <c r="AG741" s="1394"/>
      <c r="AH741" s="1389" t="str">
        <f t="shared" si="64"/>
        <v/>
      </c>
      <c r="AI741" s="1390"/>
      <c r="AJ741" s="1391"/>
      <c r="AK741" s="1366" t="s">
        <v>598</v>
      </c>
      <c r="AL741" s="1367"/>
      <c r="AM741" s="1367"/>
      <c r="AN741" s="1367"/>
      <c r="AO741" s="1368"/>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66"/>
      <c r="C742" s="1367"/>
      <c r="D742" s="1367"/>
      <c r="E742" s="1367"/>
      <c r="F742" s="1368"/>
      <c r="G742" s="1369"/>
      <c r="H742" s="1370"/>
      <c r="I742" s="1370"/>
      <c r="J742" s="1371"/>
      <c r="K742" s="1360"/>
      <c r="L742" s="1361"/>
      <c r="M742" s="1361"/>
      <c r="N742" s="1362"/>
      <c r="O742" s="1363"/>
      <c r="P742" s="1364"/>
      <c r="Q742" s="1364"/>
      <c r="R742" s="1364"/>
      <c r="S742" s="1365"/>
      <c r="T742" s="1363"/>
      <c r="U742" s="1364"/>
      <c r="V742" s="1364"/>
      <c r="W742" s="1365"/>
      <c r="X742" s="1386">
        <f t="shared" ref="X742:X751" si="65">O742+T742</f>
        <v>0</v>
      </c>
      <c r="Y742" s="1387"/>
      <c r="Z742" s="1387"/>
      <c r="AA742" s="1387"/>
      <c r="AB742" s="1388"/>
      <c r="AC742" s="1392"/>
      <c r="AD742" s="1393"/>
      <c r="AE742" s="1393"/>
      <c r="AF742" s="1393"/>
      <c r="AG742" s="1394"/>
      <c r="AH742" s="1389" t="str">
        <f t="shared" si="64"/>
        <v/>
      </c>
      <c r="AI742" s="1390"/>
      <c r="AJ742" s="1391"/>
      <c r="AK742" s="1366" t="s">
        <v>598</v>
      </c>
      <c r="AL742" s="1367"/>
      <c r="AM742" s="1367"/>
      <c r="AN742" s="1367"/>
      <c r="AO742" s="1368"/>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66"/>
      <c r="C743" s="1367"/>
      <c r="D743" s="1367"/>
      <c r="E743" s="1367"/>
      <c r="F743" s="1368"/>
      <c r="G743" s="1369"/>
      <c r="H743" s="1370"/>
      <c r="I743" s="1370"/>
      <c r="J743" s="1371"/>
      <c r="K743" s="1360"/>
      <c r="L743" s="1361"/>
      <c r="M743" s="1361"/>
      <c r="N743" s="1362"/>
      <c r="O743" s="1363"/>
      <c r="P743" s="1364"/>
      <c r="Q743" s="1364"/>
      <c r="R743" s="1364"/>
      <c r="S743" s="1365"/>
      <c r="T743" s="1363"/>
      <c r="U743" s="1364"/>
      <c r="V743" s="1364"/>
      <c r="W743" s="1365"/>
      <c r="X743" s="1386">
        <f t="shared" si="65"/>
        <v>0</v>
      </c>
      <c r="Y743" s="1387"/>
      <c r="Z743" s="1387"/>
      <c r="AA743" s="1387"/>
      <c r="AB743" s="1388"/>
      <c r="AC743" s="1392"/>
      <c r="AD743" s="1393"/>
      <c r="AE743" s="1393"/>
      <c r="AF743" s="1393"/>
      <c r="AG743" s="1394"/>
      <c r="AH743" s="1389" t="str">
        <f t="shared" si="64"/>
        <v/>
      </c>
      <c r="AI743" s="1390"/>
      <c r="AJ743" s="1391"/>
      <c r="AK743" s="1366" t="s">
        <v>598</v>
      </c>
      <c r="AL743" s="1367"/>
      <c r="AM743" s="1367"/>
      <c r="AN743" s="1367"/>
      <c r="AO743" s="1368"/>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66"/>
      <c r="C744" s="1367"/>
      <c r="D744" s="1367"/>
      <c r="E744" s="1367"/>
      <c r="F744" s="1368"/>
      <c r="G744" s="1369"/>
      <c r="H744" s="1370"/>
      <c r="I744" s="1370"/>
      <c r="J744" s="1371"/>
      <c r="K744" s="1360"/>
      <c r="L744" s="1361"/>
      <c r="M744" s="1361"/>
      <c r="N744" s="1362"/>
      <c r="O744" s="1363"/>
      <c r="P744" s="1364"/>
      <c r="Q744" s="1364"/>
      <c r="R744" s="1364"/>
      <c r="S744" s="1365"/>
      <c r="T744" s="1363"/>
      <c r="U744" s="1364"/>
      <c r="V744" s="1364"/>
      <c r="W744" s="1365"/>
      <c r="X744" s="1386">
        <f t="shared" si="65"/>
        <v>0</v>
      </c>
      <c r="Y744" s="1387"/>
      <c r="Z744" s="1387"/>
      <c r="AA744" s="1387"/>
      <c r="AB744" s="1388"/>
      <c r="AC744" s="1392"/>
      <c r="AD744" s="1393"/>
      <c r="AE744" s="1393"/>
      <c r="AF744" s="1393"/>
      <c r="AG744" s="1394"/>
      <c r="AH744" s="1389" t="str">
        <f t="shared" si="64"/>
        <v/>
      </c>
      <c r="AI744" s="1390"/>
      <c r="AJ744" s="1391"/>
      <c r="AK744" s="1366" t="s">
        <v>598</v>
      </c>
      <c r="AL744" s="1367"/>
      <c r="AM744" s="1367"/>
      <c r="AN744" s="1367"/>
      <c r="AO744" s="1368"/>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66"/>
      <c r="C745" s="1367"/>
      <c r="D745" s="1367"/>
      <c r="E745" s="1367"/>
      <c r="F745" s="1368"/>
      <c r="G745" s="1369"/>
      <c r="H745" s="1370"/>
      <c r="I745" s="1370"/>
      <c r="J745" s="1371"/>
      <c r="K745" s="1360"/>
      <c r="L745" s="1361"/>
      <c r="M745" s="1361"/>
      <c r="N745" s="1362"/>
      <c r="O745" s="1363"/>
      <c r="P745" s="1364"/>
      <c r="Q745" s="1364"/>
      <c r="R745" s="1364"/>
      <c r="S745" s="1365"/>
      <c r="T745" s="1363"/>
      <c r="U745" s="1364"/>
      <c r="V745" s="1364"/>
      <c r="W745" s="1365"/>
      <c r="X745" s="1386">
        <f t="shared" si="65"/>
        <v>0</v>
      </c>
      <c r="Y745" s="1387"/>
      <c r="Z745" s="1387"/>
      <c r="AA745" s="1387"/>
      <c r="AB745" s="1388"/>
      <c r="AC745" s="1392"/>
      <c r="AD745" s="1393"/>
      <c r="AE745" s="1393"/>
      <c r="AF745" s="1393"/>
      <c r="AG745" s="1394"/>
      <c r="AH745" s="1389" t="str">
        <f t="shared" si="64"/>
        <v/>
      </c>
      <c r="AI745" s="1390"/>
      <c r="AJ745" s="1391"/>
      <c r="AK745" s="1366" t="s">
        <v>598</v>
      </c>
      <c r="AL745" s="1367"/>
      <c r="AM745" s="1367"/>
      <c r="AN745" s="1367"/>
      <c r="AO745" s="1368"/>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66"/>
      <c r="C746" s="1367"/>
      <c r="D746" s="1367"/>
      <c r="E746" s="1367"/>
      <c r="F746" s="1368"/>
      <c r="G746" s="1369"/>
      <c r="H746" s="1370"/>
      <c r="I746" s="1370"/>
      <c r="J746" s="1371"/>
      <c r="K746" s="1360"/>
      <c r="L746" s="1361"/>
      <c r="M746" s="1361"/>
      <c r="N746" s="1362"/>
      <c r="O746" s="1363"/>
      <c r="P746" s="1364"/>
      <c r="Q746" s="1364"/>
      <c r="R746" s="1364"/>
      <c r="S746" s="1365"/>
      <c r="T746" s="1363"/>
      <c r="U746" s="1364"/>
      <c r="V746" s="1364"/>
      <c r="W746" s="1365"/>
      <c r="X746" s="1386">
        <f t="shared" si="65"/>
        <v>0</v>
      </c>
      <c r="Y746" s="1387"/>
      <c r="Z746" s="1387"/>
      <c r="AA746" s="1387"/>
      <c r="AB746" s="1388"/>
      <c r="AC746" s="1392"/>
      <c r="AD746" s="1393"/>
      <c r="AE746" s="1393"/>
      <c r="AF746" s="1393"/>
      <c r="AG746" s="1394"/>
      <c r="AH746" s="1389" t="str">
        <f t="shared" si="64"/>
        <v/>
      </c>
      <c r="AI746" s="1390"/>
      <c r="AJ746" s="1391"/>
      <c r="AK746" s="1366" t="s">
        <v>598</v>
      </c>
      <c r="AL746" s="1367"/>
      <c r="AM746" s="1367"/>
      <c r="AN746" s="1367"/>
      <c r="AO746" s="1368"/>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66"/>
      <c r="C747" s="1367"/>
      <c r="D747" s="1367"/>
      <c r="E747" s="1367"/>
      <c r="F747" s="1368"/>
      <c r="G747" s="1369"/>
      <c r="H747" s="1370"/>
      <c r="I747" s="1370"/>
      <c r="J747" s="1371"/>
      <c r="K747" s="1360"/>
      <c r="L747" s="1361"/>
      <c r="M747" s="1361"/>
      <c r="N747" s="1362"/>
      <c r="O747" s="1363"/>
      <c r="P747" s="1364"/>
      <c r="Q747" s="1364"/>
      <c r="R747" s="1364"/>
      <c r="S747" s="1365"/>
      <c r="T747" s="1363"/>
      <c r="U747" s="1364"/>
      <c r="V747" s="1364"/>
      <c r="W747" s="1365"/>
      <c r="X747" s="1386">
        <f t="shared" si="65"/>
        <v>0</v>
      </c>
      <c r="Y747" s="1387"/>
      <c r="Z747" s="1387"/>
      <c r="AA747" s="1387"/>
      <c r="AB747" s="1388"/>
      <c r="AC747" s="1392"/>
      <c r="AD747" s="1393"/>
      <c r="AE747" s="1393"/>
      <c r="AF747" s="1393"/>
      <c r="AG747" s="1394"/>
      <c r="AH747" s="1389" t="str">
        <f t="shared" si="64"/>
        <v/>
      </c>
      <c r="AI747" s="1390"/>
      <c r="AJ747" s="1391"/>
      <c r="AK747" s="1366" t="s">
        <v>598</v>
      </c>
      <c r="AL747" s="1367"/>
      <c r="AM747" s="1367"/>
      <c r="AN747" s="1367"/>
      <c r="AO747" s="1368"/>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66"/>
      <c r="C748" s="1367"/>
      <c r="D748" s="1367"/>
      <c r="E748" s="1367"/>
      <c r="F748" s="1368"/>
      <c r="G748" s="1369"/>
      <c r="H748" s="1370"/>
      <c r="I748" s="1370"/>
      <c r="J748" s="1371"/>
      <c r="K748" s="1360"/>
      <c r="L748" s="1361"/>
      <c r="M748" s="1361"/>
      <c r="N748" s="1362"/>
      <c r="O748" s="1363"/>
      <c r="P748" s="1364"/>
      <c r="Q748" s="1364"/>
      <c r="R748" s="1364"/>
      <c r="S748" s="1365"/>
      <c r="T748" s="1363"/>
      <c r="U748" s="1364"/>
      <c r="V748" s="1364"/>
      <c r="W748" s="1365"/>
      <c r="X748" s="1386">
        <f t="shared" si="65"/>
        <v>0</v>
      </c>
      <c r="Y748" s="1387"/>
      <c r="Z748" s="1387"/>
      <c r="AA748" s="1387"/>
      <c r="AB748" s="1388"/>
      <c r="AC748" s="1392"/>
      <c r="AD748" s="1393"/>
      <c r="AE748" s="1393"/>
      <c r="AF748" s="1393"/>
      <c r="AG748" s="1394"/>
      <c r="AH748" s="1389" t="str">
        <f t="shared" si="64"/>
        <v/>
      </c>
      <c r="AI748" s="1390"/>
      <c r="AJ748" s="1391"/>
      <c r="AK748" s="1366" t="s">
        <v>598</v>
      </c>
      <c r="AL748" s="1367"/>
      <c r="AM748" s="1367"/>
      <c r="AN748" s="1367"/>
      <c r="AO748" s="1368"/>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66"/>
      <c r="C749" s="1367"/>
      <c r="D749" s="1367"/>
      <c r="E749" s="1367"/>
      <c r="F749" s="1368"/>
      <c r="G749" s="1369"/>
      <c r="H749" s="1370"/>
      <c r="I749" s="1370"/>
      <c r="J749" s="1371"/>
      <c r="K749" s="1360"/>
      <c r="L749" s="1361"/>
      <c r="M749" s="1361"/>
      <c r="N749" s="1362"/>
      <c r="O749" s="1363"/>
      <c r="P749" s="1364"/>
      <c r="Q749" s="1364"/>
      <c r="R749" s="1364"/>
      <c r="S749" s="1365"/>
      <c r="T749" s="1363"/>
      <c r="U749" s="1364"/>
      <c r="V749" s="1364"/>
      <c r="W749" s="1365"/>
      <c r="X749" s="1386">
        <f t="shared" si="65"/>
        <v>0</v>
      </c>
      <c r="Y749" s="1387"/>
      <c r="Z749" s="1387"/>
      <c r="AA749" s="1387"/>
      <c r="AB749" s="1388"/>
      <c r="AC749" s="1392"/>
      <c r="AD749" s="1393"/>
      <c r="AE749" s="1393"/>
      <c r="AF749" s="1393"/>
      <c r="AG749" s="1394"/>
      <c r="AH749" s="1389" t="str">
        <f t="shared" si="64"/>
        <v/>
      </c>
      <c r="AI749" s="1390"/>
      <c r="AJ749" s="1391"/>
      <c r="AK749" s="1366" t="s">
        <v>598</v>
      </c>
      <c r="AL749" s="1367"/>
      <c r="AM749" s="1367"/>
      <c r="AN749" s="1367"/>
      <c r="AO749" s="1368"/>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66"/>
      <c r="C750" s="1367"/>
      <c r="D750" s="1367"/>
      <c r="E750" s="1367"/>
      <c r="F750" s="1368"/>
      <c r="G750" s="1369"/>
      <c r="H750" s="1370"/>
      <c r="I750" s="1370"/>
      <c r="J750" s="1371"/>
      <c r="K750" s="1360"/>
      <c r="L750" s="1361"/>
      <c r="M750" s="1361"/>
      <c r="N750" s="1362"/>
      <c r="O750" s="1363"/>
      <c r="P750" s="1364"/>
      <c r="Q750" s="1364"/>
      <c r="R750" s="1364"/>
      <c r="S750" s="1365"/>
      <c r="T750" s="1363"/>
      <c r="U750" s="1364"/>
      <c r="V750" s="1364"/>
      <c r="W750" s="1365"/>
      <c r="X750" s="1386">
        <f t="shared" si="65"/>
        <v>0</v>
      </c>
      <c r="Y750" s="1387"/>
      <c r="Z750" s="1387"/>
      <c r="AA750" s="1387"/>
      <c r="AB750" s="1388"/>
      <c r="AC750" s="1392"/>
      <c r="AD750" s="1393"/>
      <c r="AE750" s="1393"/>
      <c r="AF750" s="1393"/>
      <c r="AG750" s="1394"/>
      <c r="AH750" s="1389" t="str">
        <f t="shared" si="64"/>
        <v/>
      </c>
      <c r="AI750" s="1390"/>
      <c r="AJ750" s="1391"/>
      <c r="AK750" s="1366" t="s">
        <v>598</v>
      </c>
      <c r="AL750" s="1367"/>
      <c r="AM750" s="1367"/>
      <c r="AN750" s="1367"/>
      <c r="AO750" s="1368"/>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66"/>
      <c r="C751" s="1367"/>
      <c r="D751" s="1367"/>
      <c r="E751" s="1367"/>
      <c r="F751" s="1368"/>
      <c r="G751" s="1369"/>
      <c r="H751" s="1370"/>
      <c r="I751" s="1370"/>
      <c r="J751" s="1371"/>
      <c r="K751" s="1360"/>
      <c r="L751" s="1361"/>
      <c r="M751" s="1361"/>
      <c r="N751" s="1362"/>
      <c r="O751" s="1363"/>
      <c r="P751" s="1364"/>
      <c r="Q751" s="1364"/>
      <c r="R751" s="1364"/>
      <c r="S751" s="1365"/>
      <c r="T751" s="1363"/>
      <c r="U751" s="1364"/>
      <c r="V751" s="1364"/>
      <c r="W751" s="1365"/>
      <c r="X751" s="1386">
        <f t="shared" si="65"/>
        <v>0</v>
      </c>
      <c r="Y751" s="1387"/>
      <c r="Z751" s="1387"/>
      <c r="AA751" s="1387"/>
      <c r="AB751" s="1388"/>
      <c r="AC751" s="1392"/>
      <c r="AD751" s="1393"/>
      <c r="AE751" s="1393"/>
      <c r="AF751" s="1393"/>
      <c r="AG751" s="1394"/>
      <c r="AH751" s="1389" t="str">
        <f t="shared" si="64"/>
        <v/>
      </c>
      <c r="AI751" s="1390"/>
      <c r="AJ751" s="1391"/>
      <c r="AK751" s="1366" t="s">
        <v>598</v>
      </c>
      <c r="AL751" s="1367"/>
      <c r="AM751" s="1367"/>
      <c r="AN751" s="1367"/>
      <c r="AO751" s="1368"/>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66"/>
      <c r="C752" s="1367"/>
      <c r="D752" s="1367"/>
      <c r="E752" s="1367"/>
      <c r="F752" s="1368"/>
      <c r="G752" s="1369"/>
      <c r="H752" s="1370"/>
      <c r="I752" s="1370"/>
      <c r="J752" s="1371"/>
      <c r="K752" s="1360"/>
      <c r="L752" s="1361"/>
      <c r="M752" s="1361"/>
      <c r="N752" s="1362"/>
      <c r="O752" s="1363"/>
      <c r="P752" s="1364"/>
      <c r="Q752" s="1364"/>
      <c r="R752" s="1364"/>
      <c r="S752" s="1365"/>
      <c r="T752" s="1363"/>
      <c r="U752" s="1364"/>
      <c r="V752" s="1364"/>
      <c r="W752" s="1365"/>
      <c r="X752" s="1386">
        <f>O752+T752</f>
        <v>0</v>
      </c>
      <c r="Y752" s="1387"/>
      <c r="Z752" s="1387"/>
      <c r="AA752" s="1387"/>
      <c r="AB752" s="1388"/>
      <c r="AC752" s="1392"/>
      <c r="AD752" s="1393"/>
      <c r="AE752" s="1393"/>
      <c r="AF752" s="1393"/>
      <c r="AG752" s="1394"/>
      <c r="AH752" s="1389" t="str">
        <f>IF($AC752&gt;0,($X752/$BA701), "")</f>
        <v/>
      </c>
      <c r="AI752" s="1390"/>
      <c r="AJ752" s="1391"/>
      <c r="AK752" s="1366" t="s">
        <v>598</v>
      </c>
      <c r="AL752" s="1367"/>
      <c r="AM752" s="1367"/>
      <c r="AN752" s="1367"/>
      <c r="AO752" s="1368"/>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617" t="s">
        <v>125</v>
      </c>
      <c r="C753" s="1618"/>
      <c r="D753" s="1618"/>
      <c r="E753" s="1618"/>
      <c r="F753" s="1619"/>
      <c r="G753" s="1628">
        <f>SUM(G718:G752)</f>
        <v>85</v>
      </c>
      <c r="H753" s="1629"/>
      <c r="I753" s="1629"/>
      <c r="J753" s="1630"/>
      <c r="K753" s="937" t="s">
        <v>124</v>
      </c>
      <c r="L753" s="5"/>
      <c r="M753" s="5"/>
      <c r="N753" s="46"/>
      <c r="O753" s="1386">
        <f>SUMPRODUCT(G718:G752,O718:O752)</f>
        <v>134503</v>
      </c>
      <c r="P753" s="1387"/>
      <c r="Q753" s="1387"/>
      <c r="R753" s="1387"/>
      <c r="S753" s="1388"/>
      <c r="T753"/>
      <c r="U753"/>
      <c r="V753"/>
      <c r="W753"/>
      <c r="X753" s="939" t="s">
        <v>914</v>
      </c>
      <c r="Y753" s="938"/>
      <c r="Z753" s="938"/>
      <c r="AA753" s="938"/>
      <c r="AB753" s="940"/>
      <c r="AC753" s="1638">
        <f>BI703</f>
        <v>0.43411764705882361</v>
      </c>
      <c r="AD753" s="1639"/>
      <c r="AE753" s="1639"/>
      <c r="AF753" s="1639"/>
      <c r="AG753" s="1640"/>
      <c r="AH753" s="1638">
        <f>IFERROR(BV703,"")</f>
        <v>0.43410472004146944</v>
      </c>
      <c r="AI753" s="1639"/>
      <c r="AJ753" s="1640"/>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632" t="s">
        <v>2178</v>
      </c>
      <c r="C754" s="1632"/>
      <c r="D754" s="1632"/>
      <c r="E754" s="1632"/>
      <c r="F754" s="1632"/>
      <c r="G754" s="1632"/>
      <c r="H754" s="1632"/>
      <c r="I754" s="1632"/>
      <c r="J754" s="1632"/>
      <c r="K754" s="1632"/>
      <c r="L754" s="1632"/>
      <c r="M754" s="1632"/>
      <c r="N754" s="1632"/>
      <c r="O754" s="1632"/>
      <c r="P754" s="1632"/>
      <c r="Q754" s="1632"/>
      <c r="R754" s="1632"/>
      <c r="S754" s="1632"/>
      <c r="T754" s="1632"/>
      <c r="U754" s="1632"/>
      <c r="V754" s="1632"/>
      <c r="W754" s="1632"/>
      <c r="X754" s="1632"/>
      <c r="Y754" s="1632"/>
      <c r="Z754" s="1632"/>
      <c r="AA754" s="1632"/>
      <c r="AB754" s="1632"/>
      <c r="AC754" s="1632"/>
      <c r="AD754" s="1632"/>
      <c r="AE754" s="1632"/>
      <c r="AF754" s="1632"/>
      <c r="AG754" s="1632"/>
      <c r="AH754" s="1632"/>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632"/>
      <c r="C755" s="1632"/>
      <c r="D755" s="1632"/>
      <c r="E755" s="1632"/>
      <c r="F755" s="1632"/>
      <c r="G755" s="1632"/>
      <c r="H755" s="1632"/>
      <c r="I755" s="1632"/>
      <c r="J755" s="1632"/>
      <c r="K755" s="1632"/>
      <c r="L755" s="1632"/>
      <c r="M755" s="1632"/>
      <c r="N755" s="1632"/>
      <c r="O755" s="1632"/>
      <c r="P755" s="1632"/>
      <c r="Q755" s="1632"/>
      <c r="R755" s="1632"/>
      <c r="S755" s="1632"/>
      <c r="T755" s="1632"/>
      <c r="U755" s="1632"/>
      <c r="V755" s="1632"/>
      <c r="W755" s="1632"/>
      <c r="X755" s="1632"/>
      <c r="Y755" s="1632"/>
      <c r="Z755" s="1632"/>
      <c r="AA755" s="1632"/>
      <c r="AB755" s="1632"/>
      <c r="AC755" s="1632"/>
      <c r="AD755" s="1632"/>
      <c r="AE755" s="1632"/>
      <c r="AF755" s="1632"/>
      <c r="AG755" s="1632"/>
      <c r="AH755" s="1632"/>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2176</v>
      </c>
      <c r="D756" s="1067"/>
      <c r="E756" s="1067"/>
      <c r="F756" s="1067"/>
      <c r="G756" s="1068"/>
      <c r="H756" s="1068"/>
      <c r="I756" s="1068"/>
      <c r="J756" s="1068"/>
      <c r="K756" s="1067"/>
      <c r="L756" s="1067"/>
      <c r="M756" s="1067"/>
      <c r="N756" s="1067"/>
      <c r="O756" s="1419">
        <f>CS634</f>
        <v>99</v>
      </c>
      <c r="P756" s="1419"/>
      <c r="Q756" s="1419"/>
      <c r="R756" s="1419"/>
      <c r="S756" s="1004"/>
      <c r="T756" s="1004"/>
      <c r="U756" s="118" t="s">
        <v>2177</v>
      </c>
      <c r="V756" s="1067"/>
      <c r="W756" s="1067"/>
      <c r="X756" s="1067"/>
      <c r="Y756" s="1068"/>
      <c r="Z756" s="1068"/>
      <c r="AA756" s="1068"/>
      <c r="AB756" s="1068"/>
      <c r="AC756" s="1067"/>
      <c r="AD756" s="1067"/>
      <c r="AE756" s="1067"/>
      <c r="AF756" s="1067"/>
      <c r="AG756" s="1764">
        <v>39</v>
      </c>
      <c r="AH756" s="1764"/>
      <c r="AI756" s="1764"/>
      <c r="AJ756" s="1764"/>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883" t="str">
        <f>IF(G753&lt;&gt;AG440,"! Total Low-Income Units in the Unit Mix Table above does not match the number of Total Low-Income Units on row #"&amp;TEXT(ROW(D440),"#"),"")</f>
        <v/>
      </c>
      <c r="D757" s="1883"/>
      <c r="E757" s="1883"/>
      <c r="F757" s="1883"/>
      <c r="G757" s="1883"/>
      <c r="H757" s="1883"/>
      <c r="I757" s="1883"/>
      <c r="J757" s="1883"/>
      <c r="K757" s="1883"/>
      <c r="L757" s="1883"/>
      <c r="M757" s="1883"/>
      <c r="N757" s="1883"/>
      <c r="O757" s="1883"/>
      <c r="P757" s="1883"/>
      <c r="Q757" s="1883"/>
      <c r="R757" s="1883"/>
      <c r="S757" s="1883"/>
      <c r="T757" s="1883"/>
      <c r="U757" s="1883"/>
      <c r="V757" s="1883"/>
      <c r="W757" s="1883"/>
      <c r="X757" s="1883"/>
      <c r="Y757" s="1883"/>
      <c r="Z757" s="1883"/>
      <c r="AA757" s="1883"/>
      <c r="AB757" s="1883"/>
      <c r="AC757" s="1883"/>
      <c r="AD757" s="1883"/>
      <c r="AE757" s="1883"/>
      <c r="AF757" s="1883"/>
      <c r="AG757" s="1883"/>
      <c r="AH757" s="1883"/>
      <c r="AI757" s="1883"/>
      <c r="AJ757" s="1883"/>
      <c r="AK757" s="1883"/>
      <c r="AL757" s="1883"/>
      <c r="AM757" s="1883"/>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883"/>
      <c r="D758" s="1883"/>
      <c r="E758" s="1883"/>
      <c r="F758" s="1883"/>
      <c r="G758" s="1883"/>
      <c r="H758" s="1883"/>
      <c r="I758" s="1883"/>
      <c r="J758" s="1883"/>
      <c r="K758" s="1883"/>
      <c r="L758" s="1883"/>
      <c r="M758" s="1883"/>
      <c r="N758" s="1883"/>
      <c r="O758" s="1883"/>
      <c r="P758" s="1883"/>
      <c r="Q758" s="1883"/>
      <c r="R758" s="1883"/>
      <c r="S758" s="1883"/>
      <c r="T758" s="1883"/>
      <c r="U758" s="1883"/>
      <c r="V758" s="1883"/>
      <c r="W758" s="1883"/>
      <c r="X758" s="1883"/>
      <c r="Y758" s="1883"/>
      <c r="Z758" s="1883"/>
      <c r="AA758" s="1883"/>
      <c r="AB758" s="1883"/>
      <c r="AC758" s="1883"/>
      <c r="AD758" s="1883"/>
      <c r="AE758" s="1883"/>
      <c r="AF758" s="1883"/>
      <c r="AG758" s="1883"/>
      <c r="AH758" s="1883"/>
      <c r="AI758" s="1883"/>
      <c r="AJ758" s="1883"/>
      <c r="AK758" s="1883"/>
      <c r="AL758" s="1883"/>
      <c r="AM758" s="1883"/>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2175</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60" t="s">
        <v>598</v>
      </c>
      <c r="AE759" s="1760"/>
      <c r="AF759" s="1760"/>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2400</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583</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176</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3" t="s">
        <v>2401</v>
      </c>
      <c r="D763" s="1273"/>
      <c r="E763" s="1273"/>
      <c r="F763" s="1273"/>
      <c r="G763" s="1273"/>
      <c r="H763" s="1273"/>
      <c r="I763" s="1273"/>
      <c r="J763" s="1273"/>
      <c r="K763" s="1273"/>
      <c r="L763" s="1273"/>
      <c r="M763" s="1273"/>
      <c r="N763" s="1273"/>
      <c r="O763" s="1273"/>
      <c r="P763" s="1273"/>
      <c r="Q763" s="1273"/>
      <c r="R763" s="1273"/>
      <c r="S763" s="1273"/>
      <c r="T763" s="1273"/>
      <c r="U763" s="1273"/>
      <c r="V763" s="1273"/>
      <c r="W763" s="1273"/>
      <c r="X763" s="1273"/>
      <c r="Y763" s="1273"/>
      <c r="Z763" s="1273"/>
      <c r="AA763" s="1273"/>
      <c r="AB763" s="1273"/>
      <c r="AC763" s="1273"/>
      <c r="AD763" s="1273"/>
      <c r="AE763" s="1273"/>
      <c r="AF763" s="1273"/>
      <c r="AG763" s="1273"/>
      <c r="AH763" s="1273"/>
      <c r="AI763" s="1273"/>
      <c r="AJ763" s="1273"/>
      <c r="AK763" s="1273"/>
      <c r="AL763" s="1273"/>
      <c r="AM763" s="1273"/>
      <c r="AN763" s="1273"/>
      <c r="AO763" s="1273"/>
      <c r="AP763" s="1273"/>
      <c r="AQ763" s="1273"/>
      <c r="AR763" s="1273"/>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3"/>
      <c r="D764" s="1273"/>
      <c r="E764" s="1273"/>
      <c r="F764" s="1273"/>
      <c r="G764" s="1273"/>
      <c r="H764" s="1273"/>
      <c r="I764" s="1273"/>
      <c r="J764" s="1273"/>
      <c r="K764" s="1273"/>
      <c r="L764" s="1273"/>
      <c r="M764" s="1273"/>
      <c r="N764" s="1273"/>
      <c r="O764" s="1273"/>
      <c r="P764" s="1273"/>
      <c r="Q764" s="1273"/>
      <c r="R764" s="1273"/>
      <c r="S764" s="1273"/>
      <c r="T764" s="1273"/>
      <c r="U764" s="1273"/>
      <c r="V764" s="1273"/>
      <c r="W764" s="1273"/>
      <c r="X764" s="1273"/>
      <c r="Y764" s="1273"/>
      <c r="Z764" s="1273"/>
      <c r="AA764" s="1273"/>
      <c r="AB764" s="1273"/>
      <c r="AC764" s="1273"/>
      <c r="AD764" s="1273"/>
      <c r="AE764" s="1273"/>
      <c r="AF764" s="1273"/>
      <c r="AG764" s="1273"/>
      <c r="AH764" s="1273"/>
      <c r="AI764" s="1273"/>
      <c r="AJ764" s="1273"/>
      <c r="AK764" s="1273"/>
      <c r="AL764" s="1273"/>
      <c r="AM764" s="1273"/>
      <c r="AN764" s="1273"/>
      <c r="AO764" s="1273"/>
      <c r="AP764" s="1273"/>
      <c r="AQ764" s="1273"/>
      <c r="AR764" s="1273"/>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3"/>
      <c r="D765" s="1273"/>
      <c r="E765" s="1273"/>
      <c r="F765" s="1273"/>
      <c r="G765" s="1273"/>
      <c r="H765" s="1273"/>
      <c r="I765" s="1273"/>
      <c r="J765" s="1273"/>
      <c r="K765" s="1273"/>
      <c r="L765" s="1273"/>
      <c r="M765" s="1273"/>
      <c r="N765" s="1273"/>
      <c r="O765" s="1273"/>
      <c r="P765" s="1273"/>
      <c r="Q765" s="1273"/>
      <c r="R765" s="1273"/>
      <c r="S765" s="1273"/>
      <c r="T765" s="1273"/>
      <c r="U765" s="1273"/>
      <c r="V765" s="1273"/>
      <c r="W765" s="1273"/>
      <c r="X765" s="1273"/>
      <c r="Y765" s="1273"/>
      <c r="Z765" s="1273"/>
      <c r="AA765" s="1273"/>
      <c r="AB765" s="1273"/>
      <c r="AC765" s="1273"/>
      <c r="AD765" s="1273"/>
      <c r="AE765" s="1273"/>
      <c r="AF765" s="1273"/>
      <c r="AG765" s="1273"/>
      <c r="AH765" s="1273"/>
      <c r="AI765" s="1273"/>
      <c r="AJ765" s="1273"/>
      <c r="AK765" s="1273"/>
      <c r="AL765" s="1273"/>
      <c r="AM765" s="1273"/>
      <c r="AN765" s="1273"/>
      <c r="AO765" s="1273"/>
      <c r="AP765" s="1273"/>
      <c r="AQ765" s="1273"/>
      <c r="AR765" s="1273"/>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3" t="s">
        <v>2402</v>
      </c>
      <c r="D766" s="1273"/>
      <c r="E766" s="1273"/>
      <c r="F766" s="1273"/>
      <c r="G766" s="1273"/>
      <c r="H766" s="1273"/>
      <c r="I766" s="1273"/>
      <c r="J766" s="1273"/>
      <c r="K766" s="1273"/>
      <c r="L766" s="1273"/>
      <c r="M766" s="1273"/>
      <c r="N766" s="1273"/>
      <c r="O766" s="1273"/>
      <c r="P766" s="1273"/>
      <c r="Q766" s="1273"/>
      <c r="R766" s="1273"/>
      <c r="S766" s="1273"/>
      <c r="T766" s="1273"/>
      <c r="U766" s="1273"/>
      <c r="V766" s="1273"/>
      <c r="W766" s="1273"/>
      <c r="X766" s="1273"/>
      <c r="Y766" s="1273"/>
      <c r="Z766" s="1273"/>
      <c r="AA766" s="1273"/>
      <c r="AB766" s="1273"/>
      <c r="AC766" s="1273"/>
      <c r="AD766" s="1273"/>
      <c r="AE766" s="1273"/>
      <c r="AF766" s="1273"/>
      <c r="AG766" s="1273"/>
      <c r="AH766" s="1273"/>
      <c r="AI766" s="1273"/>
      <c r="AJ766" s="1273"/>
      <c r="AK766" s="1273"/>
      <c r="AL766" s="1273"/>
      <c r="AM766" s="1273"/>
      <c r="AN766" s="1273"/>
      <c r="AO766" s="1273"/>
      <c r="AP766" s="1273"/>
      <c r="AQ766" s="1273"/>
      <c r="AR766" s="1273"/>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3"/>
      <c r="D767" s="1273"/>
      <c r="E767" s="1273"/>
      <c r="F767" s="1273"/>
      <c r="G767" s="1273"/>
      <c r="H767" s="1273"/>
      <c r="I767" s="1273"/>
      <c r="J767" s="1273"/>
      <c r="K767" s="1273"/>
      <c r="L767" s="1273"/>
      <c r="M767" s="1273"/>
      <c r="N767" s="1273"/>
      <c r="O767" s="1273"/>
      <c r="P767" s="1273"/>
      <c r="Q767" s="1273"/>
      <c r="R767" s="1273"/>
      <c r="S767" s="1273"/>
      <c r="T767" s="1273"/>
      <c r="U767" s="1273"/>
      <c r="V767" s="1273"/>
      <c r="W767" s="1273"/>
      <c r="X767" s="1273"/>
      <c r="Y767" s="1273"/>
      <c r="Z767" s="1273"/>
      <c r="AA767" s="1273"/>
      <c r="AB767" s="1273"/>
      <c r="AC767" s="1273"/>
      <c r="AD767" s="1273"/>
      <c r="AE767" s="1273"/>
      <c r="AF767" s="1273"/>
      <c r="AG767" s="1273"/>
      <c r="AH767" s="1273"/>
      <c r="AI767" s="1273"/>
      <c r="AJ767" s="1273"/>
      <c r="AK767" s="1273"/>
      <c r="AL767" s="1273"/>
      <c r="AM767" s="1273"/>
      <c r="AN767" s="1273"/>
      <c r="AO767" s="1273"/>
      <c r="AP767" s="1273"/>
      <c r="AQ767" s="1273"/>
      <c r="AR767" s="1273"/>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3"/>
      <c r="D768" s="1273"/>
      <c r="E768" s="1273"/>
      <c r="F768" s="1273"/>
      <c r="G768" s="1273"/>
      <c r="H768" s="1273"/>
      <c r="I768" s="1273"/>
      <c r="J768" s="1273"/>
      <c r="K768" s="1273"/>
      <c r="L768" s="1273"/>
      <c r="M768" s="1273"/>
      <c r="N768" s="1273"/>
      <c r="O768" s="1273"/>
      <c r="P768" s="1273"/>
      <c r="Q768" s="1273"/>
      <c r="R768" s="1273"/>
      <c r="S768" s="1273"/>
      <c r="T768" s="1273"/>
      <c r="U768" s="1273"/>
      <c r="V768" s="1273"/>
      <c r="W768" s="1273"/>
      <c r="X768" s="1273"/>
      <c r="Y768" s="1273"/>
      <c r="Z768" s="1273"/>
      <c r="AA768" s="1273"/>
      <c r="AB768" s="1273"/>
      <c r="AC768" s="1273"/>
      <c r="AD768" s="1273"/>
      <c r="AE768" s="1273"/>
      <c r="AF768" s="1273"/>
      <c r="AG768" s="1273"/>
      <c r="AH768" s="1273"/>
      <c r="AI768" s="1273"/>
      <c r="AJ768" s="1273"/>
      <c r="AK768" s="1273"/>
      <c r="AL768" s="1273"/>
      <c r="AM768" s="1273"/>
      <c r="AN768" s="1273"/>
      <c r="AO768" s="1273"/>
      <c r="AP768" s="1273"/>
      <c r="AQ768" s="1273"/>
      <c r="AR768" s="1273"/>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538" t="s">
        <v>389</v>
      </c>
      <c r="K769" s="1378"/>
      <c r="L769" s="1378"/>
      <c r="M769" s="1378"/>
      <c r="N769" s="1379"/>
      <c r="O769" s="1647" t="s">
        <v>285</v>
      </c>
      <c r="P769" s="1647"/>
      <c r="Q769" s="1647"/>
      <c r="R769" s="1647"/>
      <c r="S769" s="1647"/>
      <c r="T769" s="1395" t="s">
        <v>1863</v>
      </c>
      <c r="U769" s="1396"/>
      <c r="V769" s="1396"/>
      <c r="W769" s="1397"/>
      <c r="X769" s="1538" t="s">
        <v>454</v>
      </c>
      <c r="Y769" s="1378"/>
      <c r="Z769" s="1378"/>
      <c r="AA769" s="1378"/>
      <c r="AB769" s="1379"/>
      <c r="AC769" s="1538" t="s">
        <v>286</v>
      </c>
      <c r="AD769" s="1378"/>
      <c r="AE769" s="1378"/>
      <c r="AF769" s="1378"/>
      <c r="AG769" s="1379"/>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80"/>
      <c r="K770" s="1381"/>
      <c r="L770" s="1381"/>
      <c r="M770" s="1381"/>
      <c r="N770" s="1382"/>
      <c r="O770" s="1647"/>
      <c r="P770" s="1647"/>
      <c r="Q770" s="1647"/>
      <c r="R770" s="1647"/>
      <c r="S770" s="1647"/>
      <c r="T770" s="1398"/>
      <c r="U770" s="1399"/>
      <c r="V770" s="1399"/>
      <c r="W770" s="1400"/>
      <c r="X770" s="1380"/>
      <c r="Y770" s="1381"/>
      <c r="Z770" s="1381"/>
      <c r="AA770" s="1381"/>
      <c r="AB770" s="1382"/>
      <c r="AC770" s="1380"/>
      <c r="AD770" s="1381"/>
      <c r="AE770" s="1381"/>
      <c r="AF770" s="1381"/>
      <c r="AG770" s="1382"/>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80"/>
      <c r="K771" s="1381"/>
      <c r="L771" s="1381"/>
      <c r="M771" s="1381"/>
      <c r="N771" s="1382"/>
      <c r="O771" s="1647"/>
      <c r="P771" s="1647"/>
      <c r="Q771" s="1647"/>
      <c r="R771" s="1647"/>
      <c r="S771" s="1647"/>
      <c r="T771" s="1398"/>
      <c r="U771" s="1399"/>
      <c r="V771" s="1399"/>
      <c r="W771" s="1400"/>
      <c r="X771" s="1380"/>
      <c r="Y771" s="1381"/>
      <c r="Z771" s="1381"/>
      <c r="AA771" s="1381"/>
      <c r="AB771" s="1382"/>
      <c r="AC771" s="1380"/>
      <c r="AD771" s="1381"/>
      <c r="AE771" s="1381"/>
      <c r="AF771" s="1381"/>
      <c r="AG771" s="1382"/>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83"/>
      <c r="K772" s="1384"/>
      <c r="L772" s="1384"/>
      <c r="M772" s="1384"/>
      <c r="N772" s="1385"/>
      <c r="O772" s="1647"/>
      <c r="P772" s="1647"/>
      <c r="Q772" s="1647"/>
      <c r="R772" s="1647"/>
      <c r="S772" s="1647"/>
      <c r="T772" s="1624"/>
      <c r="U772" s="1625"/>
      <c r="V772" s="1625"/>
      <c r="W772" s="1626"/>
      <c r="X772" s="1383"/>
      <c r="Y772" s="1384"/>
      <c r="Z772" s="1384"/>
      <c r="AA772" s="1384"/>
      <c r="AB772" s="1385"/>
      <c r="AC772" s="1383"/>
      <c r="AD772" s="1384"/>
      <c r="AE772" s="1384"/>
      <c r="AF772" s="1384"/>
      <c r="AG772" s="1385"/>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66" t="s">
        <v>163</v>
      </c>
      <c r="K773" s="1367"/>
      <c r="L773" s="1367"/>
      <c r="M773" s="1367"/>
      <c r="N773" s="1368"/>
      <c r="O773" s="1369">
        <v>1</v>
      </c>
      <c r="P773" s="1370"/>
      <c r="Q773" s="1370"/>
      <c r="R773" s="1370"/>
      <c r="S773" s="1371"/>
      <c r="T773" s="1360">
        <v>754</v>
      </c>
      <c r="U773" s="1361"/>
      <c r="V773" s="1361"/>
      <c r="W773" s="1362"/>
      <c r="X773" s="1363">
        <v>0</v>
      </c>
      <c r="Y773" s="1364"/>
      <c r="Z773" s="1364"/>
      <c r="AA773" s="1364"/>
      <c r="AB773" s="1365"/>
      <c r="AC773" s="1386">
        <f>X773*O773</f>
        <v>0</v>
      </c>
      <c r="AD773" s="1387"/>
      <c r="AE773" s="1387"/>
      <c r="AF773" s="1387"/>
      <c r="AG773" s="1388"/>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66"/>
      <c r="K774" s="1367"/>
      <c r="L774" s="1367"/>
      <c r="M774" s="1367"/>
      <c r="N774" s="1368"/>
      <c r="O774" s="1527"/>
      <c r="P774" s="1527"/>
      <c r="Q774" s="1527"/>
      <c r="R774" s="1527"/>
      <c r="S774" s="1527"/>
      <c r="T774" s="1360"/>
      <c r="U774" s="1361"/>
      <c r="V774" s="1361"/>
      <c r="W774" s="1362"/>
      <c r="X774" s="1363"/>
      <c r="Y774" s="1364"/>
      <c r="Z774" s="1364"/>
      <c r="AA774" s="1364"/>
      <c r="AB774" s="1365"/>
      <c r="AC774" s="1386">
        <f>X774*O774</f>
        <v>0</v>
      </c>
      <c r="AD774" s="1387"/>
      <c r="AE774" s="1387"/>
      <c r="AF774" s="1387"/>
      <c r="AG774" s="1388"/>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66"/>
      <c r="K775" s="1367"/>
      <c r="L775" s="1367"/>
      <c r="M775" s="1367"/>
      <c r="N775" s="1368"/>
      <c r="O775" s="1527"/>
      <c r="P775" s="1527"/>
      <c r="Q775" s="1527"/>
      <c r="R775" s="1527"/>
      <c r="S775" s="1527"/>
      <c r="T775" s="1360"/>
      <c r="U775" s="1361"/>
      <c r="V775" s="1361"/>
      <c r="W775" s="1362"/>
      <c r="X775" s="1363"/>
      <c r="Y775" s="1364"/>
      <c r="Z775" s="1364"/>
      <c r="AA775" s="1364"/>
      <c r="AB775" s="1365"/>
      <c r="AC775" s="1386">
        <f>X775*O775</f>
        <v>0</v>
      </c>
      <c r="AD775" s="1387"/>
      <c r="AE775" s="1387"/>
      <c r="AF775" s="1387"/>
      <c r="AG775" s="1388"/>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66"/>
      <c r="K776" s="1367"/>
      <c r="L776" s="1367"/>
      <c r="M776" s="1367"/>
      <c r="N776" s="1368"/>
      <c r="O776" s="1527"/>
      <c r="P776" s="1527"/>
      <c r="Q776" s="1527"/>
      <c r="R776" s="1527"/>
      <c r="S776" s="1527"/>
      <c r="T776" s="1360"/>
      <c r="U776" s="1361"/>
      <c r="V776" s="1361"/>
      <c r="W776" s="1362"/>
      <c r="X776" s="1363"/>
      <c r="Y776" s="1364"/>
      <c r="Z776" s="1364"/>
      <c r="AA776" s="1364"/>
      <c r="AB776" s="1365"/>
      <c r="AC776" s="1386">
        <f>X776*O776</f>
        <v>0</v>
      </c>
      <c r="AD776" s="1387"/>
      <c r="AE776" s="1387"/>
      <c r="AF776" s="1387"/>
      <c r="AG776" s="1388"/>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617" t="s">
        <v>125</v>
      </c>
      <c r="K777" s="1618"/>
      <c r="L777" s="1618"/>
      <c r="M777" s="1618"/>
      <c r="N777" s="1619"/>
      <c r="O777" s="1401">
        <f>SUM(O773:S776)</f>
        <v>1</v>
      </c>
      <c r="P777" s="1402"/>
      <c r="Q777" s="1402"/>
      <c r="R777" s="1402"/>
      <c r="S777" s="1403"/>
      <c r="X777" s="1617" t="s">
        <v>124</v>
      </c>
      <c r="Y777" s="1618"/>
      <c r="Z777" s="1618"/>
      <c r="AA777" s="1618"/>
      <c r="AB777" s="1619"/>
      <c r="AC777" s="1386">
        <f>SUM(AC773:AG776)</f>
        <v>0</v>
      </c>
      <c r="AD777" s="1387"/>
      <c r="AE777" s="1387"/>
      <c r="AF777" s="1387"/>
      <c r="AG777" s="1388"/>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429" t="s">
        <v>676</v>
      </c>
      <c r="K779" s="1429"/>
      <c r="L779" s="56"/>
      <c r="M779" s="35" t="s">
        <v>993</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2403</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593</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538" t="s">
        <v>389</v>
      </c>
      <c r="K783" s="1378"/>
      <c r="L783" s="1378"/>
      <c r="M783" s="1378"/>
      <c r="N783" s="1379"/>
      <c r="O783" s="1647" t="s">
        <v>285</v>
      </c>
      <c r="P783" s="1647"/>
      <c r="Q783" s="1647"/>
      <c r="R783" s="1647"/>
      <c r="S783" s="1647"/>
      <c r="T783" s="1395" t="s">
        <v>1863</v>
      </c>
      <c r="U783" s="1396"/>
      <c r="V783" s="1396"/>
      <c r="W783" s="1397"/>
      <c r="X783" s="1538" t="s">
        <v>454</v>
      </c>
      <c r="Y783" s="1378"/>
      <c r="Z783" s="1378"/>
      <c r="AA783" s="1378"/>
      <c r="AB783" s="1379"/>
      <c r="AC783" s="1538" t="s">
        <v>286</v>
      </c>
      <c r="AD783" s="1378"/>
      <c r="AE783" s="1378"/>
      <c r="AF783" s="1378"/>
      <c r="AG783" s="1379"/>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80"/>
      <c r="K784" s="1381"/>
      <c r="L784" s="1381"/>
      <c r="M784" s="1381"/>
      <c r="N784" s="1382"/>
      <c r="O784" s="1647"/>
      <c r="P784" s="1647"/>
      <c r="Q784" s="1647"/>
      <c r="R784" s="1647"/>
      <c r="S784" s="1647"/>
      <c r="T784" s="1398"/>
      <c r="U784" s="1399"/>
      <c r="V784" s="1399"/>
      <c r="W784" s="1400"/>
      <c r="X784" s="1380"/>
      <c r="Y784" s="1381"/>
      <c r="Z784" s="1381"/>
      <c r="AA784" s="1381"/>
      <c r="AB784" s="1382"/>
      <c r="AC784" s="1380"/>
      <c r="AD784" s="1381"/>
      <c r="AE784" s="1381"/>
      <c r="AF784" s="1381"/>
      <c r="AG784" s="1382"/>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80"/>
      <c r="K785" s="1381"/>
      <c r="L785" s="1381"/>
      <c r="M785" s="1381"/>
      <c r="N785" s="1382"/>
      <c r="O785" s="1647"/>
      <c r="P785" s="1647"/>
      <c r="Q785" s="1647"/>
      <c r="R785" s="1647"/>
      <c r="S785" s="1647"/>
      <c r="T785" s="1398"/>
      <c r="U785" s="1399"/>
      <c r="V785" s="1399"/>
      <c r="W785" s="1400"/>
      <c r="X785" s="1380"/>
      <c r="Y785" s="1381"/>
      <c r="Z785" s="1381"/>
      <c r="AA785" s="1381"/>
      <c r="AB785" s="1382"/>
      <c r="AC785" s="1380"/>
      <c r="AD785" s="1381"/>
      <c r="AE785" s="1381"/>
      <c r="AF785" s="1381"/>
      <c r="AG785" s="1382"/>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83"/>
      <c r="K786" s="1384"/>
      <c r="L786" s="1384"/>
      <c r="M786" s="1384"/>
      <c r="N786" s="1385"/>
      <c r="O786" s="1647"/>
      <c r="P786" s="1647"/>
      <c r="Q786" s="1647"/>
      <c r="R786" s="1647"/>
      <c r="S786" s="1647"/>
      <c r="T786" s="1624"/>
      <c r="U786" s="1625"/>
      <c r="V786" s="1625"/>
      <c r="W786" s="1626"/>
      <c r="X786" s="1383"/>
      <c r="Y786" s="1384"/>
      <c r="Z786" s="1384"/>
      <c r="AA786" s="1384"/>
      <c r="AB786" s="1385"/>
      <c r="AC786" s="1383"/>
      <c r="AD786" s="1384"/>
      <c r="AE786" s="1384"/>
      <c r="AF786" s="1384"/>
      <c r="AG786" s="1385"/>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66"/>
      <c r="K787" s="1367"/>
      <c r="L787" s="1367"/>
      <c r="M787" s="1367"/>
      <c r="N787" s="1368"/>
      <c r="O787" s="1527"/>
      <c r="P787" s="1527"/>
      <c r="Q787" s="1527"/>
      <c r="R787" s="1527"/>
      <c r="S787" s="1527"/>
      <c r="T787" s="1360"/>
      <c r="U787" s="1361"/>
      <c r="V787" s="1361"/>
      <c r="W787" s="1362"/>
      <c r="X787" s="1363"/>
      <c r="Y787" s="1364"/>
      <c r="Z787" s="1364"/>
      <c r="AA787" s="1364"/>
      <c r="AB787" s="1365"/>
      <c r="AC787" s="1386">
        <f t="shared" ref="AC787:AC796" si="66">X787*O787</f>
        <v>0</v>
      </c>
      <c r="AD787" s="1387"/>
      <c r="AE787" s="1387"/>
      <c r="AF787" s="1387"/>
      <c r="AG787" s="1388"/>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66"/>
      <c r="K788" s="1367"/>
      <c r="L788" s="1367"/>
      <c r="M788" s="1367"/>
      <c r="N788" s="1368"/>
      <c r="O788" s="1527"/>
      <c r="P788" s="1527"/>
      <c r="Q788" s="1527"/>
      <c r="R788" s="1527"/>
      <c r="S788" s="1527"/>
      <c r="T788" s="1360"/>
      <c r="U788" s="1361"/>
      <c r="V788" s="1361"/>
      <c r="W788" s="1362"/>
      <c r="X788" s="1363"/>
      <c r="Y788" s="1364"/>
      <c r="Z788" s="1364"/>
      <c r="AA788" s="1364"/>
      <c r="AB788" s="1365"/>
      <c r="AC788" s="1386">
        <f t="shared" si="66"/>
        <v>0</v>
      </c>
      <c r="AD788" s="1387"/>
      <c r="AE788" s="1387"/>
      <c r="AF788" s="1387"/>
      <c r="AG788" s="1388"/>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66"/>
      <c r="K789" s="1367"/>
      <c r="L789" s="1367"/>
      <c r="M789" s="1367"/>
      <c r="N789" s="1368"/>
      <c r="O789" s="1527"/>
      <c r="P789" s="1527"/>
      <c r="Q789" s="1527"/>
      <c r="R789" s="1527"/>
      <c r="S789" s="1527"/>
      <c r="T789" s="1360"/>
      <c r="U789" s="1361"/>
      <c r="V789" s="1361"/>
      <c r="W789" s="1362"/>
      <c r="X789" s="1363"/>
      <c r="Y789" s="1364"/>
      <c r="Z789" s="1364"/>
      <c r="AA789" s="1364"/>
      <c r="AB789" s="1365"/>
      <c r="AC789" s="1386">
        <f t="shared" si="66"/>
        <v>0</v>
      </c>
      <c r="AD789" s="1387"/>
      <c r="AE789" s="1387"/>
      <c r="AF789" s="1387"/>
      <c r="AG789" s="1388"/>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66"/>
      <c r="K790" s="1367"/>
      <c r="L790" s="1367"/>
      <c r="M790" s="1367"/>
      <c r="N790" s="1368"/>
      <c r="O790" s="1527"/>
      <c r="P790" s="1527"/>
      <c r="Q790" s="1527"/>
      <c r="R790" s="1527"/>
      <c r="S790" s="1527"/>
      <c r="T790" s="1360"/>
      <c r="U790" s="1361"/>
      <c r="V790" s="1361"/>
      <c r="W790" s="1362"/>
      <c r="X790" s="1363"/>
      <c r="Y790" s="1364"/>
      <c r="Z790" s="1364"/>
      <c r="AA790" s="1364"/>
      <c r="AB790" s="1365"/>
      <c r="AC790" s="1386">
        <f t="shared" si="66"/>
        <v>0</v>
      </c>
      <c r="AD790" s="1387"/>
      <c r="AE790" s="1387"/>
      <c r="AF790" s="1387"/>
      <c r="AG790" s="1388"/>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66"/>
      <c r="K791" s="1367"/>
      <c r="L791" s="1367"/>
      <c r="M791" s="1367"/>
      <c r="N791" s="1368"/>
      <c r="O791" s="1527"/>
      <c r="P791" s="1527"/>
      <c r="Q791" s="1527"/>
      <c r="R791" s="1527"/>
      <c r="S791" s="1527"/>
      <c r="T791" s="1360"/>
      <c r="U791" s="1361"/>
      <c r="V791" s="1361"/>
      <c r="W791" s="1362"/>
      <c r="X791" s="1363"/>
      <c r="Y791" s="1364"/>
      <c r="Z791" s="1364"/>
      <c r="AA791" s="1364"/>
      <c r="AB791" s="1365"/>
      <c r="AC791" s="1386">
        <f t="shared" si="66"/>
        <v>0</v>
      </c>
      <c r="AD791" s="1387"/>
      <c r="AE791" s="1387"/>
      <c r="AF791" s="1387"/>
      <c r="AG791" s="1388"/>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66"/>
      <c r="K792" s="1367"/>
      <c r="L792" s="1367"/>
      <c r="M792" s="1367"/>
      <c r="N792" s="1368"/>
      <c r="O792" s="1527"/>
      <c r="P792" s="1527"/>
      <c r="Q792" s="1527"/>
      <c r="R792" s="1527"/>
      <c r="S792" s="1527"/>
      <c r="T792" s="1360"/>
      <c r="U792" s="1361"/>
      <c r="V792" s="1361"/>
      <c r="W792" s="1362"/>
      <c r="X792" s="1363"/>
      <c r="Y792" s="1364"/>
      <c r="Z792" s="1364"/>
      <c r="AA792" s="1364"/>
      <c r="AB792" s="1365"/>
      <c r="AC792" s="1386">
        <f t="shared" si="66"/>
        <v>0</v>
      </c>
      <c r="AD792" s="1387"/>
      <c r="AE792" s="1387"/>
      <c r="AF792" s="1387"/>
      <c r="AG792" s="1388"/>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66"/>
      <c r="K793" s="1367"/>
      <c r="L793" s="1367"/>
      <c r="M793" s="1367"/>
      <c r="N793" s="1368"/>
      <c r="O793" s="1527"/>
      <c r="P793" s="1527"/>
      <c r="Q793" s="1527"/>
      <c r="R793" s="1527"/>
      <c r="S793" s="1527"/>
      <c r="T793" s="1360"/>
      <c r="U793" s="1361"/>
      <c r="V793" s="1361"/>
      <c r="W793" s="1362"/>
      <c r="X793" s="1363"/>
      <c r="Y793" s="1364"/>
      <c r="Z793" s="1364"/>
      <c r="AA793" s="1364"/>
      <c r="AB793" s="1365"/>
      <c r="AC793" s="1386">
        <f t="shared" si="66"/>
        <v>0</v>
      </c>
      <c r="AD793" s="1387"/>
      <c r="AE793" s="1387"/>
      <c r="AF793" s="1387"/>
      <c r="AG793" s="1388"/>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66"/>
      <c r="K794" s="1367"/>
      <c r="L794" s="1367"/>
      <c r="M794" s="1367"/>
      <c r="N794" s="1368"/>
      <c r="O794" s="1527"/>
      <c r="P794" s="1527"/>
      <c r="Q794" s="1527"/>
      <c r="R794" s="1527"/>
      <c r="S794" s="1527"/>
      <c r="T794" s="1360"/>
      <c r="U794" s="1361"/>
      <c r="V794" s="1361"/>
      <c r="W794" s="1362"/>
      <c r="X794" s="1363"/>
      <c r="Y794" s="1364"/>
      <c r="Z794" s="1364"/>
      <c r="AA794" s="1364"/>
      <c r="AB794" s="1365"/>
      <c r="AC794" s="1386">
        <f t="shared" si="66"/>
        <v>0</v>
      </c>
      <c r="AD794" s="1387"/>
      <c r="AE794" s="1387"/>
      <c r="AF794" s="1387"/>
      <c r="AG794" s="1388"/>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66"/>
      <c r="K795" s="1367"/>
      <c r="L795" s="1367"/>
      <c r="M795" s="1367"/>
      <c r="N795" s="1368"/>
      <c r="O795" s="1527"/>
      <c r="P795" s="1527"/>
      <c r="Q795" s="1527"/>
      <c r="R795" s="1527"/>
      <c r="S795" s="1527"/>
      <c r="T795" s="1360"/>
      <c r="U795" s="1361"/>
      <c r="V795" s="1361"/>
      <c r="W795" s="1362"/>
      <c r="X795" s="1363"/>
      <c r="Y795" s="1364"/>
      <c r="Z795" s="1364"/>
      <c r="AA795" s="1364"/>
      <c r="AB795" s="1365"/>
      <c r="AC795" s="1386">
        <f t="shared" si="66"/>
        <v>0</v>
      </c>
      <c r="AD795" s="1387"/>
      <c r="AE795" s="1387"/>
      <c r="AF795" s="1387"/>
      <c r="AG795" s="1388"/>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66"/>
      <c r="K796" s="1367"/>
      <c r="L796" s="1367"/>
      <c r="M796" s="1367"/>
      <c r="N796" s="1368"/>
      <c r="O796" s="1527"/>
      <c r="P796" s="1527"/>
      <c r="Q796" s="1527"/>
      <c r="R796" s="1527"/>
      <c r="S796" s="1527"/>
      <c r="T796" s="1360"/>
      <c r="U796" s="1361"/>
      <c r="V796" s="1361"/>
      <c r="W796" s="1362"/>
      <c r="X796" s="1363"/>
      <c r="Y796" s="1364"/>
      <c r="Z796" s="1364"/>
      <c r="AA796" s="1364"/>
      <c r="AB796" s="1365"/>
      <c r="AC796" s="1386">
        <f t="shared" si="66"/>
        <v>0</v>
      </c>
      <c r="AD796" s="1387"/>
      <c r="AE796" s="1387"/>
      <c r="AF796" s="1387"/>
      <c r="AG796" s="1388"/>
      <c r="AH796"/>
      <c r="AI796"/>
      <c r="AJ796"/>
      <c r="AK796"/>
      <c r="AL796"/>
      <c r="AM796"/>
      <c r="AN796"/>
      <c r="AO796"/>
      <c r="AP796"/>
      <c r="AQ796"/>
      <c r="AR796"/>
      <c r="AS796"/>
      <c r="AT796"/>
      <c r="AU796"/>
      <c r="AV796"/>
      <c r="AW796"/>
      <c r="AX796"/>
      <c r="AY796"/>
      <c r="AZ796" s="3"/>
      <c r="BB796" s="14" t="s">
        <v>639</v>
      </c>
      <c r="BC796" s="14"/>
      <c r="BD796" s="14"/>
      <c r="BE796" s="14"/>
      <c r="BF796" s="14"/>
      <c r="BG796" s="14"/>
      <c r="BH796" s="14"/>
      <c r="BI796" s="14"/>
      <c r="BJ796" s="14"/>
      <c r="BK796" s="14"/>
      <c r="BL796" s="14"/>
      <c r="BM796" s="14"/>
      <c r="BN796" s="1752" t="s">
        <v>476</v>
      </c>
      <c r="BO796" s="1753"/>
      <c r="BP796" s="3"/>
      <c r="BQ796" s="3"/>
      <c r="BR796" s="3"/>
      <c r="BS796" s="14" t="s">
        <v>641</v>
      </c>
      <c r="BT796" s="14"/>
      <c r="BU796" s="14"/>
      <c r="BV796" s="14"/>
      <c r="BW796" s="14"/>
      <c r="BX796" s="14"/>
      <c r="BY796" s="14"/>
      <c r="BZ796" s="14"/>
      <c r="CA796" s="14"/>
      <c r="CB796" s="1749" t="str">
        <f>T189</f>
        <v>San Mateo</v>
      </c>
      <c r="CC796" s="1750"/>
      <c r="CD796" s="1750"/>
      <c r="CE796" s="1750"/>
      <c r="CF796" s="1750"/>
      <c r="CG796" s="1750"/>
      <c r="CH796" s="1751"/>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617" t="s">
        <v>125</v>
      </c>
      <c r="K797" s="1618"/>
      <c r="L797" s="1618"/>
      <c r="M797" s="1618"/>
      <c r="N797" s="1619"/>
      <c r="O797" s="1633">
        <f>SUM(O787:S796)</f>
        <v>0</v>
      </c>
      <c r="P797" s="1633"/>
      <c r="Q797" s="1633"/>
      <c r="R797" s="1633"/>
      <c r="S797" s="1633"/>
      <c r="T797"/>
      <c r="U797"/>
      <c r="V797"/>
      <c r="W797"/>
      <c r="X797" s="937" t="s">
        <v>124</v>
      </c>
      <c r="Y797" s="11"/>
      <c r="Z797" s="11"/>
      <c r="AA797" s="11"/>
      <c r="AB797" s="944"/>
      <c r="AC797" s="1386">
        <f>SUM(AC787:AG796)</f>
        <v>0</v>
      </c>
      <c r="AD797" s="1387"/>
      <c r="AE797" s="1387"/>
      <c r="AF797" s="1387"/>
      <c r="AG797" s="1388"/>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83" t="str">
        <f>IF(O797&lt;&gt;AG438,"! Total market rate units in the Unit Mix Table above does not match the number of  market rate units on row #"&amp;TEXT(ROW(D438),"#"),"")</f>
        <v/>
      </c>
      <c r="D798" s="1483"/>
      <c r="E798" s="1483"/>
      <c r="F798" s="1483"/>
      <c r="G798" s="1483"/>
      <c r="H798" s="1483"/>
      <c r="I798" s="1483"/>
      <c r="J798" s="1483"/>
      <c r="K798" s="1483"/>
      <c r="L798" s="1483"/>
      <c r="M798" s="1483"/>
      <c r="N798" s="1483"/>
      <c r="O798" s="1483"/>
      <c r="P798" s="1483"/>
      <c r="Q798" s="1483"/>
      <c r="R798" s="1483"/>
      <c r="S798" s="1483"/>
      <c r="T798" s="1483"/>
      <c r="U798" s="1483"/>
      <c r="V798" s="1483"/>
      <c r="W798" s="1483"/>
      <c r="X798" s="1483"/>
      <c r="Y798" s="1483"/>
      <c r="Z798" s="1483"/>
      <c r="AA798" s="1483"/>
      <c r="AB798" s="1483"/>
      <c r="AC798" s="1483"/>
      <c r="AD798" s="1483"/>
      <c r="AE798" s="1483"/>
      <c r="AF798" s="1483"/>
      <c r="AG798" s="1483"/>
      <c r="AH798" s="1483"/>
      <c r="AI798" s="1483"/>
      <c r="AJ798" s="1483"/>
      <c r="AK798" s="1483"/>
      <c r="AL798" s="1483"/>
      <c r="AM798" s="1483"/>
      <c r="AN798" s="1483"/>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476</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83"/>
      <c r="D799" s="1483"/>
      <c r="E799" s="1483"/>
      <c r="F799" s="1483"/>
      <c r="G799" s="1483"/>
      <c r="H799" s="1483"/>
      <c r="I799" s="1483"/>
      <c r="J799" s="1483"/>
      <c r="K799" s="1483"/>
      <c r="L799" s="1483"/>
      <c r="M799" s="1483"/>
      <c r="N799" s="1483"/>
      <c r="O799" s="1483"/>
      <c r="P799" s="1483"/>
      <c r="Q799" s="1483"/>
      <c r="R799" s="1483"/>
      <c r="S799" s="1483"/>
      <c r="T799" s="1483"/>
      <c r="U799" s="1483"/>
      <c r="V799" s="1483"/>
      <c r="W799" s="1483"/>
      <c r="X799" s="1483"/>
      <c r="Y799" s="1483"/>
      <c r="Z799" s="1483"/>
      <c r="AA799" s="1483"/>
      <c r="AB799" s="1483"/>
      <c r="AC799" s="1483"/>
      <c r="AD799" s="1483"/>
      <c r="AE799" s="1483"/>
      <c r="AF799" s="1483"/>
      <c r="AG799" s="1483"/>
      <c r="AH799" s="1483"/>
      <c r="AI799" s="1483"/>
      <c r="AJ799" s="1483"/>
      <c r="AK799" s="1483"/>
      <c r="AL799" s="1483"/>
      <c r="AM799" s="1483"/>
      <c r="AN799" s="1483"/>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475</v>
      </c>
      <c r="BO799" s="31" t="s">
        <v>2627</v>
      </c>
      <c r="BP799" s="32"/>
      <c r="BQ799" s="32"/>
      <c r="BR799" s="32"/>
      <c r="BS799" s="32"/>
      <c r="BT799" s="32"/>
      <c r="BU799" s="14"/>
      <c r="BV799" s="31" t="s">
        <v>2628</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627">
        <f>O753+AC777+AC797</f>
        <v>134503</v>
      </c>
      <c r="Z800" s="1627"/>
      <c r="AA800" s="1627"/>
      <c r="AB800" s="1627"/>
      <c r="AC800" s="1627"/>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27">
        <f>(O753+AC777+AC797)*12</f>
        <v>1614036</v>
      </c>
      <c r="Z801" s="1627"/>
      <c r="AA801" s="1627"/>
      <c r="AB801" s="1627"/>
      <c r="AC801" s="1627"/>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476</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596</v>
      </c>
      <c r="B803" s="2"/>
      <c r="C803" s="2" t="s">
        <v>619</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932</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640</v>
      </c>
      <c r="BQ805" s="72" t="s">
        <v>325</v>
      </c>
      <c r="BR805" s="72" t="s">
        <v>163</v>
      </c>
      <c r="BS805" s="72" t="s">
        <v>164</v>
      </c>
      <c r="BT805" s="72" t="s">
        <v>467</v>
      </c>
      <c r="BU805" s="14"/>
      <c r="BV805" s="14"/>
      <c r="BW805" s="71" t="s">
        <v>640</v>
      </c>
      <c r="BX805" s="72" t="s">
        <v>325</v>
      </c>
      <c r="BY805" s="72" t="s">
        <v>163</v>
      </c>
      <c r="BZ805" s="72" t="s">
        <v>164</v>
      </c>
      <c r="CA805" s="72" t="s">
        <v>467</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754">
        <v>24</v>
      </c>
      <c r="AA806" s="1622"/>
      <c r="AB806" s="1622"/>
      <c r="AC806" s="1622"/>
      <c r="AD806" s="1622"/>
      <c r="AE806" s="1623"/>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643</v>
      </c>
      <c r="BP806" s="351">
        <v>473390</v>
      </c>
      <c r="BQ806" s="351">
        <v>545814</v>
      </c>
      <c r="BR806" s="351">
        <v>658400</v>
      </c>
      <c r="BS806" s="351">
        <v>842752</v>
      </c>
      <c r="BT806" s="351">
        <v>938878</v>
      </c>
      <c r="BU806" s="14"/>
      <c r="BV806" s="23" t="s">
        <v>643</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621">
        <v>20</v>
      </c>
      <c r="AA807" s="1622"/>
      <c r="AB807" s="1622"/>
      <c r="AC807" s="1622"/>
      <c r="AD807" s="1622"/>
      <c r="AE807" s="1623"/>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644</v>
      </c>
      <c r="BP807" s="349">
        <v>352022</v>
      </c>
      <c r="BQ807" s="349">
        <v>405878</v>
      </c>
      <c r="BR807" s="349">
        <v>489600</v>
      </c>
      <c r="BS807" s="349">
        <v>626688</v>
      </c>
      <c r="BT807" s="349">
        <v>698170</v>
      </c>
      <c r="BU807" s="14"/>
      <c r="BV807" s="23" t="s">
        <v>644</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49">
        <v>53723</v>
      </c>
      <c r="AA808" s="1650"/>
      <c r="AB808" s="1650"/>
      <c r="AC808" s="1650"/>
      <c r="AD808" s="1650"/>
      <c r="AE808" s="1651"/>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339</v>
      </c>
      <c r="BP808" s="351">
        <v>352022</v>
      </c>
      <c r="BQ808" s="351">
        <v>405878</v>
      </c>
      <c r="BR808" s="351">
        <v>489600</v>
      </c>
      <c r="BS808" s="351">
        <v>626688</v>
      </c>
      <c r="BT808" s="351">
        <v>698170</v>
      </c>
      <c r="BU808" s="14"/>
      <c r="BV808" s="23" t="s">
        <v>339</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4">
        <f>'Subsidy Contract Calculation'!J40</f>
        <v>556296</v>
      </c>
      <c r="AA809" s="1615"/>
      <c r="AB809" s="1615"/>
      <c r="AC809" s="1615"/>
      <c r="AD809" s="1615"/>
      <c r="AE809" s="1616"/>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667</v>
      </c>
      <c r="BP809" s="349">
        <v>319236</v>
      </c>
      <c r="BQ809" s="349">
        <v>368076</v>
      </c>
      <c r="BR809" s="349">
        <v>444000</v>
      </c>
      <c r="BS809" s="349">
        <v>568320</v>
      </c>
      <c r="BT809" s="349">
        <v>633144</v>
      </c>
      <c r="BU809" s="14"/>
      <c r="BV809" s="23" t="s">
        <v>667</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668</v>
      </c>
      <c r="BP810" s="351">
        <v>352022</v>
      </c>
      <c r="BQ810" s="351">
        <v>405878</v>
      </c>
      <c r="BR810" s="351">
        <v>489600</v>
      </c>
      <c r="BS810" s="351">
        <v>626688</v>
      </c>
      <c r="BT810" s="351">
        <v>698170</v>
      </c>
      <c r="BU810" s="14"/>
      <c r="BV810" s="23" t="s">
        <v>668</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597</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669</v>
      </c>
      <c r="BP811" s="349">
        <v>352022</v>
      </c>
      <c r="BQ811" s="349">
        <v>405878</v>
      </c>
      <c r="BR811" s="349">
        <v>489600</v>
      </c>
      <c r="BS811" s="349">
        <v>626688</v>
      </c>
      <c r="BT811" s="349">
        <v>698170</v>
      </c>
      <c r="BU811" s="14"/>
      <c r="BV811" s="23" t="s">
        <v>669</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670</v>
      </c>
      <c r="BP812" s="351">
        <v>473390</v>
      </c>
      <c r="BQ812" s="351">
        <v>545814</v>
      </c>
      <c r="BR812" s="351">
        <v>658400</v>
      </c>
      <c r="BS812" s="351">
        <v>842752</v>
      </c>
      <c r="BT812" s="351">
        <v>938878</v>
      </c>
      <c r="BU812" s="14"/>
      <c r="BV812" s="23" t="s">
        <v>670</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605">
        <f>(8*12*85)</f>
        <v>8160</v>
      </c>
      <c r="AA813" s="1606"/>
      <c r="AB813" s="1606"/>
      <c r="AC813" s="1606"/>
      <c r="AD813" s="1606"/>
      <c r="AE813" s="1607"/>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671</v>
      </c>
      <c r="BP813" s="349">
        <v>352022</v>
      </c>
      <c r="BQ813" s="349">
        <v>405878</v>
      </c>
      <c r="BR813" s="349">
        <v>489600</v>
      </c>
      <c r="BS813" s="349">
        <v>626688</v>
      </c>
      <c r="BT813" s="349">
        <v>698170</v>
      </c>
      <c r="BU813" s="14"/>
      <c r="BV813" s="23" t="s">
        <v>671</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605"/>
      <c r="AA814" s="1606"/>
      <c r="AB814" s="1606"/>
      <c r="AC814" s="1606"/>
      <c r="AD814" s="1606"/>
      <c r="AE814" s="1607"/>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672</v>
      </c>
      <c r="BP814" s="351">
        <v>331890</v>
      </c>
      <c r="BQ814" s="351">
        <v>382666</v>
      </c>
      <c r="BR814" s="351">
        <v>461600</v>
      </c>
      <c r="BS814" s="351">
        <v>590848</v>
      </c>
      <c r="BT814" s="351">
        <v>658242</v>
      </c>
      <c r="BU814" s="14"/>
      <c r="BV814" s="23" t="s">
        <v>672</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605"/>
      <c r="AA815" s="1606"/>
      <c r="AB815" s="1606"/>
      <c r="AC815" s="1606"/>
      <c r="AD815" s="1606"/>
      <c r="AE815" s="1607"/>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674</v>
      </c>
      <c r="BP815" s="349">
        <v>307732</v>
      </c>
      <c r="BQ815" s="349">
        <v>354812</v>
      </c>
      <c r="BR815" s="349">
        <v>428000</v>
      </c>
      <c r="BS815" s="349">
        <v>547840</v>
      </c>
      <c r="BT815" s="349">
        <v>610328</v>
      </c>
      <c r="BU815" s="14"/>
      <c r="BV815" s="23" t="s">
        <v>674</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641" t="s">
        <v>2763</v>
      </c>
      <c r="Q816" s="1642"/>
      <c r="R816" s="1642"/>
      <c r="S816" s="1642"/>
      <c r="T816" s="1642"/>
      <c r="U816" s="1642"/>
      <c r="V816" s="1642"/>
      <c r="W816" s="1642"/>
      <c r="X816" s="1642"/>
      <c r="Y816" s="1643"/>
      <c r="Z816" s="1605">
        <v>10000</v>
      </c>
      <c r="AA816" s="1606"/>
      <c r="AB816" s="1606"/>
      <c r="AC816" s="1606"/>
      <c r="AD816" s="1606"/>
      <c r="AE816" s="1607"/>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677</v>
      </c>
      <c r="BP816" s="351">
        <v>352022</v>
      </c>
      <c r="BQ816" s="351">
        <v>405878</v>
      </c>
      <c r="BR816" s="351">
        <v>489600</v>
      </c>
      <c r="BS816" s="351">
        <v>626688</v>
      </c>
      <c r="BT816" s="351">
        <v>698170</v>
      </c>
      <c r="BU816" s="14"/>
      <c r="BV816" s="23" t="s">
        <v>677</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4">
        <f>SUM(Z813:AE816)</f>
        <v>18160</v>
      </c>
      <c r="AA817" s="1615"/>
      <c r="AB817" s="1615"/>
      <c r="AC817" s="1615"/>
      <c r="AD817" s="1615"/>
      <c r="AE817" s="1616"/>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678</v>
      </c>
      <c r="BP817" s="349">
        <v>352022</v>
      </c>
      <c r="BQ817" s="349">
        <v>405878</v>
      </c>
      <c r="BR817" s="349">
        <v>489600</v>
      </c>
      <c r="BS817" s="349">
        <v>626688</v>
      </c>
      <c r="BT817" s="349">
        <v>698170</v>
      </c>
      <c r="BU817" s="14"/>
      <c r="BV817" s="23" t="s">
        <v>678</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651</v>
      </c>
      <c r="Z818" s="1614">
        <f>Z817+Y801+Z809</f>
        <v>2188492</v>
      </c>
      <c r="AA818" s="1615"/>
      <c r="AB818" s="1615"/>
      <c r="AC818" s="1615"/>
      <c r="AD818" s="1615"/>
      <c r="AE818" s="1616"/>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680</v>
      </c>
      <c r="BP818" s="351">
        <v>314634</v>
      </c>
      <c r="BQ818" s="351">
        <v>362770</v>
      </c>
      <c r="BR818" s="351">
        <v>437600</v>
      </c>
      <c r="BS818" s="351">
        <v>560128</v>
      </c>
      <c r="BT818" s="351">
        <v>624018</v>
      </c>
      <c r="BU818" s="14"/>
      <c r="BV818" s="23" t="s">
        <v>680</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681</v>
      </c>
      <c r="BP819" s="349">
        <v>352022</v>
      </c>
      <c r="BQ819" s="349">
        <v>405878</v>
      </c>
      <c r="BR819" s="349">
        <v>489600</v>
      </c>
      <c r="BS819" s="349">
        <v>626688</v>
      </c>
      <c r="BT819" s="349">
        <v>698170</v>
      </c>
      <c r="BU819" s="14"/>
      <c r="BV819" s="23" t="s">
        <v>681</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599</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211</v>
      </c>
      <c r="BP820" s="351">
        <v>307732</v>
      </c>
      <c r="BQ820" s="351">
        <v>354812</v>
      </c>
      <c r="BR820" s="351">
        <v>428000</v>
      </c>
      <c r="BS820" s="351">
        <v>547840</v>
      </c>
      <c r="BT820" s="351">
        <v>610328</v>
      </c>
      <c r="BU820" s="14"/>
      <c r="BV820" s="23" t="s">
        <v>211</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825</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213</v>
      </c>
      <c r="BP821" s="349">
        <v>307732</v>
      </c>
      <c r="BQ821" s="349">
        <v>354812</v>
      </c>
      <c r="BR821" s="349">
        <v>428000</v>
      </c>
      <c r="BS821" s="349">
        <v>547840</v>
      </c>
      <c r="BT821" s="349">
        <v>610328</v>
      </c>
      <c r="BU821" s="14"/>
      <c r="BV821" s="23" t="s">
        <v>213</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214</v>
      </c>
      <c r="BP822" s="351">
        <v>352022</v>
      </c>
      <c r="BQ822" s="351">
        <v>405878</v>
      </c>
      <c r="BR822" s="351">
        <v>489600</v>
      </c>
      <c r="BS822" s="351">
        <v>626688</v>
      </c>
      <c r="BT822" s="351">
        <v>698170</v>
      </c>
      <c r="BU822" s="14"/>
      <c r="BV822" s="23" t="s">
        <v>214</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634" t="s">
        <v>126</v>
      </c>
      <c r="N823" s="1634"/>
      <c r="O823" s="1634"/>
      <c r="P823" s="1635"/>
      <c r="Q823" s="1613" t="s">
        <v>290</v>
      </c>
      <c r="R823" s="1613"/>
      <c r="S823" s="1613"/>
      <c r="T823" s="1613"/>
      <c r="U823" s="1613" t="s">
        <v>291</v>
      </c>
      <c r="V823" s="1613"/>
      <c r="W823" s="1613"/>
      <c r="X823" s="1613"/>
      <c r="Y823" s="1613" t="s">
        <v>292</v>
      </c>
      <c r="Z823" s="1613"/>
      <c r="AA823" s="1613"/>
      <c r="AB823" s="1613"/>
      <c r="AC823" s="1613" t="s">
        <v>361</v>
      </c>
      <c r="AD823" s="1613"/>
      <c r="AE823" s="1613"/>
      <c r="AF823" s="1613"/>
      <c r="AG823" s="1620" t="s">
        <v>335</v>
      </c>
      <c r="AH823" s="1620"/>
      <c r="AI823" s="1620"/>
      <c r="AJ823" s="1620"/>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216</v>
      </c>
      <c r="BP823" s="349">
        <v>352022</v>
      </c>
      <c r="BQ823" s="349">
        <v>405878</v>
      </c>
      <c r="BR823" s="349">
        <v>489600</v>
      </c>
      <c r="BS823" s="349">
        <v>626688</v>
      </c>
      <c r="BT823" s="349">
        <v>698170</v>
      </c>
      <c r="BU823" s="14"/>
      <c r="BV823" s="23" t="s">
        <v>216</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636"/>
      <c r="N824" s="1636"/>
      <c r="O824" s="1636"/>
      <c r="P824" s="1637"/>
      <c r="Q824" s="1613"/>
      <c r="R824" s="1613"/>
      <c r="S824" s="1613"/>
      <c r="T824" s="1613"/>
      <c r="U824" s="1613"/>
      <c r="V824" s="1613"/>
      <c r="W824" s="1613"/>
      <c r="X824" s="1613"/>
      <c r="Y824" s="1613"/>
      <c r="Z824" s="1613"/>
      <c r="AA824" s="1613"/>
      <c r="AB824" s="1613"/>
      <c r="AC824" s="1613"/>
      <c r="AD824" s="1613"/>
      <c r="AE824" s="1613"/>
      <c r="AF824" s="1613"/>
      <c r="AG824" s="1620"/>
      <c r="AH824" s="1620"/>
      <c r="AI824" s="1620"/>
      <c r="AJ824" s="1620"/>
      <c r="AK824"/>
      <c r="AL824" s="3"/>
      <c r="AM824" s="3"/>
      <c r="AN824" s="3"/>
      <c r="AO824" s="3"/>
      <c r="AP824" s="3"/>
      <c r="AQ824" s="3"/>
      <c r="AR824" s="3"/>
      <c r="AS824" s="3"/>
      <c r="AT824" s="3"/>
      <c r="AU824"/>
      <c r="AV824" s="3"/>
      <c r="AW824" s="3"/>
      <c r="AX824" s="3"/>
      <c r="AY824" s="3"/>
      <c r="AZ824" s="30"/>
      <c r="BA824" s="30"/>
      <c r="BO824" s="23" t="s">
        <v>217</v>
      </c>
      <c r="BP824" s="351">
        <v>437727</v>
      </c>
      <c r="BQ824" s="351">
        <v>504695</v>
      </c>
      <c r="BR824" s="351">
        <v>608800</v>
      </c>
      <c r="BS824" s="351">
        <v>779264</v>
      </c>
      <c r="BT824" s="351">
        <v>868149</v>
      </c>
      <c r="BV824" s="23" t="s">
        <v>217</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631" t="s">
        <v>40</v>
      </c>
      <c r="D825" s="1418"/>
      <c r="E825" s="1418"/>
      <c r="F825" s="1418"/>
      <c r="G825" s="1418"/>
      <c r="H825" s="1418"/>
      <c r="I825" s="48"/>
      <c r="J825" s="48"/>
      <c r="K825" s="48"/>
      <c r="L825" s="49"/>
      <c r="M825" s="1612">
        <v>1.1100000000000001</v>
      </c>
      <c r="N825" s="1612"/>
      <c r="O825" s="1612"/>
      <c r="P825" s="1612"/>
      <c r="Q825" s="1612">
        <v>1.31</v>
      </c>
      <c r="R825" s="1612"/>
      <c r="S825" s="1612"/>
      <c r="T825" s="1612"/>
      <c r="U825" s="1612">
        <v>3.09</v>
      </c>
      <c r="V825" s="1612"/>
      <c r="W825" s="1612"/>
      <c r="X825" s="1612"/>
      <c r="Y825" s="1612">
        <v>3.65</v>
      </c>
      <c r="Z825" s="1612"/>
      <c r="AA825" s="1612"/>
      <c r="AB825" s="1612"/>
      <c r="AC825" s="1535"/>
      <c r="AD825" s="1536"/>
      <c r="AE825" s="1536"/>
      <c r="AF825" s="1537"/>
      <c r="AG825" s="1535"/>
      <c r="AH825" s="1536"/>
      <c r="AI825" s="1536"/>
      <c r="AJ825" s="1537"/>
      <c r="AK825"/>
      <c r="AL825" s="3"/>
      <c r="AM825" s="3"/>
      <c r="AN825" s="3"/>
      <c r="AO825" s="3"/>
      <c r="AP825" s="3"/>
      <c r="AQ825" s="3"/>
      <c r="AR825" s="3"/>
      <c r="AS825" s="3"/>
      <c r="AT825" s="3"/>
      <c r="AU825"/>
      <c r="AV825" s="3"/>
      <c r="AW825" s="3"/>
      <c r="AX825" s="3"/>
      <c r="AY825" s="3"/>
      <c r="AZ825" s="30"/>
      <c r="BA825" s="30"/>
      <c r="BO825" s="23" t="s">
        <v>219</v>
      </c>
      <c r="BP825" s="349">
        <v>307732</v>
      </c>
      <c r="BQ825" s="349">
        <v>354812</v>
      </c>
      <c r="BR825" s="349">
        <v>428000</v>
      </c>
      <c r="BS825" s="349">
        <v>547840</v>
      </c>
      <c r="BT825" s="349">
        <v>610328</v>
      </c>
      <c r="BV825" s="23" t="s">
        <v>219</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500" t="s">
        <v>41</v>
      </c>
      <c r="D826" s="1490"/>
      <c r="E826" s="1490"/>
      <c r="F826" s="1490"/>
      <c r="G826" s="1490"/>
      <c r="H826" s="1490"/>
      <c r="I826" s="5"/>
      <c r="J826" s="5"/>
      <c r="K826" s="5"/>
      <c r="L826" s="46"/>
      <c r="M826" s="1612">
        <v>10.55</v>
      </c>
      <c r="N826" s="1612"/>
      <c r="O826" s="1612"/>
      <c r="P826" s="1612"/>
      <c r="Q826" s="1612">
        <v>8.74</v>
      </c>
      <c r="R826" s="1612"/>
      <c r="S826" s="1612"/>
      <c r="T826" s="1612"/>
      <c r="U826" s="1612">
        <v>9.43</v>
      </c>
      <c r="V826" s="1612"/>
      <c r="W826" s="1612"/>
      <c r="X826" s="1612"/>
      <c r="Y826" s="1612">
        <v>7.55</v>
      </c>
      <c r="Z826" s="1612"/>
      <c r="AA826" s="1612"/>
      <c r="AB826" s="1612"/>
      <c r="AC826" s="1535"/>
      <c r="AD826" s="1536"/>
      <c r="AE826" s="1536"/>
      <c r="AF826" s="1537"/>
      <c r="AG826" s="1535"/>
      <c r="AH826" s="1536"/>
      <c r="AI826" s="1536"/>
      <c r="AJ826" s="1537"/>
      <c r="AK826"/>
      <c r="AL826" s="3"/>
      <c r="AM826" s="3"/>
      <c r="AN826" s="3"/>
      <c r="AO826" s="3"/>
      <c r="AP826" s="3"/>
      <c r="AQ826" s="3"/>
      <c r="AR826" s="3"/>
      <c r="AS826" s="3"/>
      <c r="AT826" s="3"/>
      <c r="AU826"/>
      <c r="AV826" s="3"/>
      <c r="AW826" s="3"/>
      <c r="AX826" s="3"/>
      <c r="AY826" s="3"/>
      <c r="AZ826" s="30"/>
      <c r="BA826" s="30"/>
      <c r="BO826" s="23" t="s">
        <v>220</v>
      </c>
      <c r="BP826" s="351">
        <v>384234</v>
      </c>
      <c r="BQ826" s="351">
        <v>443018</v>
      </c>
      <c r="BR826" s="351">
        <v>534400</v>
      </c>
      <c r="BS826" s="351">
        <v>684032</v>
      </c>
      <c r="BT826" s="351">
        <v>762054</v>
      </c>
      <c r="BV826" s="23" t="s">
        <v>220</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500" t="s">
        <v>42</v>
      </c>
      <c r="D827" s="1490"/>
      <c r="E827" s="1490"/>
      <c r="F827" s="1490"/>
      <c r="G827" s="1490"/>
      <c r="H827" s="1490"/>
      <c r="I827" s="60"/>
      <c r="J827" s="60"/>
      <c r="K827" s="60"/>
      <c r="L827" s="61"/>
      <c r="M827" s="1612">
        <v>3.49</v>
      </c>
      <c r="N827" s="1612"/>
      <c r="O827" s="1612"/>
      <c r="P827" s="1612"/>
      <c r="Q827" s="1612">
        <v>2.97</v>
      </c>
      <c r="R827" s="1612"/>
      <c r="S827" s="1612"/>
      <c r="T827" s="1612"/>
      <c r="U827" s="1612">
        <v>3.05</v>
      </c>
      <c r="V827" s="1612"/>
      <c r="W827" s="1612"/>
      <c r="X827" s="1612"/>
      <c r="Y827" s="1612">
        <v>2.38</v>
      </c>
      <c r="Z827" s="1612"/>
      <c r="AA827" s="1612"/>
      <c r="AB827" s="1612"/>
      <c r="AC827" s="1535"/>
      <c r="AD827" s="1536"/>
      <c r="AE827" s="1536"/>
      <c r="AF827" s="1537"/>
      <c r="AG827" s="1535"/>
      <c r="AH827" s="1536"/>
      <c r="AI827" s="1536"/>
      <c r="AJ827" s="1537"/>
      <c r="AK827"/>
      <c r="AL827" s="3"/>
      <c r="AM827" s="3"/>
      <c r="AN827" s="3"/>
      <c r="AO827" s="3"/>
      <c r="AP827" s="3"/>
      <c r="AQ827" s="3"/>
      <c r="AR827" s="3"/>
      <c r="AS827" s="3"/>
      <c r="AT827" s="3"/>
      <c r="AU827"/>
      <c r="AV827" s="3"/>
      <c r="AW827" s="3"/>
      <c r="AX827" s="3"/>
      <c r="AY827" s="3"/>
      <c r="AZ827" s="30"/>
      <c r="BA827" s="30"/>
      <c r="BO827" s="23" t="s">
        <v>221</v>
      </c>
      <c r="BP827" s="349">
        <v>352022</v>
      </c>
      <c r="BQ827" s="349">
        <v>405878</v>
      </c>
      <c r="BR827" s="349">
        <v>489600</v>
      </c>
      <c r="BS827" s="349">
        <v>626688</v>
      </c>
      <c r="BT827" s="349">
        <v>698170</v>
      </c>
      <c r="BV827" s="23" t="s">
        <v>221</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500" t="s">
        <v>770</v>
      </c>
      <c r="D828" s="1490"/>
      <c r="E828" s="1490"/>
      <c r="F828" s="1490"/>
      <c r="G828" s="1490"/>
      <c r="H828" s="1490"/>
      <c r="I828" s="60"/>
      <c r="J828" s="60"/>
      <c r="K828" s="60"/>
      <c r="L828" s="61"/>
      <c r="M828" s="1612">
        <v>2.2599999999999998</v>
      </c>
      <c r="N828" s="1612"/>
      <c r="O828" s="1612"/>
      <c r="P828" s="1612"/>
      <c r="Q828" s="1612">
        <v>2.84</v>
      </c>
      <c r="R828" s="1612"/>
      <c r="S828" s="1612"/>
      <c r="T828" s="1612"/>
      <c r="U828" s="1612">
        <v>3.56</v>
      </c>
      <c r="V828" s="1612"/>
      <c r="W828" s="1612"/>
      <c r="X828" s="1612"/>
      <c r="Y828" s="1612">
        <v>3.73</v>
      </c>
      <c r="Z828" s="1612"/>
      <c r="AA828" s="1612"/>
      <c r="AB828" s="1612"/>
      <c r="AC828" s="1535"/>
      <c r="AD828" s="1536"/>
      <c r="AE828" s="1536"/>
      <c r="AF828" s="1537"/>
      <c r="AG828" s="1535"/>
      <c r="AH828" s="1536"/>
      <c r="AI828" s="1536"/>
      <c r="AJ828" s="1537"/>
      <c r="AK828"/>
      <c r="AL828" s="3"/>
      <c r="AM828" s="3"/>
      <c r="AN828" s="3"/>
      <c r="AO828" s="3"/>
      <c r="AP828" s="3"/>
      <c r="AQ828" s="3"/>
      <c r="AR828" s="3"/>
      <c r="AS828" s="3"/>
      <c r="AT828" s="3"/>
      <c r="AU828"/>
      <c r="AV828" s="3"/>
      <c r="AW828" s="3"/>
      <c r="AX828" s="3"/>
      <c r="AY828" s="3"/>
      <c r="AZ828" s="30"/>
      <c r="BA828" s="30"/>
      <c r="BO828" s="23" t="s">
        <v>222</v>
      </c>
      <c r="BP828" s="351">
        <v>352022</v>
      </c>
      <c r="BQ828" s="351">
        <v>405878</v>
      </c>
      <c r="BR828" s="351">
        <v>489600</v>
      </c>
      <c r="BS828" s="351">
        <v>626688</v>
      </c>
      <c r="BT828" s="351">
        <v>698170</v>
      </c>
      <c r="BV828" s="23" t="s">
        <v>222</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500" t="s">
        <v>466</v>
      </c>
      <c r="D829" s="1490"/>
      <c r="E829" s="1490"/>
      <c r="F829" s="1490"/>
      <c r="G829" s="1490"/>
      <c r="H829" s="1490"/>
      <c r="I829" s="60"/>
      <c r="J829" s="60"/>
      <c r="K829" s="60"/>
      <c r="L829" s="61"/>
      <c r="M829" s="1612">
        <v>27.15</v>
      </c>
      <c r="N829" s="1612"/>
      <c r="O829" s="1612"/>
      <c r="P829" s="1612"/>
      <c r="Q829" s="1612">
        <v>25.82</v>
      </c>
      <c r="R829" s="1612"/>
      <c r="S829" s="1612"/>
      <c r="T829" s="1612"/>
      <c r="U829" s="1612">
        <v>29.34</v>
      </c>
      <c r="V829" s="1612"/>
      <c r="W829" s="1612"/>
      <c r="X829" s="1612"/>
      <c r="Y829" s="1612">
        <v>24.96</v>
      </c>
      <c r="Z829" s="1612"/>
      <c r="AA829" s="1612"/>
      <c r="AB829" s="1612"/>
      <c r="AC829" s="1535"/>
      <c r="AD829" s="1536"/>
      <c r="AE829" s="1536"/>
      <c r="AF829" s="1537"/>
      <c r="AG829" s="1535"/>
      <c r="AH829" s="1536"/>
      <c r="AI829" s="1536"/>
      <c r="AJ829" s="1537"/>
      <c r="AK829"/>
      <c r="AL829" s="3"/>
      <c r="AM829" s="3"/>
      <c r="AN829" s="3"/>
      <c r="AO829" s="3"/>
      <c r="AP829" s="3"/>
      <c r="AQ829" s="3"/>
      <c r="AR829" s="3"/>
      <c r="AS829" s="3"/>
      <c r="AT829" s="3"/>
      <c r="AU829"/>
      <c r="AV829" s="3"/>
      <c r="AW829" s="3"/>
      <c r="AX829" s="3"/>
      <c r="AY829" s="3"/>
      <c r="AZ829" s="30"/>
      <c r="BA829" s="30"/>
      <c r="BO829" s="23" t="s">
        <v>224</v>
      </c>
      <c r="BP829" s="349">
        <v>307732</v>
      </c>
      <c r="BQ829" s="349">
        <v>354812</v>
      </c>
      <c r="BR829" s="349">
        <v>428000</v>
      </c>
      <c r="BS829" s="349">
        <v>547840</v>
      </c>
      <c r="BT829" s="349">
        <v>610328</v>
      </c>
      <c r="BV829" s="23" t="s">
        <v>224</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766" t="s">
        <v>791</v>
      </c>
      <c r="D830" s="1490"/>
      <c r="E830" s="1490"/>
      <c r="F830" s="1490"/>
      <c r="G830" s="1490"/>
      <c r="H830" s="1490"/>
      <c r="I830" s="60"/>
      <c r="J830" s="60"/>
      <c r="K830" s="60"/>
      <c r="L830" s="61"/>
      <c r="M830" s="1612"/>
      <c r="N830" s="1612"/>
      <c r="O830" s="1612"/>
      <c r="P830" s="1612"/>
      <c r="Q830" s="1612"/>
      <c r="R830" s="1612"/>
      <c r="S830" s="1612"/>
      <c r="T830" s="1612"/>
      <c r="U830" s="1612"/>
      <c r="V830" s="1612"/>
      <c r="W830" s="1612"/>
      <c r="X830" s="1612"/>
      <c r="Y830" s="1612"/>
      <c r="Z830" s="1612"/>
      <c r="AA830" s="1612"/>
      <c r="AB830" s="1612"/>
      <c r="AC830" s="1535"/>
      <c r="AD830" s="1536"/>
      <c r="AE830" s="1536"/>
      <c r="AF830" s="1537"/>
      <c r="AG830" s="1535"/>
      <c r="AH830" s="1536"/>
      <c r="AI830" s="1536"/>
      <c r="AJ830" s="1537"/>
      <c r="AK830"/>
      <c r="AL830" s="3"/>
      <c r="AM830" s="3"/>
      <c r="AN830" s="3"/>
      <c r="AO830" s="3"/>
      <c r="AP830" s="3"/>
      <c r="AQ830" s="3"/>
      <c r="AR830" s="3"/>
      <c r="AS830" s="3"/>
      <c r="AT830" s="3"/>
      <c r="AU830"/>
      <c r="AV830" s="3"/>
      <c r="AW830" s="3"/>
      <c r="AX830" s="3"/>
      <c r="AY830" s="3"/>
      <c r="AZ830" s="30"/>
      <c r="BA830" s="30"/>
      <c r="BO830" s="23" t="s">
        <v>225</v>
      </c>
      <c r="BP830" s="351">
        <v>352022</v>
      </c>
      <c r="BQ830" s="351">
        <v>405878</v>
      </c>
      <c r="BR830" s="351">
        <v>489600</v>
      </c>
      <c r="BS830" s="351">
        <v>626688</v>
      </c>
      <c r="BT830" s="351">
        <v>698170</v>
      </c>
      <c r="BV830" s="23" t="s">
        <v>225</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293</v>
      </c>
      <c r="D831" s="60"/>
      <c r="E831" s="60"/>
      <c r="F831" s="1641" t="s">
        <v>2783</v>
      </c>
      <c r="G831" s="1642"/>
      <c r="H831" s="1642"/>
      <c r="I831" s="1642"/>
      <c r="J831" s="1642"/>
      <c r="K831" s="1642"/>
      <c r="L831" s="1642"/>
      <c r="M831" s="1612">
        <v>0.11</v>
      </c>
      <c r="N831" s="1612"/>
      <c r="O831" s="1612"/>
      <c r="P831" s="1612"/>
      <c r="Q831" s="1612">
        <v>7.0000000000000007E-2</v>
      </c>
      <c r="R831" s="1612"/>
      <c r="S831" s="1612"/>
      <c r="T831" s="1612"/>
      <c r="U831" s="1612">
        <v>0.17</v>
      </c>
      <c r="V831" s="1612"/>
      <c r="W831" s="1612"/>
      <c r="X831" s="1612"/>
      <c r="Y831" s="1612">
        <v>0.06</v>
      </c>
      <c r="Z831" s="1612"/>
      <c r="AA831" s="1612"/>
      <c r="AB831" s="1612"/>
      <c r="AC831" s="1535"/>
      <c r="AD831" s="1536"/>
      <c r="AE831" s="1536"/>
      <c r="AF831" s="1537"/>
      <c r="AG831" s="1535"/>
      <c r="AH831" s="1536"/>
      <c r="AI831" s="1536"/>
      <c r="AJ831" s="1537"/>
      <c r="AK831"/>
      <c r="AL831" s="3"/>
      <c r="AM831" s="3"/>
      <c r="AN831" s="3"/>
      <c r="AO831" s="3"/>
      <c r="AP831" s="3"/>
      <c r="AQ831" s="3"/>
      <c r="AR831" s="3"/>
      <c r="AS831" s="3"/>
      <c r="AT831" s="3"/>
      <c r="AU831"/>
      <c r="AV831" s="3"/>
      <c r="AW831" s="3"/>
      <c r="AX831" s="3"/>
      <c r="AY831" s="3"/>
      <c r="AZ831" s="30"/>
      <c r="BA831" s="30"/>
      <c r="BO831" s="23" t="s">
        <v>226</v>
      </c>
      <c r="BP831" s="349">
        <v>352022</v>
      </c>
      <c r="BQ831" s="349">
        <v>405878</v>
      </c>
      <c r="BR831" s="349">
        <v>489600</v>
      </c>
      <c r="BS831" s="349">
        <v>626688</v>
      </c>
      <c r="BT831" s="349">
        <v>698170</v>
      </c>
      <c r="BV831" s="23" t="s">
        <v>226</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617" t="s">
        <v>124</v>
      </c>
      <c r="D832" s="1618"/>
      <c r="E832" s="1618"/>
      <c r="F832" s="1618"/>
      <c r="G832" s="1618"/>
      <c r="H832" s="1618"/>
      <c r="I832" s="1618"/>
      <c r="J832" s="1618"/>
      <c r="K832" s="1618"/>
      <c r="L832" s="1619"/>
      <c r="M832" s="1652">
        <f>SUM(M825:P831)</f>
        <v>44.67</v>
      </c>
      <c r="N832" s="1652"/>
      <c r="O832" s="1652"/>
      <c r="P832" s="1652"/>
      <c r="Q832" s="1652">
        <f>SUM(Q825:T831)</f>
        <v>41.75</v>
      </c>
      <c r="R832" s="1652"/>
      <c r="S832" s="1652"/>
      <c r="T832" s="1652"/>
      <c r="U832" s="1652">
        <f>SUM(U825:X831)</f>
        <v>48.64</v>
      </c>
      <c r="V832" s="1652"/>
      <c r="W832" s="1652"/>
      <c r="X832" s="1652"/>
      <c r="Y832" s="1652">
        <f>SUM(Y825:AB831)</f>
        <v>42.33</v>
      </c>
      <c r="Z832" s="1652"/>
      <c r="AA832" s="1652"/>
      <c r="AB832" s="1652"/>
      <c r="AC832" s="1652">
        <f>SUM(AC825:AF831)</f>
        <v>0</v>
      </c>
      <c r="AD832" s="1652"/>
      <c r="AE832" s="1652"/>
      <c r="AF832" s="1652"/>
      <c r="AG832" s="1652">
        <f>SUM(AG825:AJ831)</f>
        <v>0</v>
      </c>
      <c r="AH832" s="1652"/>
      <c r="AI832" s="1652"/>
      <c r="AJ832" s="1652"/>
      <c r="AK832"/>
      <c r="AL832" s="3"/>
      <c r="AM832" s="3"/>
      <c r="AN832" s="3"/>
      <c r="AO832" s="3"/>
      <c r="AP832" s="3"/>
      <c r="AQ832" s="3"/>
      <c r="AR832" s="3"/>
      <c r="AS832" s="3"/>
      <c r="AT832" s="3"/>
      <c r="AU832"/>
      <c r="AV832" s="3"/>
      <c r="AW832" s="3"/>
      <c r="AX832" s="3"/>
      <c r="AY832" s="3"/>
      <c r="AZ832" s="30"/>
      <c r="BA832" s="30"/>
      <c r="BO832" s="23" t="s">
        <v>228</v>
      </c>
      <c r="BP832" s="351">
        <v>387110</v>
      </c>
      <c r="BQ832" s="351">
        <v>446334</v>
      </c>
      <c r="BR832" s="351">
        <v>538400</v>
      </c>
      <c r="BS832" s="351">
        <v>689152</v>
      </c>
      <c r="BT832" s="351">
        <v>767758</v>
      </c>
      <c r="BV832" s="23" t="s">
        <v>228</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792</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230</v>
      </c>
      <c r="BP833" s="349">
        <v>384234</v>
      </c>
      <c r="BQ833" s="349">
        <v>443018</v>
      </c>
      <c r="BR833" s="349">
        <v>534400</v>
      </c>
      <c r="BS833" s="349">
        <v>684032</v>
      </c>
      <c r="BT833" s="349">
        <v>762054</v>
      </c>
      <c r="BV833" s="23" t="s">
        <v>230</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793</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231</v>
      </c>
      <c r="BP834" s="351">
        <v>352022</v>
      </c>
      <c r="BQ834" s="351">
        <v>405878</v>
      </c>
      <c r="BR834" s="351">
        <v>489600</v>
      </c>
      <c r="BS834" s="351">
        <v>626688</v>
      </c>
      <c r="BT834" s="351">
        <v>698170</v>
      </c>
      <c r="BV834" s="23" t="s">
        <v>231</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232</v>
      </c>
      <c r="BP835" s="349">
        <v>396888</v>
      </c>
      <c r="BQ835" s="349">
        <v>457608</v>
      </c>
      <c r="BR835" s="349">
        <v>552000</v>
      </c>
      <c r="BS835" s="349">
        <v>706560</v>
      </c>
      <c r="BT835" s="349">
        <v>787152</v>
      </c>
      <c r="BV835" s="23" t="s">
        <v>232</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233</v>
      </c>
      <c r="BP836" s="351">
        <v>331890</v>
      </c>
      <c r="BQ836" s="351">
        <v>382666</v>
      </c>
      <c r="BR836" s="351">
        <v>461600</v>
      </c>
      <c r="BS836" s="351">
        <v>590848</v>
      </c>
      <c r="BT836" s="351">
        <v>658242</v>
      </c>
      <c r="BV836" s="23" t="s">
        <v>233</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746" t="s">
        <v>2745</v>
      </c>
      <c r="D837" s="1747"/>
      <c r="E837" s="1747"/>
      <c r="F837" s="1747"/>
      <c r="G837" s="1747"/>
      <c r="H837" s="1747"/>
      <c r="I837" s="1747"/>
      <c r="J837" s="1747"/>
      <c r="K837" s="1747"/>
      <c r="L837" s="1747"/>
      <c r="M837" s="1747"/>
      <c r="N837" s="1747"/>
      <c r="O837" s="1747"/>
      <c r="P837" s="1747"/>
      <c r="Q837" s="1747"/>
      <c r="R837" s="1747"/>
      <c r="S837" s="1747"/>
      <c r="T837" s="1747"/>
      <c r="U837" s="1747"/>
      <c r="V837" s="1747"/>
      <c r="W837" s="1747"/>
      <c r="X837" s="1747"/>
      <c r="Y837" s="1747"/>
      <c r="Z837" s="1747"/>
      <c r="AA837" s="1747"/>
      <c r="AB837" s="1747"/>
      <c r="AC837" s="1747"/>
      <c r="AD837" s="1747"/>
      <c r="AE837" s="1747"/>
      <c r="AF837" s="1747"/>
      <c r="AG837" s="1747"/>
      <c r="AH837" s="1747"/>
      <c r="AI837" s="1747"/>
      <c r="AJ837" s="1748"/>
      <c r="AK837"/>
      <c r="AL837" s="3"/>
      <c r="AM837" s="3"/>
      <c r="AN837" s="3"/>
      <c r="AO837" s="3"/>
      <c r="AP837" s="3"/>
      <c r="AQ837" s="3"/>
      <c r="AR837" s="3"/>
      <c r="AS837" s="3"/>
      <c r="AT837" s="3"/>
      <c r="AU837"/>
      <c r="AV837"/>
      <c r="AW837"/>
      <c r="AX837"/>
      <c r="AY837"/>
      <c r="AZ837" s="30"/>
      <c r="BA837" s="30"/>
      <c r="BO837" s="23" t="s">
        <v>235</v>
      </c>
      <c r="BP837" s="349">
        <v>352022</v>
      </c>
      <c r="BQ837" s="349">
        <v>405878</v>
      </c>
      <c r="BR837" s="349">
        <v>489600</v>
      </c>
      <c r="BS837" s="349">
        <v>626688</v>
      </c>
      <c r="BT837" s="349">
        <v>698170</v>
      </c>
      <c r="BV837" s="23" t="s">
        <v>235</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1258</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236</v>
      </c>
      <c r="BP838" s="351">
        <v>314634</v>
      </c>
      <c r="BQ838" s="351">
        <v>362770</v>
      </c>
      <c r="BR838" s="351">
        <v>437600</v>
      </c>
      <c r="BS838" s="351">
        <v>560128</v>
      </c>
      <c r="BT838" s="351">
        <v>624018</v>
      </c>
      <c r="BV838" s="23" t="s">
        <v>236</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642</v>
      </c>
      <c r="BP839" s="349">
        <v>331890</v>
      </c>
      <c r="BQ839" s="349">
        <v>382666</v>
      </c>
      <c r="BR839" s="349">
        <v>461600</v>
      </c>
      <c r="BS839" s="349">
        <v>590848</v>
      </c>
      <c r="BT839" s="349">
        <v>658242</v>
      </c>
      <c r="BV839" s="23" t="s">
        <v>642</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474</v>
      </c>
      <c r="B840"/>
      <c r="C840" s="2" t="s">
        <v>768</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696</v>
      </c>
      <c r="BP840" s="351">
        <v>352022</v>
      </c>
      <c r="BQ840" s="351">
        <v>405878</v>
      </c>
      <c r="BR840" s="351">
        <v>489600</v>
      </c>
      <c r="BS840" s="351">
        <v>626688</v>
      </c>
      <c r="BT840" s="351">
        <v>698170</v>
      </c>
      <c r="BV840" s="23" t="s">
        <v>696</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53">
        <f>ROUNDDOWN(BC939*2,2)</f>
        <v>0</v>
      </c>
      <c r="BJ841" s="1653"/>
      <c r="BK841" s="1653"/>
      <c r="BL841" s="1653"/>
      <c r="BO841" s="23" t="s">
        <v>697</v>
      </c>
      <c r="BP841" s="349">
        <v>314634</v>
      </c>
      <c r="BQ841" s="349">
        <v>362770</v>
      </c>
      <c r="BR841" s="349">
        <v>437600</v>
      </c>
      <c r="BS841" s="349">
        <v>560128</v>
      </c>
      <c r="BT841" s="349">
        <v>624018</v>
      </c>
      <c r="BV841" s="23" t="s">
        <v>697</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648">
        <v>2500</v>
      </c>
      <c r="X842" s="1648"/>
      <c r="Y842" s="1648"/>
      <c r="Z842" s="1648"/>
      <c r="AA842" s="1648"/>
      <c r="AB842" s="1648"/>
      <c r="AC842" s="1648"/>
      <c r="AD842"/>
      <c r="AE842"/>
      <c r="AF842"/>
      <c r="AG842"/>
      <c r="AH842"/>
      <c r="AI842"/>
      <c r="AJ842"/>
      <c r="AK842"/>
      <c r="AL842"/>
      <c r="AM842"/>
      <c r="AN842"/>
      <c r="AO842"/>
      <c r="AP842"/>
      <c r="AQ842"/>
      <c r="AR842"/>
      <c r="AS842"/>
      <c r="AT842"/>
      <c r="AU842"/>
      <c r="AV842"/>
      <c r="AW842"/>
      <c r="AX842"/>
      <c r="AY842"/>
      <c r="AZ842" s="30"/>
      <c r="BA842" s="30"/>
      <c r="BO842" s="23" t="s">
        <v>698</v>
      </c>
      <c r="BP842" s="351">
        <v>353173</v>
      </c>
      <c r="BQ842" s="351">
        <v>407205</v>
      </c>
      <c r="BR842" s="351">
        <v>491200</v>
      </c>
      <c r="BS842" s="351">
        <v>628736</v>
      </c>
      <c r="BT842" s="351">
        <v>700451</v>
      </c>
      <c r="BV842" s="23" t="s">
        <v>698</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355</v>
      </c>
      <c r="K843" s="5"/>
      <c r="L843" s="5"/>
      <c r="M843" s="5"/>
      <c r="N843" s="5"/>
      <c r="O843" s="5"/>
      <c r="P843" s="5"/>
      <c r="Q843" s="5"/>
      <c r="R843" s="5"/>
      <c r="S843" s="5"/>
      <c r="T843" s="5"/>
      <c r="U843" s="5"/>
      <c r="V843" s="46"/>
      <c r="W843" s="1648">
        <v>11000</v>
      </c>
      <c r="X843" s="1648"/>
      <c r="Y843" s="1648"/>
      <c r="Z843" s="1648"/>
      <c r="AA843" s="1648"/>
      <c r="AB843" s="1648"/>
      <c r="AC843" s="1648"/>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699</v>
      </c>
      <c r="BP843" s="349">
        <v>689665</v>
      </c>
      <c r="BQ843" s="349">
        <v>795177</v>
      </c>
      <c r="BR843" s="349">
        <v>959200</v>
      </c>
      <c r="BS843" s="349">
        <v>1227776</v>
      </c>
      <c r="BT843" s="349">
        <v>1367819</v>
      </c>
      <c r="BV843" s="23" t="s">
        <v>699</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354</v>
      </c>
      <c r="K844" s="5"/>
      <c r="L844" s="5"/>
      <c r="M844" s="5"/>
      <c r="N844" s="5"/>
      <c r="O844" s="5"/>
      <c r="P844" s="5"/>
      <c r="Q844" s="5"/>
      <c r="R844" s="5"/>
      <c r="S844" s="5"/>
      <c r="T844" s="5"/>
      <c r="U844" s="5"/>
      <c r="V844" s="46"/>
      <c r="W844" s="1648">
        <v>15000</v>
      </c>
      <c r="X844" s="1648"/>
      <c r="Y844" s="1648"/>
      <c r="Z844" s="1648"/>
      <c r="AA844" s="1648"/>
      <c r="AB844" s="1648"/>
      <c r="AC844" s="1648"/>
      <c r="AZ844" s="30"/>
      <c r="BA844" s="30"/>
      <c r="BB844" s="14"/>
      <c r="BC844" s="14"/>
      <c r="BD844" s="14"/>
      <c r="BE844" s="14"/>
      <c r="BF844" s="14"/>
      <c r="BG844" s="14"/>
      <c r="BH844" s="14"/>
      <c r="BI844" s="14"/>
      <c r="BJ844" s="14"/>
      <c r="BK844" s="14"/>
      <c r="BL844" s="14"/>
      <c r="BM844" s="14"/>
      <c r="BN844" s="14"/>
      <c r="BO844" s="23" t="s">
        <v>242</v>
      </c>
      <c r="BP844" s="351">
        <v>307732</v>
      </c>
      <c r="BQ844" s="351">
        <v>354812</v>
      </c>
      <c r="BR844" s="351">
        <v>428000</v>
      </c>
      <c r="BS844" s="351">
        <v>547840</v>
      </c>
      <c r="BT844" s="351">
        <v>610328</v>
      </c>
      <c r="BU844" s="14"/>
      <c r="BV844" s="23" t="s">
        <v>242</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353</v>
      </c>
      <c r="K845" s="5"/>
      <c r="L845" s="5"/>
      <c r="M845" s="5"/>
      <c r="N845" s="5"/>
      <c r="O845" s="5"/>
      <c r="P845" s="5"/>
      <c r="Q845" s="5"/>
      <c r="R845" s="5"/>
      <c r="S845" s="5"/>
      <c r="T845" s="5"/>
      <c r="U845" s="5"/>
      <c r="V845" s="46"/>
      <c r="W845" s="1648">
        <v>107682</v>
      </c>
      <c r="X845" s="1648"/>
      <c r="Y845" s="1648"/>
      <c r="Z845" s="1648"/>
      <c r="AA845" s="1648"/>
      <c r="AB845" s="1648"/>
      <c r="AC845" s="1648"/>
      <c r="AZ845" s="30"/>
      <c r="BA845" s="30"/>
      <c r="BB845" s="14"/>
      <c r="BC845" s="14"/>
      <c r="BD845" s="14"/>
      <c r="BE845" s="14"/>
      <c r="BF845" s="14"/>
      <c r="BG845" s="14"/>
      <c r="BH845" s="14"/>
      <c r="BI845" s="14"/>
      <c r="BJ845" s="14"/>
      <c r="BK845" s="14"/>
      <c r="BL845" s="14"/>
      <c r="BM845" s="14"/>
      <c r="BN845" s="14"/>
      <c r="BO845" s="23" t="s">
        <v>243</v>
      </c>
      <c r="BP845" s="349">
        <v>387110</v>
      </c>
      <c r="BQ845" s="349">
        <v>446334</v>
      </c>
      <c r="BR845" s="349">
        <v>538400</v>
      </c>
      <c r="BS845" s="349">
        <v>689152</v>
      </c>
      <c r="BT845" s="349">
        <v>767758</v>
      </c>
      <c r="BU845" s="14"/>
      <c r="BV845" s="23" t="s">
        <v>243</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169</v>
      </c>
      <c r="K846" s="5"/>
      <c r="L846" s="5"/>
      <c r="M846" s="1641" t="s">
        <v>2746</v>
      </c>
      <c r="N846" s="1642"/>
      <c r="O846" s="1642"/>
      <c r="P846" s="1642"/>
      <c r="Q846" s="1642"/>
      <c r="R846" s="1642"/>
      <c r="S846" s="1642"/>
      <c r="T846" s="1642"/>
      <c r="U846" s="1642"/>
      <c r="V846" s="1643"/>
      <c r="W846" s="1648">
        <v>32000</v>
      </c>
      <c r="X846" s="1648"/>
      <c r="Y846" s="1648"/>
      <c r="Z846" s="1648"/>
      <c r="AA846" s="1648"/>
      <c r="AB846" s="1648"/>
      <c r="AC846" s="1648"/>
      <c r="AZ846" s="30">
        <f>IF(AJ1028&gt;1,0.05,0)</f>
        <v>0.05</v>
      </c>
      <c r="BA846" s="30"/>
      <c r="BB846" s="14"/>
      <c r="BC846" s="14"/>
      <c r="BD846" s="14"/>
      <c r="BE846" s="14"/>
      <c r="BF846" s="14"/>
      <c r="BG846" s="14"/>
      <c r="BH846" s="14"/>
      <c r="BI846" s="14"/>
      <c r="BJ846" s="14"/>
      <c r="BK846" s="14"/>
      <c r="BL846" s="14"/>
      <c r="BM846" s="14"/>
      <c r="BN846" s="14"/>
      <c r="BO846" s="23" t="s">
        <v>244</v>
      </c>
      <c r="BP846" s="350">
        <v>532060</v>
      </c>
      <c r="BQ846" s="350">
        <v>613460</v>
      </c>
      <c r="BR846" s="351">
        <v>740000</v>
      </c>
      <c r="BS846" s="350">
        <v>947200</v>
      </c>
      <c r="BT846" s="350">
        <v>1055240</v>
      </c>
      <c r="BU846" s="14"/>
      <c r="BV846" s="23" t="s">
        <v>244</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342</v>
      </c>
      <c r="W847" s="1614">
        <f>SUM(W842:AC846)</f>
        <v>168182</v>
      </c>
      <c r="X847" s="1615"/>
      <c r="Y847" s="1615"/>
      <c r="Z847" s="1615"/>
      <c r="AA847" s="1615"/>
      <c r="AB847" s="1615"/>
      <c r="AC847" s="1616"/>
      <c r="AZ847" s="30"/>
      <c r="BA847" s="30"/>
      <c r="BB847" s="14"/>
      <c r="BC847" s="14"/>
      <c r="BD847" s="14"/>
      <c r="BE847" s="14"/>
      <c r="BF847" s="14"/>
      <c r="BG847" s="14"/>
      <c r="BH847" s="14"/>
      <c r="BI847" s="14"/>
      <c r="BJ847" s="14"/>
      <c r="BK847" s="14"/>
      <c r="BL847" s="14"/>
      <c r="BM847" s="14"/>
      <c r="BN847" s="14"/>
      <c r="BO847" s="23" t="s">
        <v>705</v>
      </c>
      <c r="BP847" s="349">
        <v>387110</v>
      </c>
      <c r="BQ847" s="349">
        <v>446334</v>
      </c>
      <c r="BR847" s="349">
        <v>538400</v>
      </c>
      <c r="BS847" s="349">
        <v>689152</v>
      </c>
      <c r="BT847" s="349">
        <v>767758</v>
      </c>
      <c r="BU847" s="14"/>
      <c r="BV847" s="23" t="s">
        <v>705</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56"/>
      <c r="BH848" s="1656"/>
      <c r="BI848" s="1656"/>
      <c r="BJ848" s="1656"/>
      <c r="BK848" s="1656"/>
      <c r="BL848" s="1656"/>
      <c r="BM848" s="14"/>
      <c r="BN848" s="14"/>
      <c r="BO848" s="23" t="s">
        <v>706</v>
      </c>
      <c r="BP848" s="350">
        <v>532060</v>
      </c>
      <c r="BQ848" s="350">
        <v>613460</v>
      </c>
      <c r="BR848" s="350">
        <v>740000</v>
      </c>
      <c r="BS848" s="350">
        <v>947200</v>
      </c>
      <c r="BT848" s="350">
        <v>1055240</v>
      </c>
      <c r="BU848" s="14"/>
      <c r="BV848" s="23" t="s">
        <v>706</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344</v>
      </c>
      <c r="J849" s="1617" t="s">
        <v>345</v>
      </c>
      <c r="K849" s="1618"/>
      <c r="L849" s="1618"/>
      <c r="M849" s="1618"/>
      <c r="N849" s="1618"/>
      <c r="O849" s="1618"/>
      <c r="P849" s="1618"/>
      <c r="Q849" s="1618"/>
      <c r="R849" s="1618"/>
      <c r="S849" s="1618"/>
      <c r="T849" s="1618"/>
      <c r="U849" s="1618"/>
      <c r="V849" s="1619"/>
      <c r="W849" s="1605">
        <v>82331</v>
      </c>
      <c r="X849" s="1606"/>
      <c r="Y849" s="1606"/>
      <c r="Z849" s="1606"/>
      <c r="AA849" s="1606"/>
      <c r="AB849" s="1606"/>
      <c r="AC849" s="1607"/>
      <c r="AD849" s="567"/>
      <c r="AZ849" s="30"/>
      <c r="BA849" s="30"/>
      <c r="BB849" s="14"/>
      <c r="BC849" s="14"/>
      <c r="BD849" s="14"/>
      <c r="BE849" s="14"/>
      <c r="BF849" s="14"/>
      <c r="BG849" s="89"/>
      <c r="BH849" s="89"/>
      <c r="BI849" s="89"/>
      <c r="BJ849" s="89"/>
      <c r="BK849" s="89"/>
      <c r="BL849" s="89"/>
      <c r="BM849" s="14"/>
      <c r="BN849" s="14"/>
      <c r="BO849" s="23" t="s">
        <v>707</v>
      </c>
      <c r="BP849" s="349">
        <v>387110</v>
      </c>
      <c r="BQ849" s="349">
        <v>446334</v>
      </c>
      <c r="BR849" s="349">
        <v>538400</v>
      </c>
      <c r="BS849" s="349">
        <v>689152</v>
      </c>
      <c r="BT849" s="349">
        <v>767758</v>
      </c>
      <c r="BU849" s="14"/>
      <c r="BV849" s="23" t="s">
        <v>707</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708</v>
      </c>
      <c r="BP850" s="351">
        <v>319236</v>
      </c>
      <c r="BQ850" s="351">
        <v>368076</v>
      </c>
      <c r="BR850" s="351">
        <v>444000</v>
      </c>
      <c r="BS850" s="351">
        <v>568320</v>
      </c>
      <c r="BT850" s="351">
        <v>633144</v>
      </c>
      <c r="BU850" s="14"/>
      <c r="BV850" s="23" t="s">
        <v>708</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568</v>
      </c>
      <c r="J851" s="45" t="s">
        <v>352</v>
      </c>
      <c r="K851" s="5"/>
      <c r="L851" s="5"/>
      <c r="M851" s="5"/>
      <c r="N851" s="5"/>
      <c r="O851" s="5"/>
      <c r="P851" s="5"/>
      <c r="Q851" s="5"/>
      <c r="R851" s="5"/>
      <c r="S851" s="5"/>
      <c r="T851" s="5"/>
      <c r="U851" s="5"/>
      <c r="V851" s="46"/>
      <c r="W851" s="1644">
        <v>0</v>
      </c>
      <c r="X851" s="1644"/>
      <c r="Y851" s="1644"/>
      <c r="Z851" s="1644"/>
      <c r="AA851" s="1644"/>
      <c r="AB851" s="1644"/>
      <c r="AC851" s="1644"/>
      <c r="AZ851" s="1660">
        <f>SUM(AZ818:AZ846)</f>
        <v>7.5000000000000011E-2</v>
      </c>
      <c r="BA851" s="1660"/>
      <c r="BB851" s="14"/>
      <c r="BC851" s="14"/>
      <c r="BD851" s="14"/>
      <c r="BE851" s="14"/>
      <c r="BF851" s="14"/>
      <c r="BG851" s="14"/>
      <c r="BH851" s="14"/>
      <c r="BI851" s="14"/>
      <c r="BJ851" s="14"/>
      <c r="BK851" s="14"/>
      <c r="BL851" s="14"/>
      <c r="BM851" s="14"/>
      <c r="BN851" s="14"/>
      <c r="BO851" s="23" t="s">
        <v>709</v>
      </c>
      <c r="BP851" s="349">
        <v>352022</v>
      </c>
      <c r="BQ851" s="349">
        <v>405878</v>
      </c>
      <c r="BR851" s="349">
        <v>489600</v>
      </c>
      <c r="BS851" s="349">
        <v>626688</v>
      </c>
      <c r="BT851" s="349">
        <v>698170</v>
      </c>
      <c r="BU851" s="14"/>
      <c r="BV851" s="23" t="s">
        <v>709</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351</v>
      </c>
      <c r="K852" s="5"/>
      <c r="L852" s="5"/>
      <c r="M852" s="5"/>
      <c r="N852" s="5"/>
      <c r="O852" s="5"/>
      <c r="P852" s="5"/>
      <c r="Q852" s="5"/>
      <c r="R852" s="5"/>
      <c r="S852" s="5"/>
      <c r="T852" s="5"/>
      <c r="U852" s="5"/>
      <c r="V852" s="46"/>
      <c r="W852" s="1644">
        <v>0</v>
      </c>
      <c r="X852" s="1644"/>
      <c r="Y852" s="1644"/>
      <c r="Z852" s="1644"/>
      <c r="AA852" s="1644"/>
      <c r="AB852" s="1644"/>
      <c r="AC852" s="1644"/>
      <c r="AZ852" s="30"/>
      <c r="BA852" s="30"/>
      <c r="BB852" s="14"/>
      <c r="BC852" s="14"/>
      <c r="BD852" s="14"/>
      <c r="BE852" s="14"/>
      <c r="BF852" s="14"/>
      <c r="BG852" s="14"/>
      <c r="BH852" s="14"/>
      <c r="BI852" s="14"/>
      <c r="BJ852" s="14"/>
      <c r="BK852" s="14"/>
      <c r="BL852" s="14"/>
      <c r="BM852" s="14"/>
      <c r="BN852" s="14"/>
      <c r="BO852" s="23" t="s">
        <v>710</v>
      </c>
      <c r="BP852" s="351">
        <v>352022</v>
      </c>
      <c r="BQ852" s="351">
        <v>405878</v>
      </c>
      <c r="BR852" s="351">
        <v>489600</v>
      </c>
      <c r="BS852" s="351">
        <v>626688</v>
      </c>
      <c r="BT852" s="351">
        <v>698170</v>
      </c>
      <c r="BU852" s="14"/>
      <c r="BV852" s="23" t="s">
        <v>710</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466</v>
      </c>
      <c r="K853" s="5"/>
      <c r="L853" s="5"/>
      <c r="M853" s="5"/>
      <c r="N853" s="5"/>
      <c r="O853" s="5"/>
      <c r="P853" s="5"/>
      <c r="Q853" s="5"/>
      <c r="R853" s="5"/>
      <c r="S853" s="5"/>
      <c r="T853" s="5"/>
      <c r="U853" s="5"/>
      <c r="V853" s="46"/>
      <c r="W853" s="1644">
        <v>75000</v>
      </c>
      <c r="X853" s="1644"/>
      <c r="Y853" s="1644"/>
      <c r="Z853" s="1644"/>
      <c r="AA853" s="1644"/>
      <c r="AB853" s="1644"/>
      <c r="AC853" s="1644"/>
      <c r="AZ853" s="30"/>
      <c r="BA853" s="30"/>
      <c r="BB853" s="14"/>
      <c r="BC853" s="14"/>
      <c r="BD853" s="14"/>
      <c r="BE853" s="14"/>
      <c r="BF853" s="14"/>
      <c r="BG853" s="14"/>
      <c r="BH853" s="14"/>
      <c r="BI853" s="14"/>
      <c r="BJ853" s="14"/>
      <c r="BK853" s="14"/>
      <c r="BL853" s="14"/>
      <c r="BM853" s="14"/>
      <c r="BN853" s="14"/>
      <c r="BO853" s="23" t="s">
        <v>711</v>
      </c>
      <c r="BP853" s="349">
        <v>384234</v>
      </c>
      <c r="BQ853" s="349">
        <v>443018</v>
      </c>
      <c r="BR853" s="349">
        <v>534400</v>
      </c>
      <c r="BS853" s="349">
        <v>684032</v>
      </c>
      <c r="BT853" s="349">
        <v>762054</v>
      </c>
      <c r="BU853" s="14"/>
      <c r="BV853" s="23" t="s">
        <v>711</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627</v>
      </c>
      <c r="K854" s="5"/>
      <c r="L854" s="5"/>
      <c r="M854" s="5"/>
      <c r="N854" s="5"/>
      <c r="O854" s="5"/>
      <c r="P854" s="5"/>
      <c r="Q854" s="5"/>
      <c r="R854" s="5"/>
      <c r="S854" s="5"/>
      <c r="T854" s="5"/>
      <c r="U854" s="5"/>
      <c r="V854" s="46"/>
      <c r="W854" s="1644">
        <v>45000</v>
      </c>
      <c r="X854" s="1644"/>
      <c r="Y854" s="1644"/>
      <c r="Z854" s="1644"/>
      <c r="AA854" s="1644"/>
      <c r="AB854" s="1644"/>
      <c r="AC854" s="1644"/>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272</v>
      </c>
      <c r="W855" s="1718">
        <f>SUM(W851:AC854)</f>
        <v>120000</v>
      </c>
      <c r="X855" s="1718"/>
      <c r="Y855" s="1718"/>
      <c r="Z855" s="1718"/>
      <c r="AA855" s="1718"/>
      <c r="AB855" s="1718"/>
      <c r="AC855" s="1718"/>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346</v>
      </c>
      <c r="J857" s="45" t="s">
        <v>626</v>
      </c>
      <c r="K857" s="5"/>
      <c r="L857" s="5"/>
      <c r="M857" s="5"/>
      <c r="N857" s="5"/>
      <c r="O857" s="5"/>
      <c r="P857" s="5"/>
      <c r="Q857" s="5"/>
      <c r="R857" s="5"/>
      <c r="S857" s="5"/>
      <c r="T857" s="5"/>
      <c r="U857" s="5"/>
      <c r="V857" s="46"/>
      <c r="W857" s="1666">
        <v>121776</v>
      </c>
      <c r="X857" s="1667"/>
      <c r="Y857" s="1667"/>
      <c r="Z857" s="1667"/>
      <c r="AA857" s="1667"/>
      <c r="AB857" s="1667"/>
      <c r="AC857" s="1668"/>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347</v>
      </c>
      <c r="J858" s="121" t="s">
        <v>1763</v>
      </c>
      <c r="K858" s="5"/>
      <c r="L858" s="5"/>
      <c r="M858" s="5"/>
      <c r="N858" s="5"/>
      <c r="O858" s="5"/>
      <c r="P858" s="5"/>
      <c r="Q858" s="5"/>
      <c r="R858" s="5"/>
      <c r="S858" s="5"/>
      <c r="T858" s="1661">
        <v>2</v>
      </c>
      <c r="U858" s="1600"/>
      <c r="V858" s="1662"/>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625</v>
      </c>
      <c r="K859" s="5"/>
      <c r="L859" s="5"/>
      <c r="M859" s="5"/>
      <c r="N859" s="5"/>
      <c r="O859" s="5"/>
      <c r="P859" s="5"/>
      <c r="Q859" s="5"/>
      <c r="R859" s="5"/>
      <c r="S859" s="5"/>
      <c r="T859" s="5"/>
      <c r="U859" s="5"/>
      <c r="V859" s="46"/>
      <c r="W859" s="1666">
        <v>66560</v>
      </c>
      <c r="X859" s="1667"/>
      <c r="Y859" s="1667"/>
      <c r="Z859" s="1667"/>
      <c r="AA859" s="1667"/>
      <c r="AB859" s="1667"/>
      <c r="AC859" s="1668"/>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1764</v>
      </c>
      <c r="K860" s="5"/>
      <c r="L860" s="5"/>
      <c r="M860" s="5"/>
      <c r="N860" s="5"/>
      <c r="O860" s="5"/>
      <c r="P860" s="5"/>
      <c r="Q860" s="5"/>
      <c r="R860" s="5"/>
      <c r="S860" s="5"/>
      <c r="T860" s="1661">
        <v>1</v>
      </c>
      <c r="U860" s="1600"/>
      <c r="V860" s="1662"/>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169</v>
      </c>
      <c r="K861" s="5"/>
      <c r="L861" s="5"/>
      <c r="M861" s="1641" t="s">
        <v>2747</v>
      </c>
      <c r="N861" s="1642"/>
      <c r="O861" s="1642"/>
      <c r="P861" s="1642"/>
      <c r="Q861" s="1642"/>
      <c r="R861" s="1642"/>
      <c r="S861" s="1642"/>
      <c r="T861" s="1642"/>
      <c r="U861" s="1642"/>
      <c r="V861" s="1643"/>
      <c r="W861" s="1666">
        <v>38265</v>
      </c>
      <c r="X861" s="1667"/>
      <c r="Y861" s="1667"/>
      <c r="Z861" s="1667"/>
      <c r="AA861" s="1667"/>
      <c r="AB861" s="1667"/>
      <c r="AC861" s="1668"/>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273</v>
      </c>
      <c r="W862" s="1663">
        <f>SUM(W857:AC861)</f>
        <v>226601</v>
      </c>
      <c r="X862" s="1664"/>
      <c r="Y862" s="1664"/>
      <c r="Z862" s="1664"/>
      <c r="AA862" s="1664"/>
      <c r="AB862" s="1664"/>
      <c r="AC862" s="1665"/>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274</v>
      </c>
      <c r="W863" s="1666">
        <v>72500</v>
      </c>
      <c r="X863" s="1667"/>
      <c r="Y863" s="1667"/>
      <c r="Z863" s="1667"/>
      <c r="AA863" s="1667"/>
      <c r="AB863" s="1667"/>
      <c r="AC863" s="1668"/>
      <c r="AU863" s="14"/>
      <c r="AZ863" s="34"/>
      <c r="BA863" s="34"/>
      <c r="BB863" s="34"/>
      <c r="BC863" s="34"/>
      <c r="BD863" s="34"/>
      <c r="BE863" s="34"/>
      <c r="BF863" s="34"/>
      <c r="BG863" s="34"/>
      <c r="BH863" s="34"/>
      <c r="BI863" s="34"/>
      <c r="BJ863" s="34"/>
      <c r="BK863" s="34"/>
      <c r="BL863" s="34"/>
      <c r="BM863" s="34"/>
      <c r="BN863" s="34"/>
      <c r="BO863" s="23" t="s">
        <v>326</v>
      </c>
      <c r="BP863" s="349">
        <v>331890</v>
      </c>
      <c r="BQ863" s="349">
        <v>382666</v>
      </c>
      <c r="BR863" s="349">
        <v>461600</v>
      </c>
      <c r="BS863" s="349">
        <v>590848</v>
      </c>
      <c r="BT863" s="349">
        <v>658242</v>
      </c>
      <c r="BU863" s="14"/>
      <c r="BV863" s="23" t="s">
        <v>326</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390</v>
      </c>
      <c r="J865" s="45" t="s">
        <v>624</v>
      </c>
      <c r="K865" s="5"/>
      <c r="L865" s="5"/>
      <c r="M865" s="5"/>
      <c r="N865" s="5"/>
      <c r="O865" s="5"/>
      <c r="P865" s="5"/>
      <c r="Q865" s="5"/>
      <c r="R865" s="5"/>
      <c r="S865" s="5"/>
      <c r="T865" s="5"/>
      <c r="U865" s="5"/>
      <c r="V865" s="46"/>
      <c r="W865" s="1648">
        <v>5000</v>
      </c>
      <c r="X865" s="1648"/>
      <c r="Y865" s="1648"/>
      <c r="Z865" s="1648"/>
      <c r="AA865" s="1648"/>
      <c r="AB865" s="1648"/>
      <c r="AC865" s="1648"/>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529</v>
      </c>
      <c r="K866" s="5"/>
      <c r="L866" s="5"/>
      <c r="M866" s="5"/>
      <c r="N866" s="5"/>
      <c r="O866" s="5"/>
      <c r="P866" s="5"/>
      <c r="Q866" s="5"/>
      <c r="R866" s="5"/>
      <c r="S866" s="5"/>
      <c r="T866" s="5"/>
      <c r="U866" s="5"/>
      <c r="V866" s="46"/>
      <c r="W866" s="1648">
        <v>24000</v>
      </c>
      <c r="X866" s="1648"/>
      <c r="Y866" s="1648"/>
      <c r="Z866" s="1648"/>
      <c r="AA866" s="1648"/>
      <c r="AB866" s="1648"/>
      <c r="AC866" s="1648"/>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528</v>
      </c>
      <c r="K867" s="5"/>
      <c r="L867" s="5"/>
      <c r="M867" s="5"/>
      <c r="N867" s="5"/>
      <c r="O867" s="5"/>
      <c r="P867" s="5"/>
      <c r="Q867" s="5"/>
      <c r="R867" s="5"/>
      <c r="S867" s="5"/>
      <c r="T867" s="5"/>
      <c r="U867" s="5"/>
      <c r="V867" s="46"/>
      <c r="W867" s="1648">
        <v>29000</v>
      </c>
      <c r="X867" s="1648"/>
      <c r="Y867" s="1648"/>
      <c r="Z867" s="1648"/>
      <c r="AA867" s="1648"/>
      <c r="AB867" s="1648"/>
      <c r="AC867" s="1648"/>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527</v>
      </c>
      <c r="K868" s="5"/>
      <c r="L868" s="5"/>
      <c r="M868" s="5"/>
      <c r="N868" s="5"/>
      <c r="O868" s="5"/>
      <c r="P868" s="5"/>
      <c r="Q868" s="5"/>
      <c r="R868" s="5"/>
      <c r="S868" s="5"/>
      <c r="T868" s="5"/>
      <c r="U868" s="5"/>
      <c r="V868" s="46"/>
      <c r="W868" s="1648">
        <v>7000</v>
      </c>
      <c r="X868" s="1648"/>
      <c r="Y868" s="1648"/>
      <c r="Z868" s="1648"/>
      <c r="AA868" s="1648"/>
      <c r="AB868" s="1648"/>
      <c r="AC868" s="1648"/>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526</v>
      </c>
      <c r="K869" s="5"/>
      <c r="L869" s="5"/>
      <c r="M869" s="5"/>
      <c r="N869" s="5"/>
      <c r="O869" s="5"/>
      <c r="P869" s="5"/>
      <c r="Q869" s="5"/>
      <c r="R869" s="5"/>
      <c r="S869" s="5"/>
      <c r="T869" s="5"/>
      <c r="U869" s="5"/>
      <c r="V869" s="46"/>
      <c r="W869" s="1648">
        <v>10000</v>
      </c>
      <c r="X869" s="1648"/>
      <c r="Y869" s="1648"/>
      <c r="Z869" s="1648"/>
      <c r="AA869" s="1648"/>
      <c r="AB869" s="1648"/>
      <c r="AC869" s="1648"/>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525</v>
      </c>
      <c r="K870" s="5"/>
      <c r="L870" s="5"/>
      <c r="M870" s="5"/>
      <c r="N870" s="5"/>
      <c r="O870" s="5"/>
      <c r="P870" s="5"/>
      <c r="Q870" s="5"/>
      <c r="R870" s="5"/>
      <c r="S870" s="5"/>
      <c r="T870" s="5"/>
      <c r="U870" s="5"/>
      <c r="V870" s="46"/>
      <c r="W870" s="1648">
        <v>18000</v>
      </c>
      <c r="X870" s="1648"/>
      <c r="Y870" s="1648"/>
      <c r="Z870" s="1648"/>
      <c r="AA870" s="1648"/>
      <c r="AB870" s="1648"/>
      <c r="AC870" s="1648"/>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169</v>
      </c>
      <c r="K871" s="5"/>
      <c r="L871" s="5"/>
      <c r="M871" s="1641" t="s">
        <v>2748</v>
      </c>
      <c r="N871" s="1642"/>
      <c r="O871" s="1642"/>
      <c r="P871" s="1642"/>
      <c r="Q871" s="1642"/>
      <c r="R871" s="1642"/>
      <c r="S871" s="1642"/>
      <c r="T871" s="1642"/>
      <c r="U871" s="1642"/>
      <c r="V871" s="1643"/>
      <c r="W871" s="1648">
        <v>8500</v>
      </c>
      <c r="X871" s="1648"/>
      <c r="Y871" s="1648"/>
      <c r="Z871" s="1648"/>
      <c r="AA871" s="1648"/>
      <c r="AB871" s="1648"/>
      <c r="AC871" s="1648"/>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275</v>
      </c>
      <c r="W872" s="1627">
        <f>SUM(W865:AC871)</f>
        <v>101500</v>
      </c>
      <c r="X872" s="1627"/>
      <c r="Y872" s="1627"/>
      <c r="Z872" s="1627"/>
      <c r="AA872" s="1627"/>
      <c r="AB872" s="1627"/>
      <c r="AC872" s="1627"/>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1347</v>
      </c>
      <c r="J874" s="45" t="s">
        <v>169</v>
      </c>
      <c r="K874" s="5"/>
      <c r="L874" s="5"/>
      <c r="M874" s="1641" t="s">
        <v>2749</v>
      </c>
      <c r="N874" s="1642"/>
      <c r="O874" s="1642"/>
      <c r="P874" s="1642"/>
      <c r="Q874" s="1642"/>
      <c r="R874" s="1642"/>
      <c r="S874" s="1642"/>
      <c r="T874" s="1642"/>
      <c r="U874" s="1642"/>
      <c r="V874" s="1643"/>
      <c r="W874" s="1605">
        <v>8000</v>
      </c>
      <c r="X874" s="1606"/>
      <c r="Y874" s="1606"/>
      <c r="Z874" s="1606"/>
      <c r="AA874" s="1606"/>
      <c r="AB874" s="1606"/>
      <c r="AC874" s="1607"/>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1348</v>
      </c>
      <c r="J875" s="45" t="s">
        <v>169</v>
      </c>
      <c r="K875" s="5"/>
      <c r="L875" s="5"/>
      <c r="M875" s="1641" t="s">
        <v>334</v>
      </c>
      <c r="N875" s="1642"/>
      <c r="O875" s="1642"/>
      <c r="P875" s="1642"/>
      <c r="Q875" s="1642"/>
      <c r="R875" s="1642"/>
      <c r="S875" s="1642"/>
      <c r="T875" s="1642"/>
      <c r="U875" s="1642"/>
      <c r="V875" s="1643"/>
      <c r="W875" s="1605"/>
      <c r="X875" s="1606"/>
      <c r="Y875" s="1606"/>
      <c r="Z875" s="1606"/>
      <c r="AA875" s="1606"/>
      <c r="AB875" s="1606"/>
      <c r="AC875" s="1607"/>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169</v>
      </c>
      <c r="K876" s="5"/>
      <c r="L876" s="5"/>
      <c r="M876" s="1641" t="s">
        <v>334</v>
      </c>
      <c r="N876" s="1642"/>
      <c r="O876" s="1642"/>
      <c r="P876" s="1642"/>
      <c r="Q876" s="1642"/>
      <c r="R876" s="1642"/>
      <c r="S876" s="1642"/>
      <c r="T876" s="1642"/>
      <c r="U876" s="1642"/>
      <c r="V876" s="1643"/>
      <c r="W876" s="1605"/>
      <c r="X876" s="1606"/>
      <c r="Y876" s="1606"/>
      <c r="Z876" s="1606"/>
      <c r="AA876" s="1606"/>
      <c r="AB876" s="1606"/>
      <c r="AC876" s="1607"/>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169</v>
      </c>
      <c r="K877" s="5"/>
      <c r="L877" s="5"/>
      <c r="M877" s="1641" t="s">
        <v>334</v>
      </c>
      <c r="N877" s="1642"/>
      <c r="O877" s="1642"/>
      <c r="P877" s="1642"/>
      <c r="Q877" s="1642"/>
      <c r="R877" s="1642"/>
      <c r="S877" s="1642"/>
      <c r="T877" s="1642"/>
      <c r="U877" s="1642"/>
      <c r="V877" s="1643"/>
      <c r="W877" s="1605"/>
      <c r="X877" s="1606"/>
      <c r="Y877" s="1606"/>
      <c r="Z877" s="1606"/>
      <c r="AA877" s="1606"/>
      <c r="AB877" s="1606"/>
      <c r="AC877" s="1607"/>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169</v>
      </c>
      <c r="K878" s="5"/>
      <c r="L878" s="5"/>
      <c r="M878" s="1641" t="s">
        <v>334</v>
      </c>
      <c r="N878" s="1642"/>
      <c r="O878" s="1642"/>
      <c r="P878" s="1642"/>
      <c r="Q878" s="1642"/>
      <c r="R878" s="1642"/>
      <c r="S878" s="1642"/>
      <c r="T878" s="1642"/>
      <c r="U878" s="1642"/>
      <c r="V878" s="1643"/>
      <c r="W878" s="1605"/>
      <c r="X878" s="1606"/>
      <c r="Y878" s="1606"/>
      <c r="Z878" s="1606"/>
      <c r="AA878" s="1606"/>
      <c r="AB878" s="1606"/>
      <c r="AC878" s="1607"/>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276</v>
      </c>
      <c r="W879" s="1614">
        <f>SUM(W874:AC878)</f>
        <v>8000</v>
      </c>
      <c r="X879" s="1615"/>
      <c r="Y879" s="1615"/>
      <c r="Z879" s="1615"/>
      <c r="AA879" s="1615"/>
      <c r="AB879" s="1615"/>
      <c r="AC879" s="1616"/>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177</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277</v>
      </c>
      <c r="AC883" s="1615">
        <f>W847+W855+W862+W863+W872+W879+W849</f>
        <v>779114</v>
      </c>
      <c r="AD883" s="1615"/>
      <c r="AE883" s="1615"/>
      <c r="AF883" s="1615"/>
      <c r="AG883" s="1615"/>
      <c r="AH883" s="1616"/>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518</v>
      </c>
      <c r="AC884" s="1719">
        <f>O797+O777+G753</f>
        <v>86</v>
      </c>
      <c r="AD884" s="1719"/>
      <c r="AE884" s="1719"/>
      <c r="AF884" s="1719"/>
      <c r="AG884" s="1719"/>
      <c r="AH884" s="1720"/>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758" t="s">
        <v>32</v>
      </c>
      <c r="F885" s="1758"/>
      <c r="G885" s="1758"/>
      <c r="H885" s="1758"/>
      <c r="I885" s="1758"/>
      <c r="J885" s="1758"/>
      <c r="K885" s="1758"/>
      <c r="L885" s="1758"/>
      <c r="M885" s="1758"/>
      <c r="N885" s="1758"/>
      <c r="O885" s="1758"/>
      <c r="P885" s="1758"/>
      <c r="Q885" s="1758"/>
      <c r="R885" s="1758"/>
      <c r="S885" s="1758"/>
      <c r="T885" s="1758"/>
      <c r="U885" s="1758"/>
      <c r="V885" s="1758"/>
      <c r="W885" s="1758"/>
      <c r="X885" s="1758"/>
      <c r="Y885" s="1758"/>
      <c r="Z885" s="1758"/>
      <c r="AA885" s="1758"/>
      <c r="AB885" s="1759"/>
      <c r="AC885" s="1627">
        <f>IF(ISERROR((ROUNDDOWN(AC883/AC884,0))),0,(ROUNDDOWN(AC883/AC884,0)))</f>
        <v>9059</v>
      </c>
      <c r="AD885" s="1627"/>
      <c r="AE885" s="1627"/>
      <c r="AF885" s="1627"/>
      <c r="AG885" s="1627"/>
      <c r="AH885" s="1627"/>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769</v>
      </c>
      <c r="AC886" s="1645">
        <v>475000</v>
      </c>
      <c r="AD886" s="1646"/>
      <c r="AE886" s="1646"/>
      <c r="AF886" s="1646"/>
      <c r="AG886" s="1646"/>
      <c r="AH886" s="1646"/>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1262</v>
      </c>
      <c r="AC887" s="1607"/>
      <c r="AD887" s="1648"/>
      <c r="AE887" s="1648"/>
      <c r="AF887" s="1648"/>
      <c r="AG887" s="1648"/>
      <c r="AH887" s="1648"/>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517</v>
      </c>
      <c r="AC888" s="1606">
        <v>246818</v>
      </c>
      <c r="AD888" s="1606"/>
      <c r="AE888" s="1606"/>
      <c r="AF888" s="1606"/>
      <c r="AG888" s="1606"/>
      <c r="AH888" s="1607"/>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606">
        <v>21500</v>
      </c>
      <c r="AD889" s="1606"/>
      <c r="AE889" s="1606"/>
      <c r="AF889" s="1606"/>
      <c r="AG889" s="1606"/>
      <c r="AH889" s="1607"/>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1862</v>
      </c>
      <c r="AC890" s="1535"/>
      <c r="AD890" s="1536"/>
      <c r="AE890" s="1536"/>
      <c r="AF890" s="1536"/>
      <c r="AG890" s="1536"/>
      <c r="AH890" s="1537"/>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606">
        <v>12000</v>
      </c>
      <c r="AD891" s="1606"/>
      <c r="AE891" s="1606"/>
      <c r="AF891" s="1606"/>
      <c r="AG891" s="1606"/>
      <c r="AH891" s="1607"/>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1765</v>
      </c>
      <c r="AC892" s="1606"/>
      <c r="AD892" s="1606"/>
      <c r="AE892" s="1606"/>
      <c r="AF892" s="1606"/>
      <c r="AG892" s="1606"/>
      <c r="AH892" s="1607"/>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69" t="s">
        <v>2750</v>
      </c>
      <c r="D893" s="1670"/>
      <c r="E893" s="1670"/>
      <c r="F893" s="1670"/>
      <c r="G893" s="1670"/>
      <c r="H893" s="1670"/>
      <c r="I893" s="1670"/>
      <c r="J893" s="1670"/>
      <c r="K893" s="1670"/>
      <c r="L893" s="1670"/>
      <c r="M893" s="1670"/>
      <c r="N893" s="1670"/>
      <c r="O893" s="1670"/>
      <c r="P893" s="1670"/>
      <c r="Q893" s="1670"/>
      <c r="R893" s="1670"/>
      <c r="S893" s="1670"/>
      <c r="T893" s="1670"/>
      <c r="U893" s="1670"/>
      <c r="V893" s="1670"/>
      <c r="W893" s="1670"/>
      <c r="X893" s="1670"/>
      <c r="Y893" s="1670"/>
      <c r="Z893" s="1670"/>
      <c r="AA893" s="1670"/>
      <c r="AB893" s="1671"/>
      <c r="AC893" s="1648">
        <v>9000</v>
      </c>
      <c r="AD893" s="1648"/>
      <c r="AE893" s="1648"/>
      <c r="AF893" s="1648"/>
      <c r="AG893" s="1648"/>
      <c r="AH893" s="1648"/>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69" t="s">
        <v>972</v>
      </c>
      <c r="D894" s="1670"/>
      <c r="E894" s="1670"/>
      <c r="F894" s="1670"/>
      <c r="G894" s="1670"/>
      <c r="H894" s="1670"/>
      <c r="I894" s="1670"/>
      <c r="J894" s="1670"/>
      <c r="K894" s="1670"/>
      <c r="L894" s="1670"/>
      <c r="M894" s="1670"/>
      <c r="N894" s="1670"/>
      <c r="O894" s="1670"/>
      <c r="P894" s="1670"/>
      <c r="Q894" s="1670"/>
      <c r="R894" s="1670"/>
      <c r="S894" s="1670"/>
      <c r="T894" s="1670"/>
      <c r="U894" s="1670"/>
      <c r="V894" s="1670"/>
      <c r="W894" s="1670"/>
      <c r="X894" s="1670"/>
      <c r="Y894" s="1670"/>
      <c r="Z894" s="1670"/>
      <c r="AA894" s="1670"/>
      <c r="AB894" s="1671"/>
      <c r="AC894" s="1648"/>
      <c r="AD894" s="1648"/>
      <c r="AE894" s="1648"/>
      <c r="AF894" s="1648"/>
      <c r="AG894" s="1648"/>
      <c r="AH894" s="1648"/>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620</v>
      </c>
      <c r="C896" s="2" t="s">
        <v>237</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238</v>
      </c>
      <c r="I898" s="5"/>
      <c r="J898" s="5"/>
      <c r="K898" s="5"/>
      <c r="L898" s="5"/>
      <c r="M898" s="5"/>
      <c r="N898" s="5"/>
      <c r="O898" s="5"/>
      <c r="P898" s="5"/>
      <c r="Q898" s="5"/>
      <c r="R898" s="5"/>
      <c r="S898" s="5"/>
      <c r="T898" s="5"/>
      <c r="U898" s="5"/>
      <c r="V898" s="5"/>
      <c r="W898" s="5"/>
      <c r="X898" s="5"/>
      <c r="Y898" s="46"/>
      <c r="Z898" s="1605"/>
      <c r="AA898" s="1606"/>
      <c r="AB898" s="1606"/>
      <c r="AC898" s="1606"/>
      <c r="AD898" s="1606"/>
      <c r="AE898" s="1607"/>
      <c r="AF898" s="567"/>
      <c r="AZ898" s="34"/>
      <c r="BB898" s="30"/>
      <c r="BC898" s="850"/>
      <c r="BD898" s="1659"/>
      <c r="BE898" s="1659"/>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239</v>
      </c>
      <c r="I899" s="5"/>
      <c r="J899" s="5"/>
      <c r="K899" s="5"/>
      <c r="L899" s="5"/>
      <c r="M899" s="5"/>
      <c r="N899" s="5"/>
      <c r="O899" s="5"/>
      <c r="P899" s="5"/>
      <c r="Q899" s="5"/>
      <c r="R899" s="5"/>
      <c r="S899" s="5"/>
      <c r="T899" s="5"/>
      <c r="U899" s="5"/>
      <c r="V899" s="5"/>
      <c r="W899" s="5"/>
      <c r="X899" s="5"/>
      <c r="Y899" s="5"/>
      <c r="Z899" s="1605"/>
      <c r="AA899" s="1606"/>
      <c r="AB899" s="1606"/>
      <c r="AC899" s="1606"/>
      <c r="AD899" s="1606"/>
      <c r="AE899" s="1607"/>
      <c r="AZ899" s="34"/>
      <c r="BB899" s="30"/>
      <c r="BC899" s="850"/>
      <c r="BD899" s="1659"/>
      <c r="BE899" s="1659"/>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240</v>
      </c>
      <c r="I900" s="5"/>
      <c r="J900" s="5"/>
      <c r="K900" s="5"/>
      <c r="L900" s="5"/>
      <c r="M900" s="5"/>
      <c r="N900" s="5"/>
      <c r="O900" s="5"/>
      <c r="P900" s="5"/>
      <c r="Q900" s="5"/>
      <c r="R900" s="5"/>
      <c r="S900" s="5"/>
      <c r="T900" s="5"/>
      <c r="U900" s="5"/>
      <c r="V900" s="5"/>
      <c r="W900" s="5"/>
      <c r="X900" s="5"/>
      <c r="Y900" s="5"/>
      <c r="Z900" s="1605"/>
      <c r="AA900" s="1606"/>
      <c r="AB900" s="1606"/>
      <c r="AC900" s="1606"/>
      <c r="AD900" s="1606"/>
      <c r="AE900" s="1607"/>
      <c r="AZ900" s="34"/>
      <c r="BB900" s="30"/>
      <c r="BC900" s="850"/>
      <c r="BD900" s="1656"/>
      <c r="BE900" s="1656"/>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241</v>
      </c>
      <c r="Z901" s="1614">
        <f>Z898-(Z899+Z900)</f>
        <v>0</v>
      </c>
      <c r="AA901" s="1615"/>
      <c r="AB901" s="1615"/>
      <c r="AC901" s="1615"/>
      <c r="AD901" s="1615"/>
      <c r="AE901" s="1616"/>
      <c r="AZ901" s="34"/>
      <c r="BB901" s="30"/>
      <c r="BC901" s="850"/>
      <c r="BD901" s="1656"/>
      <c r="BE901" s="1656"/>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56"/>
      <c r="BE902" s="1656"/>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245</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59"/>
      <c r="BE903" s="1656"/>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246</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54"/>
      <c r="BE904" s="1654"/>
      <c r="BF904" s="1654"/>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247</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53"/>
      <c r="BE905" s="1653"/>
      <c r="BF905" s="1653"/>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1034</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56"/>
      <c r="BE906" s="1656"/>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59"/>
      <c r="BE907" s="1656"/>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696" t="s">
        <v>96</v>
      </c>
      <c r="B909" s="1696"/>
      <c r="C909" s="1696"/>
      <c r="D909" s="1696"/>
      <c r="E909" s="1696"/>
      <c r="F909" s="1696"/>
      <c r="G909" s="1696"/>
      <c r="H909" s="1696"/>
      <c r="I909" s="1696"/>
      <c r="J909" s="1696"/>
      <c r="K909" s="1696"/>
      <c r="L909" s="1696"/>
      <c r="M909" s="1696"/>
      <c r="N909" s="1696"/>
      <c r="O909" s="1696"/>
      <c r="P909" s="1696"/>
      <c r="Q909" s="1696"/>
      <c r="R909" s="1696"/>
      <c r="S909" s="1696"/>
      <c r="T909" s="1696"/>
      <c r="U909" s="1696"/>
      <c r="V909" s="1696"/>
      <c r="W909" s="1696"/>
      <c r="X909" s="1696"/>
      <c r="Y909" s="1696"/>
      <c r="Z909" s="1696"/>
      <c r="AA909" s="1696"/>
      <c r="AB909" s="1696"/>
      <c r="AC909" s="1696"/>
      <c r="AD909" s="1696"/>
      <c r="AE909" s="1696"/>
      <c r="AF909" s="1696"/>
      <c r="AG909" s="1696"/>
      <c r="AH909" s="1696"/>
      <c r="AI909" s="1696"/>
      <c r="AJ909" s="1696"/>
      <c r="AK909" s="1696"/>
      <c r="AL909" s="1696"/>
      <c r="AM909" s="1696"/>
      <c r="AN909" s="1696"/>
      <c r="AO909" s="1696"/>
      <c r="AP909" s="1696"/>
      <c r="AQ909" s="1696"/>
      <c r="AR909" s="1696"/>
      <c r="AS909" s="1696"/>
      <c r="AT909" s="1696"/>
      <c r="AZ909" s="34"/>
      <c r="BA909" s="34"/>
      <c r="BB909" s="30"/>
      <c r="BC909" s="30"/>
      <c r="BD909" s="1659"/>
      <c r="BE909" s="1656"/>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696"/>
      <c r="B910" s="1696"/>
      <c r="C910" s="1696"/>
      <c r="D910" s="1696"/>
      <c r="E910" s="1696"/>
      <c r="F910" s="1696"/>
      <c r="G910" s="1696"/>
      <c r="H910" s="1696"/>
      <c r="I910" s="1696"/>
      <c r="J910" s="1696"/>
      <c r="K910" s="1696"/>
      <c r="L910" s="1696"/>
      <c r="M910" s="1696"/>
      <c r="N910" s="1696"/>
      <c r="O910" s="1696"/>
      <c r="P910" s="1696"/>
      <c r="Q910" s="1696"/>
      <c r="R910" s="1696"/>
      <c r="S910" s="1696"/>
      <c r="T910" s="1696"/>
      <c r="U910" s="1696"/>
      <c r="V910" s="1696"/>
      <c r="W910" s="1696"/>
      <c r="X910" s="1696"/>
      <c r="Y910" s="1696"/>
      <c r="Z910" s="1696"/>
      <c r="AA910" s="1696"/>
      <c r="AB910" s="1696"/>
      <c r="AC910" s="1696"/>
      <c r="AD910" s="1696"/>
      <c r="AE910" s="1696"/>
      <c r="AF910" s="1696"/>
      <c r="AG910" s="1696"/>
      <c r="AH910" s="1696"/>
      <c r="AI910" s="1696"/>
      <c r="AJ910" s="1696"/>
      <c r="AK910" s="1696"/>
      <c r="AL910" s="1696"/>
      <c r="AM910" s="1696"/>
      <c r="AN910" s="1696"/>
      <c r="AO910" s="1696"/>
      <c r="AP910" s="1696"/>
      <c r="AQ910" s="1696"/>
      <c r="AR910" s="1696"/>
      <c r="AS910" s="1696"/>
      <c r="AT910" s="1696"/>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319</v>
      </c>
      <c r="C912" s="2" t="s">
        <v>264</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859" t="s">
        <v>800</v>
      </c>
      <c r="G914" s="1860"/>
      <c r="H914" s="1860"/>
      <c r="I914" s="1860"/>
      <c r="J914" s="1860"/>
      <c r="K914" s="1860"/>
      <c r="L914" s="1860"/>
      <c r="M914" s="1860"/>
      <c r="N914" s="1860"/>
      <c r="O914" s="1860"/>
      <c r="P914" s="1860"/>
      <c r="Q914" s="1860"/>
      <c r="R914" s="1860"/>
      <c r="S914" s="1860"/>
      <c r="T914" s="1861"/>
      <c r="U914" s="1680" t="s">
        <v>31</v>
      </c>
      <c r="V914" s="1634"/>
      <c r="W914" s="1634"/>
      <c r="X914" s="1634"/>
      <c r="Y914" s="1634"/>
      <c r="Z914" s="1634"/>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676" t="s">
        <v>826</v>
      </c>
      <c r="G915" s="1677"/>
      <c r="H915" s="1677"/>
      <c r="I915" s="1677"/>
      <c r="J915" s="1677"/>
      <c r="K915" s="1677"/>
      <c r="L915" s="1677"/>
      <c r="M915" s="1677"/>
      <c r="N915" s="1677"/>
      <c r="O915" s="1677"/>
      <c r="P915" s="1677"/>
      <c r="Q915" s="1677"/>
      <c r="R915" s="1677"/>
      <c r="S915" s="1677"/>
      <c r="T915" s="1678"/>
      <c r="U915" s="1676"/>
      <c r="V915" s="1677"/>
      <c r="W915" s="1677"/>
      <c r="X915" s="1677"/>
      <c r="Y915" s="1677"/>
      <c r="Z915" s="1677"/>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679"/>
      <c r="G916" s="1636"/>
      <c r="H916" s="1636"/>
      <c r="I916" s="1636"/>
      <c r="J916" s="1636"/>
      <c r="K916" s="1636"/>
      <c r="L916" s="1636"/>
      <c r="M916" s="1636"/>
      <c r="N916" s="1636"/>
      <c r="O916" s="1636"/>
      <c r="P916" s="1636"/>
      <c r="Q916" s="1636"/>
      <c r="R916" s="1636"/>
      <c r="S916" s="1636"/>
      <c r="T916" s="1637"/>
      <c r="U916" s="1679"/>
      <c r="V916" s="1636"/>
      <c r="W916" s="1636"/>
      <c r="X916" s="1636"/>
      <c r="Y916" s="1636"/>
      <c r="Z916" s="1636"/>
      <c r="AA916" s="108"/>
      <c r="AB916" s="1488" t="s">
        <v>391</v>
      </c>
      <c r="AC916" s="1488"/>
      <c r="AD916" s="1488"/>
      <c r="AE916" s="1488"/>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766</v>
      </c>
      <c r="G917" s="48"/>
      <c r="H917" s="48"/>
      <c r="I917" s="48"/>
      <c r="J917" s="48"/>
      <c r="K917" s="48"/>
      <c r="L917" s="48"/>
      <c r="M917" s="48"/>
      <c r="N917" s="48"/>
      <c r="O917" s="48"/>
      <c r="P917" s="48"/>
      <c r="Q917" s="48"/>
      <c r="R917" s="48"/>
      <c r="S917" s="48"/>
      <c r="T917" s="49"/>
      <c r="U917" s="1655" t="s">
        <v>552</v>
      </c>
      <c r="V917" s="1426"/>
      <c r="W917" s="1426"/>
      <c r="X917" s="1426"/>
      <c r="Y917" s="1426"/>
      <c r="Z917" s="1427"/>
      <c r="AA917" s="1657">
        <f>AM554</f>
        <v>34263756</v>
      </c>
      <c r="AB917" s="1562"/>
      <c r="AC917" s="1562"/>
      <c r="AD917" s="1562"/>
      <c r="AE917" s="1562"/>
      <c r="AF917" s="1658"/>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682</v>
      </c>
      <c r="G918" s="48"/>
      <c r="H918" s="48"/>
      <c r="I918" s="48"/>
      <c r="J918" s="48"/>
      <c r="K918" s="48"/>
      <c r="L918" s="48"/>
      <c r="M918" s="48"/>
      <c r="N918" s="48"/>
      <c r="O918" s="48"/>
      <c r="P918" s="48"/>
      <c r="Q918" s="48"/>
      <c r="R918" s="48"/>
      <c r="S918" s="48"/>
      <c r="T918" s="49"/>
      <c r="U918" s="1655" t="s">
        <v>598</v>
      </c>
      <c r="V918" s="1426"/>
      <c r="W918" s="1426"/>
      <c r="X918" s="1426"/>
      <c r="Y918" s="1426"/>
      <c r="Z918" s="1427"/>
      <c r="AA918" s="1657"/>
      <c r="AB918" s="1562"/>
      <c r="AC918" s="1562"/>
      <c r="AD918" s="1562"/>
      <c r="AE918" s="1562"/>
      <c r="AF918" s="1658"/>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809</v>
      </c>
      <c r="G919" s="5"/>
      <c r="H919" s="5"/>
      <c r="I919" s="5"/>
      <c r="J919" s="5"/>
      <c r="K919" s="5"/>
      <c r="L919" s="5"/>
      <c r="M919" s="5"/>
      <c r="N919" s="5"/>
      <c r="O919" s="5"/>
      <c r="P919" s="5"/>
      <c r="Q919" s="5"/>
      <c r="R919" s="5"/>
      <c r="S919" s="5"/>
      <c r="T919" s="46"/>
      <c r="U919" s="1655" t="s">
        <v>598</v>
      </c>
      <c r="V919" s="1426"/>
      <c r="W919" s="1426"/>
      <c r="X919" s="1426"/>
      <c r="Y919" s="1426"/>
      <c r="Z919" s="1427"/>
      <c r="AA919" s="1657"/>
      <c r="AB919" s="1562"/>
      <c r="AC919" s="1562"/>
      <c r="AD919" s="1562"/>
      <c r="AE919" s="1562"/>
      <c r="AF919" s="1658"/>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685</v>
      </c>
      <c r="G920" s="5"/>
      <c r="H920" s="5"/>
      <c r="I920" s="5"/>
      <c r="J920" s="5"/>
      <c r="K920" s="5"/>
      <c r="L920" s="5"/>
      <c r="M920" s="5"/>
      <c r="N920" s="5"/>
      <c r="O920" s="5"/>
      <c r="P920" s="5"/>
      <c r="Q920" s="5"/>
      <c r="R920" s="5"/>
      <c r="S920" s="5"/>
      <c r="T920" s="46"/>
      <c r="U920" s="1655" t="s">
        <v>598</v>
      </c>
      <c r="V920" s="1426"/>
      <c r="W920" s="1426"/>
      <c r="X920" s="1426"/>
      <c r="Y920" s="1426"/>
      <c r="Z920" s="1427"/>
      <c r="AA920" s="1657"/>
      <c r="AB920" s="1562"/>
      <c r="AC920" s="1562"/>
      <c r="AD920" s="1562"/>
      <c r="AE920" s="1562"/>
      <c r="AF920" s="1658"/>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794</v>
      </c>
      <c r="G921" s="5"/>
      <c r="H921" s="5"/>
      <c r="I921" s="5"/>
      <c r="J921" s="5"/>
      <c r="K921" s="5"/>
      <c r="L921" s="5"/>
      <c r="M921" s="5"/>
      <c r="N921" s="5"/>
      <c r="O921" s="5"/>
      <c r="P921" s="5"/>
      <c r="Q921" s="5"/>
      <c r="R921" s="5"/>
      <c r="S921" s="5"/>
      <c r="T921" s="46"/>
      <c r="U921" s="1655" t="s">
        <v>598</v>
      </c>
      <c r="V921" s="1426"/>
      <c r="W921" s="1426"/>
      <c r="X921" s="1426"/>
      <c r="Y921" s="1426"/>
      <c r="Z921" s="1427"/>
      <c r="AA921" s="1657"/>
      <c r="AB921" s="1562"/>
      <c r="AC921" s="1562"/>
      <c r="AD921" s="1562"/>
      <c r="AE921" s="1562"/>
      <c r="AF921" s="1658"/>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795</v>
      </c>
      <c r="G922" s="5"/>
      <c r="H922" s="5"/>
      <c r="I922" s="5"/>
      <c r="J922" s="5"/>
      <c r="K922" s="5"/>
      <c r="L922" s="5"/>
      <c r="M922" s="5"/>
      <c r="N922" s="5"/>
      <c r="O922" s="5"/>
      <c r="P922" s="5"/>
      <c r="Q922" s="5"/>
      <c r="R922" s="5"/>
      <c r="S922" s="5"/>
      <c r="T922" s="46"/>
      <c r="U922" s="1655" t="s">
        <v>598</v>
      </c>
      <c r="V922" s="1426"/>
      <c r="W922" s="1426"/>
      <c r="X922" s="1426"/>
      <c r="Y922" s="1426"/>
      <c r="Z922" s="1427"/>
      <c r="AA922" s="1657"/>
      <c r="AB922" s="1562"/>
      <c r="AC922" s="1562"/>
      <c r="AD922" s="1562"/>
      <c r="AE922" s="1562"/>
      <c r="AF922" s="1658"/>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796</v>
      </c>
      <c r="G923" s="5"/>
      <c r="H923" s="5"/>
      <c r="I923" s="5"/>
      <c r="J923" s="5"/>
      <c r="K923" s="5"/>
      <c r="L923" s="5"/>
      <c r="M923" s="5"/>
      <c r="N923" s="5"/>
      <c r="O923" s="5"/>
      <c r="P923" s="5"/>
      <c r="Q923" s="5"/>
      <c r="R923" s="5"/>
      <c r="S923" s="5"/>
      <c r="T923" s="46"/>
      <c r="U923" s="1655" t="s">
        <v>598</v>
      </c>
      <c r="V923" s="1426"/>
      <c r="W923" s="1426"/>
      <c r="X923" s="1426"/>
      <c r="Y923" s="1426"/>
      <c r="Z923" s="1427"/>
      <c r="AA923" s="1657"/>
      <c r="AB923" s="1562"/>
      <c r="AC923" s="1562"/>
      <c r="AD923" s="1562"/>
      <c r="AE923" s="1562"/>
      <c r="AF923" s="1658"/>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684</v>
      </c>
      <c r="G924" s="5"/>
      <c r="H924" s="5"/>
      <c r="I924" s="5"/>
      <c r="J924" s="5"/>
      <c r="K924" s="5"/>
      <c r="L924" s="5"/>
      <c r="M924" s="5"/>
      <c r="N924" s="5"/>
      <c r="O924" s="5"/>
      <c r="P924" s="5"/>
      <c r="Q924" s="5"/>
      <c r="R924" s="5"/>
      <c r="S924" s="5"/>
      <c r="T924" s="46"/>
      <c r="U924" s="1655" t="s">
        <v>598</v>
      </c>
      <c r="V924" s="1426"/>
      <c r="W924" s="1426"/>
      <c r="X924" s="1426"/>
      <c r="Y924" s="1426"/>
      <c r="Z924" s="1427"/>
      <c r="AA924" s="1657"/>
      <c r="AB924" s="1562"/>
      <c r="AC924" s="1562"/>
      <c r="AD924" s="1562"/>
      <c r="AE924" s="1562"/>
      <c r="AF924" s="1658"/>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72" t="s">
        <v>2550</v>
      </c>
      <c r="G925" s="1673"/>
      <c r="H925" s="1673"/>
      <c r="I925" s="1673"/>
      <c r="J925" s="1673"/>
      <c r="K925" s="1673"/>
      <c r="L925" s="1673"/>
      <c r="M925" s="1673"/>
      <c r="N925" s="1673"/>
      <c r="O925" s="1673"/>
      <c r="P925" s="1673"/>
      <c r="Q925" s="1673"/>
      <c r="R925" s="1673"/>
      <c r="S925" s="1673"/>
      <c r="T925" s="1674"/>
      <c r="U925" s="1655" t="s">
        <v>598</v>
      </c>
      <c r="V925" s="1426"/>
      <c r="W925" s="1426"/>
      <c r="X925" s="1426"/>
      <c r="Y925" s="1426"/>
      <c r="Z925" s="1427"/>
      <c r="AA925" s="1657"/>
      <c r="AB925" s="1562"/>
      <c r="AC925" s="1562"/>
      <c r="AD925" s="1562"/>
      <c r="AE925" s="1562"/>
      <c r="AF925" s="1658"/>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72" t="s">
        <v>686</v>
      </c>
      <c r="G926" s="1673"/>
      <c r="H926" s="1673"/>
      <c r="I926" s="1673"/>
      <c r="J926" s="1673"/>
      <c r="K926" s="1673"/>
      <c r="L926" s="1673"/>
      <c r="M926" s="1673"/>
      <c r="N926" s="1673"/>
      <c r="O926" s="1673"/>
      <c r="P926" s="1673"/>
      <c r="Q926" s="1673"/>
      <c r="R926" s="1673"/>
      <c r="S926" s="1673"/>
      <c r="T926" s="1674"/>
      <c r="U926" s="1655" t="s">
        <v>598</v>
      </c>
      <c r="V926" s="1426"/>
      <c r="W926" s="1426"/>
      <c r="X926" s="1426"/>
      <c r="Y926" s="1426"/>
      <c r="Z926" s="1427"/>
      <c r="AA926" s="1657"/>
      <c r="AB926" s="1562"/>
      <c r="AC926" s="1562"/>
      <c r="AD926" s="1562"/>
      <c r="AE926" s="1562"/>
      <c r="AF926" s="1658"/>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72" t="s">
        <v>2551</v>
      </c>
      <c r="G927" s="1673"/>
      <c r="H927" s="1673"/>
      <c r="I927" s="1673"/>
      <c r="J927" s="1673"/>
      <c r="K927" s="1673"/>
      <c r="L927" s="1673"/>
      <c r="M927" s="1673"/>
      <c r="N927" s="1673"/>
      <c r="O927" s="1673"/>
      <c r="P927" s="1673"/>
      <c r="Q927" s="1673"/>
      <c r="R927" s="1673"/>
      <c r="S927" s="1673"/>
      <c r="T927" s="1674"/>
      <c r="U927" s="1655" t="s">
        <v>598</v>
      </c>
      <c r="V927" s="1426"/>
      <c r="W927" s="1426"/>
      <c r="X927" s="1426"/>
      <c r="Y927" s="1426"/>
      <c r="Z927" s="1427"/>
      <c r="AA927" s="1657"/>
      <c r="AB927" s="1562"/>
      <c r="AC927" s="1562"/>
      <c r="AD927" s="1562"/>
      <c r="AE927" s="1562"/>
      <c r="AF927" s="1658"/>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72" t="s">
        <v>2552</v>
      </c>
      <c r="G928" s="1673"/>
      <c r="H928" s="1673"/>
      <c r="I928" s="1673"/>
      <c r="J928" s="1673"/>
      <c r="K928" s="1673"/>
      <c r="L928" s="1673"/>
      <c r="M928" s="1673"/>
      <c r="N928" s="1673"/>
      <c r="O928" s="1673"/>
      <c r="P928" s="1673"/>
      <c r="Q928" s="1673"/>
      <c r="R928" s="1673"/>
      <c r="S928" s="1673"/>
      <c r="T928" s="1674"/>
      <c r="U928" s="1655" t="s">
        <v>598</v>
      </c>
      <c r="V928" s="1426"/>
      <c r="W928" s="1426"/>
      <c r="X928" s="1426"/>
      <c r="Y928" s="1426"/>
      <c r="Z928" s="1427"/>
      <c r="AA928" s="1657"/>
      <c r="AB928" s="1562"/>
      <c r="AC928" s="1562"/>
      <c r="AD928" s="1562"/>
      <c r="AE928" s="1562"/>
      <c r="AF928" s="1658"/>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72" t="s">
        <v>2553</v>
      </c>
      <c r="G929" s="1673"/>
      <c r="H929" s="1673"/>
      <c r="I929" s="1673"/>
      <c r="J929" s="1673"/>
      <c r="K929" s="1673"/>
      <c r="L929" s="1673"/>
      <c r="M929" s="1673"/>
      <c r="N929" s="1673"/>
      <c r="O929" s="1673"/>
      <c r="P929" s="1673"/>
      <c r="Q929" s="1673"/>
      <c r="R929" s="1673"/>
      <c r="S929" s="1673"/>
      <c r="T929" s="1674"/>
      <c r="U929" s="1655" t="s">
        <v>598</v>
      </c>
      <c r="V929" s="1426"/>
      <c r="W929" s="1426"/>
      <c r="X929" s="1426"/>
      <c r="Y929" s="1426"/>
      <c r="Z929" s="1427"/>
      <c r="AA929" s="1657"/>
      <c r="AB929" s="1562"/>
      <c r="AC929" s="1562"/>
      <c r="AD929" s="1562"/>
      <c r="AE929" s="1562"/>
      <c r="AF929" s="1658"/>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72" t="s">
        <v>2554</v>
      </c>
      <c r="G930" s="1673"/>
      <c r="H930" s="1673"/>
      <c r="I930" s="1673"/>
      <c r="J930" s="1673"/>
      <c r="K930" s="1673"/>
      <c r="L930" s="1673"/>
      <c r="M930" s="1673"/>
      <c r="N930" s="1673"/>
      <c r="O930" s="1673"/>
      <c r="P930" s="1673"/>
      <c r="Q930" s="1673"/>
      <c r="R930" s="1673"/>
      <c r="S930" s="1673"/>
      <c r="T930" s="1674"/>
      <c r="U930" s="1655" t="s">
        <v>598</v>
      </c>
      <c r="V930" s="1426"/>
      <c r="W930" s="1426"/>
      <c r="X930" s="1426"/>
      <c r="Y930" s="1426"/>
      <c r="Z930" s="1427"/>
      <c r="AA930" s="1657"/>
      <c r="AB930" s="1562"/>
      <c r="AC930" s="1562"/>
      <c r="AD930" s="1562"/>
      <c r="AE930" s="1562"/>
      <c r="AF930" s="1658"/>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72" t="s">
        <v>2555</v>
      </c>
      <c r="G931" s="1673"/>
      <c r="H931" s="1673"/>
      <c r="I931" s="1673"/>
      <c r="J931" s="1673"/>
      <c r="K931" s="1673"/>
      <c r="L931" s="1673"/>
      <c r="M931" s="1673"/>
      <c r="N931" s="1673"/>
      <c r="O931" s="1673"/>
      <c r="P931" s="1673"/>
      <c r="Q931" s="1673"/>
      <c r="R931" s="1673"/>
      <c r="S931" s="1673"/>
      <c r="T931" s="1674"/>
      <c r="U931" s="1655" t="s">
        <v>598</v>
      </c>
      <c r="V931" s="1426"/>
      <c r="W931" s="1426"/>
      <c r="X931" s="1426"/>
      <c r="Y931" s="1426"/>
      <c r="Z931" s="1427"/>
      <c r="AA931" s="1657"/>
      <c r="AB931" s="1562"/>
      <c r="AC931" s="1562"/>
      <c r="AD931" s="1562"/>
      <c r="AE931" s="1562"/>
      <c r="AF931" s="1658"/>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683</v>
      </c>
      <c r="G932" s="5"/>
      <c r="H932" s="5"/>
      <c r="I932" s="5"/>
      <c r="J932" s="5"/>
      <c r="K932" s="5"/>
      <c r="L932" s="5"/>
      <c r="M932" s="5"/>
      <c r="N932" s="5"/>
      <c r="O932" s="5"/>
      <c r="P932" s="5"/>
      <c r="Q932" s="5"/>
      <c r="R932" s="5"/>
      <c r="S932" s="5"/>
      <c r="T932" s="46"/>
      <c r="U932" s="1655" t="s">
        <v>598</v>
      </c>
      <c r="V932" s="1426"/>
      <c r="W932" s="1426"/>
      <c r="X932" s="1426"/>
      <c r="Y932" s="1426"/>
      <c r="Z932" s="1427"/>
      <c r="AA932" s="1657"/>
      <c r="AB932" s="1562"/>
      <c r="AC932" s="1562"/>
      <c r="AD932" s="1562"/>
      <c r="AE932" s="1562"/>
      <c r="AF932" s="1658"/>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1382</v>
      </c>
      <c r="G933" s="5"/>
      <c r="H933" s="5"/>
      <c r="I933" s="5"/>
      <c r="J933" s="5"/>
      <c r="K933" s="5"/>
      <c r="L933" s="5"/>
      <c r="M933" s="5"/>
      <c r="N933" s="5"/>
      <c r="O933" s="5"/>
      <c r="P933" s="5"/>
      <c r="Q933" s="5"/>
      <c r="R933" s="5"/>
      <c r="S933" s="5"/>
      <c r="T933" s="46"/>
      <c r="U933" s="1655" t="s">
        <v>598</v>
      </c>
      <c r="V933" s="1426"/>
      <c r="W933" s="1426"/>
      <c r="X933" s="1426"/>
      <c r="Y933" s="1426"/>
      <c r="Z933" s="1427"/>
      <c r="AA933" s="1657"/>
      <c r="AB933" s="1562"/>
      <c r="AC933" s="1562"/>
      <c r="AD933" s="1562"/>
      <c r="AE933" s="1562"/>
      <c r="AF933" s="1658"/>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810</v>
      </c>
      <c r="G934" s="5"/>
      <c r="H934" s="5"/>
      <c r="I934" s="5"/>
      <c r="J934" s="5"/>
      <c r="K934" s="5"/>
      <c r="L934" s="5"/>
      <c r="M934" s="5"/>
      <c r="N934" s="5"/>
      <c r="O934" s="5"/>
      <c r="P934" s="5"/>
      <c r="Q934" s="5"/>
      <c r="R934" s="5"/>
      <c r="S934" s="5"/>
      <c r="T934" s="46"/>
      <c r="U934" s="1655" t="s">
        <v>552</v>
      </c>
      <c r="V934" s="1426"/>
      <c r="W934" s="1426"/>
      <c r="X934" s="1426"/>
      <c r="Y934" s="1426"/>
      <c r="Z934" s="1427"/>
      <c r="AA934" s="1657">
        <v>2200000</v>
      </c>
      <c r="AB934" s="1562"/>
      <c r="AC934" s="1562"/>
      <c r="AD934" s="1562"/>
      <c r="AE934" s="1562"/>
      <c r="AF934" s="1658"/>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681" t="s">
        <v>2559</v>
      </c>
      <c r="G935" s="1682"/>
      <c r="H935" s="1682"/>
      <c r="I935" s="1682"/>
      <c r="J935" s="1682"/>
      <c r="K935" s="1682"/>
      <c r="L935" s="1682"/>
      <c r="M935" s="1682"/>
      <c r="N935" s="1682"/>
      <c r="O935" s="1682"/>
      <c r="P935" s="1682"/>
      <c r="Q935" s="1682"/>
      <c r="R935" s="1682"/>
      <c r="S935" s="1682"/>
      <c r="T935" s="1683"/>
      <c r="U935" s="1655" t="s">
        <v>598</v>
      </c>
      <c r="V935" s="1426"/>
      <c r="W935" s="1426"/>
      <c r="X935" s="1426"/>
      <c r="Y935" s="1426"/>
      <c r="Z935" s="1427"/>
      <c r="AA935" s="1657"/>
      <c r="AB935" s="1562"/>
      <c r="AC935" s="1562"/>
      <c r="AD935" s="1562"/>
      <c r="AE935" s="1562"/>
      <c r="AF935" s="1658"/>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681" t="s">
        <v>2560</v>
      </c>
      <c r="G936" s="1682"/>
      <c r="H936" s="1682"/>
      <c r="I936" s="1682"/>
      <c r="J936" s="1682"/>
      <c r="K936" s="1682"/>
      <c r="L936" s="1682"/>
      <c r="M936" s="1682"/>
      <c r="N936" s="1682"/>
      <c r="O936" s="1682"/>
      <c r="P936" s="1682"/>
      <c r="Q936" s="1682"/>
      <c r="R936" s="1682"/>
      <c r="S936" s="1682"/>
      <c r="T936" s="1683"/>
      <c r="U936" s="1655" t="s">
        <v>598</v>
      </c>
      <c r="V936" s="1426"/>
      <c r="W936" s="1426"/>
      <c r="X936" s="1426"/>
      <c r="Y936" s="1426"/>
      <c r="Z936" s="1427"/>
      <c r="AA936" s="1657"/>
      <c r="AB936" s="1562"/>
      <c r="AC936" s="1562"/>
      <c r="AD936" s="1562"/>
      <c r="AE936" s="1562"/>
      <c r="AF936" s="1658"/>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72" t="s">
        <v>2556</v>
      </c>
      <c r="G937" s="1673"/>
      <c r="H937" s="1673"/>
      <c r="I937" s="1673"/>
      <c r="J937" s="1673"/>
      <c r="K937" s="1673"/>
      <c r="L937" s="1673"/>
      <c r="M937" s="1673"/>
      <c r="N937" s="1673"/>
      <c r="O937" s="1673"/>
      <c r="P937" s="1673"/>
      <c r="Q937" s="1673"/>
      <c r="R937" s="1673"/>
      <c r="S937" s="1673"/>
      <c r="T937" s="1674"/>
      <c r="U937" s="1655" t="s">
        <v>598</v>
      </c>
      <c r="V937" s="1426"/>
      <c r="W937" s="1426"/>
      <c r="X937" s="1426"/>
      <c r="Y937" s="1426"/>
      <c r="Z937" s="1427"/>
      <c r="AA937" s="1657"/>
      <c r="AB937" s="1562"/>
      <c r="AC937" s="1562"/>
      <c r="AD937" s="1562"/>
      <c r="AE937" s="1562"/>
      <c r="AF937" s="1658"/>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72" t="s">
        <v>2557</v>
      </c>
      <c r="G938" s="1673"/>
      <c r="H938" s="1673"/>
      <c r="I938" s="1673"/>
      <c r="J938" s="1673"/>
      <c r="K938" s="1673"/>
      <c r="L938" s="1673"/>
      <c r="M938" s="1673"/>
      <c r="N938" s="1673"/>
      <c r="O938" s="1673"/>
      <c r="P938" s="1673"/>
      <c r="Q938" s="1673"/>
      <c r="R938" s="1673"/>
      <c r="S938" s="1673"/>
      <c r="T938" s="1674"/>
      <c r="U938" s="1655" t="s">
        <v>598</v>
      </c>
      <c r="V938" s="1426"/>
      <c r="W938" s="1426"/>
      <c r="X938" s="1426"/>
      <c r="Y938" s="1426"/>
      <c r="Z938" s="1427"/>
      <c r="AA938" s="1657"/>
      <c r="AB938" s="1562"/>
      <c r="AC938" s="1562"/>
      <c r="AD938" s="1562"/>
      <c r="AE938" s="1562"/>
      <c r="AF938" s="1658"/>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72" t="s">
        <v>2558</v>
      </c>
      <c r="G939" s="1673"/>
      <c r="H939" s="1673"/>
      <c r="I939" s="1673"/>
      <c r="J939" s="1673"/>
      <c r="K939" s="1673"/>
      <c r="L939" s="1673"/>
      <c r="M939" s="1673"/>
      <c r="N939" s="1673"/>
      <c r="O939" s="1673"/>
      <c r="P939" s="1673"/>
      <c r="Q939" s="1673"/>
      <c r="R939" s="1673"/>
      <c r="S939" s="1673"/>
      <c r="T939" s="1674"/>
      <c r="U939" s="1655" t="s">
        <v>598</v>
      </c>
      <c r="V939" s="1426"/>
      <c r="W939" s="1426"/>
      <c r="X939" s="1426"/>
      <c r="Y939" s="1426"/>
      <c r="Z939" s="1427"/>
      <c r="AA939" s="1657"/>
      <c r="AB939" s="1562"/>
      <c r="AC939" s="1562"/>
      <c r="AD939" s="1562"/>
      <c r="AE939" s="1562"/>
      <c r="AF939" s="1658"/>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1366</v>
      </c>
      <c r="G940" s="5"/>
      <c r="H940" s="5"/>
      <c r="I940" s="5"/>
      <c r="J940" s="5"/>
      <c r="K940" s="5"/>
      <c r="L940" s="5"/>
      <c r="M940" s="5"/>
      <c r="N940" s="5"/>
      <c r="O940" s="5"/>
      <c r="P940" s="5"/>
      <c r="Q940" s="5"/>
      <c r="R940" s="5"/>
      <c r="S940" s="5"/>
      <c r="T940" s="46"/>
      <c r="U940" s="1655" t="s">
        <v>598</v>
      </c>
      <c r="V940" s="1426"/>
      <c r="W940" s="1426"/>
      <c r="X940" s="1426"/>
      <c r="Y940" s="1426"/>
      <c r="Z940" s="1427"/>
      <c r="AA940" s="1657"/>
      <c r="AB940" s="1562"/>
      <c r="AC940" s="1562"/>
      <c r="AD940" s="1562"/>
      <c r="AE940" s="1562"/>
      <c r="AF940" s="1658"/>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681" t="s">
        <v>2561</v>
      </c>
      <c r="G941" s="1682"/>
      <c r="H941" s="1682"/>
      <c r="I941" s="1682"/>
      <c r="J941" s="1682"/>
      <c r="K941" s="1682"/>
      <c r="L941" s="1682"/>
      <c r="M941" s="1682"/>
      <c r="N941" s="1682"/>
      <c r="O941" s="1682"/>
      <c r="P941" s="1682"/>
      <c r="Q941" s="1682"/>
      <c r="R941" s="1682"/>
      <c r="S941" s="1682"/>
      <c r="T941" s="1683"/>
      <c r="U941" s="1655" t="s">
        <v>598</v>
      </c>
      <c r="V941" s="1426"/>
      <c r="W941" s="1426"/>
      <c r="X941" s="1426"/>
      <c r="Y941" s="1426"/>
      <c r="Z941" s="1427"/>
      <c r="AA941" s="1657"/>
      <c r="AB941" s="1562"/>
      <c r="AC941" s="1562"/>
      <c r="AD941" s="1562"/>
      <c r="AE941" s="1562"/>
      <c r="AF941" s="1658"/>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1367</v>
      </c>
      <c r="G942" s="5"/>
      <c r="H942" s="5"/>
      <c r="I942" s="5"/>
      <c r="J942" s="5"/>
      <c r="K942" s="5"/>
      <c r="L942" s="5"/>
      <c r="M942" s="5"/>
      <c r="N942" s="5"/>
      <c r="O942" s="5"/>
      <c r="P942" s="5"/>
      <c r="Q942" s="5"/>
      <c r="R942" s="5"/>
      <c r="S942" s="5"/>
      <c r="T942" s="46"/>
      <c r="U942" s="1655" t="s">
        <v>598</v>
      </c>
      <c r="V942" s="1426"/>
      <c r="W942" s="1426"/>
      <c r="X942" s="1426"/>
      <c r="Y942" s="1426"/>
      <c r="Z942" s="1427"/>
      <c r="AA942" s="1657"/>
      <c r="AB942" s="1562"/>
      <c r="AC942" s="1562"/>
      <c r="AD942" s="1562"/>
      <c r="AE942" s="1562"/>
      <c r="AF942" s="1658"/>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681" t="s">
        <v>2562</v>
      </c>
      <c r="G943" s="1682"/>
      <c r="H943" s="1682"/>
      <c r="I943" s="1682"/>
      <c r="J943" s="1682"/>
      <c r="K943" s="1682"/>
      <c r="L943" s="1682"/>
      <c r="M943" s="1682"/>
      <c r="N943" s="1682"/>
      <c r="O943" s="1682"/>
      <c r="P943" s="1682"/>
      <c r="Q943" s="1682"/>
      <c r="R943" s="1682"/>
      <c r="S943" s="1682"/>
      <c r="T943" s="1683"/>
      <c r="U943" s="1655" t="s">
        <v>598</v>
      </c>
      <c r="V943" s="1426"/>
      <c r="W943" s="1426"/>
      <c r="X943" s="1426"/>
      <c r="Y943" s="1426"/>
      <c r="Z943" s="1427"/>
      <c r="AA943" s="1657"/>
      <c r="AB943" s="1562"/>
      <c r="AC943" s="1562"/>
      <c r="AD943" s="1562"/>
      <c r="AE943" s="1562"/>
      <c r="AF943" s="1658"/>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814</v>
      </c>
      <c r="G944" s="5"/>
      <c r="H944" s="5"/>
      <c r="I944" s="5"/>
      <c r="J944" s="5"/>
      <c r="K944" s="5"/>
      <c r="L944" s="5"/>
      <c r="M944" s="5"/>
      <c r="N944" s="5"/>
      <c r="O944" s="5"/>
      <c r="P944" s="1655" t="s">
        <v>676</v>
      </c>
      <c r="Q944" s="1426"/>
      <c r="R944" s="1426"/>
      <c r="S944" s="1426"/>
      <c r="T944" s="1427"/>
      <c r="U944" s="1655" t="s">
        <v>598</v>
      </c>
      <c r="V944" s="1426"/>
      <c r="W944" s="1426"/>
      <c r="X944" s="1426"/>
      <c r="Y944" s="1426"/>
      <c r="Z944" s="1427"/>
      <c r="AA944" s="1657"/>
      <c r="AB944" s="1562"/>
      <c r="AC944" s="1562"/>
      <c r="AD944" s="1562"/>
      <c r="AE944" s="1562"/>
      <c r="AF944" s="1658"/>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72" t="s">
        <v>2549</v>
      </c>
      <c r="G945" s="1673"/>
      <c r="H945" s="1674"/>
      <c r="I945" s="1641" t="s">
        <v>334</v>
      </c>
      <c r="J945" s="1642"/>
      <c r="K945" s="1642"/>
      <c r="L945" s="1642"/>
      <c r="M945" s="1642"/>
      <c r="N945" s="1642"/>
      <c r="O945" s="1642"/>
      <c r="P945" s="1642"/>
      <c r="Q945" s="1642"/>
      <c r="R945" s="1642"/>
      <c r="S945" s="1642"/>
      <c r="T945" s="1643"/>
      <c r="U945" s="1655" t="s">
        <v>598</v>
      </c>
      <c r="V945" s="1426"/>
      <c r="W945" s="1426"/>
      <c r="X945" s="1426"/>
      <c r="Y945" s="1426"/>
      <c r="Z945" s="1427"/>
      <c r="AA945" s="1657"/>
      <c r="AB945" s="1562"/>
      <c r="AC945" s="1562"/>
      <c r="AD945" s="1562"/>
      <c r="AE945" s="1562"/>
      <c r="AF945" s="1658"/>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641" t="s">
        <v>2751</v>
      </c>
      <c r="J946" s="1642"/>
      <c r="K946" s="1642"/>
      <c r="L946" s="1642"/>
      <c r="M946" s="1642"/>
      <c r="N946" s="1642"/>
      <c r="O946" s="1642"/>
      <c r="P946" s="1642"/>
      <c r="Q946" s="1642"/>
      <c r="R946" s="1642"/>
      <c r="S946" s="1642"/>
      <c r="T946" s="1643"/>
      <c r="U946" s="1655" t="s">
        <v>552</v>
      </c>
      <c r="V946" s="1426"/>
      <c r="W946" s="1426"/>
      <c r="X946" s="1426"/>
      <c r="Y946" s="1426"/>
      <c r="Z946" s="1427"/>
      <c r="AA946" s="1657">
        <v>6213322</v>
      </c>
      <c r="AB946" s="1562"/>
      <c r="AC946" s="1562"/>
      <c r="AD946" s="1562"/>
      <c r="AE946" s="1562"/>
      <c r="AF946" s="1658"/>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641" t="s">
        <v>2752</v>
      </c>
      <c r="J947" s="1702"/>
      <c r="K947" s="1702"/>
      <c r="L947" s="1702"/>
      <c r="M947" s="1702"/>
      <c r="N947" s="1702"/>
      <c r="O947" s="1702"/>
      <c r="P947" s="1702"/>
      <c r="Q947" s="1702"/>
      <c r="R947" s="1702"/>
      <c r="S947" s="1702"/>
      <c r="T947" s="1703"/>
      <c r="U947" s="1655" t="s">
        <v>552</v>
      </c>
      <c r="V947" s="1426"/>
      <c r="W947" s="1426"/>
      <c r="X947" s="1426"/>
      <c r="Y947" s="1426"/>
      <c r="Z947" s="1427"/>
      <c r="AA947" s="1657">
        <v>12397017</v>
      </c>
      <c r="AB947" s="1562"/>
      <c r="AC947" s="1562"/>
      <c r="AD947" s="1562"/>
      <c r="AE947" s="1562"/>
      <c r="AF947" s="1658"/>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169</v>
      </c>
      <c r="G948" s="48"/>
      <c r="H948" s="48"/>
      <c r="I948" s="1701" t="s">
        <v>334</v>
      </c>
      <c r="J948" s="1702"/>
      <c r="K948" s="1702"/>
      <c r="L948" s="1702"/>
      <c r="M948" s="1702"/>
      <c r="N948" s="1702"/>
      <c r="O948" s="1702"/>
      <c r="P948" s="1702"/>
      <c r="Q948" s="1702"/>
      <c r="R948" s="1702"/>
      <c r="S948" s="1702"/>
      <c r="T948" s="1703"/>
      <c r="U948" s="1655" t="s">
        <v>598</v>
      </c>
      <c r="V948" s="1426"/>
      <c r="W948" s="1426"/>
      <c r="X948" s="1426"/>
      <c r="Y948" s="1426"/>
      <c r="Z948" s="1427"/>
      <c r="AA948" s="1657"/>
      <c r="AB948" s="1562"/>
      <c r="AC948" s="1562"/>
      <c r="AD948" s="1562"/>
      <c r="AE948" s="1562"/>
      <c r="AF948" s="1658"/>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169</v>
      </c>
      <c r="G949" s="48"/>
      <c r="H949" s="48"/>
      <c r="I949" s="1701" t="s">
        <v>334</v>
      </c>
      <c r="J949" s="1702"/>
      <c r="K949" s="1702"/>
      <c r="L949" s="1702"/>
      <c r="M949" s="1702"/>
      <c r="N949" s="1702"/>
      <c r="O949" s="1702"/>
      <c r="P949" s="1702"/>
      <c r="Q949" s="1702"/>
      <c r="R949" s="1702"/>
      <c r="S949" s="1702"/>
      <c r="T949" s="1703"/>
      <c r="U949" s="1655" t="s">
        <v>598</v>
      </c>
      <c r="V949" s="1426"/>
      <c r="W949" s="1426"/>
      <c r="X949" s="1426"/>
      <c r="Y949" s="1426"/>
      <c r="Z949" s="1427"/>
      <c r="AA949" s="1657"/>
      <c r="AB949" s="1562"/>
      <c r="AC949" s="1562"/>
      <c r="AD949" s="1562"/>
      <c r="AE949" s="1562"/>
      <c r="AF949" s="1658"/>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583</v>
      </c>
      <c r="C951" s="2" t="s">
        <v>759</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392</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704">
        <v>45385</v>
      </c>
      <c r="N954" s="1650"/>
      <c r="O954" s="1650"/>
      <c r="P954" s="1650"/>
      <c r="Q954" s="1650"/>
      <c r="R954" s="1650"/>
      <c r="S954" s="1651"/>
      <c r="U954" s="66" t="s">
        <v>11</v>
      </c>
      <c r="V954" s="5"/>
      <c r="W954" s="5"/>
      <c r="X954" s="5"/>
      <c r="Y954" s="5"/>
      <c r="Z954" s="5"/>
      <c r="AA954" s="5"/>
      <c r="AB954" s="5"/>
      <c r="AC954" s="5"/>
      <c r="AD954" s="46"/>
      <c r="AE954" s="1862" t="s">
        <v>598</v>
      </c>
      <c r="AF954" s="1650"/>
      <c r="AG954" s="1650"/>
      <c r="AH954" s="1650"/>
      <c r="AI954" s="1650"/>
      <c r="AJ954" s="1650"/>
      <c r="AK954" s="1651"/>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513" t="s">
        <v>2753</v>
      </c>
      <c r="N955" s="1522"/>
      <c r="O955" s="1522"/>
      <c r="P955" s="1522"/>
      <c r="Q955" s="1522"/>
      <c r="R955" s="1522"/>
      <c r="S955" s="1675"/>
      <c r="U955" s="66" t="s">
        <v>12</v>
      </c>
      <c r="V955" s="5"/>
      <c r="W955" s="5"/>
      <c r="X955" s="5"/>
      <c r="Y955" s="5"/>
      <c r="Z955" s="5"/>
      <c r="AA955" s="5"/>
      <c r="AB955" s="5"/>
      <c r="AC955" s="5"/>
      <c r="AD955" s="46"/>
      <c r="AE955" s="1513"/>
      <c r="AF955" s="1522"/>
      <c r="AG955" s="1522"/>
      <c r="AH955" s="1522"/>
      <c r="AI955" s="1522"/>
      <c r="AJ955" s="1522"/>
      <c r="AK955" s="1675"/>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891</v>
      </c>
      <c r="D956" s="5"/>
      <c r="E956" s="5"/>
      <c r="J956" s="1690" t="s">
        <v>2754</v>
      </c>
      <c r="K956" s="1691"/>
      <c r="L956" s="1691"/>
      <c r="M956" s="1691"/>
      <c r="N956" s="1691"/>
      <c r="O956" s="1691"/>
      <c r="P956" s="1691"/>
      <c r="Q956" s="1691"/>
      <c r="R956" s="1691"/>
      <c r="S956" s="1692"/>
      <c r="U956" s="66" t="s">
        <v>891</v>
      </c>
      <c r="V956" s="5"/>
      <c r="W956" s="5"/>
      <c r="AB956" s="1690" t="s">
        <v>307</v>
      </c>
      <c r="AC956" s="1691"/>
      <c r="AD956" s="1691"/>
      <c r="AE956" s="1691"/>
      <c r="AF956" s="1691"/>
      <c r="AG956" s="1691"/>
      <c r="AH956" s="1691"/>
      <c r="AI956" s="1691"/>
      <c r="AJ956" s="1691"/>
      <c r="AK956" s="1692"/>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697">
        <f>M958/AG437</f>
        <v>0.27906976744186046</v>
      </c>
      <c r="N957" s="1698"/>
      <c r="O957" s="1698"/>
      <c r="P957" s="1698"/>
      <c r="Q957" s="1698"/>
      <c r="R957" s="1698"/>
      <c r="S957" s="1699"/>
      <c r="U957" s="66" t="s">
        <v>13</v>
      </c>
      <c r="V957" s="5"/>
      <c r="W957" s="5"/>
      <c r="X957" s="5"/>
      <c r="Y957" s="5"/>
      <c r="Z957" s="5"/>
      <c r="AA957" s="5"/>
      <c r="AB957" s="5"/>
      <c r="AC957" s="5"/>
      <c r="AD957" s="46"/>
      <c r="AE957" s="1700"/>
      <c r="AF957" s="1698"/>
      <c r="AG957" s="1698"/>
      <c r="AH957" s="1698"/>
      <c r="AI957" s="1698"/>
      <c r="AJ957" s="1698"/>
      <c r="AK957" s="1699"/>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754">
        <v>24</v>
      </c>
      <c r="N958" s="1622"/>
      <c r="O958" s="1622"/>
      <c r="P958" s="1622"/>
      <c r="Q958" s="1622"/>
      <c r="R958" s="1622"/>
      <c r="S958" s="1623"/>
      <c r="U958" s="66" t="s">
        <v>14</v>
      </c>
      <c r="V958" s="5"/>
      <c r="W958" s="5"/>
      <c r="X958" s="5"/>
      <c r="Y958" s="5"/>
      <c r="Z958" s="5"/>
      <c r="AA958" s="5"/>
      <c r="AB958" s="5"/>
      <c r="AC958" s="5"/>
      <c r="AD958" s="46"/>
      <c r="AE958" s="1754"/>
      <c r="AF958" s="1622"/>
      <c r="AG958" s="1622"/>
      <c r="AH958" s="1622"/>
      <c r="AI958" s="1622"/>
      <c r="AJ958" s="1622"/>
      <c r="AK958" s="1623"/>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57">
        <f>'Subsidy Contract Calculation'!J40</f>
        <v>556296</v>
      </c>
      <c r="N959" s="1562"/>
      <c r="O959" s="1562"/>
      <c r="P959" s="1562"/>
      <c r="Q959" s="1562"/>
      <c r="R959" s="1562"/>
      <c r="S959" s="1658"/>
      <c r="U959" s="66" t="s">
        <v>15</v>
      </c>
      <c r="V959" s="5"/>
      <c r="W959" s="5"/>
      <c r="X959" s="5"/>
      <c r="Y959" s="5"/>
      <c r="Z959" s="5"/>
      <c r="AA959" s="5"/>
      <c r="AB959" s="5"/>
      <c r="AC959" s="5"/>
      <c r="AD959" s="46"/>
      <c r="AE959" s="1657"/>
      <c r="AF959" s="1562"/>
      <c r="AG959" s="1562"/>
      <c r="AH959" s="1562"/>
      <c r="AI959" s="1562"/>
      <c r="AJ959" s="1562"/>
      <c r="AK959" s="1658"/>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57">
        <f>M959*M961</f>
        <v>11125920</v>
      </c>
      <c r="N960" s="1562"/>
      <c r="O960" s="1562"/>
      <c r="P960" s="1562"/>
      <c r="Q960" s="1562"/>
      <c r="R960" s="1562"/>
      <c r="S960" s="1658"/>
      <c r="U960" s="66" t="s">
        <v>16</v>
      </c>
      <c r="V960" s="5"/>
      <c r="W960" s="5"/>
      <c r="X960" s="5"/>
      <c r="Y960" s="5"/>
      <c r="Z960" s="5"/>
      <c r="AA960" s="5"/>
      <c r="AB960" s="5"/>
      <c r="AC960" s="5"/>
      <c r="AD960" s="46"/>
      <c r="AE960" s="1657"/>
      <c r="AF960" s="1562"/>
      <c r="AG960" s="1562"/>
      <c r="AH960" s="1562"/>
      <c r="AI960" s="1562"/>
      <c r="AJ960" s="1562"/>
      <c r="AK960" s="1658"/>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1770</v>
      </c>
      <c r="D961" s="5"/>
      <c r="E961" s="5"/>
      <c r="F961" s="5"/>
      <c r="G961" s="5"/>
      <c r="H961" s="5"/>
      <c r="I961" s="5"/>
      <c r="J961" s="5"/>
      <c r="K961" s="5"/>
      <c r="L961" s="46"/>
      <c r="M961" s="1687">
        <v>20</v>
      </c>
      <c r="N961" s="1688"/>
      <c r="O961" s="1688"/>
      <c r="P961" s="1688"/>
      <c r="Q961" s="1688"/>
      <c r="R961" s="1688"/>
      <c r="S961" s="1689"/>
      <c r="U961" s="121" t="s">
        <v>1770</v>
      </c>
      <c r="V961" s="5"/>
      <c r="W961" s="5"/>
      <c r="X961" s="5"/>
      <c r="Y961" s="5"/>
      <c r="Z961" s="5"/>
      <c r="AA961" s="5"/>
      <c r="AB961" s="5"/>
      <c r="AC961" s="5"/>
      <c r="AD961" s="46"/>
      <c r="AE961" s="1687"/>
      <c r="AF961" s="1688"/>
      <c r="AG961" s="1688"/>
      <c r="AH961" s="1688"/>
      <c r="AI961" s="1688"/>
      <c r="AJ961" s="1688"/>
      <c r="AK961" s="1689"/>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593</v>
      </c>
      <c r="C963" s="2" t="s">
        <v>657</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179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578</v>
      </c>
      <c r="G966" s="5"/>
      <c r="H966" s="5"/>
      <c r="I966" s="5"/>
      <c r="J966" s="5"/>
      <c r="K966" s="5"/>
      <c r="L966" s="46"/>
      <c r="M966" s="1684" t="s">
        <v>598</v>
      </c>
      <c r="N966" s="1685"/>
      <c r="O966" s="1685"/>
      <c r="P966" s="1685"/>
      <c r="Q966" s="1685"/>
      <c r="R966" s="1685"/>
      <c r="S966" s="1686"/>
      <c r="T966" s="66" t="s">
        <v>798</v>
      </c>
      <c r="U966" s="5"/>
      <c r="V966" s="5"/>
      <c r="W966" s="5"/>
      <c r="X966" s="5"/>
      <c r="Y966" s="5"/>
      <c r="Z966" s="46"/>
      <c r="AA966" s="1684" t="s">
        <v>598</v>
      </c>
      <c r="AB966" s="1685"/>
      <c r="AC966" s="1685"/>
      <c r="AD966" s="1685"/>
      <c r="AE966" s="1685"/>
      <c r="AF966" s="1685"/>
      <c r="AG966" s="1686"/>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579</v>
      </c>
      <c r="G967" s="5"/>
      <c r="H967" s="5"/>
      <c r="I967" s="5"/>
      <c r="J967" s="5"/>
      <c r="K967" s="5"/>
      <c r="L967" s="46"/>
      <c r="M967" s="1684" t="s">
        <v>598</v>
      </c>
      <c r="N967" s="1685"/>
      <c r="O967" s="1685"/>
      <c r="P967" s="1685"/>
      <c r="Q967" s="1685"/>
      <c r="R967" s="1685"/>
      <c r="S967" s="1686"/>
      <c r="T967" s="66" t="s">
        <v>797</v>
      </c>
      <c r="U967" s="5"/>
      <c r="V967" s="5"/>
      <c r="W967" s="5"/>
      <c r="X967" s="5"/>
      <c r="Y967" s="5"/>
      <c r="Z967" s="46"/>
      <c r="AA967" s="1684" t="s">
        <v>598</v>
      </c>
      <c r="AB967" s="1685"/>
      <c r="AC967" s="1685"/>
      <c r="AD967" s="1685"/>
      <c r="AE967" s="1685"/>
      <c r="AF967" s="1685"/>
      <c r="AG967" s="1686"/>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915</v>
      </c>
      <c r="G968" s="5"/>
      <c r="H968" s="5"/>
      <c r="I968" s="5"/>
      <c r="J968" s="5"/>
      <c r="K968" s="5"/>
      <c r="L968" s="46"/>
      <c r="M968" s="1807" t="s">
        <v>598</v>
      </c>
      <c r="N968" s="1808"/>
      <c r="O968" s="1808"/>
      <c r="P968" s="1808"/>
      <c r="Q968" s="1808"/>
      <c r="R968" s="1808"/>
      <c r="S968" s="1809"/>
      <c r="T968" s="45" t="s">
        <v>337</v>
      </c>
      <c r="U968" s="5"/>
      <c r="V968" s="5"/>
      <c r="W968" s="5"/>
      <c r="X968" s="5"/>
      <c r="Y968" s="5"/>
      <c r="Z968" s="46"/>
      <c r="AA968" s="1684" t="s">
        <v>598</v>
      </c>
      <c r="AB968" s="1685"/>
      <c r="AC968" s="1685"/>
      <c r="AD968" s="1685"/>
      <c r="AE968" s="1685"/>
      <c r="AF968" s="1685"/>
      <c r="AG968" s="1686"/>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580</v>
      </c>
      <c r="G969" s="5"/>
      <c r="H969" s="5"/>
      <c r="I969" s="5"/>
      <c r="J969" s="5"/>
      <c r="K969" s="5"/>
      <c r="L969" s="46"/>
      <c r="M969" s="1684" t="s">
        <v>598</v>
      </c>
      <c r="N969" s="1685"/>
      <c r="O969" s="1685"/>
      <c r="P969" s="1685"/>
      <c r="Q969" s="1685"/>
      <c r="R969" s="1685"/>
      <c r="S969" s="1686"/>
      <c r="T969" s="45" t="s">
        <v>338</v>
      </c>
      <c r="U969" s="5"/>
      <c r="V969" s="5"/>
      <c r="W969" s="5"/>
      <c r="X969" s="5"/>
      <c r="Y969" s="5"/>
      <c r="Z969" s="46"/>
      <c r="AA969" s="1684" t="s">
        <v>598</v>
      </c>
      <c r="AB969" s="1685"/>
      <c r="AC969" s="1685"/>
      <c r="AD969" s="1685"/>
      <c r="AE969" s="1685"/>
      <c r="AF969" s="1685"/>
      <c r="AG969" s="1686"/>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471</v>
      </c>
      <c r="G970" s="5"/>
      <c r="H970" s="5"/>
      <c r="I970" s="5"/>
      <c r="J970" s="5"/>
      <c r="K970" s="5"/>
      <c r="L970" s="46"/>
      <c r="M970" s="1684" t="s">
        <v>598</v>
      </c>
      <c r="N970" s="1685"/>
      <c r="O970" s="1685"/>
      <c r="P970" s="1685"/>
      <c r="Q970" s="1685"/>
      <c r="R970" s="1685"/>
      <c r="S970" s="1686"/>
      <c r="T970" s="45" t="s">
        <v>376</v>
      </c>
      <c r="U970" s="5"/>
      <c r="V970" s="5"/>
      <c r="W970" s="5"/>
      <c r="X970" s="5"/>
      <c r="Y970" s="5"/>
      <c r="Z970" s="46"/>
      <c r="AA970" s="1684" t="s">
        <v>598</v>
      </c>
      <c r="AB970" s="1685"/>
      <c r="AC970" s="1685"/>
      <c r="AD970" s="1685"/>
      <c r="AE970" s="1685"/>
      <c r="AF970" s="1685"/>
      <c r="AG970" s="1686"/>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891</v>
      </c>
      <c r="G971" s="42"/>
      <c r="H971" s="42"/>
      <c r="I971" s="42"/>
      <c r="J971" s="42"/>
      <c r="K971" s="42"/>
      <c r="L971" s="58"/>
      <c r="M971" s="1690" t="s">
        <v>307</v>
      </c>
      <c r="N971" s="1691"/>
      <c r="O971" s="1691"/>
      <c r="P971" s="1691"/>
      <c r="Q971" s="1691"/>
      <c r="R971" s="1691"/>
      <c r="S971" s="1692"/>
      <c r="T971" s="1693"/>
      <c r="U971" s="1694"/>
      <c r="V971" s="1694"/>
      <c r="W971" s="1694"/>
      <c r="X971" s="1694"/>
      <c r="Y971" s="1694"/>
      <c r="Z971" s="1695"/>
      <c r="AA971" s="1684"/>
      <c r="AB971" s="1685"/>
      <c r="AC971" s="1685"/>
      <c r="AD971" s="1685"/>
      <c r="AE971" s="1685"/>
      <c r="AF971" s="1685"/>
      <c r="AG971" s="1686"/>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472</v>
      </c>
      <c r="G972" s="42"/>
      <c r="H972" s="42"/>
      <c r="I972" s="42"/>
      <c r="J972" s="42"/>
      <c r="K972" s="42"/>
      <c r="L972" s="58"/>
      <c r="M972" s="1684" t="s">
        <v>598</v>
      </c>
      <c r="N972" s="1685"/>
      <c r="O972" s="1685"/>
      <c r="P972" s="1685"/>
      <c r="Q972" s="1685"/>
      <c r="R972" s="1685"/>
      <c r="S972" s="1686"/>
      <c r="T972" s="1693"/>
      <c r="U972" s="1694"/>
      <c r="V972" s="1694"/>
      <c r="W972" s="1694"/>
      <c r="X972" s="1694"/>
      <c r="Y972" s="1694"/>
      <c r="Z972" s="1695"/>
      <c r="AA972" s="1684"/>
      <c r="AB972" s="1685"/>
      <c r="AC972" s="1685"/>
      <c r="AD972" s="1685"/>
      <c r="AE972" s="1685"/>
      <c r="AF972" s="1685"/>
      <c r="AG972" s="1686"/>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336</v>
      </c>
      <c r="G973" s="42"/>
      <c r="H973" s="42"/>
      <c r="I973" s="42"/>
      <c r="J973" s="42"/>
      <c r="K973" s="42"/>
      <c r="L973" s="42"/>
      <c r="M973" s="42"/>
      <c r="N973" s="42"/>
      <c r="O973" s="1478" t="s">
        <v>676</v>
      </c>
      <c r="P973" s="1480"/>
      <c r="Q973" s="92"/>
      <c r="R973" s="92"/>
      <c r="S973" s="93"/>
      <c r="T973" s="41" t="s">
        <v>169</v>
      </c>
      <c r="U973" s="42"/>
      <c r="V973" s="42"/>
      <c r="W973" s="1755" t="s">
        <v>334</v>
      </c>
      <c r="X973" s="1756"/>
      <c r="Y973" s="1756"/>
      <c r="Z973" s="1756"/>
      <c r="AA973" s="1756"/>
      <c r="AB973" s="1756"/>
      <c r="AC973" s="1756"/>
      <c r="AD973" s="1756"/>
      <c r="AE973" s="1756"/>
      <c r="AF973" s="1756"/>
      <c r="AG973" s="1757"/>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631" t="s">
        <v>33</v>
      </c>
      <c r="G974" s="1418"/>
      <c r="H974" s="1418"/>
      <c r="I974" s="1418"/>
      <c r="J974" s="1418"/>
      <c r="K974" s="1418"/>
      <c r="L974" s="1418"/>
      <c r="M974" s="1684"/>
      <c r="N974" s="1685"/>
      <c r="O974" s="1685"/>
      <c r="P974" s="1685"/>
      <c r="Q974" s="1685"/>
      <c r="R974" s="1685"/>
      <c r="S974" s="1686"/>
      <c r="T974" s="47"/>
      <c r="U974" s="48"/>
      <c r="V974" s="48"/>
      <c r="W974" s="48"/>
      <c r="X974" s="48"/>
      <c r="Y974" s="48"/>
      <c r="Z974" s="124" t="s">
        <v>134</v>
      </c>
      <c r="AA974" s="1801"/>
      <c r="AB974" s="1802"/>
      <c r="AC974" s="1802"/>
      <c r="AD974" s="1802"/>
      <c r="AE974" s="1802"/>
      <c r="AF974" s="1802"/>
      <c r="AG974" s="1803"/>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56"/>
      <c r="BH975" s="1656"/>
      <c r="BI975" s="1656"/>
      <c r="BJ975" s="1656"/>
      <c r="BK975" s="1656"/>
      <c r="BL975" s="1656"/>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696" t="s">
        <v>555</v>
      </c>
      <c r="B978" s="1696"/>
      <c r="C978" s="1696"/>
      <c r="D978" s="1696"/>
      <c r="E978" s="1696"/>
      <c r="F978" s="1696"/>
      <c r="G978" s="1696"/>
      <c r="H978" s="1696"/>
      <c r="I978" s="1696"/>
      <c r="J978" s="1696"/>
      <c r="K978" s="1696"/>
      <c r="L978" s="1696"/>
      <c r="M978" s="1696"/>
      <c r="N978" s="1696"/>
      <c r="O978" s="1696"/>
      <c r="P978" s="1696"/>
      <c r="Q978" s="1696"/>
      <c r="R978" s="1696"/>
      <c r="S978" s="1696"/>
      <c r="T978" s="1696"/>
      <c r="U978" s="1696"/>
      <c r="V978" s="1696"/>
      <c r="W978" s="1696"/>
      <c r="X978" s="1696"/>
      <c r="Y978" s="1696"/>
      <c r="Z978" s="1696"/>
      <c r="AA978" s="1696"/>
      <c r="AB978" s="1696"/>
      <c r="AC978" s="1696"/>
      <c r="AD978" s="1696"/>
      <c r="AE978" s="1696"/>
      <c r="AF978" s="1696"/>
      <c r="AG978" s="1696"/>
      <c r="AH978" s="1696"/>
      <c r="AI978" s="1696"/>
      <c r="AJ978" s="1696"/>
      <c r="AK978" s="1696"/>
      <c r="AL978" s="1696"/>
      <c r="AM978" s="1696"/>
      <c r="AN978" s="1696"/>
      <c r="AO978" s="1696"/>
      <c r="AP978" s="1696"/>
      <c r="AQ978" s="1696"/>
      <c r="AR978" s="1696"/>
      <c r="AS978" s="1696"/>
      <c r="AT978" s="1696"/>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696"/>
      <c r="B979" s="1696"/>
      <c r="C979" s="1696"/>
      <c r="D979" s="1696"/>
      <c r="E979" s="1696"/>
      <c r="F979" s="1696"/>
      <c r="G979" s="1696"/>
      <c r="H979" s="1696"/>
      <c r="I979" s="1696"/>
      <c r="J979" s="1696"/>
      <c r="K979" s="1696"/>
      <c r="L979" s="1696"/>
      <c r="M979" s="1696"/>
      <c r="N979" s="1696"/>
      <c r="O979" s="1696"/>
      <c r="P979" s="1696"/>
      <c r="Q979" s="1696"/>
      <c r="R979" s="1696"/>
      <c r="S979" s="1696"/>
      <c r="T979" s="1696"/>
      <c r="U979" s="1696"/>
      <c r="V979" s="1696"/>
      <c r="W979" s="1696"/>
      <c r="X979" s="1696"/>
      <c r="Y979" s="1696"/>
      <c r="Z979" s="1696"/>
      <c r="AA979" s="1696"/>
      <c r="AB979" s="1696"/>
      <c r="AC979" s="1696"/>
      <c r="AD979" s="1696"/>
      <c r="AE979" s="1696"/>
      <c r="AF979" s="1696"/>
      <c r="AG979" s="1696"/>
      <c r="AH979" s="1696"/>
      <c r="AI979" s="1696"/>
      <c r="AJ979" s="1696"/>
      <c r="AK979" s="1696"/>
      <c r="AL979" s="1696"/>
      <c r="AM979" s="1696"/>
      <c r="AN979" s="1696"/>
      <c r="AO979" s="1696"/>
      <c r="AP979" s="1696"/>
      <c r="AQ979" s="1696"/>
      <c r="AR979" s="1696"/>
      <c r="AS979" s="1696"/>
      <c r="AT979" s="1696"/>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696"/>
      <c r="B980" s="1696"/>
      <c r="C980" s="1696"/>
      <c r="D980" s="1696"/>
      <c r="E980" s="1696"/>
      <c r="F980" s="1696"/>
      <c r="G980" s="1696"/>
      <c r="H980" s="1696"/>
      <c r="I980" s="1696"/>
      <c r="J980" s="1696"/>
      <c r="K980" s="1696"/>
      <c r="L980" s="1696"/>
      <c r="M980" s="1696"/>
      <c r="N980" s="1696"/>
      <c r="O980" s="1696"/>
      <c r="P980" s="1696"/>
      <c r="Q980" s="1696"/>
      <c r="R980" s="1696"/>
      <c r="S980" s="1696"/>
      <c r="T980" s="1696"/>
      <c r="U980" s="1696"/>
      <c r="V980" s="1696"/>
      <c r="W980" s="1696"/>
      <c r="X980" s="1696"/>
      <c r="Y980" s="1696"/>
      <c r="Z980" s="1696"/>
      <c r="AA980" s="1696"/>
      <c r="AB980" s="1696"/>
      <c r="AC980" s="1696"/>
      <c r="AD980" s="1696"/>
      <c r="AE980" s="1696"/>
      <c r="AF980" s="1696"/>
      <c r="AG980" s="1696"/>
      <c r="AH980" s="1696"/>
      <c r="AI980" s="1696"/>
      <c r="AJ980" s="1696"/>
      <c r="AK980" s="1696"/>
      <c r="AL980" s="1696"/>
      <c r="AM980" s="1696"/>
      <c r="AN980" s="1696"/>
      <c r="AO980" s="1696"/>
      <c r="AP980" s="1696"/>
      <c r="AQ980" s="1696"/>
      <c r="AR980" s="1696"/>
      <c r="AS980" s="1696"/>
      <c r="AT980" s="1696"/>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319</v>
      </c>
      <c r="C982" s="2" t="s">
        <v>622</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792" t="s">
        <v>645</v>
      </c>
      <c r="E984" s="1793"/>
      <c r="F984" s="1793"/>
      <c r="G984" s="1793"/>
      <c r="H984" s="1793"/>
      <c r="I984" s="1793"/>
      <c r="J984" s="1793"/>
      <c r="K984" s="1793"/>
      <c r="L984" s="1793"/>
      <c r="M984" s="1793"/>
      <c r="N984" s="1793"/>
      <c r="O984" s="1793"/>
      <c r="P984" s="1793"/>
      <c r="Q984" s="1794"/>
      <c r="R984" s="1792" t="s">
        <v>646</v>
      </c>
      <c r="S984" s="1793"/>
      <c r="T984" s="1793"/>
      <c r="U984" s="1793"/>
      <c r="V984" s="1793"/>
      <c r="W984" s="1793"/>
      <c r="X984" s="1793"/>
      <c r="Y984" s="1793"/>
      <c r="Z984" s="1793"/>
      <c r="AA984" s="1794"/>
      <c r="AB984" s="1792" t="s">
        <v>647</v>
      </c>
      <c r="AC984" s="1793"/>
      <c r="AD984" s="1793"/>
      <c r="AE984" s="1793"/>
      <c r="AF984" s="1793"/>
      <c r="AG984" s="1793"/>
      <c r="AH984" s="1793"/>
      <c r="AI984" s="1794"/>
      <c r="AJ984" s="1792" t="s">
        <v>648</v>
      </c>
      <c r="AK984" s="1793"/>
      <c r="AL984" s="1793"/>
      <c r="AM984" s="1793"/>
      <c r="AN984" s="1793"/>
      <c r="AO984" s="1793"/>
      <c r="AP984" s="1793"/>
      <c r="AQ984" s="1794"/>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550" t="s">
        <v>640</v>
      </c>
      <c r="E985" s="1551"/>
      <c r="F985" s="1551"/>
      <c r="G985" s="1551"/>
      <c r="H985" s="1551"/>
      <c r="I985" s="1551"/>
      <c r="J985" s="1551"/>
      <c r="K985" s="1551"/>
      <c r="L985" s="1551"/>
      <c r="M985" s="1551"/>
      <c r="N985" s="1551"/>
      <c r="O985" s="1551"/>
      <c r="P985" s="1551"/>
      <c r="Q985" s="1552"/>
      <c r="R985" s="1765">
        <f>IF(ISNA(IF($BN$796="4%",(INDEX($BP$806:$BT$863,MATCH($CB$796,$BO$806:$BO$863,0),MATCH(D985,$BP$805:$BT$805,0))),(INDEX($BW$806:$CA$863,MATCH($CB$796,$BV$806:$BV$863,0),MATCH(D985,$BW$805:$CA$805,0))))),0,IF($BN$796="4%",(INDEX($BP$806:$BT$863,MATCH($CB$796,$BO$806:$BO$863,0),MATCH(D985,$BP$805:$BT$805,0))),(INDEX($BW$806:$CA$863,MATCH($CB$796,$BV$806:$BV$863,0),MATCH(D985,$BW$805:$CA$805,0)))))</f>
        <v>532060</v>
      </c>
      <c r="S985" s="1765"/>
      <c r="T985" s="1765"/>
      <c r="U985" s="1765"/>
      <c r="V985" s="1765"/>
      <c r="W985" s="1765"/>
      <c r="X985" s="1765"/>
      <c r="Y985" s="1765"/>
      <c r="Z985" s="1765"/>
      <c r="AA985" s="1765"/>
      <c r="AB985" s="1786">
        <f>BN660</f>
        <v>47</v>
      </c>
      <c r="AC985" s="1787"/>
      <c r="AD985" s="1787"/>
      <c r="AE985" s="1787"/>
      <c r="AF985" s="1787"/>
      <c r="AG985" s="1787"/>
      <c r="AH985" s="1787"/>
      <c r="AI985" s="1788"/>
      <c r="AJ985" s="1761">
        <f>IF(ISERROR((R985*AB985)),0,(R985*AB985))</f>
        <v>25006820</v>
      </c>
      <c r="AK985" s="1762"/>
      <c r="AL985" s="1762"/>
      <c r="AM985" s="1762"/>
      <c r="AN985" s="1762"/>
      <c r="AO985" s="1762"/>
      <c r="AP985" s="1762"/>
      <c r="AQ985" s="1763"/>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550" t="s">
        <v>325</v>
      </c>
      <c r="E986" s="1551"/>
      <c r="F986" s="1551"/>
      <c r="G986" s="1551"/>
      <c r="H986" s="1551"/>
      <c r="I986" s="1551"/>
      <c r="J986" s="1551"/>
      <c r="K986" s="1551"/>
      <c r="L986" s="1551"/>
      <c r="M986" s="1551"/>
      <c r="N986" s="1551"/>
      <c r="O986" s="1551"/>
      <c r="P986" s="1551"/>
      <c r="Q986" s="1552"/>
      <c r="R986" s="1765">
        <f>IF(ISNA(IF($BN$796="4%",(INDEX($BP$806:$BT$863,MATCH($CB$796,$BO$806:$BO$863,0),MATCH(D986,$BP$805:$BT$805,0))),(INDEX($BW$806:$CA$863,MATCH($CB$796,$BV$806:$BV$863,0),MATCH(D986,$BW$805:$CA$805,0))))),0,IF($BN$796="4%",(INDEX($BP$806:$BT$863,MATCH($CB$796,$BO$806:$BO$863,0),MATCH(D986,$BP$805:$BT$805,0))),(INDEX($BW$806:$CA$863,MATCH($CB$796,$BV$806:$BV$863,0),MATCH(D986,$BW$805:$CA$805,0)))))</f>
        <v>613460</v>
      </c>
      <c r="S986" s="1765"/>
      <c r="T986" s="1765"/>
      <c r="U986" s="1765"/>
      <c r="V986" s="1765"/>
      <c r="W986" s="1765"/>
      <c r="X986" s="1765"/>
      <c r="Y986" s="1765"/>
      <c r="Z986" s="1765"/>
      <c r="AA986" s="1765"/>
      <c r="AB986" s="1786">
        <f>BS660</f>
        <v>29</v>
      </c>
      <c r="AC986" s="1787"/>
      <c r="AD986" s="1787"/>
      <c r="AE986" s="1787"/>
      <c r="AF986" s="1787"/>
      <c r="AG986" s="1787"/>
      <c r="AH986" s="1787"/>
      <c r="AI986" s="1788"/>
      <c r="AJ986" s="1761">
        <f>IF(ISERROR((R986*AB986)),0,(R986*AB986))</f>
        <v>17790340</v>
      </c>
      <c r="AK986" s="1762"/>
      <c r="AL986" s="1762"/>
      <c r="AM986" s="1762"/>
      <c r="AN986" s="1762"/>
      <c r="AO986" s="1762"/>
      <c r="AP986" s="1762"/>
      <c r="AQ986" s="1763"/>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550" t="s">
        <v>163</v>
      </c>
      <c r="E987" s="1551"/>
      <c r="F987" s="1551"/>
      <c r="G987" s="1551"/>
      <c r="H987" s="1551"/>
      <c r="I987" s="1551"/>
      <c r="J987" s="1551"/>
      <c r="K987" s="1551"/>
      <c r="L987" s="1551"/>
      <c r="M987" s="1551"/>
      <c r="N987" s="1551"/>
      <c r="O987" s="1551"/>
      <c r="P987" s="1551"/>
      <c r="Q987" s="1552"/>
      <c r="R987" s="1765">
        <f>IF(ISNA(IF($BN$796="4%",(INDEX($BP$806:$BT$863,MATCH($CB$796,$BO$806:$BO$863,0),MATCH(D987,$BP$805:$BT$805,0))),(INDEX($BW$806:$CA$863,MATCH($CB$796,$BV$806:$BV$863,0),MATCH(D987,$BW$805:$CA$805,0))))),0,IF($BN$796="4%",(INDEX($BP$806:$BT$863,MATCH($CB$796,$BO$806:$BO$863,0),MATCH(D987,$BP$805:$BT$805,0))),(INDEX($BW$806:$CA$863,MATCH($CB$796,$BV$806:$BV$863,0),MATCH(D987,$BW$805:$CA$805,0)))))</f>
        <v>740000</v>
      </c>
      <c r="S987" s="1765"/>
      <c r="T987" s="1765"/>
      <c r="U987" s="1765"/>
      <c r="V987" s="1765"/>
      <c r="W987" s="1765"/>
      <c r="X987" s="1765"/>
      <c r="Y987" s="1765"/>
      <c r="Z987" s="1765"/>
      <c r="AA987" s="1765"/>
      <c r="AB987" s="1786">
        <f>BX660</f>
        <v>5</v>
      </c>
      <c r="AC987" s="1787"/>
      <c r="AD987" s="1787"/>
      <c r="AE987" s="1787"/>
      <c r="AF987" s="1787"/>
      <c r="AG987" s="1787"/>
      <c r="AH987" s="1787"/>
      <c r="AI987" s="1788"/>
      <c r="AJ987" s="1761">
        <f>IF(ISERROR((R987*AB987)),0,(R987*AB987))</f>
        <v>3700000</v>
      </c>
      <c r="AK987" s="1762"/>
      <c r="AL987" s="1762"/>
      <c r="AM987" s="1762"/>
      <c r="AN987" s="1762"/>
      <c r="AO987" s="1762"/>
      <c r="AP987" s="1762"/>
      <c r="AQ987" s="1763"/>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550" t="s">
        <v>164</v>
      </c>
      <c r="E988" s="1551"/>
      <c r="F988" s="1551"/>
      <c r="G988" s="1551"/>
      <c r="H988" s="1551"/>
      <c r="I988" s="1551"/>
      <c r="J988" s="1551"/>
      <c r="K988" s="1551"/>
      <c r="L988" s="1551"/>
      <c r="M988" s="1551"/>
      <c r="N988" s="1551"/>
      <c r="O988" s="1551"/>
      <c r="P988" s="1551"/>
      <c r="Q988" s="1552"/>
      <c r="R988" s="1765">
        <f>IF(ISNA(IF($BN$796="4%",(INDEX($BP$806:$BT$863,MATCH($CB$796,$BO$806:$BO$863,0),MATCH(D988,$BP$805:$BT$805,0))),(INDEX($BW$806:$CA$863,MATCH($CB$796,$BV$806:$BV$863,0),MATCH(D988,$BW$805:$CA$805,0))))),0,IF($BN$796="4%",(INDEX($BP$806:$BT$863,MATCH($CB$796,$BO$806:$BO$863,0),MATCH(D988,$BP$805:$BT$805,0))),(INDEX($BW$806:$CA$863,MATCH($CB$796,$BV$806:$BV$863,0),MATCH(D988,$BW$805:$CA$805,0)))))</f>
        <v>947200</v>
      </c>
      <c r="S988" s="1765"/>
      <c r="T988" s="1765"/>
      <c r="U988" s="1765"/>
      <c r="V988" s="1765"/>
      <c r="W988" s="1765"/>
      <c r="X988" s="1765"/>
      <c r="Y988" s="1765"/>
      <c r="Z988" s="1765"/>
      <c r="AA988" s="1765"/>
      <c r="AB988" s="1786">
        <f>CC660</f>
        <v>5</v>
      </c>
      <c r="AC988" s="1787"/>
      <c r="AD988" s="1787"/>
      <c r="AE988" s="1787"/>
      <c r="AF988" s="1787"/>
      <c r="AG988" s="1787"/>
      <c r="AH988" s="1787"/>
      <c r="AI988" s="1788"/>
      <c r="AJ988" s="1761">
        <f>IF(ISERROR((R988*AB988)),0,(R988*AB988))</f>
        <v>4736000</v>
      </c>
      <c r="AK988" s="1762"/>
      <c r="AL988" s="1762"/>
      <c r="AM988" s="1762"/>
      <c r="AN988" s="1762"/>
      <c r="AO988" s="1762"/>
      <c r="AP988" s="1762"/>
      <c r="AQ988" s="1763"/>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550" t="s">
        <v>467</v>
      </c>
      <c r="E989" s="1551"/>
      <c r="F989" s="1551"/>
      <c r="G989" s="1551"/>
      <c r="H989" s="1551"/>
      <c r="I989" s="1551"/>
      <c r="J989" s="1551"/>
      <c r="K989" s="1551"/>
      <c r="L989" s="1551"/>
      <c r="M989" s="1551"/>
      <c r="N989" s="1551"/>
      <c r="O989" s="1551"/>
      <c r="P989" s="1551"/>
      <c r="Q989" s="1552"/>
      <c r="R989" s="1765">
        <f>IF(ISNA(IF($BN$796="4%",(INDEX($BP$806:$BT$863,MATCH($CB$796,$BO$806:$BO$863,0),MATCH(D989,$BP$805:$BT$805,0))),(INDEX($BW$806:$CA$863,MATCH($CB$796,$BV$806:$BV$863,0),MATCH(D989,$BW$805:$CA$805,0))))),0,IF($BN$796="4%",(INDEX($BP$806:$BT$863,MATCH($CB$796,$BO$806:$BO$863,0),MATCH(D989,$BP$805:$BT$805,0))),(INDEX($BW$806:$CA$863,MATCH($CB$796,$BV$806:$BV$863,0),MATCH(D989,$BW$805:$CA$805,0)))))</f>
        <v>1055240</v>
      </c>
      <c r="S989" s="1765"/>
      <c r="T989" s="1765"/>
      <c r="U989" s="1765"/>
      <c r="V989" s="1765"/>
      <c r="W989" s="1765"/>
      <c r="X989" s="1765"/>
      <c r="Y989" s="1765"/>
      <c r="Z989" s="1765"/>
      <c r="AA989" s="1765"/>
      <c r="AB989" s="1786">
        <f>CM660+CH660</f>
        <v>0</v>
      </c>
      <c r="AC989" s="1787"/>
      <c r="AD989" s="1787"/>
      <c r="AE989" s="1787"/>
      <c r="AF989" s="1787"/>
      <c r="AG989" s="1787"/>
      <c r="AH989" s="1787"/>
      <c r="AI989" s="1788"/>
      <c r="AJ989" s="1761">
        <f>IF(ISERROR((R989*AB989)),0,(R989*AB989))</f>
        <v>0</v>
      </c>
      <c r="AK989" s="1762"/>
      <c r="AL989" s="1762"/>
      <c r="AM989" s="1762"/>
      <c r="AN989" s="1762"/>
      <c r="AO989" s="1762"/>
      <c r="AP989" s="1762"/>
      <c r="AQ989" s="1763"/>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813" t="s">
        <v>799</v>
      </c>
      <c r="C990" s="1814"/>
      <c r="D990" s="1814"/>
      <c r="E990" s="1814"/>
      <c r="F990" s="1814"/>
      <c r="G990" s="1814"/>
      <c r="H990" s="1814"/>
      <c r="I990" s="1814"/>
      <c r="J990" s="1814"/>
      <c r="K990" s="1814"/>
      <c r="L990" s="1814"/>
      <c r="M990" s="1814"/>
      <c r="N990" s="1814"/>
      <c r="O990" s="1814"/>
      <c r="P990" s="1814"/>
      <c r="Q990" s="1814"/>
      <c r="R990" s="1814"/>
      <c r="S990" s="1814"/>
      <c r="T990" s="1814"/>
      <c r="U990" s="1814"/>
      <c r="V990" s="1814"/>
      <c r="W990" s="1814"/>
      <c r="X990" s="1814"/>
      <c r="Y990" s="1814"/>
      <c r="Z990" s="1814"/>
      <c r="AA990" s="1815"/>
      <c r="AB990" s="1786">
        <f>SUM(AB985:AI989)</f>
        <v>86</v>
      </c>
      <c r="AC990" s="1787"/>
      <c r="AD990" s="1787"/>
      <c r="AE990" s="1787"/>
      <c r="AF990" s="1787"/>
      <c r="AG990" s="1787"/>
      <c r="AH990" s="1787"/>
      <c r="AI990" s="1788"/>
      <c r="AJ990" s="1761"/>
      <c r="AK990" s="1762"/>
      <c r="AL990" s="1762"/>
      <c r="AM990" s="1762"/>
      <c r="AN990" s="1762"/>
      <c r="AO990" s="1762"/>
      <c r="AP990" s="1762"/>
      <c r="AQ990" s="1763"/>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804" t="s">
        <v>519</v>
      </c>
      <c r="C991" s="1805"/>
      <c r="D991" s="1805"/>
      <c r="E991" s="1805"/>
      <c r="F991" s="1805"/>
      <c r="G991" s="1805"/>
      <c r="H991" s="1805"/>
      <c r="I991" s="1805"/>
      <c r="J991" s="1805"/>
      <c r="K991" s="1805"/>
      <c r="L991" s="1805"/>
      <c r="M991" s="1805"/>
      <c r="N991" s="1805"/>
      <c r="O991" s="1805"/>
      <c r="P991" s="1805"/>
      <c r="Q991" s="1805"/>
      <c r="R991" s="1805"/>
      <c r="S991" s="1805"/>
      <c r="T991" s="1805"/>
      <c r="U991" s="1805"/>
      <c r="V991" s="1805"/>
      <c r="W991" s="1805"/>
      <c r="X991" s="1805"/>
      <c r="Y991" s="1805"/>
      <c r="Z991" s="1805"/>
      <c r="AA991" s="1805"/>
      <c r="AB991" s="1805"/>
      <c r="AC991" s="1805"/>
      <c r="AD991" s="1805"/>
      <c r="AE991" s="1805"/>
      <c r="AF991" s="1805"/>
      <c r="AG991" s="1805"/>
      <c r="AH991" s="1805"/>
      <c r="AI991" s="1806"/>
      <c r="AJ991" s="1761">
        <f>SUM(AJ985:AQ989)</f>
        <v>51233160</v>
      </c>
      <c r="AK991" s="1762"/>
      <c r="AL991" s="1762"/>
      <c r="AM991" s="1762"/>
      <c r="AN991" s="1762"/>
      <c r="AO991" s="1762"/>
      <c r="AP991" s="1762"/>
      <c r="AQ991" s="1763"/>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843"/>
      <c r="C992" s="1844"/>
      <c r="D992" s="1844"/>
      <c r="E992" s="1844"/>
      <c r="F992" s="1844"/>
      <c r="G992" s="1844"/>
      <c r="H992" s="1844"/>
      <c r="I992" s="1844"/>
      <c r="J992" s="1844"/>
      <c r="K992" s="1844"/>
      <c r="L992" s="1844"/>
      <c r="M992" s="1844"/>
      <c r="N992" s="1844"/>
      <c r="O992" s="1844"/>
      <c r="P992" s="1844"/>
      <c r="Q992" s="1844"/>
      <c r="R992" s="1844"/>
      <c r="S992" s="1844"/>
      <c r="T992" s="1844"/>
      <c r="U992" s="1844"/>
      <c r="V992" s="1844"/>
      <c r="W992" s="1844"/>
      <c r="X992" s="1844"/>
      <c r="Y992" s="1844"/>
      <c r="Z992" s="1844"/>
      <c r="AA992" s="1844"/>
      <c r="AB992" s="1844"/>
      <c r="AC992" s="1844"/>
      <c r="AD992" s="1844"/>
      <c r="AE992" s="1845"/>
      <c r="AF992" s="1851" t="s">
        <v>673</v>
      </c>
      <c r="AG992" s="1852"/>
      <c r="AH992" s="1852"/>
      <c r="AI992" s="1853"/>
      <c r="AJ992" s="1843"/>
      <c r="AK992" s="1844"/>
      <c r="AL992" s="1844"/>
      <c r="AM992" s="1844"/>
      <c r="AN992" s="1844"/>
      <c r="AO992" s="1844"/>
      <c r="AP992" s="1844"/>
      <c r="AQ992" s="1845"/>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675</v>
      </c>
      <c r="D993" s="1810" t="s">
        <v>1323</v>
      </c>
      <c r="E993" s="1811"/>
      <c r="F993" s="1811"/>
      <c r="G993" s="1811"/>
      <c r="H993" s="1811"/>
      <c r="I993" s="1811"/>
      <c r="J993" s="1811"/>
      <c r="K993" s="1811"/>
      <c r="L993" s="1811"/>
      <c r="M993" s="1811"/>
      <c r="N993" s="1811"/>
      <c r="O993" s="1811"/>
      <c r="P993" s="1811"/>
      <c r="Q993" s="1811"/>
      <c r="R993" s="1811"/>
      <c r="S993" s="1811"/>
      <c r="T993" s="1811"/>
      <c r="U993" s="1811"/>
      <c r="V993" s="1811"/>
      <c r="W993" s="1811"/>
      <c r="X993" s="1811"/>
      <c r="Y993" s="1811"/>
      <c r="Z993" s="1811"/>
      <c r="AA993" s="1811"/>
      <c r="AB993" s="1811"/>
      <c r="AC993" s="1811"/>
      <c r="AD993" s="1811"/>
      <c r="AE993" s="1812"/>
      <c r="AF993" s="79"/>
      <c r="AG993" s="1854" t="s">
        <v>552</v>
      </c>
      <c r="AH993" s="1855"/>
      <c r="AI993" s="87"/>
      <c r="AJ993" s="1795">
        <f>ROUND(IF(AND(AG993="yes",D999&gt;0),AJ991*0.2,0),0)</f>
        <v>10246632</v>
      </c>
      <c r="AK993" s="1796"/>
      <c r="AL993" s="1796"/>
      <c r="AM993" s="1796"/>
      <c r="AN993" s="1796"/>
      <c r="AO993" s="1796"/>
      <c r="AP993" s="1796"/>
      <c r="AQ993" s="1797"/>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708" t="s">
        <v>2563</v>
      </c>
      <c r="E994" s="1709"/>
      <c r="F994" s="1709"/>
      <c r="G994" s="1709"/>
      <c r="H994" s="1709"/>
      <c r="I994" s="1709"/>
      <c r="J994" s="1709"/>
      <c r="K994" s="1709"/>
      <c r="L994" s="1709"/>
      <c r="M994" s="1709"/>
      <c r="N994" s="1709"/>
      <c r="O994" s="1709"/>
      <c r="P994" s="1709"/>
      <c r="Q994" s="1709"/>
      <c r="R994" s="1709"/>
      <c r="S994" s="1709"/>
      <c r="T994" s="1709"/>
      <c r="U994" s="1709"/>
      <c r="V994" s="1709"/>
      <c r="W994" s="1709"/>
      <c r="X994" s="1709"/>
      <c r="Y994" s="1709"/>
      <c r="Z994" s="1709"/>
      <c r="AA994" s="1709"/>
      <c r="AB994" s="1709"/>
      <c r="AC994" s="1709"/>
      <c r="AD994" s="1709"/>
      <c r="AE994" s="1710"/>
      <c r="AF994" s="73"/>
      <c r="AG994" s="14"/>
      <c r="AH994" s="14"/>
      <c r="AI994" s="83"/>
      <c r="AJ994" s="1832"/>
      <c r="AK994" s="1833"/>
      <c r="AL994" s="1833"/>
      <c r="AM994" s="1833"/>
      <c r="AN994" s="1833"/>
      <c r="AO994" s="1833"/>
      <c r="AP994" s="1833"/>
      <c r="AQ994" s="1834"/>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708"/>
      <c r="E995" s="1709"/>
      <c r="F995" s="1709"/>
      <c r="G995" s="1709"/>
      <c r="H995" s="1709"/>
      <c r="I995" s="1709"/>
      <c r="J995" s="1709"/>
      <c r="K995" s="1709"/>
      <c r="L995" s="1709"/>
      <c r="M995" s="1709"/>
      <c r="N995" s="1709"/>
      <c r="O995" s="1709"/>
      <c r="P995" s="1709"/>
      <c r="Q995" s="1709"/>
      <c r="R995" s="1709"/>
      <c r="S995" s="1709"/>
      <c r="T995" s="1709"/>
      <c r="U995" s="1709"/>
      <c r="V995" s="1709"/>
      <c r="W995" s="1709"/>
      <c r="X995" s="1709"/>
      <c r="Y995" s="1709"/>
      <c r="Z995" s="1709"/>
      <c r="AA995" s="1709"/>
      <c r="AB995" s="1709"/>
      <c r="AC995" s="1709"/>
      <c r="AD995" s="1709"/>
      <c r="AE995" s="1710"/>
      <c r="AF995" s="73"/>
      <c r="AG995" s="14"/>
      <c r="AH995" s="14"/>
      <c r="AI995" s="83"/>
      <c r="AJ995" s="1832"/>
      <c r="AK995" s="1833"/>
      <c r="AL995" s="1833"/>
      <c r="AM995" s="1833"/>
      <c r="AN995" s="1833"/>
      <c r="AO995" s="1833"/>
      <c r="AP995" s="1833"/>
      <c r="AQ995" s="1834"/>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708"/>
      <c r="E996" s="1709"/>
      <c r="F996" s="1709"/>
      <c r="G996" s="1709"/>
      <c r="H996" s="1709"/>
      <c r="I996" s="1709"/>
      <c r="J996" s="1709"/>
      <c r="K996" s="1709"/>
      <c r="L996" s="1709"/>
      <c r="M996" s="1709"/>
      <c r="N996" s="1709"/>
      <c r="O996" s="1709"/>
      <c r="P996" s="1709"/>
      <c r="Q996" s="1709"/>
      <c r="R996" s="1709"/>
      <c r="S996" s="1709"/>
      <c r="T996" s="1709"/>
      <c r="U996" s="1709"/>
      <c r="V996" s="1709"/>
      <c r="W996" s="1709"/>
      <c r="X996" s="1709"/>
      <c r="Y996" s="1709"/>
      <c r="Z996" s="1709"/>
      <c r="AA996" s="1709"/>
      <c r="AB996" s="1709"/>
      <c r="AC996" s="1709"/>
      <c r="AD996" s="1709"/>
      <c r="AE996" s="1710"/>
      <c r="AF996" s="73"/>
      <c r="AG996" s="14"/>
      <c r="AH996" s="14"/>
      <c r="AI996" s="83"/>
      <c r="AJ996" s="1832"/>
      <c r="AK996" s="1833"/>
      <c r="AL996" s="1833"/>
      <c r="AM996" s="1833"/>
      <c r="AN996" s="1833"/>
      <c r="AO996" s="1833"/>
      <c r="AP996" s="1833"/>
      <c r="AQ996" s="1834"/>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708"/>
      <c r="E997" s="1709"/>
      <c r="F997" s="1709"/>
      <c r="G997" s="1709"/>
      <c r="H997" s="1709"/>
      <c r="I997" s="1709"/>
      <c r="J997" s="1709"/>
      <c r="K997" s="1709"/>
      <c r="L997" s="1709"/>
      <c r="M997" s="1709"/>
      <c r="N997" s="1709"/>
      <c r="O997" s="1709"/>
      <c r="P997" s="1709"/>
      <c r="Q997" s="1709"/>
      <c r="R997" s="1709"/>
      <c r="S997" s="1709"/>
      <c r="T997" s="1709"/>
      <c r="U997" s="1709"/>
      <c r="V997" s="1709"/>
      <c r="W997" s="1709"/>
      <c r="X997" s="1709"/>
      <c r="Y997" s="1709"/>
      <c r="Z997" s="1709"/>
      <c r="AA997" s="1709"/>
      <c r="AB997" s="1709"/>
      <c r="AC997" s="1709"/>
      <c r="AD997" s="1709"/>
      <c r="AE997" s="1710"/>
      <c r="AF997" s="73"/>
      <c r="AG997" s="14"/>
      <c r="AH997" s="14"/>
      <c r="AI997" s="83"/>
      <c r="AJ997" s="1832"/>
      <c r="AK997" s="1833"/>
      <c r="AL997" s="1833"/>
      <c r="AM997" s="1833"/>
      <c r="AN997" s="1833"/>
      <c r="AO997" s="1833"/>
      <c r="AP997" s="1833"/>
      <c r="AQ997" s="1834"/>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711" t="s">
        <v>2564</v>
      </c>
      <c r="E998" s="1712"/>
      <c r="F998" s="1712"/>
      <c r="G998" s="1712"/>
      <c r="H998" s="1712"/>
      <c r="I998" s="1712"/>
      <c r="J998" s="1712"/>
      <c r="K998" s="1712"/>
      <c r="L998" s="1712"/>
      <c r="M998" s="1712"/>
      <c r="N998" s="1712"/>
      <c r="O998" s="1712"/>
      <c r="P998" s="1712"/>
      <c r="Q998" s="1712"/>
      <c r="R998" s="1712"/>
      <c r="S998" s="1712"/>
      <c r="T998" s="1712"/>
      <c r="U998" s="1712"/>
      <c r="V998" s="1712"/>
      <c r="W998" s="1712"/>
      <c r="X998" s="1712"/>
      <c r="Y998" s="1712"/>
      <c r="Z998" s="1712"/>
      <c r="AA998" s="1712"/>
      <c r="AB998" s="1712"/>
      <c r="AC998" s="1712"/>
      <c r="AD998" s="1712"/>
      <c r="AE998" s="1713"/>
      <c r="AF998" s="73"/>
      <c r="AG998" s="14"/>
      <c r="AH998" s="14"/>
      <c r="AI998" s="83"/>
      <c r="AJ998" s="1832"/>
      <c r="AK998" s="1833"/>
      <c r="AL998" s="1833"/>
      <c r="AM998" s="1833"/>
      <c r="AN998" s="1833"/>
      <c r="AO998" s="1833"/>
      <c r="AP998" s="1833"/>
      <c r="AQ998" s="1834"/>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816" t="s">
        <v>2640</v>
      </c>
      <c r="E999" s="1817"/>
      <c r="F999" s="1817"/>
      <c r="G999" s="1817"/>
      <c r="H999" s="1817"/>
      <c r="I999" s="1817"/>
      <c r="J999" s="1817"/>
      <c r="K999" s="1817"/>
      <c r="L999" s="1817"/>
      <c r="M999" s="1817"/>
      <c r="N999" s="1817"/>
      <c r="O999" s="1817"/>
      <c r="P999" s="1817"/>
      <c r="Q999" s="1817"/>
      <c r="R999" s="1817"/>
      <c r="S999" s="1817"/>
      <c r="T999" s="1817"/>
      <c r="U999" s="1817"/>
      <c r="V999" s="1817"/>
      <c r="W999" s="1817"/>
      <c r="X999" s="1817"/>
      <c r="Y999" s="1817"/>
      <c r="Z999" s="1817"/>
      <c r="AA999" s="1817"/>
      <c r="AB999" s="1817"/>
      <c r="AC999" s="1817"/>
      <c r="AD999" s="1817"/>
      <c r="AE999" s="1818"/>
      <c r="AF999" s="77"/>
      <c r="AG999" s="7"/>
      <c r="AH999" s="7"/>
      <c r="AI999" s="78"/>
      <c r="AJ999" s="1798"/>
      <c r="AK999" s="1799"/>
      <c r="AL999" s="1799"/>
      <c r="AM999" s="1799"/>
      <c r="AN999" s="1799"/>
      <c r="AO999" s="1799"/>
      <c r="AP999" s="1799"/>
      <c r="AQ999" s="1800"/>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705" t="s">
        <v>1391</v>
      </c>
      <c r="E1000" s="1706"/>
      <c r="F1000" s="1706"/>
      <c r="G1000" s="1706"/>
      <c r="H1000" s="1706"/>
      <c r="I1000" s="1706"/>
      <c r="J1000" s="1706"/>
      <c r="K1000" s="1706"/>
      <c r="L1000" s="1706"/>
      <c r="M1000" s="1706"/>
      <c r="N1000" s="1706"/>
      <c r="O1000" s="1706"/>
      <c r="P1000" s="1706"/>
      <c r="Q1000" s="1706"/>
      <c r="R1000" s="1706"/>
      <c r="S1000" s="1706"/>
      <c r="T1000" s="1706"/>
      <c r="U1000" s="1706"/>
      <c r="V1000" s="1706"/>
      <c r="W1000" s="1706"/>
      <c r="X1000" s="1706"/>
      <c r="Y1000" s="1706"/>
      <c r="Z1000" s="1706"/>
      <c r="AA1000" s="1706"/>
      <c r="AB1000" s="1706"/>
      <c r="AC1000" s="1706"/>
      <c r="AD1000" s="1706"/>
      <c r="AE1000" s="1707"/>
      <c r="AF1000" s="79"/>
      <c r="AG1000" s="1830" t="s">
        <v>676</v>
      </c>
      <c r="AH1000" s="1831"/>
      <c r="AI1000" s="87"/>
      <c r="AJ1000" s="1795">
        <f>ROUND(IF(AG1000="yes",AJ991*0.05,0),0)</f>
        <v>0</v>
      </c>
      <c r="AK1000" s="1796"/>
      <c r="AL1000" s="1796"/>
      <c r="AM1000" s="1796"/>
      <c r="AN1000" s="1796"/>
      <c r="AO1000" s="1796"/>
      <c r="AP1000" s="1796"/>
      <c r="AQ1000" s="1797"/>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708" t="s">
        <v>1389</v>
      </c>
      <c r="E1001" s="1709"/>
      <c r="F1001" s="1709"/>
      <c r="G1001" s="1709"/>
      <c r="H1001" s="1709"/>
      <c r="I1001" s="1709"/>
      <c r="J1001" s="1709"/>
      <c r="K1001" s="1709"/>
      <c r="L1001" s="1709"/>
      <c r="M1001" s="1709"/>
      <c r="N1001" s="1709"/>
      <c r="O1001" s="1709"/>
      <c r="P1001" s="1709"/>
      <c r="Q1001" s="1709"/>
      <c r="R1001" s="1709"/>
      <c r="S1001" s="1709"/>
      <c r="T1001" s="1709"/>
      <c r="U1001" s="1709"/>
      <c r="V1001" s="1709"/>
      <c r="W1001" s="1709"/>
      <c r="X1001" s="1709"/>
      <c r="Y1001" s="1709"/>
      <c r="Z1001" s="1709"/>
      <c r="AA1001" s="1709"/>
      <c r="AB1001" s="1709"/>
      <c r="AC1001" s="1709"/>
      <c r="AD1001" s="1709"/>
      <c r="AE1001" s="1710"/>
      <c r="AF1001" s="73"/>
      <c r="AG1001" s="14"/>
      <c r="AH1001" s="14"/>
      <c r="AI1001" s="83"/>
      <c r="AJ1001" s="1832"/>
      <c r="AK1001" s="1833"/>
      <c r="AL1001" s="1833"/>
      <c r="AM1001" s="1833"/>
      <c r="AN1001" s="1833"/>
      <c r="AO1001" s="1833"/>
      <c r="AP1001" s="1833"/>
      <c r="AQ1001" s="1834"/>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708"/>
      <c r="E1002" s="1709"/>
      <c r="F1002" s="1709"/>
      <c r="G1002" s="1709"/>
      <c r="H1002" s="1709"/>
      <c r="I1002" s="1709"/>
      <c r="J1002" s="1709"/>
      <c r="K1002" s="1709"/>
      <c r="L1002" s="1709"/>
      <c r="M1002" s="1709"/>
      <c r="N1002" s="1709"/>
      <c r="O1002" s="1709"/>
      <c r="P1002" s="1709"/>
      <c r="Q1002" s="1709"/>
      <c r="R1002" s="1709"/>
      <c r="S1002" s="1709"/>
      <c r="T1002" s="1709"/>
      <c r="U1002" s="1709"/>
      <c r="V1002" s="1709"/>
      <c r="W1002" s="1709"/>
      <c r="X1002" s="1709"/>
      <c r="Y1002" s="1709"/>
      <c r="Z1002" s="1709"/>
      <c r="AA1002" s="1709"/>
      <c r="AB1002" s="1709"/>
      <c r="AC1002" s="1709"/>
      <c r="AD1002" s="1709"/>
      <c r="AE1002" s="1710"/>
      <c r="AF1002" s="73"/>
      <c r="AG1002" s="14"/>
      <c r="AH1002" s="14"/>
      <c r="AI1002" s="83"/>
      <c r="AJ1002" s="1832"/>
      <c r="AK1002" s="1833"/>
      <c r="AL1002" s="1833"/>
      <c r="AM1002" s="1833"/>
      <c r="AN1002" s="1833"/>
      <c r="AO1002" s="1833"/>
      <c r="AP1002" s="1833"/>
      <c r="AQ1002" s="1834"/>
      <c r="AR1002" s="68"/>
      <c r="AS1002" s="68"/>
      <c r="AT1002" s="68"/>
      <c r="AU1002" s="68"/>
      <c r="AV1002" s="68"/>
      <c r="AW1002" s="68"/>
      <c r="AX1002" s="68"/>
      <c r="AY1002" s="949">
        <f>G753+O797</f>
        <v>85</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708"/>
      <c r="E1003" s="1709"/>
      <c r="F1003" s="1709"/>
      <c r="G1003" s="1709"/>
      <c r="H1003" s="1709"/>
      <c r="I1003" s="1709"/>
      <c r="J1003" s="1709"/>
      <c r="K1003" s="1709"/>
      <c r="L1003" s="1709"/>
      <c r="M1003" s="1709"/>
      <c r="N1003" s="1709"/>
      <c r="O1003" s="1709"/>
      <c r="P1003" s="1709"/>
      <c r="Q1003" s="1709"/>
      <c r="R1003" s="1709"/>
      <c r="S1003" s="1709"/>
      <c r="T1003" s="1709"/>
      <c r="U1003" s="1709"/>
      <c r="V1003" s="1709"/>
      <c r="W1003" s="1709"/>
      <c r="X1003" s="1709"/>
      <c r="Y1003" s="1709"/>
      <c r="Z1003" s="1709"/>
      <c r="AA1003" s="1709"/>
      <c r="AB1003" s="1709"/>
      <c r="AC1003" s="1709"/>
      <c r="AD1003" s="1709"/>
      <c r="AE1003" s="1710"/>
      <c r="AF1003" s="73"/>
      <c r="AG1003" s="14"/>
      <c r="AH1003" s="14"/>
      <c r="AI1003" s="83"/>
      <c r="AJ1003" s="1832"/>
      <c r="AK1003" s="1833"/>
      <c r="AL1003" s="1833"/>
      <c r="AM1003" s="1833"/>
      <c r="AN1003" s="1833"/>
      <c r="AO1003" s="1833"/>
      <c r="AP1003" s="1833"/>
      <c r="AQ1003" s="1834"/>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708"/>
      <c r="E1004" s="1709"/>
      <c r="F1004" s="1709"/>
      <c r="G1004" s="1709"/>
      <c r="H1004" s="1709"/>
      <c r="I1004" s="1709"/>
      <c r="J1004" s="1709"/>
      <c r="K1004" s="1709"/>
      <c r="L1004" s="1709"/>
      <c r="M1004" s="1709"/>
      <c r="N1004" s="1709"/>
      <c r="O1004" s="1709"/>
      <c r="P1004" s="1709"/>
      <c r="Q1004" s="1709"/>
      <c r="R1004" s="1709"/>
      <c r="S1004" s="1709"/>
      <c r="T1004" s="1709"/>
      <c r="U1004" s="1709"/>
      <c r="V1004" s="1709"/>
      <c r="W1004" s="1709"/>
      <c r="X1004" s="1709"/>
      <c r="Y1004" s="1709"/>
      <c r="Z1004" s="1709"/>
      <c r="AA1004" s="1709"/>
      <c r="AB1004" s="1709"/>
      <c r="AC1004" s="1709"/>
      <c r="AD1004" s="1709"/>
      <c r="AE1004" s="1710"/>
      <c r="AF1004" s="73"/>
      <c r="AG1004" s="14"/>
      <c r="AH1004" s="14"/>
      <c r="AI1004" s="83"/>
      <c r="AJ1004" s="1832"/>
      <c r="AK1004" s="1833"/>
      <c r="AL1004" s="1833"/>
      <c r="AM1004" s="1833"/>
      <c r="AN1004" s="1833"/>
      <c r="AO1004" s="1833"/>
      <c r="AP1004" s="1833"/>
      <c r="AQ1004" s="1834"/>
      <c r="AR1004" s="68"/>
      <c r="AS1004" s="68"/>
      <c r="AT1004" s="68"/>
      <c r="AU1004" s="68"/>
      <c r="AV1004" s="68"/>
      <c r="AW1004" s="68"/>
      <c r="AX1004" s="68"/>
      <c r="AY1004" s="948">
        <f>ROUNDDOWN(X1047/I1047,2)</f>
        <v>0</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711"/>
      <c r="E1005" s="1712"/>
      <c r="F1005" s="1712"/>
      <c r="G1005" s="1712"/>
      <c r="H1005" s="1712"/>
      <c r="I1005" s="1712"/>
      <c r="J1005" s="1712"/>
      <c r="K1005" s="1712"/>
      <c r="L1005" s="1712"/>
      <c r="M1005" s="1712"/>
      <c r="N1005" s="1712"/>
      <c r="O1005" s="1712"/>
      <c r="P1005" s="1712"/>
      <c r="Q1005" s="1712"/>
      <c r="R1005" s="1712"/>
      <c r="S1005" s="1712"/>
      <c r="T1005" s="1712"/>
      <c r="U1005" s="1712"/>
      <c r="V1005" s="1712"/>
      <c r="W1005" s="1712"/>
      <c r="X1005" s="1712"/>
      <c r="Y1005" s="1712"/>
      <c r="Z1005" s="1712"/>
      <c r="AA1005" s="1712"/>
      <c r="AB1005" s="1712"/>
      <c r="AC1005" s="1712"/>
      <c r="AD1005" s="1712"/>
      <c r="AE1005" s="1713"/>
      <c r="AF1005" s="77"/>
      <c r="AG1005" s="7"/>
      <c r="AH1005" s="7"/>
      <c r="AI1005" s="78"/>
      <c r="AJ1005" s="1798"/>
      <c r="AK1005" s="1799"/>
      <c r="AL1005" s="1799"/>
      <c r="AM1005" s="1799"/>
      <c r="AN1005" s="1799"/>
      <c r="AO1005" s="1799"/>
      <c r="AP1005" s="1799"/>
      <c r="AQ1005" s="1800"/>
      <c r="AR1005" s="68"/>
      <c r="AS1005" s="68"/>
      <c r="AT1005" s="68"/>
      <c r="AU1005" s="68"/>
      <c r="AV1005" s="68"/>
      <c r="AW1005" s="68"/>
      <c r="AX1005" s="68"/>
      <c r="AY1005" s="948">
        <f>ROUNDDOWN(X1051/I1051,2)</f>
        <v>0.45</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679</v>
      </c>
      <c r="D1006" s="1705" t="s">
        <v>1868</v>
      </c>
      <c r="E1006" s="1706"/>
      <c r="F1006" s="1706"/>
      <c r="G1006" s="1706"/>
      <c r="H1006" s="1706"/>
      <c r="I1006" s="1706"/>
      <c r="J1006" s="1706"/>
      <c r="K1006" s="1706"/>
      <c r="L1006" s="1706"/>
      <c r="M1006" s="1706"/>
      <c r="N1006" s="1706"/>
      <c r="O1006" s="1706"/>
      <c r="P1006" s="1706"/>
      <c r="Q1006" s="1706"/>
      <c r="R1006" s="1706"/>
      <c r="S1006" s="1706"/>
      <c r="T1006" s="1706"/>
      <c r="U1006" s="1706"/>
      <c r="V1006" s="1706"/>
      <c r="W1006" s="1706"/>
      <c r="X1006" s="1706"/>
      <c r="Y1006" s="1706"/>
      <c r="Z1006" s="1706"/>
      <c r="AA1006" s="1706"/>
      <c r="AB1006" s="1706"/>
      <c r="AC1006" s="1706"/>
      <c r="AD1006" s="1706"/>
      <c r="AE1006" s="1707"/>
      <c r="AF1006" s="86"/>
      <c r="AG1006" s="1830" t="s">
        <v>552</v>
      </c>
      <c r="AH1006" s="1831"/>
      <c r="AI1006" s="87"/>
      <c r="AJ1006" s="1795">
        <f>ROUND(IF(AG1006="yes",AJ991*0.1,0),0)</f>
        <v>5123316</v>
      </c>
      <c r="AK1006" s="1796"/>
      <c r="AL1006" s="1796"/>
      <c r="AM1006" s="1796"/>
      <c r="AN1006" s="1796"/>
      <c r="AO1006" s="1796"/>
      <c r="AP1006" s="1796"/>
      <c r="AQ1006" s="1797"/>
      <c r="AR1006" s="68"/>
      <c r="AS1006" s="68"/>
      <c r="AT1006" s="68"/>
      <c r="AU1006" s="68"/>
      <c r="AV1006" s="68"/>
      <c r="AW1006" s="68"/>
      <c r="AX1006" s="68"/>
      <c r="BB1006" s="34"/>
      <c r="BD1006" s="34"/>
      <c r="BE1006" s="34"/>
      <c r="BF1006" s="34"/>
    </row>
    <row r="1007" spans="1:157" ht="12.95" customHeight="1">
      <c r="A1007" s="14"/>
      <c r="B1007" s="73"/>
      <c r="C1007" s="74"/>
      <c r="D1007" s="1821" t="s">
        <v>1390</v>
      </c>
      <c r="E1007" s="1822"/>
      <c r="F1007" s="1822"/>
      <c r="G1007" s="1822"/>
      <c r="H1007" s="1822"/>
      <c r="I1007" s="1822"/>
      <c r="J1007" s="1822"/>
      <c r="K1007" s="1822"/>
      <c r="L1007" s="1822"/>
      <c r="M1007" s="1822"/>
      <c r="N1007" s="1822"/>
      <c r="O1007" s="1822"/>
      <c r="P1007" s="1822"/>
      <c r="Q1007" s="1822"/>
      <c r="R1007" s="1822"/>
      <c r="S1007" s="1822"/>
      <c r="T1007" s="1822"/>
      <c r="U1007" s="1822"/>
      <c r="V1007" s="1822"/>
      <c r="W1007" s="1822"/>
      <c r="X1007" s="1822"/>
      <c r="Y1007" s="1822"/>
      <c r="Z1007" s="1822"/>
      <c r="AA1007" s="1822"/>
      <c r="AB1007" s="1822"/>
      <c r="AC1007" s="1822"/>
      <c r="AD1007" s="1822"/>
      <c r="AE1007" s="1823"/>
      <c r="AF1007" s="73"/>
      <c r="AI1007" s="83"/>
      <c r="AJ1007" s="1832"/>
      <c r="AK1007" s="1833"/>
      <c r="AL1007" s="1833"/>
      <c r="AM1007" s="1833"/>
      <c r="AN1007" s="1833"/>
      <c r="AO1007" s="1833"/>
      <c r="AP1007" s="1833"/>
      <c r="AQ1007" s="1834"/>
      <c r="AR1007" s="68"/>
      <c r="AS1007" s="68"/>
      <c r="AT1007" s="68"/>
      <c r="AU1007" s="68"/>
      <c r="AV1007" s="68"/>
      <c r="AW1007" s="68"/>
      <c r="AX1007" s="68"/>
    </row>
    <row r="1008" spans="1:157" ht="12.95" customHeight="1">
      <c r="A1008" s="14"/>
      <c r="B1008" s="73"/>
      <c r="C1008" s="74"/>
      <c r="D1008" s="1821"/>
      <c r="E1008" s="1822"/>
      <c r="F1008" s="1822"/>
      <c r="G1008" s="1822"/>
      <c r="H1008" s="1822"/>
      <c r="I1008" s="1822"/>
      <c r="J1008" s="1822"/>
      <c r="K1008" s="1822"/>
      <c r="L1008" s="1822"/>
      <c r="M1008" s="1822"/>
      <c r="N1008" s="1822"/>
      <c r="O1008" s="1822"/>
      <c r="P1008" s="1822"/>
      <c r="Q1008" s="1822"/>
      <c r="R1008" s="1822"/>
      <c r="S1008" s="1822"/>
      <c r="T1008" s="1822"/>
      <c r="U1008" s="1822"/>
      <c r="V1008" s="1822"/>
      <c r="W1008" s="1822"/>
      <c r="X1008" s="1822"/>
      <c r="Y1008" s="1822"/>
      <c r="Z1008" s="1822"/>
      <c r="AA1008" s="1822"/>
      <c r="AB1008" s="1822"/>
      <c r="AC1008" s="1822"/>
      <c r="AD1008" s="1822"/>
      <c r="AE1008" s="1823"/>
      <c r="AF1008" s="73"/>
      <c r="AG1008" s="14"/>
      <c r="AH1008" s="14"/>
      <c r="AI1008" s="83"/>
      <c r="AJ1008" s="1832"/>
      <c r="AK1008" s="1833"/>
      <c r="AL1008" s="1833"/>
      <c r="AM1008" s="1833"/>
      <c r="AN1008" s="1833"/>
      <c r="AO1008" s="1833"/>
      <c r="AP1008" s="1833"/>
      <c r="AQ1008" s="1834"/>
      <c r="AR1008" s="68"/>
      <c r="AS1008" s="68"/>
      <c r="AT1008" s="68"/>
      <c r="AU1008" s="68"/>
      <c r="AV1008" s="68"/>
      <c r="AW1008" s="68"/>
      <c r="AX1008" s="68"/>
    </row>
    <row r="1009" spans="1:51" ht="12.95" customHeight="1">
      <c r="A1009" s="14"/>
      <c r="B1009" s="85"/>
      <c r="C1009" s="76"/>
      <c r="D1009" s="1714"/>
      <c r="E1009" s="1715"/>
      <c r="F1009" s="1715"/>
      <c r="G1009" s="1715"/>
      <c r="H1009" s="1715"/>
      <c r="I1009" s="1715"/>
      <c r="J1009" s="1715"/>
      <c r="K1009" s="1715"/>
      <c r="L1009" s="1715"/>
      <c r="M1009" s="1715"/>
      <c r="N1009" s="1715"/>
      <c r="O1009" s="1715"/>
      <c r="P1009" s="1715"/>
      <c r="Q1009" s="1715"/>
      <c r="R1009" s="1715"/>
      <c r="S1009" s="1715"/>
      <c r="T1009" s="1715"/>
      <c r="U1009" s="1715"/>
      <c r="V1009" s="1715"/>
      <c r="W1009" s="1715"/>
      <c r="X1009" s="1715"/>
      <c r="Y1009" s="1715"/>
      <c r="Z1009" s="1715"/>
      <c r="AA1009" s="1715"/>
      <c r="AB1009" s="1715"/>
      <c r="AC1009" s="1715"/>
      <c r="AD1009" s="1715"/>
      <c r="AE1009" s="1716"/>
      <c r="AF1009" s="77"/>
      <c r="AG1009" s="7"/>
      <c r="AH1009" s="7"/>
      <c r="AI1009" s="78"/>
      <c r="AJ1009" s="1798"/>
      <c r="AK1009" s="1799"/>
      <c r="AL1009" s="1799"/>
      <c r="AM1009" s="1799"/>
      <c r="AN1009" s="1799"/>
      <c r="AO1009" s="1799"/>
      <c r="AP1009" s="1799"/>
      <c r="AQ1009" s="1800"/>
      <c r="AR1009" s="68"/>
      <c r="AS1009" s="68"/>
      <c r="AT1009" s="68"/>
      <c r="AU1009" s="68"/>
      <c r="AV1009" s="68"/>
      <c r="AW1009" s="68"/>
      <c r="AX1009" s="68"/>
    </row>
    <row r="1010" spans="1:51" ht="12.95" customHeight="1">
      <c r="A1010" s="14"/>
      <c r="B1010" s="79"/>
      <c r="C1010" s="80" t="s">
        <v>212</v>
      </c>
      <c r="D1010" s="1705" t="s">
        <v>1392</v>
      </c>
      <c r="E1010" s="1706"/>
      <c r="F1010" s="1706"/>
      <c r="G1010" s="1706"/>
      <c r="H1010" s="1706"/>
      <c r="I1010" s="1706"/>
      <c r="J1010" s="1706"/>
      <c r="K1010" s="1706"/>
      <c r="L1010" s="1706"/>
      <c r="M1010" s="1706"/>
      <c r="N1010" s="1706"/>
      <c r="O1010" s="1706"/>
      <c r="P1010" s="1706"/>
      <c r="Q1010" s="1706"/>
      <c r="R1010" s="1706"/>
      <c r="S1010" s="1706"/>
      <c r="T1010" s="1706"/>
      <c r="U1010" s="1706"/>
      <c r="V1010" s="1706"/>
      <c r="W1010" s="1706"/>
      <c r="X1010" s="1706"/>
      <c r="Y1010" s="1706"/>
      <c r="Z1010" s="1706"/>
      <c r="AA1010" s="1706"/>
      <c r="AB1010" s="1706"/>
      <c r="AC1010" s="1706"/>
      <c r="AD1010" s="1706"/>
      <c r="AE1010" s="1707"/>
      <c r="AF1010" s="79"/>
      <c r="AG1010" s="1830" t="s">
        <v>676</v>
      </c>
      <c r="AH1010" s="1831"/>
      <c r="AI1010" s="87"/>
      <c r="AJ1010" s="1795">
        <f>ROUND(IF(AG1010="yes",AJ991*0.02,0),0)</f>
        <v>0</v>
      </c>
      <c r="AK1010" s="1796"/>
      <c r="AL1010" s="1796"/>
      <c r="AM1010" s="1796"/>
      <c r="AN1010" s="1796"/>
      <c r="AO1010" s="1796"/>
      <c r="AP1010" s="1796"/>
      <c r="AQ1010" s="1797"/>
      <c r="AR1010" s="68"/>
      <c r="AS1010" s="68"/>
      <c r="AT1010" s="68"/>
      <c r="AU1010" s="68"/>
      <c r="AV1010" s="68"/>
      <c r="AW1010" s="68"/>
      <c r="AX1010" s="68"/>
      <c r="AY1010" s="215">
        <f>IF(SUM(AY1012:AY1020)&lt;=0.1,SUM(AY1012:AY1020),0.1)</f>
        <v>0</v>
      </c>
    </row>
    <row r="1011" spans="1:51" ht="14.25" customHeight="1">
      <c r="A1011" s="14"/>
      <c r="B1011" s="73"/>
      <c r="C1011" s="74"/>
      <c r="D1011" s="1714" t="s">
        <v>1393</v>
      </c>
      <c r="E1011" s="1715"/>
      <c r="F1011" s="1715"/>
      <c r="G1011" s="1715"/>
      <c r="H1011" s="1715"/>
      <c r="I1011" s="1715"/>
      <c r="J1011" s="1715"/>
      <c r="K1011" s="1715"/>
      <c r="L1011" s="1715"/>
      <c r="M1011" s="1715"/>
      <c r="N1011" s="1715"/>
      <c r="O1011" s="1715"/>
      <c r="P1011" s="1715"/>
      <c r="Q1011" s="1715"/>
      <c r="R1011" s="1715"/>
      <c r="S1011" s="1715"/>
      <c r="T1011" s="1715"/>
      <c r="U1011" s="1715"/>
      <c r="V1011" s="1715"/>
      <c r="W1011" s="1715"/>
      <c r="X1011" s="1715"/>
      <c r="Y1011" s="1715"/>
      <c r="Z1011" s="1715"/>
      <c r="AA1011" s="1715"/>
      <c r="AB1011" s="1715"/>
      <c r="AC1011" s="1715"/>
      <c r="AD1011" s="1715"/>
      <c r="AE1011" s="1716"/>
      <c r="AF1011" s="77"/>
      <c r="AG1011" s="7"/>
      <c r="AH1011" s="7"/>
      <c r="AI1011" s="78"/>
      <c r="AJ1011" s="1798"/>
      <c r="AK1011" s="1799"/>
      <c r="AL1011" s="1799"/>
      <c r="AM1011" s="1799"/>
      <c r="AN1011" s="1799"/>
      <c r="AO1011" s="1799"/>
      <c r="AP1011" s="1799"/>
      <c r="AQ1011" s="1800"/>
      <c r="AR1011" s="68"/>
      <c r="AS1011" s="68"/>
      <c r="AT1011" s="68"/>
      <c r="AU1011" s="68"/>
      <c r="AV1011" s="68"/>
      <c r="AW1011" s="68"/>
      <c r="AX1011" s="68"/>
    </row>
    <row r="1012" spans="1:51" ht="12.95" customHeight="1">
      <c r="A1012" s="14"/>
      <c r="B1012" s="79"/>
      <c r="C1012" s="80" t="s">
        <v>215</v>
      </c>
      <c r="D1012" s="1705" t="s">
        <v>1394</v>
      </c>
      <c r="E1012" s="1706"/>
      <c r="F1012" s="1706"/>
      <c r="G1012" s="1706"/>
      <c r="H1012" s="1706"/>
      <c r="I1012" s="1706"/>
      <c r="J1012" s="1706"/>
      <c r="K1012" s="1706"/>
      <c r="L1012" s="1706"/>
      <c r="M1012" s="1706"/>
      <c r="N1012" s="1706"/>
      <c r="O1012" s="1706"/>
      <c r="P1012" s="1706"/>
      <c r="Q1012" s="1706"/>
      <c r="R1012" s="1706"/>
      <c r="S1012" s="1706"/>
      <c r="T1012" s="1706"/>
      <c r="U1012" s="1706"/>
      <c r="V1012" s="1706"/>
      <c r="W1012" s="1706"/>
      <c r="X1012" s="1706"/>
      <c r="Y1012" s="1706"/>
      <c r="Z1012" s="1706"/>
      <c r="AA1012" s="1706"/>
      <c r="AB1012" s="1706"/>
      <c r="AC1012" s="1706"/>
      <c r="AD1012" s="1706"/>
      <c r="AE1012" s="1707"/>
      <c r="AF1012" s="79"/>
      <c r="AG1012" s="1830" t="s">
        <v>676</v>
      </c>
      <c r="AH1012" s="1831"/>
      <c r="AI1012" s="79"/>
      <c r="AJ1012" s="1795">
        <f>ROUND(IF(AG1012="yes",AJ991*0.02,0),0)</f>
        <v>0</v>
      </c>
      <c r="AK1012" s="1796"/>
      <c r="AL1012" s="1796"/>
      <c r="AM1012" s="1796"/>
      <c r="AN1012" s="1796"/>
      <c r="AO1012" s="1796"/>
      <c r="AP1012" s="1796"/>
      <c r="AQ1012" s="1797"/>
      <c r="AR1012" s="68"/>
      <c r="AS1012" s="68"/>
      <c r="AT1012" s="68"/>
      <c r="AU1012" s="68"/>
      <c r="AV1012" s="68"/>
      <c r="AW1012" s="68"/>
      <c r="AX1012" s="68"/>
      <c r="AY1012" s="213">
        <f>IF(A1064="Yes",0.05,0)</f>
        <v>0</v>
      </c>
    </row>
    <row r="1013" spans="1:51" ht="12.95" customHeight="1">
      <c r="A1013" s="14"/>
      <c r="B1013" s="73"/>
      <c r="C1013" s="74"/>
      <c r="D1013" s="1821" t="s">
        <v>1395</v>
      </c>
      <c r="E1013" s="1822"/>
      <c r="F1013" s="1822"/>
      <c r="G1013" s="1822"/>
      <c r="H1013" s="1822"/>
      <c r="I1013" s="1822"/>
      <c r="J1013" s="1822"/>
      <c r="K1013" s="1822"/>
      <c r="L1013" s="1822"/>
      <c r="M1013" s="1822"/>
      <c r="N1013" s="1822"/>
      <c r="O1013" s="1822"/>
      <c r="P1013" s="1822"/>
      <c r="Q1013" s="1822"/>
      <c r="R1013" s="1822"/>
      <c r="S1013" s="1822"/>
      <c r="T1013" s="1822"/>
      <c r="U1013" s="1822"/>
      <c r="V1013" s="1822"/>
      <c r="W1013" s="1822"/>
      <c r="X1013" s="1822"/>
      <c r="Y1013" s="1822"/>
      <c r="Z1013" s="1822"/>
      <c r="AA1013" s="1822"/>
      <c r="AB1013" s="1822"/>
      <c r="AC1013" s="1822"/>
      <c r="AD1013" s="1822"/>
      <c r="AE1013" s="1823"/>
      <c r="AF1013" s="1877" t="str">
        <f>IF(AND(AG1012="yes",AB212&lt;&gt;1),"The project may not be eligible for this boost","")</f>
        <v/>
      </c>
      <c r="AG1013" s="1878"/>
      <c r="AH1013" s="1878"/>
      <c r="AI1013" s="1879"/>
      <c r="AJ1013" s="1832"/>
      <c r="AK1013" s="1833"/>
      <c r="AL1013" s="1833"/>
      <c r="AM1013" s="1833"/>
      <c r="AN1013" s="1833"/>
      <c r="AO1013" s="1833"/>
      <c r="AP1013" s="1833"/>
      <c r="AQ1013" s="1834"/>
      <c r="AR1013" s="68"/>
      <c r="AS1013" s="68"/>
      <c r="AT1013" s="68"/>
      <c r="AU1013" s="68"/>
      <c r="AV1013" s="68"/>
      <c r="AW1013" s="68"/>
      <c r="AX1013" s="68"/>
      <c r="AY1013" s="213">
        <f>IF(A1070="Yes",0.02,0)</f>
        <v>0</v>
      </c>
    </row>
    <row r="1014" spans="1:51" ht="12.95" customHeight="1">
      <c r="A1014" s="14"/>
      <c r="B1014" s="75"/>
      <c r="C1014" s="76"/>
      <c r="D1014" s="1714"/>
      <c r="E1014" s="1715"/>
      <c r="F1014" s="1715"/>
      <c r="G1014" s="1715"/>
      <c r="H1014" s="1715"/>
      <c r="I1014" s="1715"/>
      <c r="J1014" s="1715"/>
      <c r="K1014" s="1715"/>
      <c r="L1014" s="1715"/>
      <c r="M1014" s="1715"/>
      <c r="N1014" s="1715"/>
      <c r="O1014" s="1715"/>
      <c r="P1014" s="1715"/>
      <c r="Q1014" s="1715"/>
      <c r="R1014" s="1715"/>
      <c r="S1014" s="1715"/>
      <c r="T1014" s="1715"/>
      <c r="U1014" s="1715"/>
      <c r="V1014" s="1715"/>
      <c r="W1014" s="1715"/>
      <c r="X1014" s="1715"/>
      <c r="Y1014" s="1715"/>
      <c r="Z1014" s="1715"/>
      <c r="AA1014" s="1715"/>
      <c r="AB1014" s="1715"/>
      <c r="AC1014" s="1715"/>
      <c r="AD1014" s="1715"/>
      <c r="AE1014" s="1716"/>
      <c r="AF1014" s="1880"/>
      <c r="AG1014" s="1881"/>
      <c r="AH1014" s="1881"/>
      <c r="AI1014" s="1882"/>
      <c r="AJ1014" s="1798"/>
      <c r="AK1014" s="1799"/>
      <c r="AL1014" s="1799"/>
      <c r="AM1014" s="1799"/>
      <c r="AN1014" s="1799"/>
      <c r="AO1014" s="1799"/>
      <c r="AP1014" s="1799"/>
      <c r="AQ1014" s="1800"/>
      <c r="AR1014" s="68"/>
      <c r="AS1014" s="68"/>
      <c r="AT1014" s="68"/>
      <c r="AU1014" s="68"/>
      <c r="AV1014" s="68"/>
      <c r="AW1014" s="68"/>
      <c r="AX1014" s="68"/>
      <c r="AY1014" s="213">
        <f>IF(A1076="Yes",0.04,0)</f>
        <v>0</v>
      </c>
    </row>
    <row r="1015" spans="1:51" ht="12.95" customHeight="1">
      <c r="A1015" s="14"/>
      <c r="B1015" s="79"/>
      <c r="C1015" s="80" t="s">
        <v>218</v>
      </c>
      <c r="D1015" s="1810" t="s">
        <v>1396</v>
      </c>
      <c r="E1015" s="1811"/>
      <c r="F1015" s="1811"/>
      <c r="G1015" s="1811"/>
      <c r="H1015" s="1811"/>
      <c r="I1015" s="1811"/>
      <c r="J1015" s="1811"/>
      <c r="K1015" s="1811"/>
      <c r="L1015" s="1811"/>
      <c r="M1015" s="1811"/>
      <c r="N1015" s="1811"/>
      <c r="O1015" s="1811"/>
      <c r="P1015" s="1811"/>
      <c r="Q1015" s="1811"/>
      <c r="R1015" s="1811"/>
      <c r="S1015" s="1811"/>
      <c r="T1015" s="1811"/>
      <c r="U1015" s="1811"/>
      <c r="V1015" s="1811"/>
      <c r="W1015" s="1811"/>
      <c r="X1015" s="1811"/>
      <c r="Y1015" s="1811"/>
      <c r="Z1015" s="1811"/>
      <c r="AA1015" s="1811"/>
      <c r="AB1015" s="1811"/>
      <c r="AC1015" s="1811"/>
      <c r="AD1015" s="1811"/>
      <c r="AE1015" s="1812"/>
      <c r="AF1015" s="79"/>
      <c r="AG1015" s="1830" t="s">
        <v>676</v>
      </c>
      <c r="AH1015" s="1831"/>
      <c r="AI1015" s="87"/>
      <c r="AJ1015" s="1795">
        <f>IF(AG1015="yes",AJ991*AY1010,0)</f>
        <v>0</v>
      </c>
      <c r="AK1015" s="1796"/>
      <c r="AL1015" s="1796"/>
      <c r="AM1015" s="1796"/>
      <c r="AN1015" s="1796"/>
      <c r="AO1015" s="1796"/>
      <c r="AP1015" s="1796"/>
      <c r="AQ1015" s="1797"/>
      <c r="AR1015" s="68"/>
      <c r="AS1015" s="68"/>
      <c r="AT1015" s="68"/>
      <c r="AU1015" s="68"/>
      <c r="AV1015" s="68"/>
      <c r="AW1015" s="68"/>
      <c r="AX1015" s="68"/>
      <c r="AY1015" s="213">
        <f>IF(A1083="Yes",0.04,0)</f>
        <v>0</v>
      </c>
    </row>
    <row r="1016" spans="1:51" ht="12.95" customHeight="1">
      <c r="A1016" s="14"/>
      <c r="B1016" s="73"/>
      <c r="C1016" s="74"/>
      <c r="D1016" s="1821" t="s">
        <v>1397</v>
      </c>
      <c r="E1016" s="1822"/>
      <c r="F1016" s="1822"/>
      <c r="G1016" s="1822"/>
      <c r="H1016" s="1822"/>
      <c r="I1016" s="1822"/>
      <c r="J1016" s="1822"/>
      <c r="K1016" s="1822"/>
      <c r="L1016" s="1822"/>
      <c r="M1016" s="1822"/>
      <c r="N1016" s="1822"/>
      <c r="O1016" s="1822"/>
      <c r="P1016" s="1822"/>
      <c r="Q1016" s="1822"/>
      <c r="R1016" s="1822"/>
      <c r="S1016" s="1822"/>
      <c r="T1016" s="1822"/>
      <c r="U1016" s="1822"/>
      <c r="V1016" s="1822"/>
      <c r="W1016" s="1822"/>
      <c r="X1016" s="1822"/>
      <c r="Y1016" s="1822"/>
      <c r="Z1016" s="1822"/>
      <c r="AA1016" s="1822"/>
      <c r="AB1016" s="1822"/>
      <c r="AC1016" s="1822"/>
      <c r="AD1016" s="1822"/>
      <c r="AE1016" s="1823"/>
      <c r="AF1016" s="1871" t="str">
        <f>IF(AND(AG1015="Yes",AY1010=0),AY1022,"")</f>
        <v/>
      </c>
      <c r="AG1016" s="1872"/>
      <c r="AH1016" s="1872"/>
      <c r="AI1016" s="1873"/>
      <c r="AJ1016" s="1832"/>
      <c r="AK1016" s="1833"/>
      <c r="AL1016" s="1833"/>
      <c r="AM1016" s="1833"/>
      <c r="AN1016" s="1833"/>
      <c r="AO1016" s="1833"/>
      <c r="AP1016" s="1833"/>
      <c r="AQ1016" s="1834"/>
      <c r="AR1016" s="68"/>
      <c r="AS1016" s="68"/>
      <c r="AT1016" s="68"/>
      <c r="AU1016" s="68"/>
      <c r="AV1016" s="68"/>
      <c r="AW1016" s="68"/>
      <c r="AX1016" s="68"/>
      <c r="AY1016" s="213">
        <f>IF(A1086="Yes",0.01,0)</f>
        <v>0</v>
      </c>
    </row>
    <row r="1017" spans="1:51" ht="12.95" customHeight="1">
      <c r="A1017" s="14"/>
      <c r="B1017" s="73"/>
      <c r="C1017" s="74"/>
      <c r="D1017" s="1821"/>
      <c r="E1017" s="1822"/>
      <c r="F1017" s="1822"/>
      <c r="G1017" s="1822"/>
      <c r="H1017" s="1822"/>
      <c r="I1017" s="1822"/>
      <c r="J1017" s="1822"/>
      <c r="K1017" s="1822"/>
      <c r="L1017" s="1822"/>
      <c r="M1017" s="1822"/>
      <c r="N1017" s="1822"/>
      <c r="O1017" s="1822"/>
      <c r="P1017" s="1822"/>
      <c r="Q1017" s="1822"/>
      <c r="R1017" s="1822"/>
      <c r="S1017" s="1822"/>
      <c r="T1017" s="1822"/>
      <c r="U1017" s="1822"/>
      <c r="V1017" s="1822"/>
      <c r="W1017" s="1822"/>
      <c r="X1017" s="1822"/>
      <c r="Y1017" s="1822"/>
      <c r="Z1017" s="1822"/>
      <c r="AA1017" s="1822"/>
      <c r="AB1017" s="1822"/>
      <c r="AC1017" s="1822"/>
      <c r="AD1017" s="1822"/>
      <c r="AE1017" s="1823"/>
      <c r="AF1017" s="1871"/>
      <c r="AG1017" s="1872"/>
      <c r="AH1017" s="1872"/>
      <c r="AI1017" s="1873"/>
      <c r="AJ1017" s="1832"/>
      <c r="AK1017" s="1833"/>
      <c r="AL1017" s="1833"/>
      <c r="AM1017" s="1833"/>
      <c r="AN1017" s="1833"/>
      <c r="AO1017" s="1833"/>
      <c r="AP1017" s="1833"/>
      <c r="AQ1017" s="1834"/>
      <c r="AR1017" s="68"/>
      <c r="AS1017" s="68"/>
      <c r="AT1017" s="68"/>
      <c r="AU1017" s="68"/>
      <c r="AV1017" s="68"/>
      <c r="AW1017" s="68"/>
      <c r="AX1017" s="68"/>
      <c r="AY1017" s="213">
        <f>IF(A1091="Yes",0.01,0)</f>
        <v>0</v>
      </c>
    </row>
    <row r="1018" spans="1:51" ht="12.95" customHeight="1">
      <c r="A1018" s="14"/>
      <c r="B1018" s="81"/>
      <c r="C1018" s="82"/>
      <c r="D1018" s="1714"/>
      <c r="E1018" s="1715"/>
      <c r="F1018" s="1715"/>
      <c r="G1018" s="1715"/>
      <c r="H1018" s="1715"/>
      <c r="I1018" s="1715"/>
      <c r="J1018" s="1715"/>
      <c r="K1018" s="1715"/>
      <c r="L1018" s="1715"/>
      <c r="M1018" s="1715"/>
      <c r="N1018" s="1715"/>
      <c r="O1018" s="1715"/>
      <c r="P1018" s="1715"/>
      <c r="Q1018" s="1715"/>
      <c r="R1018" s="1715"/>
      <c r="S1018" s="1715"/>
      <c r="T1018" s="1715"/>
      <c r="U1018" s="1715"/>
      <c r="V1018" s="1715"/>
      <c r="W1018" s="1715"/>
      <c r="X1018" s="1715"/>
      <c r="Y1018" s="1715"/>
      <c r="Z1018" s="1715"/>
      <c r="AA1018" s="1715"/>
      <c r="AB1018" s="1715"/>
      <c r="AC1018" s="1715"/>
      <c r="AD1018" s="1715"/>
      <c r="AE1018" s="1716"/>
      <c r="AF1018" s="1874"/>
      <c r="AG1018" s="1875"/>
      <c r="AH1018" s="1875"/>
      <c r="AI1018" s="1876"/>
      <c r="AJ1018" s="1798"/>
      <c r="AK1018" s="1799"/>
      <c r="AL1018" s="1799"/>
      <c r="AM1018" s="1799"/>
      <c r="AN1018" s="1799"/>
      <c r="AO1018" s="1799"/>
      <c r="AP1018" s="1799"/>
      <c r="AQ1018" s="1800"/>
      <c r="AR1018" s="68"/>
      <c r="AS1018" s="68"/>
      <c r="AT1018" s="68"/>
      <c r="AU1018" s="68"/>
      <c r="AV1018" s="68"/>
      <c r="AW1018" s="68"/>
      <c r="AX1018" s="68"/>
      <c r="AY1018" s="213">
        <f>IF(A1094="Yes",0.01,0)</f>
        <v>0</v>
      </c>
    </row>
    <row r="1019" spans="1:51" ht="12.95" customHeight="1">
      <c r="A1019" s="14"/>
      <c r="B1019" s="79"/>
      <c r="C1019" s="80" t="s">
        <v>223</v>
      </c>
      <c r="D1019" s="1780" t="s">
        <v>1398</v>
      </c>
      <c r="E1019" s="1781"/>
      <c r="F1019" s="1781"/>
      <c r="G1019" s="1781"/>
      <c r="H1019" s="1781"/>
      <c r="I1019" s="1781"/>
      <c r="J1019" s="1781"/>
      <c r="K1019" s="1781"/>
      <c r="L1019" s="1781"/>
      <c r="M1019" s="1781"/>
      <c r="N1019" s="1781"/>
      <c r="O1019" s="1781"/>
      <c r="P1019" s="1781"/>
      <c r="Q1019" s="1781"/>
      <c r="R1019" s="1781"/>
      <c r="S1019" s="1781"/>
      <c r="T1019" s="1781"/>
      <c r="U1019" s="1781"/>
      <c r="V1019" s="1781"/>
      <c r="W1019" s="1781"/>
      <c r="X1019" s="1781"/>
      <c r="Y1019" s="1781"/>
      <c r="Z1019" s="1781"/>
      <c r="AA1019" s="1781"/>
      <c r="AB1019" s="1781"/>
      <c r="AC1019" s="1781"/>
      <c r="AD1019" s="1781"/>
      <c r="AE1019" s="1782"/>
      <c r="AF1019" s="79"/>
      <c r="AG1019" s="1830" t="s">
        <v>676</v>
      </c>
      <c r="AH1019" s="1831"/>
      <c r="AI1019" s="87"/>
      <c r="AJ1019" s="1795">
        <f>ROUND(IF(AND(AG1019="Yes",J1023&lt;&gt;"N/A",AF1022&lt;&gt;""),MIN(AF1022,(0.15*AJ991)),0),0)</f>
        <v>0</v>
      </c>
      <c r="AK1019" s="1796"/>
      <c r="AL1019" s="1796"/>
      <c r="AM1019" s="1796"/>
      <c r="AN1019" s="1796"/>
      <c r="AO1019" s="1796"/>
      <c r="AP1019" s="1796"/>
      <c r="AQ1019" s="1797"/>
      <c r="AR1019" s="68"/>
      <c r="AS1019" s="68"/>
      <c r="AT1019" s="68"/>
      <c r="AU1019" s="68"/>
      <c r="AV1019" s="68"/>
      <c r="AW1019" s="68"/>
      <c r="AX1019" s="68"/>
      <c r="AY1019" s="213">
        <f>IF(A1098="Yes",0.02,0)</f>
        <v>0</v>
      </c>
    </row>
    <row r="1020" spans="1:51" ht="12.95" customHeight="1">
      <c r="A1020" s="14"/>
      <c r="B1020" s="81"/>
      <c r="C1020" s="84"/>
      <c r="D1020" s="1783"/>
      <c r="E1020" s="1784"/>
      <c r="F1020" s="1784"/>
      <c r="G1020" s="1784"/>
      <c r="H1020" s="1784"/>
      <c r="I1020" s="1784"/>
      <c r="J1020" s="1784"/>
      <c r="K1020" s="1784"/>
      <c r="L1020" s="1784"/>
      <c r="M1020" s="1784"/>
      <c r="N1020" s="1784"/>
      <c r="O1020" s="1784"/>
      <c r="P1020" s="1784"/>
      <c r="Q1020" s="1784"/>
      <c r="R1020" s="1784"/>
      <c r="S1020" s="1784"/>
      <c r="T1020" s="1784"/>
      <c r="U1020" s="1784"/>
      <c r="V1020" s="1784"/>
      <c r="W1020" s="1784"/>
      <c r="X1020" s="1784"/>
      <c r="Y1020" s="1784"/>
      <c r="Z1020" s="1784"/>
      <c r="AA1020" s="1784"/>
      <c r="AB1020" s="1784"/>
      <c r="AC1020" s="1784"/>
      <c r="AD1020" s="1784"/>
      <c r="AE1020" s="1785"/>
      <c r="AF1020" s="1856" t="str">
        <f>IF(AG1019="yes","Please Select Type and Enter Amount:","")</f>
        <v/>
      </c>
      <c r="AG1020" s="1857"/>
      <c r="AH1020" s="1857"/>
      <c r="AI1020" s="1858"/>
      <c r="AJ1020" s="1832"/>
      <c r="AK1020" s="1833"/>
      <c r="AL1020" s="1833"/>
      <c r="AM1020" s="1833"/>
      <c r="AN1020" s="1833"/>
      <c r="AO1020" s="1833"/>
      <c r="AP1020" s="1833"/>
      <c r="AQ1020" s="1834"/>
      <c r="AR1020" s="68"/>
      <c r="AS1020" s="68"/>
      <c r="AT1020" s="68"/>
      <c r="AU1020" s="68"/>
      <c r="AV1020" s="68"/>
      <c r="AW1020" s="68"/>
      <c r="AX1020" s="68"/>
      <c r="AY1020" s="214">
        <f>IF(A1103="Yes",0.02,0)</f>
        <v>0</v>
      </c>
    </row>
    <row r="1021" spans="1:51" ht="12.95" customHeight="1">
      <c r="A1021" s="14"/>
      <c r="B1021" s="81"/>
      <c r="C1021" s="84"/>
      <c r="D1021" s="1821" t="s">
        <v>1399</v>
      </c>
      <c r="E1021" s="1822"/>
      <c r="F1021" s="1822"/>
      <c r="G1021" s="1822"/>
      <c r="H1021" s="1822"/>
      <c r="I1021" s="1822"/>
      <c r="J1021" s="1822"/>
      <c r="K1021" s="1822"/>
      <c r="L1021" s="1822"/>
      <c r="M1021" s="1822"/>
      <c r="N1021" s="1822"/>
      <c r="O1021" s="1822"/>
      <c r="P1021" s="1822"/>
      <c r="Q1021" s="1822"/>
      <c r="R1021" s="1822"/>
      <c r="S1021" s="1822"/>
      <c r="T1021" s="1822"/>
      <c r="U1021" s="1822"/>
      <c r="V1021" s="1822"/>
      <c r="W1021" s="1822"/>
      <c r="X1021" s="1822"/>
      <c r="Y1021" s="1822"/>
      <c r="Z1021" s="1822"/>
      <c r="AA1021" s="1822"/>
      <c r="AB1021" s="1822"/>
      <c r="AC1021" s="1822"/>
      <c r="AD1021" s="1822"/>
      <c r="AE1021" s="1823"/>
      <c r="AF1021" s="1856"/>
      <c r="AG1021" s="1857"/>
      <c r="AH1021" s="1857"/>
      <c r="AI1021" s="1858"/>
      <c r="AJ1021" s="1832"/>
      <c r="AK1021" s="1833"/>
      <c r="AL1021" s="1833"/>
      <c r="AM1021" s="1833"/>
      <c r="AN1021" s="1833"/>
      <c r="AO1021" s="1833"/>
      <c r="AP1021" s="1833"/>
      <c r="AQ1021" s="1834"/>
      <c r="AR1021" s="68"/>
      <c r="AS1021" s="68"/>
      <c r="AT1021" s="68"/>
      <c r="AU1021" s="68"/>
      <c r="AV1021" s="68"/>
      <c r="AW1021" s="68"/>
      <c r="AX1021" s="68"/>
      <c r="AY1021" s="68"/>
    </row>
    <row r="1022" spans="1:51" ht="12.95" customHeight="1">
      <c r="A1022" s="14"/>
      <c r="B1022" s="81"/>
      <c r="C1022" s="84"/>
      <c r="D1022" s="1821"/>
      <c r="E1022" s="1822"/>
      <c r="F1022" s="1822"/>
      <c r="G1022" s="1822"/>
      <c r="H1022" s="1822"/>
      <c r="I1022" s="1822"/>
      <c r="J1022" s="1822"/>
      <c r="K1022" s="1822"/>
      <c r="L1022" s="1822"/>
      <c r="M1022" s="1822"/>
      <c r="N1022" s="1822"/>
      <c r="O1022" s="1822"/>
      <c r="P1022" s="1822"/>
      <c r="Q1022" s="1822"/>
      <c r="R1022" s="1822"/>
      <c r="S1022" s="1822"/>
      <c r="T1022" s="1822"/>
      <c r="U1022" s="1822"/>
      <c r="V1022" s="1822"/>
      <c r="W1022" s="1822"/>
      <c r="X1022" s="1822"/>
      <c r="Y1022" s="1822"/>
      <c r="Z1022" s="1822"/>
      <c r="AA1022" s="1822"/>
      <c r="AB1022" s="1822"/>
      <c r="AC1022" s="1822"/>
      <c r="AD1022" s="1822"/>
      <c r="AE1022" s="1823"/>
      <c r="AF1022" s="1717"/>
      <c r="AG1022" s="1717"/>
      <c r="AH1022" s="1717"/>
      <c r="AI1022" s="1717"/>
      <c r="AJ1022" s="1832"/>
      <c r="AK1022" s="1833"/>
      <c r="AL1022" s="1833"/>
      <c r="AM1022" s="1833"/>
      <c r="AN1022" s="1833"/>
      <c r="AO1022" s="1833"/>
      <c r="AP1022" s="1833"/>
      <c r="AQ1022" s="1834"/>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359</v>
      </c>
      <c r="E1023" s="90"/>
      <c r="F1023" s="90"/>
      <c r="G1023" s="104"/>
      <c r="H1023" s="104"/>
      <c r="I1023" s="49"/>
      <c r="J1023" s="1848" t="s">
        <v>598</v>
      </c>
      <c r="K1023" s="1849"/>
      <c r="L1023" s="1849"/>
      <c r="M1023" s="1849"/>
      <c r="N1023" s="1849"/>
      <c r="O1023" s="1849"/>
      <c r="P1023" s="1849"/>
      <c r="Q1023" s="1849"/>
      <c r="R1023" s="1849"/>
      <c r="S1023" s="1849"/>
      <c r="T1023" s="1849"/>
      <c r="U1023" s="1849"/>
      <c r="V1023" s="1849"/>
      <c r="W1023" s="1849"/>
      <c r="X1023" s="1849"/>
      <c r="Y1023" s="1849"/>
      <c r="Z1023" s="1849"/>
      <c r="AA1023" s="1849"/>
      <c r="AB1023" s="1849"/>
      <c r="AC1023" s="1849"/>
      <c r="AD1023" s="1849"/>
      <c r="AE1023" s="1850"/>
      <c r="AF1023" s="1717"/>
      <c r="AG1023" s="1717"/>
      <c r="AH1023" s="1717"/>
      <c r="AI1023" s="1717"/>
      <c r="AJ1023" s="1798"/>
      <c r="AK1023" s="1799"/>
      <c r="AL1023" s="1799"/>
      <c r="AM1023" s="1799"/>
      <c r="AN1023" s="1799"/>
      <c r="AO1023" s="1799"/>
      <c r="AP1023" s="1799"/>
      <c r="AQ1023" s="1800"/>
      <c r="AR1023" s="68"/>
      <c r="AS1023" s="68"/>
      <c r="AT1023" s="68"/>
      <c r="AU1023" s="68"/>
      <c r="AV1023" s="68"/>
      <c r="AW1023" s="68"/>
      <c r="AX1023" s="68"/>
      <c r="AY1023" s="68"/>
    </row>
    <row r="1024" spans="1:51" ht="12.95" customHeight="1">
      <c r="A1024" s="14"/>
      <c r="B1024" s="79"/>
      <c r="C1024" s="80" t="s">
        <v>229</v>
      </c>
      <c r="D1024" s="1705" t="s">
        <v>1400</v>
      </c>
      <c r="E1024" s="1706"/>
      <c r="F1024" s="1706"/>
      <c r="G1024" s="1706"/>
      <c r="H1024" s="1706"/>
      <c r="I1024" s="1706"/>
      <c r="J1024" s="1706"/>
      <c r="K1024" s="1706"/>
      <c r="L1024" s="1706"/>
      <c r="M1024" s="1706"/>
      <c r="N1024" s="1706"/>
      <c r="O1024" s="1706"/>
      <c r="P1024" s="1706"/>
      <c r="Q1024" s="1706"/>
      <c r="R1024" s="1706"/>
      <c r="S1024" s="1706"/>
      <c r="T1024" s="1706"/>
      <c r="U1024" s="1706"/>
      <c r="V1024" s="1706"/>
      <c r="W1024" s="1706"/>
      <c r="X1024" s="1706"/>
      <c r="Y1024" s="1706"/>
      <c r="Z1024" s="1706"/>
      <c r="AA1024" s="1706"/>
      <c r="AB1024" s="1706"/>
      <c r="AC1024" s="1706"/>
      <c r="AD1024" s="1706"/>
      <c r="AE1024" s="1707"/>
      <c r="AF1024" s="79"/>
      <c r="AG1024" s="1830" t="s">
        <v>552</v>
      </c>
      <c r="AH1024" s="1831"/>
      <c r="AI1024" s="87"/>
      <c r="AJ1024" s="1795">
        <f>ROUND(IF(AG1024="Yes",AF1026,0),0)</f>
        <v>551222</v>
      </c>
      <c r="AK1024" s="1796"/>
      <c r="AL1024" s="1796"/>
      <c r="AM1024" s="1796"/>
      <c r="AN1024" s="1796"/>
      <c r="AO1024" s="1796"/>
      <c r="AP1024" s="1796"/>
      <c r="AQ1024" s="1797"/>
      <c r="AR1024" s="68"/>
      <c r="AS1024" s="68"/>
      <c r="AT1024" s="68"/>
      <c r="AU1024" s="68"/>
      <c r="AV1024" s="68"/>
      <c r="AW1024" s="68"/>
      <c r="AX1024" s="68"/>
      <c r="AY1024" s="68"/>
    </row>
    <row r="1025" spans="1:51" ht="12.95" customHeight="1">
      <c r="A1025" s="14"/>
      <c r="B1025" s="73"/>
      <c r="C1025" s="74"/>
      <c r="D1025" s="1821" t="s">
        <v>1875</v>
      </c>
      <c r="E1025" s="1822"/>
      <c r="F1025" s="1822"/>
      <c r="G1025" s="1822"/>
      <c r="H1025" s="1822"/>
      <c r="I1025" s="1822"/>
      <c r="J1025" s="1822"/>
      <c r="K1025" s="1822"/>
      <c r="L1025" s="1822"/>
      <c r="M1025" s="1822"/>
      <c r="N1025" s="1822"/>
      <c r="O1025" s="1822"/>
      <c r="P1025" s="1822"/>
      <c r="Q1025" s="1822"/>
      <c r="R1025" s="1822"/>
      <c r="S1025" s="1822"/>
      <c r="T1025" s="1822"/>
      <c r="U1025" s="1822"/>
      <c r="V1025" s="1822"/>
      <c r="W1025" s="1822"/>
      <c r="X1025" s="1822"/>
      <c r="Y1025" s="1822"/>
      <c r="Z1025" s="1822"/>
      <c r="AA1025" s="1822"/>
      <c r="AB1025" s="1822"/>
      <c r="AC1025" s="1822"/>
      <c r="AD1025" s="1822"/>
      <c r="AE1025" s="1823"/>
      <c r="AF1025" s="1789" t="str">
        <f>IF(AG1024="yes","Enter Amount:","")</f>
        <v>Enter Amount:</v>
      </c>
      <c r="AG1025" s="1790"/>
      <c r="AH1025" s="1790"/>
      <c r="AI1025" s="1791"/>
      <c r="AJ1025" s="1832"/>
      <c r="AK1025" s="1833"/>
      <c r="AL1025" s="1833"/>
      <c r="AM1025" s="1833"/>
      <c r="AN1025" s="1833"/>
      <c r="AO1025" s="1833"/>
      <c r="AP1025" s="1833"/>
      <c r="AQ1025" s="1834"/>
      <c r="AR1025" s="68"/>
      <c r="AS1025" s="68"/>
      <c r="AT1025" s="68"/>
      <c r="AU1025" s="68"/>
      <c r="AV1025" s="68"/>
      <c r="AW1025" s="68"/>
      <c r="AX1025" s="68"/>
      <c r="AY1025" s="68"/>
    </row>
    <row r="1026" spans="1:51" ht="12.95" customHeight="1">
      <c r="A1026" s="14"/>
      <c r="B1026" s="73"/>
      <c r="C1026" s="74"/>
      <c r="D1026" s="1821"/>
      <c r="E1026" s="1822"/>
      <c r="F1026" s="1822"/>
      <c r="G1026" s="1822"/>
      <c r="H1026" s="1822"/>
      <c r="I1026" s="1822"/>
      <c r="J1026" s="1822"/>
      <c r="K1026" s="1822"/>
      <c r="L1026" s="1822"/>
      <c r="M1026" s="1822"/>
      <c r="N1026" s="1822"/>
      <c r="O1026" s="1822"/>
      <c r="P1026" s="1822"/>
      <c r="Q1026" s="1822"/>
      <c r="R1026" s="1822"/>
      <c r="S1026" s="1822"/>
      <c r="T1026" s="1822"/>
      <c r="U1026" s="1822"/>
      <c r="V1026" s="1822"/>
      <c r="W1026" s="1822"/>
      <c r="X1026" s="1822"/>
      <c r="Y1026" s="1822"/>
      <c r="Z1026" s="1822"/>
      <c r="AA1026" s="1822"/>
      <c r="AB1026" s="1822"/>
      <c r="AC1026" s="1822"/>
      <c r="AD1026" s="1822"/>
      <c r="AE1026" s="1823"/>
      <c r="AF1026" s="1717">
        <v>551222</v>
      </c>
      <c r="AG1026" s="1717"/>
      <c r="AH1026" s="1717"/>
      <c r="AI1026" s="1717"/>
      <c r="AJ1026" s="1832"/>
      <c r="AK1026" s="1833"/>
      <c r="AL1026" s="1833"/>
      <c r="AM1026" s="1833"/>
      <c r="AN1026" s="1833"/>
      <c r="AO1026" s="1833"/>
      <c r="AP1026" s="1833"/>
      <c r="AQ1026" s="1834"/>
      <c r="AR1026" s="68"/>
      <c r="AS1026" s="68"/>
      <c r="AT1026" s="68"/>
      <c r="AU1026" s="68"/>
      <c r="AV1026" s="68"/>
      <c r="AW1026" s="68"/>
      <c r="AX1026" s="68"/>
      <c r="AY1026" s="68"/>
    </row>
    <row r="1027" spans="1:51" ht="12.95" customHeight="1">
      <c r="A1027" s="14"/>
      <c r="B1027" s="85"/>
      <c r="C1027" s="84"/>
      <c r="D1027" s="1714"/>
      <c r="E1027" s="1715"/>
      <c r="F1027" s="1715"/>
      <c r="G1027" s="1715"/>
      <c r="H1027" s="1715"/>
      <c r="I1027" s="1715"/>
      <c r="J1027" s="1715"/>
      <c r="K1027" s="1715"/>
      <c r="L1027" s="1715"/>
      <c r="M1027" s="1715"/>
      <c r="N1027" s="1715"/>
      <c r="O1027" s="1715"/>
      <c r="P1027" s="1715"/>
      <c r="Q1027" s="1715"/>
      <c r="R1027" s="1715"/>
      <c r="S1027" s="1715"/>
      <c r="T1027" s="1715"/>
      <c r="U1027" s="1715"/>
      <c r="V1027" s="1715"/>
      <c r="W1027" s="1715"/>
      <c r="X1027" s="1715"/>
      <c r="Y1027" s="1715"/>
      <c r="Z1027" s="1715"/>
      <c r="AA1027" s="1715"/>
      <c r="AB1027" s="1715"/>
      <c r="AC1027" s="1715"/>
      <c r="AD1027" s="1715"/>
      <c r="AE1027" s="1716"/>
      <c r="AF1027" s="1717"/>
      <c r="AG1027" s="1717"/>
      <c r="AH1027" s="1717"/>
      <c r="AI1027" s="1717"/>
      <c r="AJ1027" s="1798"/>
      <c r="AK1027" s="1799"/>
      <c r="AL1027" s="1799"/>
      <c r="AM1027" s="1799"/>
      <c r="AN1027" s="1799"/>
      <c r="AO1027" s="1799"/>
      <c r="AP1027" s="1799"/>
      <c r="AQ1027" s="1800"/>
      <c r="AR1027" s="68"/>
      <c r="AS1027" s="68"/>
      <c r="AT1027" s="68"/>
      <c r="AU1027" s="68"/>
      <c r="AV1027" s="68"/>
      <c r="AW1027" s="68"/>
      <c r="AX1027" s="68"/>
      <c r="AY1027" s="68"/>
    </row>
    <row r="1028" spans="1:51" ht="12.95" customHeight="1">
      <c r="A1028" s="14"/>
      <c r="B1028" s="79"/>
      <c r="C1028" s="80" t="s">
        <v>234</v>
      </c>
      <c r="D1028" s="1810" t="s">
        <v>1401</v>
      </c>
      <c r="E1028" s="1811"/>
      <c r="F1028" s="1811"/>
      <c r="G1028" s="1811"/>
      <c r="H1028" s="1811"/>
      <c r="I1028" s="1811"/>
      <c r="J1028" s="1811"/>
      <c r="K1028" s="1811"/>
      <c r="L1028" s="1811"/>
      <c r="M1028" s="1811"/>
      <c r="N1028" s="1811"/>
      <c r="O1028" s="1811"/>
      <c r="P1028" s="1811"/>
      <c r="Q1028" s="1811"/>
      <c r="R1028" s="1811"/>
      <c r="S1028" s="1811"/>
      <c r="T1028" s="1811"/>
      <c r="U1028" s="1811"/>
      <c r="V1028" s="1811"/>
      <c r="W1028" s="1811"/>
      <c r="X1028" s="1811"/>
      <c r="Y1028" s="1811"/>
      <c r="Z1028" s="1811"/>
      <c r="AA1028" s="1811"/>
      <c r="AB1028" s="1811"/>
      <c r="AC1028" s="1811"/>
      <c r="AD1028" s="1811"/>
      <c r="AE1028" s="1812"/>
      <c r="AF1028" s="79"/>
      <c r="AG1028" s="1830" t="s">
        <v>552</v>
      </c>
      <c r="AH1028" s="1831"/>
      <c r="AI1028" s="87"/>
      <c r="AJ1028" s="1795">
        <f>ROUND(IF(AG1028="yes",(AJ991*0.1),0),0)</f>
        <v>5123316</v>
      </c>
      <c r="AK1028" s="1796"/>
      <c r="AL1028" s="1796"/>
      <c r="AM1028" s="1796"/>
      <c r="AN1028" s="1796"/>
      <c r="AO1028" s="1796"/>
      <c r="AP1028" s="1796"/>
      <c r="AQ1028" s="1797"/>
      <c r="AR1028" s="68"/>
      <c r="AS1028" s="68"/>
      <c r="AT1028" s="68"/>
      <c r="AU1028" s="68"/>
      <c r="AV1028" s="68"/>
      <c r="AW1028" s="68"/>
      <c r="AX1028" s="68"/>
      <c r="AY1028" s="68"/>
    </row>
    <row r="1029" spans="1:51" ht="12.95" customHeight="1">
      <c r="A1029" s="14"/>
      <c r="B1029" s="73"/>
      <c r="C1029" s="74"/>
      <c r="D1029" s="1821" t="s">
        <v>1402</v>
      </c>
      <c r="E1029" s="1822"/>
      <c r="F1029" s="1822"/>
      <c r="G1029" s="1822"/>
      <c r="H1029" s="1822"/>
      <c r="I1029" s="1822"/>
      <c r="J1029" s="1822"/>
      <c r="K1029" s="1822"/>
      <c r="L1029" s="1822"/>
      <c r="M1029" s="1822"/>
      <c r="N1029" s="1822"/>
      <c r="O1029" s="1822"/>
      <c r="P1029" s="1822"/>
      <c r="Q1029" s="1822"/>
      <c r="R1029" s="1822"/>
      <c r="S1029" s="1822"/>
      <c r="T1029" s="1822"/>
      <c r="U1029" s="1822"/>
      <c r="V1029" s="1822"/>
      <c r="W1029" s="1822"/>
      <c r="X1029" s="1822"/>
      <c r="Y1029" s="1822"/>
      <c r="Z1029" s="1822"/>
      <c r="AA1029" s="1822"/>
      <c r="AB1029" s="1822"/>
      <c r="AC1029" s="1822"/>
      <c r="AD1029" s="1822"/>
      <c r="AE1029" s="1823"/>
      <c r="AF1029" s="73"/>
      <c r="AG1029" s="14"/>
      <c r="AH1029" s="14"/>
      <c r="AI1029" s="83"/>
      <c r="AJ1029" s="1832"/>
      <c r="AK1029" s="1833"/>
      <c r="AL1029" s="1833"/>
      <c r="AM1029" s="1833"/>
      <c r="AN1029" s="1833"/>
      <c r="AO1029" s="1833"/>
      <c r="AP1029" s="1833"/>
      <c r="AQ1029" s="1834"/>
      <c r="AR1029" s="68"/>
      <c r="AS1029" s="68"/>
      <c r="AT1029" s="68"/>
      <c r="AU1029" s="68"/>
      <c r="AV1029" s="68"/>
      <c r="AW1029" s="68"/>
      <c r="AX1029" s="68"/>
      <c r="AY1029" s="68"/>
    </row>
    <row r="1030" spans="1:51" ht="12.95" customHeight="1">
      <c r="A1030" s="14"/>
      <c r="B1030" s="77"/>
      <c r="C1030" s="74"/>
      <c r="D1030" s="1714"/>
      <c r="E1030" s="1715"/>
      <c r="F1030" s="1715"/>
      <c r="G1030" s="1715"/>
      <c r="H1030" s="1715"/>
      <c r="I1030" s="1715"/>
      <c r="J1030" s="1715"/>
      <c r="K1030" s="1715"/>
      <c r="L1030" s="1715"/>
      <c r="M1030" s="1715"/>
      <c r="N1030" s="1715"/>
      <c r="O1030" s="1715"/>
      <c r="P1030" s="1715"/>
      <c r="Q1030" s="1715"/>
      <c r="R1030" s="1715"/>
      <c r="S1030" s="1715"/>
      <c r="T1030" s="1715"/>
      <c r="U1030" s="1715"/>
      <c r="V1030" s="1715"/>
      <c r="W1030" s="1715"/>
      <c r="X1030" s="1715"/>
      <c r="Y1030" s="1715"/>
      <c r="Z1030" s="1715"/>
      <c r="AA1030" s="1715"/>
      <c r="AB1030" s="1715"/>
      <c r="AC1030" s="1715"/>
      <c r="AD1030" s="1715"/>
      <c r="AE1030" s="1716"/>
      <c r="AF1030" s="73"/>
      <c r="AG1030" s="14"/>
      <c r="AH1030" s="14"/>
      <c r="AI1030" s="83"/>
      <c r="AJ1030" s="1798"/>
      <c r="AK1030" s="1799"/>
      <c r="AL1030" s="1799"/>
      <c r="AM1030" s="1799"/>
      <c r="AN1030" s="1799"/>
      <c r="AO1030" s="1799"/>
      <c r="AP1030" s="1799"/>
      <c r="AQ1030" s="1800"/>
      <c r="AR1030" s="68"/>
      <c r="AS1030" s="68"/>
      <c r="AT1030" s="68"/>
      <c r="AU1030" s="68"/>
      <c r="AV1030" s="68"/>
      <c r="AW1030" s="68"/>
      <c r="AX1030" s="68"/>
      <c r="AY1030" s="68"/>
    </row>
    <row r="1031" spans="1:51" ht="12.95" customHeight="1">
      <c r="A1031" s="14"/>
      <c r="B1031" s="73"/>
      <c r="C1031" s="367" t="s">
        <v>695</v>
      </c>
      <c r="D1031" s="1705" t="s">
        <v>1871</v>
      </c>
      <c r="E1031" s="1706"/>
      <c r="F1031" s="1706"/>
      <c r="G1031" s="1706"/>
      <c r="H1031" s="1706"/>
      <c r="I1031" s="1706"/>
      <c r="J1031" s="1706"/>
      <c r="K1031" s="1706"/>
      <c r="L1031" s="1706"/>
      <c r="M1031" s="1706"/>
      <c r="N1031" s="1706"/>
      <c r="O1031" s="1706"/>
      <c r="P1031" s="1706"/>
      <c r="Q1031" s="1706"/>
      <c r="R1031" s="1706"/>
      <c r="S1031" s="1706"/>
      <c r="T1031" s="1706"/>
      <c r="U1031" s="1706"/>
      <c r="V1031" s="1706"/>
      <c r="W1031" s="1706"/>
      <c r="X1031" s="1706"/>
      <c r="Y1031" s="1706"/>
      <c r="Z1031" s="1706"/>
      <c r="AA1031" s="1706"/>
      <c r="AB1031" s="1706"/>
      <c r="AC1031" s="1706"/>
      <c r="AD1031" s="1706"/>
      <c r="AE1031" s="1707"/>
      <c r="AF1031" s="79"/>
      <c r="AG1031" s="1830" t="s">
        <v>676</v>
      </c>
      <c r="AH1031" s="1831"/>
      <c r="AI1031" s="87"/>
      <c r="AJ1031" s="1795">
        <f>ROUND(IF(AG1031="yes",(AJ991*0.15),0),0)</f>
        <v>0</v>
      </c>
      <c r="AK1031" s="1796"/>
      <c r="AL1031" s="1796"/>
      <c r="AM1031" s="1796"/>
      <c r="AN1031" s="1796"/>
      <c r="AO1031" s="1796"/>
      <c r="AP1031" s="1796"/>
      <c r="AQ1031" s="1797"/>
      <c r="AR1031" s="68"/>
      <c r="AS1031" s="68"/>
      <c r="AT1031" s="68"/>
      <c r="AU1031" s="68"/>
      <c r="AV1031" s="68"/>
      <c r="AW1031" s="68"/>
      <c r="AX1031" s="68"/>
      <c r="AY1031" s="68"/>
    </row>
    <row r="1032" spans="1:51" ht="12.95" customHeight="1">
      <c r="A1032" s="14"/>
      <c r="B1032" s="73"/>
      <c r="C1032" s="74"/>
      <c r="D1032" s="1835" t="s">
        <v>1872</v>
      </c>
      <c r="E1032" s="1273"/>
      <c r="F1032" s="1273"/>
      <c r="G1032" s="1273"/>
      <c r="H1032" s="1273"/>
      <c r="I1032" s="1273"/>
      <c r="J1032" s="1273"/>
      <c r="K1032" s="1273"/>
      <c r="L1032" s="1273"/>
      <c r="M1032" s="1273"/>
      <c r="N1032" s="1273"/>
      <c r="O1032" s="1273"/>
      <c r="P1032" s="1273"/>
      <c r="Q1032" s="1273"/>
      <c r="R1032" s="1273"/>
      <c r="S1032" s="1273"/>
      <c r="T1032" s="1273"/>
      <c r="U1032" s="1273"/>
      <c r="V1032" s="1273"/>
      <c r="W1032" s="1273"/>
      <c r="X1032" s="1273"/>
      <c r="Y1032" s="1273"/>
      <c r="Z1032" s="1273"/>
      <c r="AA1032" s="1273"/>
      <c r="AB1032" s="1273"/>
      <c r="AC1032" s="1273"/>
      <c r="AD1032" s="1273"/>
      <c r="AE1032" s="1836"/>
      <c r="AF1032" s="950"/>
      <c r="AG1032" s="951"/>
      <c r="AH1032" s="951"/>
      <c r="AI1032" s="952"/>
      <c r="AJ1032" s="1832"/>
      <c r="AK1032" s="1833"/>
      <c r="AL1032" s="1833"/>
      <c r="AM1032" s="1833"/>
      <c r="AN1032" s="1833"/>
      <c r="AO1032" s="1833"/>
      <c r="AP1032" s="1833"/>
      <c r="AQ1032" s="1834"/>
      <c r="AR1032" s="68"/>
      <c r="AS1032" s="68"/>
      <c r="AT1032" s="68"/>
      <c r="AU1032" s="68"/>
      <c r="AV1032" s="68"/>
      <c r="AW1032" s="68"/>
      <c r="AX1032" s="68"/>
      <c r="AY1032" s="68"/>
    </row>
    <row r="1033" spans="1:51" ht="12.95" customHeight="1">
      <c r="A1033" s="14"/>
      <c r="B1033" s="73"/>
      <c r="C1033" s="74"/>
      <c r="D1033" s="1835"/>
      <c r="E1033" s="1273"/>
      <c r="F1033" s="1273"/>
      <c r="G1033" s="1273"/>
      <c r="H1033" s="1273"/>
      <c r="I1033" s="1273"/>
      <c r="J1033" s="1273"/>
      <c r="K1033" s="1273"/>
      <c r="L1033" s="1273"/>
      <c r="M1033" s="1273"/>
      <c r="N1033" s="1273"/>
      <c r="O1033" s="1273"/>
      <c r="P1033" s="1273"/>
      <c r="Q1033" s="1273"/>
      <c r="R1033" s="1273"/>
      <c r="S1033" s="1273"/>
      <c r="T1033" s="1273"/>
      <c r="U1033" s="1273"/>
      <c r="V1033" s="1273"/>
      <c r="W1033" s="1273"/>
      <c r="X1033" s="1273"/>
      <c r="Y1033" s="1273"/>
      <c r="Z1033" s="1273"/>
      <c r="AA1033" s="1273"/>
      <c r="AB1033" s="1273"/>
      <c r="AC1033" s="1273"/>
      <c r="AD1033" s="1273"/>
      <c r="AE1033" s="1836"/>
      <c r="AF1033" s="950"/>
      <c r="AG1033" s="951"/>
      <c r="AH1033" s="951"/>
      <c r="AI1033" s="952"/>
      <c r="AJ1033" s="1832"/>
      <c r="AK1033" s="1833"/>
      <c r="AL1033" s="1833"/>
      <c r="AM1033" s="1833"/>
      <c r="AN1033" s="1833"/>
      <c r="AO1033" s="1833"/>
      <c r="AP1033" s="1833"/>
      <c r="AQ1033" s="1834"/>
      <c r="AR1033" s="68"/>
      <c r="AS1033" s="68"/>
      <c r="AT1033" s="68"/>
      <c r="AU1033" s="68"/>
      <c r="AV1033" s="68"/>
      <c r="AW1033" s="68"/>
      <c r="AX1033" s="68"/>
      <c r="AY1033" s="68"/>
    </row>
    <row r="1034" spans="1:51" ht="12.95" customHeight="1">
      <c r="A1034" s="14"/>
      <c r="B1034" s="73"/>
      <c r="C1034" s="74"/>
      <c r="D1034" s="1837"/>
      <c r="E1034" s="1838"/>
      <c r="F1034" s="1838"/>
      <c r="G1034" s="1838"/>
      <c r="H1034" s="1838"/>
      <c r="I1034" s="1838"/>
      <c r="J1034" s="1838"/>
      <c r="K1034" s="1838"/>
      <c r="L1034" s="1838"/>
      <c r="M1034" s="1838"/>
      <c r="N1034" s="1838"/>
      <c r="O1034" s="1838"/>
      <c r="P1034" s="1838"/>
      <c r="Q1034" s="1838"/>
      <c r="R1034" s="1838"/>
      <c r="S1034" s="1838"/>
      <c r="T1034" s="1838"/>
      <c r="U1034" s="1838"/>
      <c r="V1034" s="1838"/>
      <c r="W1034" s="1838"/>
      <c r="X1034" s="1838"/>
      <c r="Y1034" s="1838"/>
      <c r="Z1034" s="1838"/>
      <c r="AA1034" s="1838"/>
      <c r="AB1034" s="1838"/>
      <c r="AC1034" s="1838"/>
      <c r="AD1034" s="1838"/>
      <c r="AE1034" s="1839"/>
      <c r="AF1034" s="953"/>
      <c r="AG1034" s="954"/>
      <c r="AH1034" s="954"/>
      <c r="AI1034" s="955"/>
      <c r="AJ1034" s="1798"/>
      <c r="AK1034" s="1799"/>
      <c r="AL1034" s="1799"/>
      <c r="AM1034" s="1799"/>
      <c r="AN1034" s="1799"/>
      <c r="AO1034" s="1799"/>
      <c r="AP1034" s="1799"/>
      <c r="AQ1034" s="1800"/>
      <c r="AR1034" s="68"/>
      <c r="AS1034" s="68"/>
      <c r="AT1034" s="68"/>
      <c r="AU1034" s="68"/>
      <c r="AV1034" s="68"/>
      <c r="AW1034" s="68"/>
      <c r="AX1034" s="68"/>
      <c r="AY1034" s="68"/>
    </row>
    <row r="1035" spans="1:51" ht="12.95" customHeight="1">
      <c r="A1035" s="14"/>
      <c r="B1035" s="73"/>
      <c r="C1035" s="367" t="s">
        <v>695</v>
      </c>
      <c r="D1035" s="1810" t="s">
        <v>1873</v>
      </c>
      <c r="E1035" s="1811"/>
      <c r="F1035" s="1811"/>
      <c r="G1035" s="1811"/>
      <c r="H1035" s="1811"/>
      <c r="I1035" s="1811"/>
      <c r="J1035" s="1811"/>
      <c r="K1035" s="1811"/>
      <c r="L1035" s="1811"/>
      <c r="M1035" s="1811"/>
      <c r="N1035" s="1811"/>
      <c r="O1035" s="1811"/>
      <c r="P1035" s="1811"/>
      <c r="Q1035" s="1811"/>
      <c r="R1035" s="1811"/>
      <c r="S1035" s="1811"/>
      <c r="T1035" s="1811"/>
      <c r="U1035" s="1811"/>
      <c r="V1035" s="1811"/>
      <c r="W1035" s="1811"/>
      <c r="X1035" s="1811"/>
      <c r="Y1035" s="1811"/>
      <c r="Z1035" s="1811"/>
      <c r="AA1035" s="1811"/>
      <c r="AB1035" s="1811"/>
      <c r="AC1035" s="1811"/>
      <c r="AD1035" s="1811"/>
      <c r="AE1035" s="1812"/>
      <c r="AF1035" s="73"/>
      <c r="AG1035" s="1846" t="s">
        <v>676</v>
      </c>
      <c r="AH1035" s="1847"/>
      <c r="AI1035" s="83"/>
      <c r="AJ1035" s="1795">
        <f>ROUND(IF(AND(AG1035="yes",AJ1031=0),(AJ991*0.1),0),0)</f>
        <v>0</v>
      </c>
      <c r="AK1035" s="1796"/>
      <c r="AL1035" s="1796"/>
      <c r="AM1035" s="1796"/>
      <c r="AN1035" s="1796"/>
      <c r="AO1035" s="1796"/>
      <c r="AP1035" s="1796"/>
      <c r="AQ1035" s="1797"/>
      <c r="AR1035" s="68"/>
      <c r="AS1035" s="68"/>
      <c r="AT1035" s="68"/>
      <c r="AU1035" s="68"/>
      <c r="AV1035" s="68"/>
      <c r="AW1035" s="68"/>
      <c r="AX1035" s="68"/>
      <c r="AY1035" s="68"/>
    </row>
    <row r="1036" spans="1:51" ht="12.95" customHeight="1">
      <c r="A1036" s="14"/>
      <c r="B1036" s="73"/>
      <c r="C1036" s="74"/>
      <c r="D1036" s="1835" t="s">
        <v>1874</v>
      </c>
      <c r="E1036" s="1273"/>
      <c r="F1036" s="1273"/>
      <c r="G1036" s="1273"/>
      <c r="H1036" s="1273"/>
      <c r="I1036" s="1273"/>
      <c r="J1036" s="1273"/>
      <c r="K1036" s="1273"/>
      <c r="L1036" s="1273"/>
      <c r="M1036" s="1273"/>
      <c r="N1036" s="1273"/>
      <c r="O1036" s="1273"/>
      <c r="P1036" s="1273"/>
      <c r="Q1036" s="1273"/>
      <c r="R1036" s="1273"/>
      <c r="S1036" s="1273"/>
      <c r="T1036" s="1273"/>
      <c r="U1036" s="1273"/>
      <c r="V1036" s="1273"/>
      <c r="W1036" s="1273"/>
      <c r="X1036" s="1273"/>
      <c r="Y1036" s="1273"/>
      <c r="Z1036" s="1273"/>
      <c r="AA1036" s="1273"/>
      <c r="AB1036" s="1273"/>
      <c r="AC1036" s="1273"/>
      <c r="AD1036" s="1273"/>
      <c r="AE1036" s="1836"/>
      <c r="AF1036" s="73"/>
      <c r="AG1036" s="14"/>
      <c r="AH1036" s="14"/>
      <c r="AI1036" s="83"/>
      <c r="AJ1036" s="1832"/>
      <c r="AK1036" s="1833"/>
      <c r="AL1036" s="1833"/>
      <c r="AM1036" s="1833"/>
      <c r="AN1036" s="1833"/>
      <c r="AO1036" s="1833"/>
      <c r="AP1036" s="1833"/>
      <c r="AQ1036" s="1834"/>
      <c r="AR1036" s="68"/>
      <c r="AS1036" s="68"/>
      <c r="AT1036" s="68"/>
      <c r="AU1036" s="68"/>
      <c r="AV1036" s="68"/>
      <c r="AW1036" s="68"/>
      <c r="AX1036" s="68"/>
      <c r="AY1036" s="68"/>
    </row>
    <row r="1037" spans="1:51" ht="12.95" customHeight="1">
      <c r="A1037" s="14"/>
      <c r="B1037" s="73"/>
      <c r="C1037" s="74"/>
      <c r="D1037" s="1835"/>
      <c r="E1037" s="1273"/>
      <c r="F1037" s="1273"/>
      <c r="G1037" s="1273"/>
      <c r="H1037" s="1273"/>
      <c r="I1037" s="1273"/>
      <c r="J1037" s="1273"/>
      <c r="K1037" s="1273"/>
      <c r="L1037" s="1273"/>
      <c r="M1037" s="1273"/>
      <c r="N1037" s="1273"/>
      <c r="O1037" s="1273"/>
      <c r="P1037" s="1273"/>
      <c r="Q1037" s="1273"/>
      <c r="R1037" s="1273"/>
      <c r="S1037" s="1273"/>
      <c r="T1037" s="1273"/>
      <c r="U1037" s="1273"/>
      <c r="V1037" s="1273"/>
      <c r="W1037" s="1273"/>
      <c r="X1037" s="1273"/>
      <c r="Y1037" s="1273"/>
      <c r="Z1037" s="1273"/>
      <c r="AA1037" s="1273"/>
      <c r="AB1037" s="1273"/>
      <c r="AC1037" s="1273"/>
      <c r="AD1037" s="1273"/>
      <c r="AE1037" s="1836"/>
      <c r="AF1037" s="73"/>
      <c r="AG1037" s="14"/>
      <c r="AH1037" s="14"/>
      <c r="AI1037" s="83"/>
      <c r="AJ1037" s="1832"/>
      <c r="AK1037" s="1833"/>
      <c r="AL1037" s="1833"/>
      <c r="AM1037" s="1833"/>
      <c r="AN1037" s="1833"/>
      <c r="AO1037" s="1833"/>
      <c r="AP1037" s="1833"/>
      <c r="AQ1037" s="1834"/>
      <c r="AR1037" s="68"/>
      <c r="AS1037" s="68"/>
      <c r="AT1037" s="68"/>
      <c r="AU1037" s="68"/>
      <c r="AV1037" s="68"/>
      <c r="AW1037" s="68"/>
      <c r="AX1037" s="68"/>
      <c r="AY1037" s="68"/>
    </row>
    <row r="1038" spans="1:51" ht="12.95" customHeight="1">
      <c r="A1038" s="14"/>
      <c r="B1038" s="73"/>
      <c r="C1038" s="74"/>
      <c r="D1038" s="1835"/>
      <c r="E1038" s="1273"/>
      <c r="F1038" s="1273"/>
      <c r="G1038" s="1273"/>
      <c r="H1038" s="1273"/>
      <c r="I1038" s="1273"/>
      <c r="J1038" s="1273"/>
      <c r="K1038" s="1273"/>
      <c r="L1038" s="1273"/>
      <c r="M1038" s="1273"/>
      <c r="N1038" s="1273"/>
      <c r="O1038" s="1273"/>
      <c r="P1038" s="1273"/>
      <c r="Q1038" s="1273"/>
      <c r="R1038" s="1273"/>
      <c r="S1038" s="1273"/>
      <c r="T1038" s="1273"/>
      <c r="U1038" s="1273"/>
      <c r="V1038" s="1273"/>
      <c r="W1038" s="1273"/>
      <c r="X1038" s="1273"/>
      <c r="Y1038" s="1273"/>
      <c r="Z1038" s="1273"/>
      <c r="AA1038" s="1273"/>
      <c r="AB1038" s="1273"/>
      <c r="AC1038" s="1273"/>
      <c r="AD1038" s="1273"/>
      <c r="AE1038" s="1836"/>
      <c r="AF1038" s="73"/>
      <c r="AG1038" s="14"/>
      <c r="AH1038" s="14"/>
      <c r="AI1038" s="83"/>
      <c r="AJ1038" s="1832"/>
      <c r="AK1038" s="1833"/>
      <c r="AL1038" s="1833"/>
      <c r="AM1038" s="1833"/>
      <c r="AN1038" s="1833"/>
      <c r="AO1038" s="1833"/>
      <c r="AP1038" s="1833"/>
      <c r="AQ1038" s="1834"/>
      <c r="AR1038" s="68"/>
      <c r="AS1038" s="68"/>
      <c r="AT1038" s="68"/>
      <c r="AU1038" s="68"/>
      <c r="AV1038" s="68"/>
      <c r="AW1038" s="68"/>
      <c r="AX1038" s="68"/>
      <c r="AY1038" s="68"/>
    </row>
    <row r="1039" spans="1:51" ht="12.95" customHeight="1">
      <c r="A1039" s="14"/>
      <c r="B1039" s="73"/>
      <c r="C1039" s="74"/>
      <c r="D1039" s="1837"/>
      <c r="E1039" s="1838"/>
      <c r="F1039" s="1838"/>
      <c r="G1039" s="1838"/>
      <c r="H1039" s="1838"/>
      <c r="I1039" s="1838"/>
      <c r="J1039" s="1838"/>
      <c r="K1039" s="1838"/>
      <c r="L1039" s="1838"/>
      <c r="M1039" s="1838"/>
      <c r="N1039" s="1838"/>
      <c r="O1039" s="1838"/>
      <c r="P1039" s="1838"/>
      <c r="Q1039" s="1838"/>
      <c r="R1039" s="1838"/>
      <c r="S1039" s="1838"/>
      <c r="T1039" s="1838"/>
      <c r="U1039" s="1838"/>
      <c r="V1039" s="1838"/>
      <c r="W1039" s="1838"/>
      <c r="X1039" s="1838"/>
      <c r="Y1039" s="1838"/>
      <c r="Z1039" s="1838"/>
      <c r="AA1039" s="1838"/>
      <c r="AB1039" s="1838"/>
      <c r="AC1039" s="1838"/>
      <c r="AD1039" s="1838"/>
      <c r="AE1039" s="1839"/>
      <c r="AF1039" s="73"/>
      <c r="AG1039" s="14"/>
      <c r="AH1039" s="14"/>
      <c r="AI1039" s="83"/>
      <c r="AJ1039" s="1832"/>
      <c r="AK1039" s="1833"/>
      <c r="AL1039" s="1833"/>
      <c r="AM1039" s="1833"/>
      <c r="AN1039" s="1833"/>
      <c r="AO1039" s="1833"/>
      <c r="AP1039" s="1833"/>
      <c r="AQ1039" s="1834"/>
      <c r="AR1039" s="68"/>
      <c r="AS1039" s="68"/>
      <c r="AT1039" s="68"/>
      <c r="AU1039" s="68"/>
      <c r="AV1039" s="68"/>
      <c r="AW1039" s="68"/>
      <c r="AX1039" s="68"/>
      <c r="AY1039" s="68"/>
    </row>
    <row r="1040" spans="1:51" ht="12.95" customHeight="1">
      <c r="A1040" s="14"/>
      <c r="B1040" s="79"/>
      <c r="C1040" s="131" t="s">
        <v>1031</v>
      </c>
      <c r="D1040" s="1705" t="s">
        <v>1403</v>
      </c>
      <c r="E1040" s="1706"/>
      <c r="F1040" s="1706"/>
      <c r="G1040" s="1706"/>
      <c r="H1040" s="1706"/>
      <c r="I1040" s="1706"/>
      <c r="J1040" s="1706"/>
      <c r="K1040" s="1706"/>
      <c r="L1040" s="1706"/>
      <c r="M1040" s="1706"/>
      <c r="N1040" s="1706"/>
      <c r="O1040" s="1706"/>
      <c r="P1040" s="1706"/>
      <c r="Q1040" s="1706"/>
      <c r="R1040" s="1706"/>
      <c r="S1040" s="1706"/>
      <c r="T1040" s="1706"/>
      <c r="U1040" s="1706"/>
      <c r="V1040" s="1706"/>
      <c r="W1040" s="1706"/>
      <c r="X1040" s="1706"/>
      <c r="Y1040" s="1706"/>
      <c r="Z1040" s="1706"/>
      <c r="AA1040" s="1706"/>
      <c r="AB1040" s="1706"/>
      <c r="AC1040" s="1706"/>
      <c r="AD1040" s="1706"/>
      <c r="AE1040" s="1707"/>
      <c r="AF1040" s="79"/>
      <c r="AG1040" s="1830" t="s">
        <v>676</v>
      </c>
      <c r="AH1040" s="1831"/>
      <c r="AI1040" s="87"/>
      <c r="AJ1040" s="1795">
        <f>ROUND(IF(AG1040="yes",(AJ991*0.1),0),0)</f>
        <v>0</v>
      </c>
      <c r="AK1040" s="1796"/>
      <c r="AL1040" s="1796"/>
      <c r="AM1040" s="1796"/>
      <c r="AN1040" s="1796"/>
      <c r="AO1040" s="1796"/>
      <c r="AP1040" s="1796"/>
      <c r="AQ1040" s="1797"/>
      <c r="AR1040" s="68"/>
      <c r="AS1040" s="68"/>
      <c r="AT1040" s="68"/>
      <c r="AU1040" s="68"/>
      <c r="AV1040" s="68"/>
      <c r="AW1040" s="68"/>
      <c r="AX1040" s="68"/>
      <c r="AY1040" s="68"/>
    </row>
    <row r="1041" spans="1:51" ht="12.95" customHeight="1">
      <c r="A1041" s="14"/>
      <c r="B1041" s="73"/>
      <c r="C1041" s="74"/>
      <c r="D1041" s="1821" t="s">
        <v>2499</v>
      </c>
      <c r="E1041" s="1822"/>
      <c r="F1041" s="1822"/>
      <c r="G1041" s="1822"/>
      <c r="H1041" s="1822"/>
      <c r="I1041" s="1822"/>
      <c r="J1041" s="1822"/>
      <c r="K1041" s="1822"/>
      <c r="L1041" s="1822"/>
      <c r="M1041" s="1822"/>
      <c r="N1041" s="1822"/>
      <c r="O1041" s="1822"/>
      <c r="P1041" s="1822"/>
      <c r="Q1041" s="1822"/>
      <c r="R1041" s="1822"/>
      <c r="S1041" s="1822"/>
      <c r="T1041" s="1822"/>
      <c r="U1041" s="1822"/>
      <c r="V1041" s="1822"/>
      <c r="W1041" s="1822"/>
      <c r="X1041" s="1822"/>
      <c r="Y1041" s="1822"/>
      <c r="Z1041" s="1822"/>
      <c r="AA1041" s="1822"/>
      <c r="AB1041" s="1822"/>
      <c r="AC1041" s="1822"/>
      <c r="AD1041" s="1822"/>
      <c r="AE1041" s="1823"/>
      <c r="AF1041" s="73"/>
      <c r="AG1041" s="14"/>
      <c r="AH1041" s="14"/>
      <c r="AI1041" s="83"/>
      <c r="AJ1041" s="1832"/>
      <c r="AK1041" s="1833"/>
      <c r="AL1041" s="1833"/>
      <c r="AM1041" s="1833"/>
      <c r="AN1041" s="1833"/>
      <c r="AO1041" s="1833"/>
      <c r="AP1041" s="1833"/>
      <c r="AQ1041" s="1834"/>
      <c r="AR1041" s="68"/>
      <c r="AS1041" s="68"/>
      <c r="AT1041" s="68"/>
      <c r="AU1041" s="68"/>
      <c r="AV1041" s="68"/>
      <c r="AW1041" s="68"/>
      <c r="AX1041" s="68"/>
      <c r="AY1041" s="68"/>
    </row>
    <row r="1042" spans="1:51" ht="12.95" customHeight="1">
      <c r="A1042" s="14"/>
      <c r="B1042" s="73"/>
      <c r="C1042" s="74"/>
      <c r="D1042" s="1821"/>
      <c r="E1042" s="1822"/>
      <c r="F1042" s="1822"/>
      <c r="G1042" s="1822"/>
      <c r="H1042" s="1822"/>
      <c r="I1042" s="1822"/>
      <c r="J1042" s="1822"/>
      <c r="K1042" s="1822"/>
      <c r="L1042" s="1822"/>
      <c r="M1042" s="1822"/>
      <c r="N1042" s="1822"/>
      <c r="O1042" s="1822"/>
      <c r="P1042" s="1822"/>
      <c r="Q1042" s="1822"/>
      <c r="R1042" s="1822"/>
      <c r="S1042" s="1822"/>
      <c r="T1042" s="1822"/>
      <c r="U1042" s="1822"/>
      <c r="V1042" s="1822"/>
      <c r="W1042" s="1822"/>
      <c r="X1042" s="1822"/>
      <c r="Y1042" s="1822"/>
      <c r="Z1042" s="1822"/>
      <c r="AA1042" s="1822"/>
      <c r="AB1042" s="1822"/>
      <c r="AC1042" s="1822"/>
      <c r="AD1042" s="1822"/>
      <c r="AE1042" s="1823"/>
      <c r="AF1042" s="73"/>
      <c r="AG1042" s="14"/>
      <c r="AH1042" s="14"/>
      <c r="AI1042" s="83"/>
      <c r="AJ1042" s="1832"/>
      <c r="AK1042" s="1833"/>
      <c r="AL1042" s="1833"/>
      <c r="AM1042" s="1833"/>
      <c r="AN1042" s="1833"/>
      <c r="AO1042" s="1833"/>
      <c r="AP1042" s="1833"/>
      <c r="AQ1042" s="1834"/>
      <c r="AR1042" s="68"/>
      <c r="AS1042" s="68"/>
      <c r="AT1042" s="68"/>
      <c r="AU1042" s="68"/>
      <c r="AV1042" s="68"/>
      <c r="AW1042" s="68"/>
      <c r="AX1042" s="68"/>
      <c r="AY1042" s="68"/>
    </row>
    <row r="1043" spans="1:51" ht="12.95" customHeight="1">
      <c r="A1043" s="14"/>
      <c r="B1043" s="73"/>
      <c r="C1043" s="74"/>
      <c r="D1043" s="1714"/>
      <c r="E1043" s="1715"/>
      <c r="F1043" s="1715"/>
      <c r="G1043" s="1715"/>
      <c r="H1043" s="1715"/>
      <c r="I1043" s="1715"/>
      <c r="J1043" s="1715"/>
      <c r="K1043" s="1715"/>
      <c r="L1043" s="1715"/>
      <c r="M1043" s="1715"/>
      <c r="N1043" s="1715"/>
      <c r="O1043" s="1715"/>
      <c r="P1043" s="1715"/>
      <c r="Q1043" s="1715"/>
      <c r="R1043" s="1715"/>
      <c r="S1043" s="1715"/>
      <c r="T1043" s="1715"/>
      <c r="U1043" s="1715"/>
      <c r="V1043" s="1715"/>
      <c r="W1043" s="1715"/>
      <c r="X1043" s="1715"/>
      <c r="Y1043" s="1715"/>
      <c r="Z1043" s="1715"/>
      <c r="AA1043" s="1715"/>
      <c r="AB1043" s="1715"/>
      <c r="AC1043" s="1715"/>
      <c r="AD1043" s="1715"/>
      <c r="AE1043" s="1716"/>
      <c r="AF1043" s="73"/>
      <c r="AG1043" s="14"/>
      <c r="AH1043" s="14"/>
      <c r="AI1043" s="83"/>
      <c r="AJ1043" s="1798"/>
      <c r="AK1043" s="1799"/>
      <c r="AL1043" s="1799"/>
      <c r="AM1043" s="1799"/>
      <c r="AN1043" s="1799"/>
      <c r="AO1043" s="1799"/>
      <c r="AP1043" s="1799"/>
      <c r="AQ1043" s="1800"/>
      <c r="AR1043" s="68"/>
      <c r="AS1043" s="68"/>
      <c r="AT1043" s="68"/>
      <c r="AU1043" s="68"/>
      <c r="AV1043" s="68"/>
      <c r="AW1043" s="68"/>
      <c r="AX1043" s="68"/>
      <c r="AY1043" s="68"/>
    </row>
    <row r="1044" spans="1:51" ht="12.95" customHeight="1">
      <c r="A1044" s="14"/>
      <c r="B1044" s="79"/>
      <c r="C1044" s="131" t="s">
        <v>1869</v>
      </c>
      <c r="D1044" s="1810" t="s">
        <v>2051</v>
      </c>
      <c r="E1044" s="1811"/>
      <c r="F1044" s="1811"/>
      <c r="G1044" s="1811"/>
      <c r="H1044" s="1811"/>
      <c r="I1044" s="1811"/>
      <c r="J1044" s="1811"/>
      <c r="K1044" s="1811"/>
      <c r="L1044" s="1811"/>
      <c r="M1044" s="1811"/>
      <c r="N1044" s="1811"/>
      <c r="O1044" s="1811"/>
      <c r="P1044" s="1811"/>
      <c r="Q1044" s="1811"/>
      <c r="R1044" s="1811"/>
      <c r="S1044" s="1811"/>
      <c r="T1044" s="1811"/>
      <c r="U1044" s="1811"/>
      <c r="V1044" s="1811"/>
      <c r="W1044" s="1811"/>
      <c r="X1044" s="1811"/>
      <c r="Y1044" s="1811"/>
      <c r="Z1044" s="1811"/>
      <c r="AA1044" s="1811"/>
      <c r="AB1044" s="1811"/>
      <c r="AC1044" s="1811"/>
      <c r="AD1044" s="1811"/>
      <c r="AE1044" s="1812"/>
      <c r="AF1044" s="79"/>
      <c r="AG1044" s="1828" t="str">
        <f>IF(X1047&gt;0,"Yes","No")</f>
        <v>No</v>
      </c>
      <c r="AH1044" s="1829"/>
      <c r="AI1044" s="87"/>
      <c r="AJ1044" s="1795">
        <f>IF((X1047=0),0,AY1004*AJ991)</f>
        <v>0</v>
      </c>
      <c r="AK1044" s="1796"/>
      <c r="AL1044" s="1796"/>
      <c r="AM1044" s="1796"/>
      <c r="AN1044" s="1796"/>
      <c r="AO1044" s="1796"/>
      <c r="AP1044" s="1796"/>
      <c r="AQ1044" s="1797"/>
      <c r="AR1044" s="68"/>
      <c r="AS1044" s="68"/>
      <c r="AT1044" s="68"/>
      <c r="AU1044" s="68"/>
      <c r="AV1044" s="68"/>
      <c r="AW1044" s="68"/>
      <c r="AX1044" s="68"/>
      <c r="AY1044" s="68"/>
    </row>
    <row r="1045" spans="1:51" ht="12.95" customHeight="1">
      <c r="A1045" s="14"/>
      <c r="B1045" s="73"/>
      <c r="C1045" s="476"/>
      <c r="D1045" s="1821" t="s">
        <v>1405</v>
      </c>
      <c r="E1045" s="1822"/>
      <c r="F1045" s="1822"/>
      <c r="G1045" s="1822"/>
      <c r="H1045" s="1822"/>
      <c r="I1045" s="1822"/>
      <c r="J1045" s="1822"/>
      <c r="K1045" s="1822"/>
      <c r="L1045" s="1822"/>
      <c r="M1045" s="1822"/>
      <c r="N1045" s="1822"/>
      <c r="O1045" s="1822"/>
      <c r="P1045" s="1822"/>
      <c r="Q1045" s="1822"/>
      <c r="R1045" s="1822"/>
      <c r="S1045" s="1822"/>
      <c r="T1045" s="1822"/>
      <c r="U1045" s="1822"/>
      <c r="V1045" s="1822"/>
      <c r="W1045" s="1822"/>
      <c r="X1045" s="1822"/>
      <c r="Y1045" s="1822"/>
      <c r="Z1045" s="1822"/>
      <c r="AA1045" s="1822"/>
      <c r="AB1045" s="1822"/>
      <c r="AC1045" s="1822"/>
      <c r="AD1045" s="1822"/>
      <c r="AE1045" s="1823"/>
      <c r="AF1045" s="73"/>
      <c r="AG1045" s="477"/>
      <c r="AH1045" s="477"/>
      <c r="AI1045" s="83"/>
      <c r="AJ1045" s="1832"/>
      <c r="AK1045" s="1833"/>
      <c r="AL1045" s="1833"/>
      <c r="AM1045" s="1833"/>
      <c r="AN1045" s="1833"/>
      <c r="AO1045" s="1833"/>
      <c r="AP1045" s="1833"/>
      <c r="AQ1045" s="1834"/>
      <c r="AR1045" s="68"/>
      <c r="AS1045" s="68"/>
      <c r="AT1045" s="68"/>
      <c r="AU1045" s="13"/>
      <c r="AV1045" s="68"/>
      <c r="AW1045" s="68"/>
      <c r="AX1045" s="68"/>
      <c r="AY1045" s="68"/>
    </row>
    <row r="1046" spans="1:51" ht="12.95" customHeight="1">
      <c r="A1046" s="14"/>
      <c r="B1046" s="73"/>
      <c r="C1046" s="476"/>
      <c r="D1046" s="1821"/>
      <c r="E1046" s="1822"/>
      <c r="F1046" s="1822"/>
      <c r="G1046" s="1822"/>
      <c r="H1046" s="1822"/>
      <c r="I1046" s="1822"/>
      <c r="J1046" s="1822"/>
      <c r="K1046" s="1822"/>
      <c r="L1046" s="1822"/>
      <c r="M1046" s="1822"/>
      <c r="N1046" s="1822"/>
      <c r="O1046" s="1822"/>
      <c r="P1046" s="1822"/>
      <c r="Q1046" s="1822"/>
      <c r="R1046" s="1822"/>
      <c r="S1046" s="1822"/>
      <c r="T1046" s="1822"/>
      <c r="U1046" s="1822"/>
      <c r="V1046" s="1822"/>
      <c r="W1046" s="1822"/>
      <c r="X1046" s="1822"/>
      <c r="Y1046" s="1822"/>
      <c r="Z1046" s="1822"/>
      <c r="AA1046" s="1822"/>
      <c r="AB1046" s="1822"/>
      <c r="AC1046" s="1822"/>
      <c r="AD1046" s="1822"/>
      <c r="AE1046" s="1823"/>
      <c r="AF1046" s="73"/>
      <c r="AG1046" s="477"/>
      <c r="AH1046" s="477"/>
      <c r="AI1046" s="83"/>
      <c r="AJ1046" s="1832"/>
      <c r="AK1046" s="1833"/>
      <c r="AL1046" s="1833"/>
      <c r="AM1046" s="1833"/>
      <c r="AN1046" s="1833"/>
      <c r="AO1046" s="1833"/>
      <c r="AP1046" s="1833"/>
      <c r="AQ1046" s="1834"/>
      <c r="AR1046" s="68"/>
      <c r="AS1046" s="68"/>
      <c r="AT1046" s="68"/>
      <c r="AU1046" s="13"/>
      <c r="AV1046" s="68"/>
      <c r="AW1046" s="68"/>
      <c r="AX1046" s="68"/>
      <c r="AY1046" s="68"/>
    </row>
    <row r="1047" spans="1:51" ht="12.95" customHeight="1">
      <c r="A1047" s="14"/>
      <c r="B1047" s="77"/>
      <c r="C1047" s="78"/>
      <c r="D1047" s="132" t="s">
        <v>988</v>
      </c>
      <c r="E1047" s="133"/>
      <c r="F1047" s="133"/>
      <c r="G1047" s="133"/>
      <c r="H1047" s="133"/>
      <c r="I1047" s="1826">
        <f>AY1002</f>
        <v>85</v>
      </c>
      <c r="J1047" s="1827"/>
      <c r="K1047" s="7"/>
      <c r="L1047" s="133"/>
      <c r="M1047" s="133"/>
      <c r="N1047" s="133"/>
      <c r="O1047" s="133"/>
      <c r="P1047" s="133"/>
      <c r="Q1047" s="133"/>
      <c r="R1047" s="133"/>
      <c r="S1047" s="133"/>
      <c r="T1047" s="133"/>
      <c r="U1047" s="133"/>
      <c r="V1047" s="134" t="s">
        <v>989</v>
      </c>
      <c r="W1047" s="48"/>
      <c r="X1047" s="1824">
        <f>BG632</f>
        <v>0</v>
      </c>
      <c r="Y1047" s="1825"/>
      <c r="Z1047" s="48"/>
      <c r="AA1047" s="48"/>
      <c r="AB1047" s="48"/>
      <c r="AC1047" s="48"/>
      <c r="AD1047" s="48"/>
      <c r="AE1047" s="49"/>
      <c r="AF1047" s="959"/>
      <c r="AG1047" s="960"/>
      <c r="AH1047" s="960"/>
      <c r="AI1047" s="961"/>
      <c r="AJ1047" s="1798"/>
      <c r="AK1047" s="1799"/>
      <c r="AL1047" s="1799"/>
      <c r="AM1047" s="1799"/>
      <c r="AN1047" s="1799"/>
      <c r="AO1047" s="1799"/>
      <c r="AP1047" s="1799"/>
      <c r="AQ1047" s="1800"/>
      <c r="AR1047" s="68"/>
      <c r="AS1047" s="68"/>
      <c r="AT1047" s="68"/>
      <c r="AU1047" s="14"/>
      <c r="AV1047" s="68"/>
      <c r="AW1047" s="68"/>
      <c r="AX1047" s="68"/>
      <c r="AY1047" s="68"/>
    </row>
    <row r="1048" spans="1:51" ht="12.95" customHeight="1">
      <c r="A1048" s="14"/>
      <c r="B1048" s="79"/>
      <c r="C1048" s="131" t="s">
        <v>1870</v>
      </c>
      <c r="D1048" s="1705" t="s">
        <v>2528</v>
      </c>
      <c r="E1048" s="1706"/>
      <c r="F1048" s="1706"/>
      <c r="G1048" s="1706"/>
      <c r="H1048" s="1706"/>
      <c r="I1048" s="1706"/>
      <c r="J1048" s="1706"/>
      <c r="K1048" s="1706"/>
      <c r="L1048" s="1706"/>
      <c r="M1048" s="1706"/>
      <c r="N1048" s="1706"/>
      <c r="O1048" s="1706"/>
      <c r="P1048" s="1706"/>
      <c r="Q1048" s="1706"/>
      <c r="R1048" s="1706"/>
      <c r="S1048" s="1706"/>
      <c r="T1048" s="1706"/>
      <c r="U1048" s="1706"/>
      <c r="V1048" s="1706"/>
      <c r="W1048" s="1706"/>
      <c r="X1048" s="1706"/>
      <c r="Y1048" s="1706"/>
      <c r="Z1048" s="1706"/>
      <c r="AA1048" s="1706"/>
      <c r="AB1048" s="1706"/>
      <c r="AC1048" s="1706"/>
      <c r="AD1048" s="1706"/>
      <c r="AE1048" s="1707"/>
      <c r="AF1048" s="73"/>
      <c r="AG1048" s="1828" t="str">
        <f>IF(X1051&gt;0,"Yes","No")</f>
        <v>Yes</v>
      </c>
      <c r="AH1048" s="1829"/>
      <c r="AI1048" s="83"/>
      <c r="AJ1048" s="1795">
        <f>IF((X1051=0),0,(2*AY1005)*AJ991)</f>
        <v>46109844</v>
      </c>
      <c r="AK1048" s="1796"/>
      <c r="AL1048" s="1796"/>
      <c r="AM1048" s="1796"/>
      <c r="AN1048" s="1796"/>
      <c r="AO1048" s="1796"/>
      <c r="AP1048" s="1796"/>
      <c r="AQ1048" s="1797"/>
      <c r="AR1048" s="68"/>
      <c r="AS1048" s="68"/>
      <c r="AT1048" s="68"/>
      <c r="AU1048" s="14"/>
      <c r="AV1048" s="68"/>
      <c r="AW1048" s="68"/>
      <c r="AX1048" s="68"/>
      <c r="AY1048" s="68"/>
    </row>
    <row r="1049" spans="1:51" ht="12.95" customHeight="1">
      <c r="A1049" s="14"/>
      <c r="B1049" s="73"/>
      <c r="C1049" s="476"/>
      <c r="D1049" s="1821" t="s">
        <v>1404</v>
      </c>
      <c r="E1049" s="1822"/>
      <c r="F1049" s="1822"/>
      <c r="G1049" s="1822"/>
      <c r="H1049" s="1822"/>
      <c r="I1049" s="1822"/>
      <c r="J1049" s="1822"/>
      <c r="K1049" s="1822"/>
      <c r="L1049" s="1822"/>
      <c r="M1049" s="1822"/>
      <c r="N1049" s="1822"/>
      <c r="O1049" s="1822"/>
      <c r="P1049" s="1822"/>
      <c r="Q1049" s="1822"/>
      <c r="R1049" s="1822"/>
      <c r="S1049" s="1822"/>
      <c r="T1049" s="1822"/>
      <c r="U1049" s="1822"/>
      <c r="V1049" s="1822"/>
      <c r="W1049" s="1822"/>
      <c r="X1049" s="1822"/>
      <c r="Y1049" s="1822"/>
      <c r="Z1049" s="1822"/>
      <c r="AA1049" s="1822"/>
      <c r="AB1049" s="1822"/>
      <c r="AC1049" s="1822"/>
      <c r="AD1049" s="1822"/>
      <c r="AE1049" s="1823"/>
      <c r="AF1049" s="73"/>
      <c r="AG1049" s="477"/>
      <c r="AH1049" s="477"/>
      <c r="AI1049" s="83"/>
      <c r="AJ1049" s="1832"/>
      <c r="AK1049" s="1833"/>
      <c r="AL1049" s="1833"/>
      <c r="AM1049" s="1833"/>
      <c r="AN1049" s="1833"/>
      <c r="AO1049" s="1833"/>
      <c r="AP1049" s="1833"/>
      <c r="AQ1049" s="1834"/>
      <c r="AR1049" s="68"/>
      <c r="AS1049" s="68"/>
      <c r="AT1049" s="68"/>
      <c r="AU1049" s="68"/>
      <c r="AV1049" s="68"/>
      <c r="AW1049" s="68"/>
      <c r="AX1049" s="68"/>
      <c r="AY1049" s="68"/>
    </row>
    <row r="1050" spans="1:51" ht="12.95" customHeight="1">
      <c r="A1050" s="14"/>
      <c r="B1050" s="73"/>
      <c r="C1050" s="83"/>
      <c r="D1050" s="1821"/>
      <c r="E1050" s="1822"/>
      <c r="F1050" s="1822"/>
      <c r="G1050" s="1822"/>
      <c r="H1050" s="1822"/>
      <c r="I1050" s="1822"/>
      <c r="J1050" s="1822"/>
      <c r="K1050" s="1822"/>
      <c r="L1050" s="1822"/>
      <c r="M1050" s="1822"/>
      <c r="N1050" s="1822"/>
      <c r="O1050" s="1822"/>
      <c r="P1050" s="1822"/>
      <c r="Q1050" s="1822"/>
      <c r="R1050" s="1822"/>
      <c r="S1050" s="1822"/>
      <c r="T1050" s="1822"/>
      <c r="U1050" s="1822"/>
      <c r="V1050" s="1822"/>
      <c r="W1050" s="1822"/>
      <c r="X1050" s="1822"/>
      <c r="Y1050" s="1822"/>
      <c r="Z1050" s="1822"/>
      <c r="AA1050" s="1822"/>
      <c r="AB1050" s="1822"/>
      <c r="AC1050" s="1822"/>
      <c r="AD1050" s="1822"/>
      <c r="AE1050" s="1823"/>
      <c r="AF1050" s="956"/>
      <c r="AG1050" s="957"/>
      <c r="AH1050" s="957"/>
      <c r="AI1050" s="958"/>
      <c r="AJ1050" s="1832"/>
      <c r="AK1050" s="1833"/>
      <c r="AL1050" s="1833"/>
      <c r="AM1050" s="1833"/>
      <c r="AN1050" s="1833"/>
      <c r="AO1050" s="1833"/>
      <c r="AP1050" s="1833"/>
      <c r="AQ1050" s="1834"/>
      <c r="AR1050" s="68"/>
      <c r="AS1050" s="68"/>
      <c r="AT1050" s="68"/>
      <c r="AU1050" s="68"/>
      <c r="AV1050" s="68"/>
      <c r="AW1050" s="68"/>
      <c r="AX1050" s="68"/>
      <c r="AY1050" s="68"/>
    </row>
    <row r="1051" spans="1:51" ht="12.95" customHeight="1">
      <c r="A1051" s="14"/>
      <c r="B1051" s="77"/>
      <c r="C1051" s="78"/>
      <c r="D1051" s="132" t="s">
        <v>988</v>
      </c>
      <c r="E1051" s="133"/>
      <c r="F1051" s="133"/>
      <c r="G1051" s="133"/>
      <c r="H1051" s="133"/>
      <c r="I1051" s="1826">
        <f>AY1002</f>
        <v>85</v>
      </c>
      <c r="J1051" s="1827"/>
      <c r="K1051" s="14"/>
      <c r="L1051" s="133"/>
      <c r="M1051" s="133"/>
      <c r="N1051" s="133"/>
      <c r="O1051" s="133"/>
      <c r="P1051" s="133"/>
      <c r="Q1051" s="133"/>
      <c r="R1051" s="133"/>
      <c r="S1051" s="133"/>
      <c r="T1051" s="133"/>
      <c r="U1051" s="133"/>
      <c r="V1051" s="134" t="s">
        <v>990</v>
      </c>
      <c r="X1051" s="1824">
        <f>BK632</f>
        <v>39</v>
      </c>
      <c r="Y1051" s="1825"/>
      <c r="AF1051" s="959"/>
      <c r="AG1051" s="960"/>
      <c r="AH1051" s="960"/>
      <c r="AI1051" s="961"/>
      <c r="AJ1051" s="1798"/>
      <c r="AK1051" s="1799"/>
      <c r="AL1051" s="1799"/>
      <c r="AM1051" s="1799"/>
      <c r="AN1051" s="1799"/>
      <c r="AO1051" s="1799"/>
      <c r="AP1051" s="1799"/>
      <c r="AQ1051" s="1800"/>
      <c r="AR1051" s="68"/>
      <c r="AS1051" s="68"/>
      <c r="AT1051" s="68"/>
      <c r="AU1051" s="68"/>
      <c r="AV1051" s="68"/>
      <c r="AW1051" s="68"/>
      <c r="AX1051" s="68"/>
      <c r="AY1051" s="68"/>
    </row>
    <row r="1052" spans="1:51" ht="12.95" customHeight="1">
      <c r="A1052" s="14"/>
      <c r="B1052" s="102"/>
      <c r="C1052" s="103"/>
      <c r="D1052" s="1819" t="s">
        <v>520</v>
      </c>
      <c r="E1052" s="1819"/>
      <c r="F1052" s="1819"/>
      <c r="G1052" s="1819"/>
      <c r="H1052" s="1819"/>
      <c r="I1052" s="1819"/>
      <c r="J1052" s="1819"/>
      <c r="K1052" s="1819"/>
      <c r="L1052" s="1819"/>
      <c r="M1052" s="1819"/>
      <c r="N1052" s="1819"/>
      <c r="O1052" s="1819"/>
      <c r="P1052" s="1819"/>
      <c r="Q1052" s="1819"/>
      <c r="R1052" s="1819"/>
      <c r="S1052" s="1819"/>
      <c r="T1052" s="1819"/>
      <c r="U1052" s="1819"/>
      <c r="V1052" s="1819"/>
      <c r="W1052" s="1819"/>
      <c r="X1052" s="1819"/>
      <c r="Y1052" s="1819"/>
      <c r="Z1052" s="1819"/>
      <c r="AA1052" s="1819"/>
      <c r="AB1052" s="1819"/>
      <c r="AC1052" s="1819"/>
      <c r="AD1052" s="1819"/>
      <c r="AE1052" s="1819"/>
      <c r="AF1052" s="1819"/>
      <c r="AG1052" s="1819"/>
      <c r="AH1052" s="1819"/>
      <c r="AI1052" s="1820"/>
      <c r="AJ1052" s="1840">
        <f>SUM(AJ991:AQ1051)</f>
        <v>118387490</v>
      </c>
      <c r="AK1052" s="1841"/>
      <c r="AL1052" s="1841"/>
      <c r="AM1052" s="1841"/>
      <c r="AN1052" s="1841"/>
      <c r="AO1052" s="1841"/>
      <c r="AP1052" s="1841"/>
      <c r="AQ1052" s="1842"/>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884">
        <f>IF(ISNA(IF((AJ1019&gt;(AJ991*0.15)),"(f) cannot be greater than 15% of unadjusted eligible basis.",0)),"",(IF((AJ1019&gt;(AJ991*0.15)),"(f) cannot be greater than 15% of unadjusted eligible basis.",0)))</f>
        <v>0</v>
      </c>
      <c r="C1059" s="1884"/>
      <c r="D1059" s="1884"/>
      <c r="E1059" s="1884"/>
      <c r="F1059" s="1884"/>
      <c r="G1059" s="1884"/>
      <c r="H1059" s="1884"/>
      <c r="I1059" s="1884"/>
      <c r="J1059" s="1884"/>
      <c r="K1059" s="1884"/>
      <c r="L1059" s="1884"/>
      <c r="M1059" s="1884"/>
      <c r="N1059" s="1884"/>
      <c r="O1059" s="1884"/>
      <c r="P1059" s="1884"/>
      <c r="Q1059" s="1884"/>
      <c r="R1059" s="1884"/>
      <c r="S1059" s="1884"/>
      <c r="T1059" s="1884"/>
      <c r="U1059" s="1884"/>
      <c r="V1059" s="1884"/>
      <c r="W1059" s="1884"/>
      <c r="X1059" s="1884"/>
      <c r="Y1059" s="1884"/>
      <c r="Z1059" s="1884"/>
      <c r="AA1059" s="1884"/>
      <c r="AB1059" s="1884"/>
      <c r="AC1059" s="1884"/>
      <c r="AD1059" s="1884"/>
      <c r="AE1059" s="1884"/>
      <c r="AF1059" s="1884"/>
      <c r="AG1059" s="1884"/>
      <c r="AH1059" s="1884"/>
      <c r="AI1059" s="1884"/>
      <c r="AJ1059" s="1884"/>
      <c r="AK1059" s="1884"/>
      <c r="AL1059" s="1884"/>
      <c r="AM1059" s="1884"/>
      <c r="AN1059" s="1884"/>
      <c r="AO1059" s="1884"/>
      <c r="AP1059" s="1884"/>
      <c r="AQ1059" s="68"/>
      <c r="AR1059" s="68"/>
      <c r="AS1059" s="68"/>
      <c r="AT1059" s="68"/>
      <c r="AU1059" s="68"/>
      <c r="AV1059" s="68"/>
      <c r="AW1059" s="68"/>
      <c r="AX1059" s="68"/>
      <c r="AY1059" s="68"/>
    </row>
    <row r="1060" spans="1:51" ht="12.95" customHeight="1">
      <c r="A1060" s="1307" t="s">
        <v>802</v>
      </c>
      <c r="B1060" s="1307"/>
      <c r="C1060" s="1307"/>
      <c r="D1060" s="1307"/>
      <c r="E1060" s="1307"/>
      <c r="F1060" s="1307"/>
      <c r="G1060" s="1307"/>
      <c r="H1060" s="1307"/>
      <c r="I1060" s="1307"/>
      <c r="J1060" s="1307"/>
      <c r="K1060" s="1307"/>
      <c r="L1060" s="1307"/>
      <c r="M1060" s="1307"/>
      <c r="N1060" s="1307"/>
      <c r="O1060" s="1307"/>
      <c r="P1060" s="1307"/>
      <c r="Q1060" s="1307"/>
      <c r="R1060" s="1307"/>
      <c r="S1060" s="1307"/>
      <c r="T1060" s="1307"/>
      <c r="U1060" s="1307"/>
      <c r="V1060" s="1307"/>
      <c r="W1060" s="1307"/>
      <c r="X1060" s="1307"/>
      <c r="Y1060" s="1307"/>
      <c r="Z1060" s="1307"/>
      <c r="AA1060" s="1307"/>
      <c r="AB1060" s="1307"/>
      <c r="AC1060" s="1307"/>
      <c r="AD1060" s="1307"/>
      <c r="AE1060" s="1307"/>
      <c r="AF1060" s="1307"/>
      <c r="AG1060" s="1307"/>
      <c r="AH1060" s="1307"/>
      <c r="AI1060" s="1307"/>
      <c r="AJ1060" s="1307"/>
      <c r="AK1060" s="1307"/>
      <c r="AL1060" s="1307"/>
      <c r="AM1060" s="1307"/>
      <c r="AN1060" s="1307"/>
      <c r="AO1060" s="1307"/>
      <c r="AP1060" s="1307"/>
      <c r="AQ1060" s="1307"/>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803</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804</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413" t="s">
        <v>598</v>
      </c>
      <c r="B1064" s="1413"/>
      <c r="C1064" s="8">
        <v>1</v>
      </c>
      <c r="D1064" s="1267" t="s">
        <v>1130</v>
      </c>
      <c r="E1064" s="1267"/>
      <c r="F1064" s="1267"/>
      <c r="G1064" s="1267"/>
      <c r="H1064" s="1267"/>
      <c r="I1064" s="1267"/>
      <c r="J1064" s="1267"/>
      <c r="K1064" s="1267"/>
      <c r="L1064" s="1267"/>
      <c r="M1064" s="1267"/>
      <c r="N1064" s="1267"/>
      <c r="O1064" s="1267"/>
      <c r="P1064" s="1267"/>
      <c r="Q1064" s="1267"/>
      <c r="R1064" s="1267"/>
      <c r="S1064" s="1267"/>
      <c r="T1064" s="1267"/>
      <c r="U1064" s="1267"/>
      <c r="V1064" s="1267"/>
      <c r="W1064" s="1267"/>
      <c r="X1064" s="1267"/>
      <c r="Y1064" s="1267"/>
      <c r="Z1064" s="1267"/>
      <c r="AA1064" s="1267"/>
      <c r="AB1064" s="1267"/>
      <c r="AC1064" s="1267"/>
      <c r="AD1064" s="1267"/>
      <c r="AE1064" s="1267"/>
      <c r="AF1064" s="1267"/>
      <c r="AG1064" s="1267"/>
      <c r="AH1064" s="1267"/>
      <c r="AI1064" s="1267"/>
      <c r="AJ1064" s="1267"/>
      <c r="AK1064" s="1267"/>
      <c r="AL1064" s="68"/>
      <c r="AM1064" s="68"/>
      <c r="AN1064" s="68"/>
      <c r="AO1064" s="68"/>
      <c r="AP1064" s="68"/>
      <c r="AQ1064" s="68"/>
      <c r="AR1064" s="68"/>
      <c r="AS1064" s="68"/>
      <c r="AT1064" s="68"/>
      <c r="AV1064" s="68"/>
      <c r="AW1064" s="68"/>
      <c r="AX1064" s="68"/>
      <c r="AY1064" s="68"/>
    </row>
    <row r="1065" spans="1:51" ht="12.95" customHeight="1">
      <c r="A1065" s="1"/>
      <c r="B1065" s="1"/>
      <c r="C1065" s="8"/>
      <c r="D1065" s="1267"/>
      <c r="E1065" s="1267"/>
      <c r="F1065" s="1267"/>
      <c r="G1065" s="1267"/>
      <c r="H1065" s="1267"/>
      <c r="I1065" s="1267"/>
      <c r="J1065" s="1267"/>
      <c r="K1065" s="1267"/>
      <c r="L1065" s="1267"/>
      <c r="M1065" s="1267"/>
      <c r="N1065" s="1267"/>
      <c r="O1065" s="1267"/>
      <c r="P1065" s="1267"/>
      <c r="Q1065" s="1267"/>
      <c r="R1065" s="1267"/>
      <c r="S1065" s="1267"/>
      <c r="T1065" s="1267"/>
      <c r="U1065" s="1267"/>
      <c r="V1065" s="1267"/>
      <c r="W1065" s="1267"/>
      <c r="X1065" s="1267"/>
      <c r="Y1065" s="1267"/>
      <c r="Z1065" s="1267"/>
      <c r="AA1065" s="1267"/>
      <c r="AB1065" s="1267"/>
      <c r="AC1065" s="1267"/>
      <c r="AD1065" s="1267"/>
      <c r="AE1065" s="1267"/>
      <c r="AF1065" s="1267"/>
      <c r="AG1065" s="1267"/>
      <c r="AH1065" s="1267"/>
      <c r="AI1065" s="1267"/>
      <c r="AJ1065" s="1267"/>
      <c r="AK1065" s="1267"/>
      <c r="AL1065" s="68"/>
      <c r="AM1065" s="68"/>
      <c r="AN1065" s="68"/>
      <c r="AO1065" s="68"/>
      <c r="AP1065" s="68"/>
      <c r="AQ1065" s="68"/>
      <c r="AR1065" s="68"/>
      <c r="AS1065" s="68"/>
      <c r="AT1065" s="68"/>
      <c r="AV1065" s="68"/>
      <c r="AW1065" s="68"/>
      <c r="AX1065" s="68"/>
      <c r="AY1065" s="68"/>
    </row>
    <row r="1066" spans="1:51" ht="12.95" customHeight="1">
      <c r="A1066" s="1"/>
      <c r="B1066" s="1"/>
      <c r="C1066" s="8"/>
      <c r="D1066" s="1267"/>
      <c r="E1066" s="1267"/>
      <c r="F1066" s="1267"/>
      <c r="G1066" s="1267"/>
      <c r="H1066" s="1267"/>
      <c r="I1066" s="1267"/>
      <c r="J1066" s="1267"/>
      <c r="K1066" s="1267"/>
      <c r="L1066" s="1267"/>
      <c r="M1066" s="1267"/>
      <c r="N1066" s="1267"/>
      <c r="O1066" s="1267"/>
      <c r="P1066" s="1267"/>
      <c r="Q1066" s="1267"/>
      <c r="R1066" s="1267"/>
      <c r="S1066" s="1267"/>
      <c r="T1066" s="1267"/>
      <c r="U1066" s="1267"/>
      <c r="V1066" s="1267"/>
      <c r="W1066" s="1267"/>
      <c r="X1066" s="1267"/>
      <c r="Y1066" s="1267"/>
      <c r="Z1066" s="1267"/>
      <c r="AA1066" s="1267"/>
      <c r="AB1066" s="1267"/>
      <c r="AC1066" s="1267"/>
      <c r="AD1066" s="1267"/>
      <c r="AE1066" s="1267"/>
      <c r="AF1066" s="1267"/>
      <c r="AG1066" s="1267"/>
      <c r="AH1066" s="1267"/>
      <c r="AI1066" s="1267"/>
      <c r="AJ1066" s="1267"/>
      <c r="AK1066" s="1267"/>
      <c r="AL1066" s="68"/>
      <c r="AM1066" s="68"/>
      <c r="AN1066" s="68"/>
      <c r="AO1066" s="68"/>
      <c r="AP1066" s="68"/>
      <c r="AQ1066" s="68"/>
      <c r="AR1066" s="68"/>
      <c r="AS1066" s="68"/>
      <c r="AT1066" s="68"/>
      <c r="AV1066" s="68"/>
      <c r="AW1066" s="68"/>
      <c r="AX1066" s="68"/>
      <c r="AY1066" s="68"/>
    </row>
    <row r="1067" spans="1:51" ht="12.95" customHeight="1">
      <c r="A1067" s="1"/>
      <c r="B1067" s="1"/>
      <c r="C1067" s="8"/>
      <c r="D1067" s="1267"/>
      <c r="E1067" s="1267"/>
      <c r="F1067" s="1267"/>
      <c r="G1067" s="1267"/>
      <c r="H1067" s="1267"/>
      <c r="I1067" s="1267"/>
      <c r="J1067" s="1267"/>
      <c r="K1067" s="1267"/>
      <c r="L1067" s="1267"/>
      <c r="M1067" s="1267"/>
      <c r="N1067" s="1267"/>
      <c r="O1067" s="1267"/>
      <c r="P1067" s="1267"/>
      <c r="Q1067" s="1267"/>
      <c r="R1067" s="1267"/>
      <c r="S1067" s="1267"/>
      <c r="T1067" s="1267"/>
      <c r="U1067" s="1267"/>
      <c r="V1067" s="1267"/>
      <c r="W1067" s="1267"/>
      <c r="X1067" s="1267"/>
      <c r="Y1067" s="1267"/>
      <c r="Z1067" s="1267"/>
      <c r="AA1067" s="1267"/>
      <c r="AB1067" s="1267"/>
      <c r="AC1067" s="1267"/>
      <c r="AD1067" s="1267"/>
      <c r="AE1067" s="1267"/>
      <c r="AF1067" s="1267"/>
      <c r="AG1067" s="1267"/>
      <c r="AH1067" s="1267"/>
      <c r="AI1067" s="1267"/>
      <c r="AJ1067" s="1267"/>
      <c r="AK1067" s="1267"/>
      <c r="AL1067" s="68"/>
      <c r="AM1067" s="68"/>
      <c r="AN1067" s="68"/>
      <c r="AO1067" s="68"/>
      <c r="AP1067" s="68"/>
      <c r="AQ1067" s="68"/>
      <c r="AR1067" s="68"/>
      <c r="AS1067" s="68"/>
      <c r="AT1067" s="68"/>
      <c r="AV1067" s="68"/>
      <c r="AW1067" s="68"/>
      <c r="AX1067" s="68"/>
      <c r="AY1067" s="68"/>
    </row>
    <row r="1068" spans="1:51" ht="12.95" customHeight="1">
      <c r="A1068" s="1"/>
      <c r="B1068" s="1"/>
      <c r="C1068" s="8"/>
      <c r="D1068" s="1267"/>
      <c r="E1068" s="1267"/>
      <c r="F1068" s="1267"/>
      <c r="G1068" s="1267"/>
      <c r="H1068" s="1267"/>
      <c r="I1068" s="1267"/>
      <c r="J1068" s="1267"/>
      <c r="K1068" s="1267"/>
      <c r="L1068" s="1267"/>
      <c r="M1068" s="1267"/>
      <c r="N1068" s="1267"/>
      <c r="O1068" s="1267"/>
      <c r="P1068" s="1267"/>
      <c r="Q1068" s="1267"/>
      <c r="R1068" s="1267"/>
      <c r="S1068" s="1267"/>
      <c r="T1068" s="1267"/>
      <c r="U1068" s="1267"/>
      <c r="V1068" s="1267"/>
      <c r="W1068" s="1267"/>
      <c r="X1068" s="1267"/>
      <c r="Y1068" s="1267"/>
      <c r="Z1068" s="1267"/>
      <c r="AA1068" s="1267"/>
      <c r="AB1068" s="1267"/>
      <c r="AC1068" s="1267"/>
      <c r="AD1068" s="1267"/>
      <c r="AE1068" s="1267"/>
      <c r="AF1068" s="1267"/>
      <c r="AG1068" s="1267"/>
      <c r="AH1068" s="1267"/>
      <c r="AI1068" s="1267"/>
      <c r="AJ1068" s="1267"/>
      <c r="AK1068" s="1267"/>
      <c r="AL1068" s="68"/>
      <c r="AM1068" s="68"/>
      <c r="AN1068" s="68"/>
      <c r="AO1068" s="68"/>
      <c r="AP1068" s="68"/>
      <c r="AQ1068" s="68"/>
      <c r="AR1068" s="68"/>
      <c r="AS1068" s="68"/>
      <c r="AT1068" s="68"/>
      <c r="AV1068" s="68"/>
      <c r="AW1068" s="68"/>
      <c r="AX1068" s="68"/>
      <c r="AY1068" s="68"/>
    </row>
    <row r="1069" spans="1:51" ht="12.95" customHeight="1">
      <c r="A1069" s="2"/>
      <c r="B1069" s="25"/>
      <c r="C1069" s="8"/>
      <c r="D1069" s="1267"/>
      <c r="E1069" s="1267"/>
      <c r="F1069" s="1267"/>
      <c r="G1069" s="1267"/>
      <c r="H1069" s="1267"/>
      <c r="I1069" s="1267"/>
      <c r="J1069" s="1267"/>
      <c r="K1069" s="1267"/>
      <c r="L1069" s="1267"/>
      <c r="M1069" s="1267"/>
      <c r="N1069" s="1267"/>
      <c r="O1069" s="1267"/>
      <c r="P1069" s="1267"/>
      <c r="Q1069" s="1267"/>
      <c r="R1069" s="1267"/>
      <c r="S1069" s="1267"/>
      <c r="T1069" s="1267"/>
      <c r="U1069" s="1267"/>
      <c r="V1069" s="1267"/>
      <c r="W1069" s="1267"/>
      <c r="X1069" s="1267"/>
      <c r="Y1069" s="1267"/>
      <c r="Z1069" s="1267"/>
      <c r="AA1069" s="1267"/>
      <c r="AB1069" s="1267"/>
      <c r="AC1069" s="1267"/>
      <c r="AD1069" s="1267"/>
      <c r="AE1069" s="1267"/>
      <c r="AF1069" s="1267"/>
      <c r="AG1069" s="1267"/>
      <c r="AH1069" s="1267"/>
      <c r="AI1069" s="1267"/>
      <c r="AJ1069" s="1267"/>
      <c r="AK1069" s="1267"/>
      <c r="AL1069" s="68"/>
      <c r="AM1069" s="68"/>
      <c r="AN1069" s="68"/>
      <c r="AO1069" s="68"/>
      <c r="AP1069" s="68"/>
      <c r="AQ1069" s="68"/>
      <c r="AR1069" s="68"/>
      <c r="AS1069" s="68"/>
      <c r="AT1069" s="68"/>
      <c r="AV1069" s="68"/>
      <c r="AW1069" s="68"/>
      <c r="AX1069" s="68"/>
      <c r="AY1069" s="68"/>
    </row>
    <row r="1070" spans="1:51" ht="12.95" customHeight="1">
      <c r="A1070" s="1413" t="s">
        <v>598</v>
      </c>
      <c r="B1070" s="1413"/>
      <c r="C1070" s="8">
        <v>2</v>
      </c>
      <c r="D1070" s="1267" t="s">
        <v>1129</v>
      </c>
      <c r="E1070" s="1267"/>
      <c r="F1070" s="1267"/>
      <c r="G1070" s="1267"/>
      <c r="H1070" s="1267"/>
      <c r="I1070" s="1267"/>
      <c r="J1070" s="1267"/>
      <c r="K1070" s="1267"/>
      <c r="L1070" s="1267"/>
      <c r="M1070" s="1267"/>
      <c r="N1070" s="1267"/>
      <c r="O1070" s="1267"/>
      <c r="P1070" s="1267"/>
      <c r="Q1070" s="1267"/>
      <c r="R1070" s="1267"/>
      <c r="S1070" s="1267"/>
      <c r="T1070" s="1267"/>
      <c r="U1070" s="1267"/>
      <c r="V1070" s="1267"/>
      <c r="W1070" s="1267"/>
      <c r="X1070" s="1267"/>
      <c r="Y1070" s="1267"/>
      <c r="Z1070" s="1267"/>
      <c r="AA1070" s="1267"/>
      <c r="AB1070" s="1267"/>
      <c r="AC1070" s="1267"/>
      <c r="AD1070" s="1267"/>
      <c r="AE1070" s="1267"/>
      <c r="AF1070" s="1267"/>
      <c r="AG1070" s="1267"/>
      <c r="AH1070" s="1267"/>
      <c r="AI1070" s="1267"/>
      <c r="AJ1070" s="1267"/>
      <c r="AK1070" s="1267"/>
      <c r="AL1070" s="68"/>
      <c r="AM1070" s="68"/>
      <c r="AN1070" s="68"/>
      <c r="AO1070" s="68"/>
      <c r="AP1070" s="68"/>
      <c r="AQ1070" s="68"/>
      <c r="AR1070" s="68"/>
      <c r="AS1070" s="68"/>
      <c r="AT1070" s="68"/>
    </row>
    <row r="1071" spans="1:51" ht="12.95" customHeight="1">
      <c r="A1071" s="1"/>
      <c r="B1071" s="1"/>
      <c r="C1071" s="8"/>
      <c r="D1071" s="1267"/>
      <c r="E1071" s="1267"/>
      <c r="F1071" s="1267"/>
      <c r="G1071" s="1267"/>
      <c r="H1071" s="1267"/>
      <c r="I1071" s="1267"/>
      <c r="J1071" s="1267"/>
      <c r="K1071" s="1267"/>
      <c r="L1071" s="1267"/>
      <c r="M1071" s="1267"/>
      <c r="N1071" s="1267"/>
      <c r="O1071" s="1267"/>
      <c r="P1071" s="1267"/>
      <c r="Q1071" s="1267"/>
      <c r="R1071" s="1267"/>
      <c r="S1071" s="1267"/>
      <c r="T1071" s="1267"/>
      <c r="U1071" s="1267"/>
      <c r="V1071" s="1267"/>
      <c r="W1071" s="1267"/>
      <c r="X1071" s="1267"/>
      <c r="Y1071" s="1267"/>
      <c r="Z1071" s="1267"/>
      <c r="AA1071" s="1267"/>
      <c r="AB1071" s="1267"/>
      <c r="AC1071" s="1267"/>
      <c r="AD1071" s="1267"/>
      <c r="AE1071" s="1267"/>
      <c r="AF1071" s="1267"/>
      <c r="AG1071" s="1267"/>
      <c r="AH1071" s="1267"/>
      <c r="AI1071" s="1267"/>
      <c r="AJ1071" s="1267"/>
      <c r="AK1071" s="1267"/>
      <c r="AL1071" s="68"/>
      <c r="AM1071" s="68"/>
      <c r="AN1071" s="68"/>
      <c r="AO1071" s="68"/>
      <c r="AP1071" s="68"/>
      <c r="AQ1071" s="68"/>
      <c r="AR1071" s="68"/>
      <c r="AS1071" s="68"/>
      <c r="AT1071" s="68"/>
    </row>
    <row r="1072" spans="1:51" ht="12.95" customHeight="1">
      <c r="A1072" s="1"/>
      <c r="B1072" s="1"/>
      <c r="C1072" s="8"/>
      <c r="D1072" s="1267"/>
      <c r="E1072" s="1267"/>
      <c r="F1072" s="1267"/>
      <c r="G1072" s="1267"/>
      <c r="H1072" s="1267"/>
      <c r="I1072" s="1267"/>
      <c r="J1072" s="1267"/>
      <c r="K1072" s="1267"/>
      <c r="L1072" s="1267"/>
      <c r="M1072" s="1267"/>
      <c r="N1072" s="1267"/>
      <c r="O1072" s="1267"/>
      <c r="P1072" s="1267"/>
      <c r="Q1072" s="1267"/>
      <c r="R1072" s="1267"/>
      <c r="S1072" s="1267"/>
      <c r="T1072" s="1267"/>
      <c r="U1072" s="1267"/>
      <c r="V1072" s="1267"/>
      <c r="W1072" s="1267"/>
      <c r="X1072" s="1267"/>
      <c r="Y1072" s="1267"/>
      <c r="Z1072" s="1267"/>
      <c r="AA1072" s="1267"/>
      <c r="AB1072" s="1267"/>
      <c r="AC1072" s="1267"/>
      <c r="AD1072" s="1267"/>
      <c r="AE1072" s="1267"/>
      <c r="AF1072" s="1267"/>
      <c r="AG1072" s="1267"/>
      <c r="AH1072" s="1267"/>
      <c r="AI1072" s="1267"/>
      <c r="AJ1072" s="1267"/>
      <c r="AK1072" s="1267"/>
      <c r="AL1072" s="68"/>
      <c r="AM1072" s="68"/>
      <c r="AN1072" s="68"/>
      <c r="AO1072" s="68"/>
      <c r="AP1072" s="68"/>
      <c r="AQ1072" s="68"/>
      <c r="AR1072" s="68"/>
      <c r="AS1072" s="68"/>
      <c r="AT1072" s="68"/>
    </row>
    <row r="1073" spans="1:46" ht="12.95" customHeight="1">
      <c r="A1073" s="1"/>
      <c r="B1073" s="1"/>
      <c r="C1073" s="8"/>
      <c r="D1073" s="1267"/>
      <c r="E1073" s="1267"/>
      <c r="F1073" s="1267"/>
      <c r="G1073" s="1267"/>
      <c r="H1073" s="1267"/>
      <c r="I1073" s="1267"/>
      <c r="J1073" s="1267"/>
      <c r="K1073" s="1267"/>
      <c r="L1073" s="1267"/>
      <c r="M1073" s="1267"/>
      <c r="N1073" s="1267"/>
      <c r="O1073" s="1267"/>
      <c r="P1073" s="1267"/>
      <c r="Q1073" s="1267"/>
      <c r="R1073" s="1267"/>
      <c r="S1073" s="1267"/>
      <c r="T1073" s="1267"/>
      <c r="U1073" s="1267"/>
      <c r="V1073" s="1267"/>
      <c r="W1073" s="1267"/>
      <c r="X1073" s="1267"/>
      <c r="Y1073" s="1267"/>
      <c r="Z1073" s="1267"/>
      <c r="AA1073" s="1267"/>
      <c r="AB1073" s="1267"/>
      <c r="AC1073" s="1267"/>
      <c r="AD1073" s="1267"/>
      <c r="AE1073" s="1267"/>
      <c r="AF1073" s="1267"/>
      <c r="AG1073" s="1267"/>
      <c r="AH1073" s="1267"/>
      <c r="AI1073" s="1267"/>
      <c r="AJ1073" s="1267"/>
      <c r="AK1073" s="1267"/>
      <c r="AL1073" s="68"/>
      <c r="AM1073" s="68"/>
      <c r="AN1073" s="68"/>
      <c r="AO1073" s="68"/>
      <c r="AP1073" s="68"/>
      <c r="AQ1073" s="68"/>
      <c r="AR1073" s="68"/>
      <c r="AS1073" s="68"/>
      <c r="AT1073" s="68"/>
    </row>
    <row r="1074" spans="1:46" ht="12.95" hidden="1" customHeight="1">
      <c r="A1074" s="1"/>
      <c r="B1074" s="1"/>
      <c r="C1074" s="8"/>
      <c r="D1074" s="1267"/>
      <c r="E1074" s="1267"/>
      <c r="F1074" s="1267"/>
      <c r="G1074" s="1267"/>
      <c r="H1074" s="1267"/>
      <c r="I1074" s="1267"/>
      <c r="J1074" s="1267"/>
      <c r="K1074" s="1267"/>
      <c r="L1074" s="1267"/>
      <c r="M1074" s="1267"/>
      <c r="N1074" s="1267"/>
      <c r="O1074" s="1267"/>
      <c r="P1074" s="1267"/>
      <c r="Q1074" s="1267"/>
      <c r="R1074" s="1267"/>
      <c r="S1074" s="1267"/>
      <c r="T1074" s="1267"/>
      <c r="U1074" s="1267"/>
      <c r="V1074" s="1267"/>
      <c r="W1074" s="1267"/>
      <c r="X1074" s="1267"/>
      <c r="Y1074" s="1267"/>
      <c r="Z1074" s="1267"/>
      <c r="AA1074" s="1267"/>
      <c r="AB1074" s="1267"/>
      <c r="AC1074" s="1267"/>
      <c r="AD1074" s="1267"/>
      <c r="AE1074" s="1267"/>
      <c r="AF1074" s="1267"/>
      <c r="AG1074" s="1267"/>
      <c r="AH1074" s="1267"/>
      <c r="AI1074" s="1267"/>
      <c r="AJ1074" s="1267"/>
      <c r="AK1074" s="1267"/>
      <c r="AL1074" s="68"/>
      <c r="AM1074" s="68"/>
      <c r="AN1074" s="68"/>
      <c r="AO1074" s="68"/>
      <c r="AP1074" s="68"/>
      <c r="AQ1074" s="68"/>
      <c r="AR1074" s="68"/>
      <c r="AS1074" s="68"/>
      <c r="AT1074" s="68"/>
    </row>
    <row r="1075" spans="1:46" ht="12.95" customHeight="1">
      <c r="A1075" s="1"/>
      <c r="B1075" s="1"/>
      <c r="C1075" s="8"/>
      <c r="D1075" s="1267"/>
      <c r="E1075" s="1267"/>
      <c r="F1075" s="1267"/>
      <c r="G1075" s="1267"/>
      <c r="H1075" s="1267"/>
      <c r="I1075" s="1267"/>
      <c r="J1075" s="1267"/>
      <c r="K1075" s="1267"/>
      <c r="L1075" s="1267"/>
      <c r="M1075" s="1267"/>
      <c r="N1075" s="1267"/>
      <c r="O1075" s="1267"/>
      <c r="P1075" s="1267"/>
      <c r="Q1075" s="1267"/>
      <c r="R1075" s="1267"/>
      <c r="S1075" s="1267"/>
      <c r="T1075" s="1267"/>
      <c r="U1075" s="1267"/>
      <c r="V1075" s="1267"/>
      <c r="W1075" s="1267"/>
      <c r="X1075" s="1267"/>
      <c r="Y1075" s="1267"/>
      <c r="Z1075" s="1267"/>
      <c r="AA1075" s="1267"/>
      <c r="AB1075" s="1267"/>
      <c r="AC1075" s="1267"/>
      <c r="AD1075" s="1267"/>
      <c r="AE1075" s="1267"/>
      <c r="AF1075" s="1267"/>
      <c r="AG1075" s="1267"/>
      <c r="AH1075" s="1267"/>
      <c r="AI1075" s="1267"/>
      <c r="AJ1075" s="1267"/>
      <c r="AK1075" s="1267"/>
    </row>
    <row r="1076" spans="1:46" ht="12.95" customHeight="1">
      <c r="A1076" s="1413" t="s">
        <v>598</v>
      </c>
      <c r="B1076" s="1413"/>
      <c r="C1076" s="8">
        <v>3</v>
      </c>
      <c r="D1076" s="1267" t="s">
        <v>2453</v>
      </c>
      <c r="E1076" s="1267"/>
      <c r="F1076" s="1267"/>
      <c r="G1076" s="1267"/>
      <c r="H1076" s="1267"/>
      <c r="I1076" s="1267"/>
      <c r="J1076" s="1267"/>
      <c r="K1076" s="1267"/>
      <c r="L1076" s="1267"/>
      <c r="M1076" s="1267"/>
      <c r="N1076" s="1267"/>
      <c r="O1076" s="1267"/>
      <c r="P1076" s="1267"/>
      <c r="Q1076" s="1267"/>
      <c r="R1076" s="1267"/>
      <c r="S1076" s="1267"/>
      <c r="T1076" s="1267"/>
      <c r="U1076" s="1267"/>
      <c r="V1076" s="1267"/>
      <c r="W1076" s="1267"/>
      <c r="X1076" s="1267"/>
      <c r="Y1076" s="1267"/>
      <c r="Z1076" s="1267"/>
      <c r="AA1076" s="1267"/>
      <c r="AB1076" s="1267"/>
      <c r="AC1076" s="1267"/>
      <c r="AD1076" s="1267"/>
      <c r="AE1076" s="1267"/>
      <c r="AF1076" s="1267"/>
      <c r="AG1076" s="1267"/>
      <c r="AH1076" s="1267"/>
      <c r="AI1076" s="1267"/>
      <c r="AJ1076" s="1267"/>
      <c r="AK1076" s="1267"/>
    </row>
    <row r="1077" spans="1:46" ht="12.95" customHeight="1">
      <c r="A1077" s="4"/>
      <c r="B1077" s="4"/>
      <c r="C1077" s="8"/>
      <c r="D1077" s="1267"/>
      <c r="E1077" s="1267"/>
      <c r="F1077" s="1267"/>
      <c r="G1077" s="1267"/>
      <c r="H1077" s="1267"/>
      <c r="I1077" s="1267"/>
      <c r="J1077" s="1267"/>
      <c r="K1077" s="1267"/>
      <c r="L1077" s="1267"/>
      <c r="M1077" s="1267"/>
      <c r="N1077" s="1267"/>
      <c r="O1077" s="1267"/>
      <c r="P1077" s="1267"/>
      <c r="Q1077" s="1267"/>
      <c r="R1077" s="1267"/>
      <c r="S1077" s="1267"/>
      <c r="T1077" s="1267"/>
      <c r="U1077" s="1267"/>
      <c r="V1077" s="1267"/>
      <c r="W1077" s="1267"/>
      <c r="X1077" s="1267"/>
      <c r="Y1077" s="1267"/>
      <c r="Z1077" s="1267"/>
      <c r="AA1077" s="1267"/>
      <c r="AB1077" s="1267"/>
      <c r="AC1077" s="1267"/>
      <c r="AD1077" s="1267"/>
      <c r="AE1077" s="1267"/>
      <c r="AF1077" s="1267"/>
      <c r="AG1077" s="1267"/>
      <c r="AH1077" s="1267"/>
      <c r="AI1077" s="1267"/>
      <c r="AJ1077" s="1267"/>
      <c r="AK1077" s="1267"/>
    </row>
    <row r="1078" spans="1:46" ht="12.95" customHeight="1">
      <c r="A1078" s="4"/>
      <c r="B1078" s="4"/>
      <c r="C1078" s="8"/>
      <c r="D1078" s="1267"/>
      <c r="E1078" s="1267"/>
      <c r="F1078" s="1267"/>
      <c r="G1078" s="1267"/>
      <c r="H1078" s="1267"/>
      <c r="I1078" s="1267"/>
      <c r="J1078" s="1267"/>
      <c r="K1078" s="1267"/>
      <c r="L1078" s="1267"/>
      <c r="M1078" s="1267"/>
      <c r="N1078" s="1267"/>
      <c r="O1078" s="1267"/>
      <c r="P1078" s="1267"/>
      <c r="Q1078" s="1267"/>
      <c r="R1078" s="1267"/>
      <c r="S1078" s="1267"/>
      <c r="T1078" s="1267"/>
      <c r="U1078" s="1267"/>
      <c r="V1078" s="1267"/>
      <c r="W1078" s="1267"/>
      <c r="X1078" s="1267"/>
      <c r="Y1078" s="1267"/>
      <c r="Z1078" s="1267"/>
      <c r="AA1078" s="1267"/>
      <c r="AB1078" s="1267"/>
      <c r="AC1078" s="1267"/>
      <c r="AD1078" s="1267"/>
      <c r="AE1078" s="1267"/>
      <c r="AF1078" s="1267"/>
      <c r="AG1078" s="1267"/>
      <c r="AH1078" s="1267"/>
      <c r="AI1078" s="1267"/>
      <c r="AJ1078" s="1267"/>
      <c r="AK1078" s="1267"/>
    </row>
    <row r="1079" spans="1:46" ht="12.95" customHeight="1">
      <c r="A1079" s="35"/>
      <c r="B1079" s="25"/>
      <c r="C1079" s="8"/>
      <c r="D1079" s="1267"/>
      <c r="E1079" s="1267"/>
      <c r="F1079" s="1267"/>
      <c r="G1079" s="1267"/>
      <c r="H1079" s="1267"/>
      <c r="I1079" s="1267"/>
      <c r="J1079" s="1267"/>
      <c r="K1079" s="1267"/>
      <c r="L1079" s="1267"/>
      <c r="M1079" s="1267"/>
      <c r="N1079" s="1267"/>
      <c r="O1079" s="1267"/>
      <c r="P1079" s="1267"/>
      <c r="Q1079" s="1267"/>
      <c r="R1079" s="1267"/>
      <c r="S1079" s="1267"/>
      <c r="T1079" s="1267"/>
      <c r="U1079" s="1267"/>
      <c r="V1079" s="1267"/>
      <c r="W1079" s="1267"/>
      <c r="X1079" s="1267"/>
      <c r="Y1079" s="1267"/>
      <c r="Z1079" s="1267"/>
      <c r="AA1079" s="1267"/>
      <c r="AB1079" s="1267"/>
      <c r="AC1079" s="1267"/>
      <c r="AD1079" s="1267"/>
      <c r="AE1079" s="1267"/>
      <c r="AF1079" s="1267"/>
      <c r="AG1079" s="1267"/>
      <c r="AH1079" s="1267"/>
      <c r="AI1079" s="1267"/>
      <c r="AJ1079" s="1267"/>
      <c r="AK1079" s="1267"/>
    </row>
    <row r="1080" spans="1:46" ht="12.95" customHeight="1">
      <c r="A1080" s="35"/>
      <c r="B1080" s="25"/>
      <c r="C1080" s="8"/>
      <c r="D1080" s="1267"/>
      <c r="E1080" s="1267"/>
      <c r="F1080" s="1267"/>
      <c r="G1080" s="1267"/>
      <c r="H1080" s="1267"/>
      <c r="I1080" s="1267"/>
      <c r="J1080" s="1267"/>
      <c r="K1080" s="1267"/>
      <c r="L1080" s="1267"/>
      <c r="M1080" s="1267"/>
      <c r="N1080" s="1267"/>
      <c r="O1080" s="1267"/>
      <c r="P1080" s="1267"/>
      <c r="Q1080" s="1267"/>
      <c r="R1080" s="1267"/>
      <c r="S1080" s="1267"/>
      <c r="T1080" s="1267"/>
      <c r="U1080" s="1267"/>
      <c r="V1080" s="1267"/>
      <c r="W1080" s="1267"/>
      <c r="X1080" s="1267"/>
      <c r="Y1080" s="1267"/>
      <c r="Z1080" s="1267"/>
      <c r="AA1080" s="1267"/>
      <c r="AB1080" s="1267"/>
      <c r="AC1080" s="1267"/>
      <c r="AD1080" s="1267"/>
      <c r="AE1080" s="1267"/>
      <c r="AF1080" s="1267"/>
      <c r="AG1080" s="1267"/>
      <c r="AH1080" s="1267"/>
      <c r="AI1080" s="1267"/>
      <c r="AJ1080" s="1267"/>
      <c r="AK1080" s="1267"/>
    </row>
    <row r="1081" spans="1:46" ht="12.95" customHeight="1">
      <c r="A1081" s="35"/>
      <c r="B1081" s="25"/>
      <c r="C1081" s="8"/>
      <c r="D1081" s="1267"/>
      <c r="E1081" s="1267"/>
      <c r="F1081" s="1267"/>
      <c r="G1081" s="1267"/>
      <c r="H1081" s="1267"/>
      <c r="I1081" s="1267"/>
      <c r="J1081" s="1267"/>
      <c r="K1081" s="1267"/>
      <c r="L1081" s="1267"/>
      <c r="M1081" s="1267"/>
      <c r="N1081" s="1267"/>
      <c r="O1081" s="1267"/>
      <c r="P1081" s="1267"/>
      <c r="Q1081" s="1267"/>
      <c r="R1081" s="1267"/>
      <c r="S1081" s="1267"/>
      <c r="T1081" s="1267"/>
      <c r="U1081" s="1267"/>
      <c r="V1081" s="1267"/>
      <c r="W1081" s="1267"/>
      <c r="X1081" s="1267"/>
      <c r="Y1081" s="1267"/>
      <c r="Z1081" s="1267"/>
      <c r="AA1081" s="1267"/>
      <c r="AB1081" s="1267"/>
      <c r="AC1081" s="1267"/>
      <c r="AD1081" s="1267"/>
      <c r="AE1081" s="1267"/>
      <c r="AF1081" s="1267"/>
      <c r="AG1081" s="1267"/>
      <c r="AH1081" s="1267"/>
      <c r="AI1081" s="1267"/>
      <c r="AJ1081" s="1267"/>
      <c r="AK1081" s="1267"/>
    </row>
    <row r="1082" spans="1:46" ht="12.95" customHeight="1">
      <c r="A1082" s="35"/>
      <c r="B1082" s="25"/>
      <c r="C1082" s="8"/>
      <c r="D1082" s="1267"/>
      <c r="E1082" s="1267"/>
      <c r="F1082" s="1267"/>
      <c r="G1082" s="1267"/>
      <c r="H1082" s="1267"/>
      <c r="I1082" s="1267"/>
      <c r="J1082" s="1267"/>
      <c r="K1082" s="1267"/>
      <c r="L1082" s="1267"/>
      <c r="M1082" s="1267"/>
      <c r="N1082" s="1267"/>
      <c r="O1082" s="1267"/>
      <c r="P1082" s="1267"/>
      <c r="Q1082" s="1267"/>
      <c r="R1082" s="1267"/>
      <c r="S1082" s="1267"/>
      <c r="T1082" s="1267"/>
      <c r="U1082" s="1267"/>
      <c r="V1082" s="1267"/>
      <c r="W1082" s="1267"/>
      <c r="X1082" s="1267"/>
      <c r="Y1082" s="1267"/>
      <c r="Z1082" s="1267"/>
      <c r="AA1082" s="1267"/>
      <c r="AB1082" s="1267"/>
      <c r="AC1082" s="1267"/>
      <c r="AD1082" s="1267"/>
      <c r="AE1082" s="1267"/>
      <c r="AF1082" s="1267"/>
      <c r="AG1082" s="1267"/>
      <c r="AH1082" s="1267"/>
      <c r="AI1082" s="1267"/>
      <c r="AJ1082" s="1267"/>
      <c r="AK1082" s="1267"/>
    </row>
    <row r="1083" spans="1:46" ht="12.95" customHeight="1">
      <c r="A1083" s="1413" t="s">
        <v>598</v>
      </c>
      <c r="B1083" s="1413"/>
      <c r="C1083" s="8">
        <v>4</v>
      </c>
      <c r="D1083" s="1267" t="s">
        <v>1115</v>
      </c>
      <c r="E1083" s="1267"/>
      <c r="F1083" s="1267"/>
      <c r="G1083" s="1267"/>
      <c r="H1083" s="1267"/>
      <c r="I1083" s="1267"/>
      <c r="J1083" s="1267"/>
      <c r="K1083" s="1267"/>
      <c r="L1083" s="1267"/>
      <c r="M1083" s="1267"/>
      <c r="N1083" s="1267"/>
      <c r="O1083" s="1267"/>
      <c r="P1083" s="1267"/>
      <c r="Q1083" s="1267"/>
      <c r="R1083" s="1267"/>
      <c r="S1083" s="1267"/>
      <c r="T1083" s="1267"/>
      <c r="U1083" s="1267"/>
      <c r="V1083" s="1267"/>
      <c r="W1083" s="1267"/>
      <c r="X1083" s="1267"/>
      <c r="Y1083" s="1267"/>
      <c r="Z1083" s="1267"/>
      <c r="AA1083" s="1267"/>
      <c r="AB1083" s="1267"/>
      <c r="AC1083" s="1267"/>
      <c r="AD1083" s="1267"/>
      <c r="AE1083" s="1267"/>
      <c r="AF1083" s="1267"/>
      <c r="AG1083" s="1267"/>
      <c r="AH1083" s="1267"/>
      <c r="AI1083" s="1267"/>
      <c r="AJ1083" s="1267"/>
      <c r="AK1083" s="1267"/>
    </row>
    <row r="1084" spans="1:46" ht="12.95" customHeight="1">
      <c r="A1084" s="1"/>
      <c r="B1084" s="1"/>
      <c r="C1084" s="8"/>
      <c r="D1084" s="1267"/>
      <c r="E1084" s="1267"/>
      <c r="F1084" s="1267"/>
      <c r="G1084" s="1267"/>
      <c r="H1084" s="1267"/>
      <c r="I1084" s="1267"/>
      <c r="J1084" s="1267"/>
      <c r="K1084" s="1267"/>
      <c r="L1084" s="1267"/>
      <c r="M1084" s="1267"/>
      <c r="N1084" s="1267"/>
      <c r="O1084" s="1267"/>
      <c r="P1084" s="1267"/>
      <c r="Q1084" s="1267"/>
      <c r="R1084" s="1267"/>
      <c r="S1084" s="1267"/>
      <c r="T1084" s="1267"/>
      <c r="U1084" s="1267"/>
      <c r="V1084" s="1267"/>
      <c r="W1084" s="1267"/>
      <c r="X1084" s="1267"/>
      <c r="Y1084" s="1267"/>
      <c r="Z1084" s="1267"/>
      <c r="AA1084" s="1267"/>
      <c r="AB1084" s="1267"/>
      <c r="AC1084" s="1267"/>
      <c r="AD1084" s="1267"/>
      <c r="AE1084" s="1267"/>
      <c r="AF1084" s="1267"/>
      <c r="AG1084" s="1267"/>
      <c r="AH1084" s="1267"/>
      <c r="AI1084" s="1267"/>
      <c r="AJ1084" s="1267"/>
      <c r="AK1084" s="1267"/>
    </row>
    <row r="1085" spans="1:46" ht="12.95" customHeight="1">
      <c r="A1085" s="35"/>
      <c r="B1085" s="25"/>
      <c r="C1085" s="8"/>
      <c r="D1085" s="1267"/>
      <c r="E1085" s="1267"/>
      <c r="F1085" s="1267"/>
      <c r="G1085" s="1267"/>
      <c r="H1085" s="1267"/>
      <c r="I1085" s="1267"/>
      <c r="J1085" s="1267"/>
      <c r="K1085" s="1267"/>
      <c r="L1085" s="1267"/>
      <c r="M1085" s="1267"/>
      <c r="N1085" s="1267"/>
      <c r="O1085" s="1267"/>
      <c r="P1085" s="1267"/>
      <c r="Q1085" s="1267"/>
      <c r="R1085" s="1267"/>
      <c r="S1085" s="1267"/>
      <c r="T1085" s="1267"/>
      <c r="U1085" s="1267"/>
      <c r="V1085" s="1267"/>
      <c r="W1085" s="1267"/>
      <c r="X1085" s="1267"/>
      <c r="Y1085" s="1267"/>
      <c r="Z1085" s="1267"/>
      <c r="AA1085" s="1267"/>
      <c r="AB1085" s="1267"/>
      <c r="AC1085" s="1267"/>
      <c r="AD1085" s="1267"/>
      <c r="AE1085" s="1267"/>
      <c r="AF1085" s="1267"/>
      <c r="AG1085" s="1267"/>
      <c r="AH1085" s="1267"/>
      <c r="AI1085" s="1267"/>
      <c r="AJ1085" s="1267"/>
      <c r="AK1085" s="1267"/>
    </row>
    <row r="1086" spans="1:46" ht="12.95" customHeight="1">
      <c r="A1086" s="1413" t="s">
        <v>598</v>
      </c>
      <c r="B1086" s="1413"/>
      <c r="C1086" s="8">
        <v>5</v>
      </c>
      <c r="D1086" s="1267" t="s">
        <v>2454</v>
      </c>
      <c r="E1086" s="1267"/>
      <c r="F1086" s="1267"/>
      <c r="G1086" s="1267"/>
      <c r="H1086" s="1267"/>
      <c r="I1086" s="1267"/>
      <c r="J1086" s="1267"/>
      <c r="K1086" s="1267"/>
      <c r="L1086" s="1267"/>
      <c r="M1086" s="1267"/>
      <c r="N1086" s="1267"/>
      <c r="O1086" s="1267"/>
      <c r="P1086" s="1267"/>
      <c r="Q1086" s="1267"/>
      <c r="R1086" s="1267"/>
      <c r="S1086" s="1267"/>
      <c r="T1086" s="1267"/>
      <c r="U1086" s="1267"/>
      <c r="V1086" s="1267"/>
      <c r="W1086" s="1267"/>
      <c r="X1086" s="1267"/>
      <c r="Y1086" s="1267"/>
      <c r="Z1086" s="1267"/>
      <c r="AA1086" s="1267"/>
      <c r="AB1086" s="1267"/>
      <c r="AC1086" s="1267"/>
      <c r="AD1086" s="1267"/>
      <c r="AE1086" s="1267"/>
      <c r="AF1086" s="1267"/>
      <c r="AG1086" s="1267"/>
      <c r="AH1086" s="1267"/>
      <c r="AI1086" s="1267"/>
      <c r="AJ1086" s="1267"/>
      <c r="AK1086" s="1267"/>
    </row>
    <row r="1087" spans="1:46" ht="12.95" customHeight="1">
      <c r="A1087" s="1"/>
      <c r="B1087" s="1"/>
      <c r="C1087" s="8"/>
      <c r="D1087" s="1267"/>
      <c r="E1087" s="1267"/>
      <c r="F1087" s="1267"/>
      <c r="G1087" s="1267"/>
      <c r="H1087" s="1267"/>
      <c r="I1087" s="1267"/>
      <c r="J1087" s="1267"/>
      <c r="K1087" s="1267"/>
      <c r="L1087" s="1267"/>
      <c r="M1087" s="1267"/>
      <c r="N1087" s="1267"/>
      <c r="O1087" s="1267"/>
      <c r="P1087" s="1267"/>
      <c r="Q1087" s="1267"/>
      <c r="R1087" s="1267"/>
      <c r="S1087" s="1267"/>
      <c r="T1087" s="1267"/>
      <c r="U1087" s="1267"/>
      <c r="V1087" s="1267"/>
      <c r="W1087" s="1267"/>
      <c r="X1087" s="1267"/>
      <c r="Y1087" s="1267"/>
      <c r="Z1087" s="1267"/>
      <c r="AA1087" s="1267"/>
      <c r="AB1087" s="1267"/>
      <c r="AC1087" s="1267"/>
      <c r="AD1087" s="1267"/>
      <c r="AE1087" s="1267"/>
      <c r="AF1087" s="1267"/>
      <c r="AG1087" s="1267"/>
      <c r="AH1087" s="1267"/>
      <c r="AI1087" s="1267"/>
      <c r="AJ1087" s="1267"/>
      <c r="AK1087" s="1267"/>
    </row>
    <row r="1088" spans="1:46" ht="12.95" customHeight="1">
      <c r="A1088" s="1"/>
      <c r="B1088" s="1"/>
      <c r="C1088" s="8"/>
      <c r="D1088" s="1267"/>
      <c r="E1088" s="1267"/>
      <c r="F1088" s="1267"/>
      <c r="G1088" s="1267"/>
      <c r="H1088" s="1267"/>
      <c r="I1088" s="1267"/>
      <c r="J1088" s="1267"/>
      <c r="K1088" s="1267"/>
      <c r="L1088" s="1267"/>
      <c r="M1088" s="1267"/>
      <c r="N1088" s="1267"/>
      <c r="O1088" s="1267"/>
      <c r="P1088" s="1267"/>
      <c r="Q1088" s="1267"/>
      <c r="R1088" s="1267"/>
      <c r="S1088" s="1267"/>
      <c r="T1088" s="1267"/>
      <c r="U1088" s="1267"/>
      <c r="V1088" s="1267"/>
      <c r="W1088" s="1267"/>
      <c r="X1088" s="1267"/>
      <c r="Y1088" s="1267"/>
      <c r="Z1088" s="1267"/>
      <c r="AA1088" s="1267"/>
      <c r="AB1088" s="1267"/>
      <c r="AC1088" s="1267"/>
      <c r="AD1088" s="1267"/>
      <c r="AE1088" s="1267"/>
      <c r="AF1088" s="1267"/>
      <c r="AG1088" s="1267"/>
      <c r="AH1088" s="1267"/>
      <c r="AI1088" s="1267"/>
      <c r="AJ1088" s="1267"/>
      <c r="AK1088" s="1267"/>
    </row>
    <row r="1089" spans="1:37" ht="12.95" hidden="1" customHeight="1">
      <c r="A1089" s="1"/>
      <c r="B1089" s="1"/>
      <c r="C1089" s="8"/>
      <c r="D1089" s="1267"/>
      <c r="E1089" s="1267"/>
      <c r="F1089" s="1267"/>
      <c r="G1089" s="1267"/>
      <c r="H1089" s="1267"/>
      <c r="I1089" s="1267"/>
      <c r="J1089" s="1267"/>
      <c r="K1089" s="1267"/>
      <c r="L1089" s="1267"/>
      <c r="M1089" s="1267"/>
      <c r="N1089" s="1267"/>
      <c r="O1089" s="1267"/>
      <c r="P1089" s="1267"/>
      <c r="Q1089" s="1267"/>
      <c r="R1089" s="1267"/>
      <c r="S1089" s="1267"/>
      <c r="T1089" s="1267"/>
      <c r="U1089" s="1267"/>
      <c r="V1089" s="1267"/>
      <c r="W1089" s="1267"/>
      <c r="X1089" s="1267"/>
      <c r="Y1089" s="1267"/>
      <c r="Z1089" s="1267"/>
      <c r="AA1089" s="1267"/>
      <c r="AB1089" s="1267"/>
      <c r="AC1089" s="1267"/>
      <c r="AD1089" s="1267"/>
      <c r="AE1089" s="1267"/>
      <c r="AF1089" s="1267"/>
      <c r="AG1089" s="1267"/>
      <c r="AH1089" s="1267"/>
      <c r="AI1089" s="1267"/>
      <c r="AJ1089" s="1267"/>
      <c r="AK1089" s="1267"/>
    </row>
    <row r="1090" spans="1:37" ht="12.95" customHeight="1">
      <c r="A1090" s="35"/>
      <c r="B1090" s="25"/>
      <c r="C1090" s="8"/>
      <c r="D1090" s="1267"/>
      <c r="E1090" s="1267"/>
      <c r="F1090" s="1267"/>
      <c r="G1090" s="1267"/>
      <c r="H1090" s="1267"/>
      <c r="I1090" s="1267"/>
      <c r="J1090" s="1267"/>
      <c r="K1090" s="1267"/>
      <c r="L1090" s="1267"/>
      <c r="M1090" s="1267"/>
      <c r="N1090" s="1267"/>
      <c r="O1090" s="1267"/>
      <c r="P1090" s="1267"/>
      <c r="Q1090" s="1267"/>
      <c r="R1090" s="1267"/>
      <c r="S1090" s="1267"/>
      <c r="T1090" s="1267"/>
      <c r="U1090" s="1267"/>
      <c r="V1090" s="1267"/>
      <c r="W1090" s="1267"/>
      <c r="X1090" s="1267"/>
      <c r="Y1090" s="1267"/>
      <c r="Z1090" s="1267"/>
      <c r="AA1090" s="1267"/>
      <c r="AB1090" s="1267"/>
      <c r="AC1090" s="1267"/>
      <c r="AD1090" s="1267"/>
      <c r="AE1090" s="1267"/>
      <c r="AF1090" s="1267"/>
      <c r="AG1090" s="1267"/>
      <c r="AH1090" s="1267"/>
      <c r="AI1090" s="1267"/>
      <c r="AJ1090" s="1267"/>
      <c r="AK1090" s="1267"/>
    </row>
    <row r="1091" spans="1:37" ht="12.95" customHeight="1">
      <c r="A1091" s="1413" t="s">
        <v>598</v>
      </c>
      <c r="B1091" s="1413"/>
      <c r="C1091" s="8">
        <v>6</v>
      </c>
      <c r="D1091" s="1267" t="s">
        <v>1116</v>
      </c>
      <c r="E1091" s="1267"/>
      <c r="F1091" s="1267"/>
      <c r="G1091" s="1267"/>
      <c r="H1091" s="1267"/>
      <c r="I1091" s="1267"/>
      <c r="J1091" s="1267"/>
      <c r="K1091" s="1267"/>
      <c r="L1091" s="1267"/>
      <c r="M1091" s="1267"/>
      <c r="N1091" s="1267"/>
      <c r="O1091" s="1267"/>
      <c r="P1091" s="1267"/>
      <c r="Q1091" s="1267"/>
      <c r="R1091" s="1267"/>
      <c r="S1091" s="1267"/>
      <c r="T1091" s="1267"/>
      <c r="U1091" s="1267"/>
      <c r="V1091" s="1267"/>
      <c r="W1091" s="1267"/>
      <c r="X1091" s="1267"/>
      <c r="Y1091" s="1267"/>
      <c r="Z1091" s="1267"/>
      <c r="AA1091" s="1267"/>
      <c r="AB1091" s="1267"/>
      <c r="AC1091" s="1267"/>
      <c r="AD1091" s="1267"/>
      <c r="AE1091" s="1267"/>
      <c r="AF1091" s="1267"/>
      <c r="AG1091" s="1267"/>
      <c r="AH1091" s="1267"/>
      <c r="AI1091" s="1267"/>
      <c r="AJ1091" s="1267"/>
      <c r="AK1091" s="1267"/>
    </row>
    <row r="1092" spans="1:37" ht="12.95" customHeight="1">
      <c r="A1092" s="35"/>
      <c r="B1092" s="25"/>
      <c r="C1092" s="8"/>
      <c r="D1092" s="1267"/>
      <c r="E1092" s="1267"/>
      <c r="F1092" s="1267"/>
      <c r="G1092" s="1267"/>
      <c r="H1092" s="1267"/>
      <c r="I1092" s="1267"/>
      <c r="J1092" s="1267"/>
      <c r="K1092" s="1267"/>
      <c r="L1092" s="1267"/>
      <c r="M1092" s="1267"/>
      <c r="N1092" s="1267"/>
      <c r="O1092" s="1267"/>
      <c r="P1092" s="1267"/>
      <c r="Q1092" s="1267"/>
      <c r="R1092" s="1267"/>
      <c r="S1092" s="1267"/>
      <c r="T1092" s="1267"/>
      <c r="U1092" s="1267"/>
      <c r="V1092" s="1267"/>
      <c r="W1092" s="1267"/>
      <c r="X1092" s="1267"/>
      <c r="Y1092" s="1267"/>
      <c r="Z1092" s="1267"/>
      <c r="AA1092" s="1267"/>
      <c r="AB1092" s="1267"/>
      <c r="AC1092" s="1267"/>
      <c r="AD1092" s="1267"/>
      <c r="AE1092" s="1267"/>
      <c r="AF1092" s="1267"/>
      <c r="AG1092" s="1267"/>
      <c r="AH1092" s="1267"/>
      <c r="AI1092" s="1267"/>
      <c r="AJ1092" s="1267"/>
      <c r="AK1092" s="1267"/>
    </row>
    <row r="1093" spans="1:37" ht="12.95" customHeight="1">
      <c r="A1093" s="35"/>
      <c r="B1093" s="25"/>
      <c r="C1093" s="8"/>
      <c r="D1093" s="1267"/>
      <c r="E1093" s="1267"/>
      <c r="F1093" s="1267"/>
      <c r="G1093" s="1267"/>
      <c r="H1093" s="1267"/>
      <c r="I1093" s="1267"/>
      <c r="J1093" s="1267"/>
      <c r="K1093" s="1267"/>
      <c r="L1093" s="1267"/>
      <c r="M1093" s="1267"/>
      <c r="N1093" s="1267"/>
      <c r="O1093" s="1267"/>
      <c r="P1093" s="1267"/>
      <c r="Q1093" s="1267"/>
      <c r="R1093" s="1267"/>
      <c r="S1093" s="1267"/>
      <c r="T1093" s="1267"/>
      <c r="U1093" s="1267"/>
      <c r="V1093" s="1267"/>
      <c r="W1093" s="1267"/>
      <c r="X1093" s="1267"/>
      <c r="Y1093" s="1267"/>
      <c r="Z1093" s="1267"/>
      <c r="AA1093" s="1267"/>
      <c r="AB1093" s="1267"/>
      <c r="AC1093" s="1267"/>
      <c r="AD1093" s="1267"/>
      <c r="AE1093" s="1267"/>
      <c r="AF1093" s="1267"/>
      <c r="AG1093" s="1267"/>
      <c r="AH1093" s="1267"/>
      <c r="AI1093" s="1267"/>
      <c r="AJ1093" s="1267"/>
      <c r="AK1093" s="1267"/>
    </row>
    <row r="1094" spans="1:37" ht="12.95" customHeight="1">
      <c r="A1094" s="1413" t="s">
        <v>598</v>
      </c>
      <c r="B1094" s="1413"/>
      <c r="C1094" s="212">
        <v>7</v>
      </c>
      <c r="D1094" s="1267" t="s">
        <v>1118</v>
      </c>
      <c r="E1094" s="1267"/>
      <c r="F1094" s="1267"/>
      <c r="G1094" s="1267"/>
      <c r="H1094" s="1267"/>
      <c r="I1094" s="1267"/>
      <c r="J1094" s="1267"/>
      <c r="K1094" s="1267"/>
      <c r="L1094" s="1267"/>
      <c r="M1094" s="1267"/>
      <c r="N1094" s="1267"/>
      <c r="O1094" s="1267"/>
      <c r="P1094" s="1267"/>
      <c r="Q1094" s="1267"/>
      <c r="R1094" s="1267"/>
      <c r="S1094" s="1267"/>
      <c r="T1094" s="1267"/>
      <c r="U1094" s="1267"/>
      <c r="V1094" s="1267"/>
      <c r="W1094" s="1267"/>
      <c r="X1094" s="1267"/>
      <c r="Y1094" s="1267"/>
      <c r="Z1094" s="1267"/>
      <c r="AA1094" s="1267"/>
      <c r="AB1094" s="1267"/>
      <c r="AC1094" s="1267"/>
      <c r="AD1094" s="1267"/>
      <c r="AE1094" s="1267"/>
      <c r="AF1094" s="1267"/>
      <c r="AG1094" s="1267"/>
      <c r="AH1094" s="1267"/>
      <c r="AI1094" s="1267"/>
      <c r="AJ1094" s="1267"/>
      <c r="AK1094" s="1267"/>
    </row>
    <row r="1095" spans="1:37" ht="12.95" customHeight="1">
      <c r="A1095" s="1"/>
      <c r="B1095" s="1"/>
      <c r="C1095" s="212"/>
      <c r="D1095" s="1267"/>
      <c r="E1095" s="1267"/>
      <c r="F1095" s="1267"/>
      <c r="G1095" s="1267"/>
      <c r="H1095" s="1267"/>
      <c r="I1095" s="1267"/>
      <c r="J1095" s="1267"/>
      <c r="K1095" s="1267"/>
      <c r="L1095" s="1267"/>
      <c r="M1095" s="1267"/>
      <c r="N1095" s="1267"/>
      <c r="O1095" s="1267"/>
      <c r="P1095" s="1267"/>
      <c r="Q1095" s="1267"/>
      <c r="R1095" s="1267"/>
      <c r="S1095" s="1267"/>
      <c r="T1095" s="1267"/>
      <c r="U1095" s="1267"/>
      <c r="V1095" s="1267"/>
      <c r="W1095" s="1267"/>
      <c r="X1095" s="1267"/>
      <c r="Y1095" s="1267"/>
      <c r="Z1095" s="1267"/>
      <c r="AA1095" s="1267"/>
      <c r="AB1095" s="1267"/>
      <c r="AC1095" s="1267"/>
      <c r="AD1095" s="1267"/>
      <c r="AE1095" s="1267"/>
      <c r="AF1095" s="1267"/>
      <c r="AG1095" s="1267"/>
      <c r="AH1095" s="1267"/>
      <c r="AI1095" s="1267"/>
      <c r="AJ1095" s="1267"/>
      <c r="AK1095" s="1267"/>
    </row>
    <row r="1096" spans="1:37" ht="12.95" customHeight="1">
      <c r="A1096" s="1"/>
      <c r="B1096" s="1"/>
      <c r="C1096" s="212"/>
      <c r="D1096" s="1267"/>
      <c r="E1096" s="1267"/>
      <c r="F1096" s="1267"/>
      <c r="G1096" s="1267"/>
      <c r="H1096" s="1267"/>
      <c r="I1096" s="1267"/>
      <c r="J1096" s="1267"/>
      <c r="K1096" s="1267"/>
      <c r="L1096" s="1267"/>
      <c r="M1096" s="1267"/>
      <c r="N1096" s="1267"/>
      <c r="O1096" s="1267"/>
      <c r="P1096" s="1267"/>
      <c r="Q1096" s="1267"/>
      <c r="R1096" s="1267"/>
      <c r="S1096" s="1267"/>
      <c r="T1096" s="1267"/>
      <c r="U1096" s="1267"/>
      <c r="V1096" s="1267"/>
      <c r="W1096" s="1267"/>
      <c r="X1096" s="1267"/>
      <c r="Y1096" s="1267"/>
      <c r="Z1096" s="1267"/>
      <c r="AA1096" s="1267"/>
      <c r="AB1096" s="1267"/>
      <c r="AC1096" s="1267"/>
      <c r="AD1096" s="1267"/>
      <c r="AE1096" s="1267"/>
      <c r="AF1096" s="1267"/>
      <c r="AG1096" s="1267"/>
      <c r="AH1096" s="1267"/>
      <c r="AI1096" s="1267"/>
      <c r="AJ1096" s="1267"/>
      <c r="AK1096" s="1267"/>
    </row>
    <row r="1097" spans="1:37" ht="12.95" customHeight="1">
      <c r="A1097" s="35"/>
      <c r="B1097" s="25"/>
      <c r="C1097" s="212"/>
      <c r="D1097" s="1267"/>
      <c r="E1097" s="1267"/>
      <c r="F1097" s="1267"/>
      <c r="G1097" s="1267"/>
      <c r="H1097" s="1267"/>
      <c r="I1097" s="1267"/>
      <c r="J1097" s="1267"/>
      <c r="K1097" s="1267"/>
      <c r="L1097" s="1267"/>
      <c r="M1097" s="1267"/>
      <c r="N1097" s="1267"/>
      <c r="O1097" s="1267"/>
      <c r="P1097" s="1267"/>
      <c r="Q1097" s="1267"/>
      <c r="R1097" s="1267"/>
      <c r="S1097" s="1267"/>
      <c r="T1097" s="1267"/>
      <c r="U1097" s="1267"/>
      <c r="V1097" s="1267"/>
      <c r="W1097" s="1267"/>
      <c r="X1097" s="1267"/>
      <c r="Y1097" s="1267"/>
      <c r="Z1097" s="1267"/>
      <c r="AA1097" s="1267"/>
      <c r="AB1097" s="1267"/>
      <c r="AC1097" s="1267"/>
      <c r="AD1097" s="1267"/>
      <c r="AE1097" s="1267"/>
      <c r="AF1097" s="1267"/>
      <c r="AG1097" s="1267"/>
      <c r="AH1097" s="1267"/>
      <c r="AI1097" s="1267"/>
      <c r="AJ1097" s="1267"/>
      <c r="AK1097" s="1267"/>
    </row>
    <row r="1098" spans="1:37" ht="12.95" customHeight="1">
      <c r="A1098" s="1413" t="s">
        <v>598</v>
      </c>
      <c r="B1098" s="1413"/>
      <c r="C1098" s="212">
        <v>8</v>
      </c>
      <c r="D1098" s="1351" t="s">
        <v>1867</v>
      </c>
      <c r="E1098" s="1351"/>
      <c r="F1098" s="1351"/>
      <c r="G1098" s="1351"/>
      <c r="H1098" s="1351"/>
      <c r="I1098" s="1351"/>
      <c r="J1098" s="1351"/>
      <c r="K1098" s="1351"/>
      <c r="L1098" s="1351"/>
      <c r="M1098" s="1351"/>
      <c r="N1098" s="1351"/>
      <c r="O1098" s="1351"/>
      <c r="P1098" s="1351"/>
      <c r="Q1098" s="1351"/>
      <c r="R1098" s="1351"/>
      <c r="S1098" s="1351"/>
      <c r="T1098" s="1351"/>
      <c r="U1098" s="1351"/>
      <c r="V1098" s="1351"/>
      <c r="W1098" s="1351"/>
      <c r="X1098" s="1351"/>
      <c r="Y1098" s="1351"/>
      <c r="Z1098" s="1351"/>
      <c r="AA1098" s="1351"/>
      <c r="AB1098" s="1351"/>
      <c r="AC1098" s="1351"/>
      <c r="AD1098" s="1351"/>
      <c r="AE1098" s="1351"/>
      <c r="AF1098" s="1351"/>
      <c r="AG1098" s="1351"/>
      <c r="AH1098" s="1351"/>
      <c r="AI1098" s="1351"/>
      <c r="AJ1098" s="1351"/>
      <c r="AK1098" s="1351"/>
    </row>
    <row r="1099" spans="1:37" ht="12.95" customHeight="1">
      <c r="A1099" s="1"/>
      <c r="B1099" s="1"/>
      <c r="C1099" s="212"/>
      <c r="D1099" s="1351"/>
      <c r="E1099" s="1351"/>
      <c r="F1099" s="1351"/>
      <c r="G1099" s="1351"/>
      <c r="H1099" s="1351"/>
      <c r="I1099" s="1351"/>
      <c r="J1099" s="1351"/>
      <c r="K1099" s="1351"/>
      <c r="L1099" s="1351"/>
      <c r="M1099" s="1351"/>
      <c r="N1099" s="1351"/>
      <c r="O1099" s="1351"/>
      <c r="P1099" s="1351"/>
      <c r="Q1099" s="1351"/>
      <c r="R1099" s="1351"/>
      <c r="S1099" s="1351"/>
      <c r="T1099" s="1351"/>
      <c r="U1099" s="1351"/>
      <c r="V1099" s="1351"/>
      <c r="W1099" s="1351"/>
      <c r="X1099" s="1351"/>
      <c r="Y1099" s="1351"/>
      <c r="Z1099" s="1351"/>
      <c r="AA1099" s="1351"/>
      <c r="AB1099" s="1351"/>
      <c r="AC1099" s="1351"/>
      <c r="AD1099" s="1351"/>
      <c r="AE1099" s="1351"/>
      <c r="AF1099" s="1351"/>
      <c r="AG1099" s="1351"/>
      <c r="AH1099" s="1351"/>
      <c r="AI1099" s="1351"/>
      <c r="AJ1099" s="1351"/>
      <c r="AK1099" s="1351"/>
    </row>
    <row r="1100" spans="1:37" ht="12.95" customHeight="1">
      <c r="A1100" s="1"/>
      <c r="B1100" s="1"/>
      <c r="C1100" s="212"/>
      <c r="D1100" s="1351"/>
      <c r="E1100" s="1351"/>
      <c r="F1100" s="1351"/>
      <c r="G1100" s="1351"/>
      <c r="H1100" s="1351"/>
      <c r="I1100" s="1351"/>
      <c r="J1100" s="1351"/>
      <c r="K1100" s="1351"/>
      <c r="L1100" s="1351"/>
      <c r="M1100" s="1351"/>
      <c r="N1100" s="1351"/>
      <c r="O1100" s="1351"/>
      <c r="P1100" s="1351"/>
      <c r="Q1100" s="1351"/>
      <c r="R1100" s="1351"/>
      <c r="S1100" s="1351"/>
      <c r="T1100" s="1351"/>
      <c r="U1100" s="1351"/>
      <c r="V1100" s="1351"/>
      <c r="W1100" s="1351"/>
      <c r="X1100" s="1351"/>
      <c r="Y1100" s="1351"/>
      <c r="Z1100" s="1351"/>
      <c r="AA1100" s="1351"/>
      <c r="AB1100" s="1351"/>
      <c r="AC1100" s="1351"/>
      <c r="AD1100" s="1351"/>
      <c r="AE1100" s="1351"/>
      <c r="AF1100" s="1351"/>
      <c r="AG1100" s="1351"/>
      <c r="AH1100" s="1351"/>
      <c r="AI1100" s="1351"/>
      <c r="AJ1100" s="1351"/>
      <c r="AK1100" s="1351"/>
    </row>
    <row r="1101" spans="1:37" ht="0" hidden="1" customHeight="1">
      <c r="A1101" s="1"/>
      <c r="B1101" s="1"/>
      <c r="C1101" s="212"/>
      <c r="D1101" s="1351"/>
      <c r="E1101" s="1351"/>
      <c r="F1101" s="1351"/>
      <c r="G1101" s="1351"/>
      <c r="H1101" s="1351"/>
      <c r="I1101" s="1351"/>
      <c r="J1101" s="1351"/>
      <c r="K1101" s="1351"/>
      <c r="L1101" s="1351"/>
      <c r="M1101" s="1351"/>
      <c r="N1101" s="1351"/>
      <c r="O1101" s="1351"/>
      <c r="P1101" s="1351"/>
      <c r="Q1101" s="1351"/>
      <c r="R1101" s="1351"/>
      <c r="S1101" s="1351"/>
      <c r="T1101" s="1351"/>
      <c r="U1101" s="1351"/>
      <c r="V1101" s="1351"/>
      <c r="W1101" s="1351"/>
      <c r="X1101" s="1351"/>
      <c r="Y1101" s="1351"/>
      <c r="Z1101" s="1351"/>
      <c r="AA1101" s="1351"/>
      <c r="AB1101" s="1351"/>
      <c r="AC1101" s="1351"/>
      <c r="AD1101" s="1351"/>
      <c r="AE1101" s="1351"/>
      <c r="AF1101" s="1351"/>
      <c r="AG1101" s="1351"/>
      <c r="AH1101" s="1351"/>
      <c r="AI1101" s="1351"/>
      <c r="AJ1101" s="1351"/>
      <c r="AK1101" s="1351"/>
    </row>
    <row r="1102" spans="1:37" ht="0" hidden="1" customHeight="1">
      <c r="A1102" s="35"/>
      <c r="B1102" s="25"/>
      <c r="C1102" s="212"/>
      <c r="D1102" s="1351"/>
      <c r="E1102" s="1351"/>
      <c r="F1102" s="1351"/>
      <c r="G1102" s="1351"/>
      <c r="H1102" s="1351"/>
      <c r="I1102" s="1351"/>
      <c r="J1102" s="1351"/>
      <c r="K1102" s="1351"/>
      <c r="L1102" s="1351"/>
      <c r="M1102" s="1351"/>
      <c r="N1102" s="1351"/>
      <c r="O1102" s="1351"/>
      <c r="P1102" s="1351"/>
      <c r="Q1102" s="1351"/>
      <c r="R1102" s="1351"/>
      <c r="S1102" s="1351"/>
      <c r="T1102" s="1351"/>
      <c r="U1102" s="1351"/>
      <c r="V1102" s="1351"/>
      <c r="W1102" s="1351"/>
      <c r="X1102" s="1351"/>
      <c r="Y1102" s="1351"/>
      <c r="Z1102" s="1351"/>
      <c r="AA1102" s="1351"/>
      <c r="AB1102" s="1351"/>
      <c r="AC1102" s="1351"/>
      <c r="AD1102" s="1351"/>
      <c r="AE1102" s="1351"/>
      <c r="AF1102" s="1351"/>
      <c r="AG1102" s="1351"/>
      <c r="AH1102" s="1351"/>
      <c r="AI1102" s="1351"/>
      <c r="AJ1102" s="1351"/>
      <c r="AK1102" s="1351"/>
    </row>
    <row r="1103" spans="1:37" ht="0" hidden="1" customHeight="1">
      <c r="A1103" s="1413" t="s">
        <v>598</v>
      </c>
      <c r="B1103" s="1413"/>
      <c r="C1103" s="212">
        <v>9</v>
      </c>
      <c r="D1103" s="1267" t="s">
        <v>1117</v>
      </c>
      <c r="E1103" s="1267"/>
      <c r="F1103" s="1267"/>
      <c r="G1103" s="1267"/>
      <c r="H1103" s="1267"/>
      <c r="I1103" s="1267"/>
      <c r="J1103" s="1267"/>
      <c r="K1103" s="1267"/>
      <c r="L1103" s="1267"/>
      <c r="M1103" s="1267"/>
      <c r="N1103" s="1267"/>
      <c r="O1103" s="1267"/>
      <c r="P1103" s="1267"/>
      <c r="Q1103" s="1267"/>
      <c r="R1103" s="1267"/>
      <c r="S1103" s="1267"/>
      <c r="T1103" s="1267"/>
      <c r="U1103" s="1267"/>
      <c r="V1103" s="1267"/>
      <c r="W1103" s="1267"/>
      <c r="X1103" s="1267"/>
      <c r="Y1103" s="1267"/>
      <c r="Z1103" s="1267"/>
      <c r="AA1103" s="1267"/>
      <c r="AB1103" s="1267"/>
      <c r="AC1103" s="1267"/>
      <c r="AD1103" s="1267"/>
      <c r="AE1103" s="1267"/>
      <c r="AF1103" s="1267"/>
      <c r="AG1103" s="1267"/>
      <c r="AH1103" s="1267"/>
      <c r="AI1103" s="1267"/>
      <c r="AJ1103" s="1267"/>
      <c r="AK1103" s="1267"/>
    </row>
    <row r="1104" spans="1:37" ht="0" hidden="1" customHeight="1">
      <c r="A1104" s="35"/>
      <c r="B1104" s="25"/>
      <c r="C1104" s="212"/>
      <c r="D1104" s="1267"/>
      <c r="E1104" s="1267"/>
      <c r="F1104" s="1267"/>
      <c r="G1104" s="1267"/>
      <c r="H1104" s="1267"/>
      <c r="I1104" s="1267"/>
      <c r="J1104" s="1267"/>
      <c r="K1104" s="1267"/>
      <c r="L1104" s="1267"/>
      <c r="M1104" s="1267"/>
      <c r="N1104" s="1267"/>
      <c r="O1104" s="1267"/>
      <c r="P1104" s="1267"/>
      <c r="Q1104" s="1267"/>
      <c r="R1104" s="1267"/>
      <c r="S1104" s="1267"/>
      <c r="T1104" s="1267"/>
      <c r="U1104" s="1267"/>
      <c r="V1104" s="1267"/>
      <c r="W1104" s="1267"/>
      <c r="X1104" s="1267"/>
      <c r="Y1104" s="1267"/>
      <c r="Z1104" s="1267"/>
      <c r="AA1104" s="1267"/>
      <c r="AB1104" s="1267"/>
      <c r="AC1104" s="1267"/>
      <c r="AD1104" s="1267"/>
      <c r="AE1104" s="1267"/>
      <c r="AF1104" s="1267"/>
      <c r="AG1104" s="1267"/>
      <c r="AH1104" s="1267"/>
      <c r="AI1104" s="1267"/>
      <c r="AJ1104" s="1267"/>
      <c r="AK1104" s="1267"/>
    </row>
    <row r="1105" spans="4:37" ht="0" hidden="1" customHeight="1">
      <c r="D1105" s="1267"/>
      <c r="E1105" s="1267"/>
      <c r="F1105" s="1267"/>
      <c r="G1105" s="1267"/>
      <c r="H1105" s="1267"/>
      <c r="I1105" s="1267"/>
      <c r="J1105" s="1267"/>
      <c r="K1105" s="1267"/>
      <c r="L1105" s="1267"/>
      <c r="M1105" s="1267"/>
      <c r="N1105" s="1267"/>
      <c r="O1105" s="1267"/>
      <c r="P1105" s="1267"/>
      <c r="Q1105" s="1267"/>
      <c r="R1105" s="1267"/>
      <c r="S1105" s="1267"/>
      <c r="T1105" s="1267"/>
      <c r="U1105" s="1267"/>
      <c r="V1105" s="1267"/>
      <c r="W1105" s="1267"/>
      <c r="X1105" s="1267"/>
      <c r="Y1105" s="1267"/>
      <c r="Z1105" s="1267"/>
      <c r="AA1105" s="1267"/>
      <c r="AB1105" s="1267"/>
      <c r="AC1105" s="1267"/>
      <c r="AD1105" s="1267"/>
      <c r="AE1105" s="1267"/>
      <c r="AF1105" s="1267"/>
      <c r="AG1105" s="1267"/>
      <c r="AH1105" s="1267"/>
      <c r="AI1105" s="1267"/>
      <c r="AJ1105" s="1267"/>
      <c r="AK1105" s="1267"/>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G736:J736"/>
    <mergeCell ref="T736:W736"/>
    <mergeCell ref="O741:S741"/>
    <mergeCell ref="AK743:AO743"/>
    <mergeCell ref="X752:AB752"/>
    <mergeCell ref="AH745:AJ745"/>
    <mergeCell ref="AH746:AJ746"/>
    <mergeCell ref="AH747:AJ747"/>
    <mergeCell ref="AH748:AJ748"/>
    <mergeCell ref="AK736:AO736"/>
    <mergeCell ref="O750:S750"/>
    <mergeCell ref="T742:W742"/>
    <mergeCell ref="X745:AB745"/>
    <mergeCell ref="B752:F752"/>
    <mergeCell ref="G735:J735"/>
    <mergeCell ref="AK749:AO749"/>
    <mergeCell ref="AK750:AO750"/>
    <mergeCell ref="AK751:AO751"/>
    <mergeCell ref="AC748:AG748"/>
    <mergeCell ref="O745:S745"/>
    <mergeCell ref="T737:W737"/>
    <mergeCell ref="X739:AB739"/>
    <mergeCell ref="G740:J740"/>
    <mergeCell ref="AC735:AG735"/>
    <mergeCell ref="B746:F746"/>
    <mergeCell ref="B747:F747"/>
    <mergeCell ref="B748:F748"/>
    <mergeCell ref="B749:F749"/>
    <mergeCell ref="B750:F750"/>
    <mergeCell ref="X748:AB748"/>
    <mergeCell ref="X749:AB749"/>
    <mergeCell ref="X750:AB750"/>
    <mergeCell ref="X751:AB751"/>
    <mergeCell ref="AK744:AO744"/>
    <mergeCell ref="X743:AB743"/>
    <mergeCell ref="X744:AB744"/>
    <mergeCell ref="AH743:AJ743"/>
    <mergeCell ref="AH744:AJ744"/>
    <mergeCell ref="T751:W751"/>
    <mergeCell ref="B742:F742"/>
    <mergeCell ref="B743:F743"/>
    <mergeCell ref="B744:F744"/>
    <mergeCell ref="B745:F745"/>
    <mergeCell ref="K736:N736"/>
    <mergeCell ref="X746:AB746"/>
    <mergeCell ref="AC739:AG739"/>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K740:N740"/>
    <mergeCell ref="A978:AT980"/>
    <mergeCell ref="AG1024:AH1024"/>
    <mergeCell ref="AJ984:AQ984"/>
    <mergeCell ref="J956:S956"/>
    <mergeCell ref="AA948:AF948"/>
    <mergeCell ref="U940:Z940"/>
    <mergeCell ref="AJ1012:AQ1014"/>
    <mergeCell ref="Z601:AK601"/>
    <mergeCell ref="AG607:AH607"/>
    <mergeCell ref="Z602:AK602"/>
    <mergeCell ref="A13:AT14"/>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AG615:AH615"/>
    <mergeCell ref="G612:R612"/>
    <mergeCell ref="G611:R611"/>
    <mergeCell ref="W632:Y632"/>
    <mergeCell ref="Z611:AK611"/>
    <mergeCell ref="M633:P633"/>
    <mergeCell ref="M634:P634"/>
    <mergeCell ref="G610:R610"/>
    <mergeCell ref="Z631:AB631"/>
    <mergeCell ref="W635:Y635"/>
    <mergeCell ref="T635:V635"/>
    <mergeCell ref="C627:L627"/>
    <mergeCell ref="C635:L635"/>
    <mergeCell ref="T624:V626"/>
    <mergeCell ref="Z632:AB632"/>
    <mergeCell ref="AF635:AJ635"/>
    <mergeCell ref="Q635:S635"/>
    <mergeCell ref="M624:P626"/>
    <mergeCell ref="M627:P627"/>
    <mergeCell ref="M628:P628"/>
    <mergeCell ref="M629:P629"/>
    <mergeCell ref="M630:P630"/>
    <mergeCell ref="W703:AK703"/>
    <mergeCell ref="A69:AT70"/>
    <mergeCell ref="A72:AT73"/>
    <mergeCell ref="A544:AT545"/>
    <mergeCell ref="A480:AT481"/>
    <mergeCell ref="A351:AT352"/>
    <mergeCell ref="A282:AT283"/>
    <mergeCell ref="A222:AT223"/>
    <mergeCell ref="A169:AT170"/>
    <mergeCell ref="Q627:S627"/>
    <mergeCell ref="Q628:S628"/>
    <mergeCell ref="Q629:S629"/>
    <mergeCell ref="Q630:S630"/>
    <mergeCell ref="Q631:S631"/>
    <mergeCell ref="Q632:S632"/>
    <mergeCell ref="Q633:S633"/>
    <mergeCell ref="Q634:S634"/>
    <mergeCell ref="AK633:AN633"/>
    <mergeCell ref="P613:R613"/>
    <mergeCell ref="G577:R577"/>
    <mergeCell ref="G594:R594"/>
    <mergeCell ref="N615:O615"/>
    <mergeCell ref="AC633:AE633"/>
    <mergeCell ref="AC634:AE634"/>
    <mergeCell ref="Z594:AK594"/>
    <mergeCell ref="G601:R601"/>
    <mergeCell ref="W634:Y634"/>
    <mergeCell ref="Z612:AK612"/>
    <mergeCell ref="Z593:AK593"/>
    <mergeCell ref="AK629:AN629"/>
    <mergeCell ref="C633:L633"/>
    <mergeCell ref="C634:L634"/>
    <mergeCell ref="G728:J728"/>
    <mergeCell ref="P339:R339"/>
    <mergeCell ref="N363:O363"/>
    <mergeCell ref="I392:N392"/>
    <mergeCell ref="M357:N357"/>
    <mergeCell ref="J385:U385"/>
    <mergeCell ref="V381:W381"/>
    <mergeCell ref="T555:V555"/>
    <mergeCell ref="W559:Y559"/>
    <mergeCell ref="AK740:AO740"/>
    <mergeCell ref="AK741:AO741"/>
    <mergeCell ref="AK752:AO752"/>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K747:N747"/>
    <mergeCell ref="AK731:AO731"/>
    <mergeCell ref="AK738:AO738"/>
    <mergeCell ref="H340:M340"/>
    <mergeCell ref="I410:AE410"/>
    <mergeCell ref="AH729:AJ729"/>
    <mergeCell ref="AA672:AK672"/>
    <mergeCell ref="G667:R667"/>
    <mergeCell ref="AC731:AG731"/>
    <mergeCell ref="AC732:AG732"/>
    <mergeCell ref="A709:AT711"/>
    <mergeCell ref="G660:R660"/>
    <mergeCell ref="X714:AB717"/>
    <mergeCell ref="Z679:AE679"/>
    <mergeCell ref="H680:R680"/>
    <mergeCell ref="Z670:AK670"/>
    <mergeCell ref="G730:J730"/>
    <mergeCell ref="X730:AB730"/>
    <mergeCell ref="X731:AB731"/>
    <mergeCell ref="H688:R688"/>
    <mergeCell ref="Z675:AK675"/>
    <mergeCell ref="AE702:AF702"/>
    <mergeCell ref="AE693:AF693"/>
    <mergeCell ref="B719:F719"/>
    <mergeCell ref="B714:F717"/>
    <mergeCell ref="Z686:AK686"/>
    <mergeCell ref="G678:R678"/>
    <mergeCell ref="P679:R679"/>
    <mergeCell ref="N665:O665"/>
    <mergeCell ref="H672:R672"/>
    <mergeCell ref="G676:R676"/>
    <mergeCell ref="O725:S725"/>
    <mergeCell ref="O726:S726"/>
    <mergeCell ref="K727:N727"/>
    <mergeCell ref="O731:S731"/>
    <mergeCell ref="O732:S732"/>
    <mergeCell ref="K726:N726"/>
    <mergeCell ref="DR649:DV649"/>
    <mergeCell ref="DR652:DV652"/>
    <mergeCell ref="ER669:EV669"/>
    <mergeCell ref="ER668:EV668"/>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AH727:AJ727"/>
    <mergeCell ref="AC724:AG724"/>
    <mergeCell ref="AC730:AG730"/>
    <mergeCell ref="ER670:EV670"/>
    <mergeCell ref="DX669:EB669"/>
    <mergeCell ref="EC670:EG670"/>
    <mergeCell ref="EH670:EL670"/>
    <mergeCell ref="EC669:EG669"/>
    <mergeCell ref="EH669:EL669"/>
    <mergeCell ref="EM669:EQ669"/>
    <mergeCell ref="AG689:AH689"/>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Z651:AK651"/>
    <mergeCell ref="CH652:CL652"/>
    <mergeCell ref="CH653:CL653"/>
    <mergeCell ref="BN652:BR652"/>
    <mergeCell ref="BN653:BR653"/>
    <mergeCell ref="BN654:BR654"/>
    <mergeCell ref="CS654:CW654"/>
    <mergeCell ref="CX654:DB654"/>
    <mergeCell ref="DR647:DV647"/>
    <mergeCell ref="DR651:DV651"/>
    <mergeCell ref="CS647:CW647"/>
    <mergeCell ref="CX647:DB647"/>
    <mergeCell ref="DC647:DG647"/>
    <mergeCell ref="CX655:DB655"/>
    <mergeCell ref="DC655:DG655"/>
    <mergeCell ref="DR655:DV655"/>
    <mergeCell ref="DR650:DV650"/>
    <mergeCell ref="CX651:DB651"/>
    <mergeCell ref="DH649:DL649"/>
    <mergeCell ref="DM649:DQ649"/>
    <mergeCell ref="DH620:DL620"/>
    <mergeCell ref="DM620:DQ620"/>
    <mergeCell ref="DC624:DG624"/>
    <mergeCell ref="DH624:DL624"/>
    <mergeCell ref="DM624:DQ624"/>
    <mergeCell ref="DH648:DL648"/>
    <mergeCell ref="DM648:DQ648"/>
    <mergeCell ref="DR648:DV648"/>
    <mergeCell ref="CS649:CW649"/>
    <mergeCell ref="DC654:DG654"/>
    <mergeCell ref="DR629:DV629"/>
    <mergeCell ref="DC653:DG653"/>
    <mergeCell ref="CS652:CW652"/>
    <mergeCell ref="CX652:DB652"/>
    <mergeCell ref="DC652:DG652"/>
    <mergeCell ref="DC650:DG650"/>
    <mergeCell ref="DR654:DV654"/>
    <mergeCell ref="DR653:DV653"/>
    <mergeCell ref="DH651:DL651"/>
    <mergeCell ref="DM651:DQ651"/>
    <mergeCell ref="CS655:CW655"/>
    <mergeCell ref="DH652:DL652"/>
    <mergeCell ref="DM652:DQ652"/>
    <mergeCell ref="CS653:CW653"/>
    <mergeCell ref="CX653:DB653"/>
    <mergeCell ref="CC655:CG655"/>
    <mergeCell ref="CH655:CL655"/>
    <mergeCell ref="CM655:CQ655"/>
    <mergeCell ref="BX640:CB640"/>
    <mergeCell ref="DH647:DL647"/>
    <mergeCell ref="DM647:DQ647"/>
    <mergeCell ref="DH646:DL646"/>
    <mergeCell ref="DM646:DQ646"/>
    <mergeCell ref="BX651:CB651"/>
    <mergeCell ref="CH645:CL645"/>
    <mergeCell ref="DC646:DG646"/>
    <mergeCell ref="DC651:DG651"/>
    <mergeCell ref="CC649:CG649"/>
    <mergeCell ref="CH649:CL649"/>
    <mergeCell ref="CM645:CQ645"/>
    <mergeCell ref="CX649:DB649"/>
    <mergeCell ref="CS645:CW645"/>
    <mergeCell ref="CX645:DB645"/>
    <mergeCell ref="CM647:CQ647"/>
    <mergeCell ref="DM645:DQ645"/>
    <mergeCell ref="CM648:CQ648"/>
    <mergeCell ref="CM649:CQ649"/>
    <mergeCell ref="CX646:DB646"/>
    <mergeCell ref="CH646:CL646"/>
    <mergeCell ref="CC640:CG640"/>
    <mergeCell ref="BN648:BR648"/>
    <mergeCell ref="BS651:BW651"/>
    <mergeCell ref="BX631:CB631"/>
    <mergeCell ref="CC646:CG646"/>
    <mergeCell ref="CC647:CG647"/>
    <mergeCell ref="CS651:CW651"/>
    <mergeCell ref="BX649:CB649"/>
    <mergeCell ref="BX650:CB650"/>
    <mergeCell ref="CH648:CL648"/>
    <mergeCell ref="CC648:CG648"/>
    <mergeCell ref="BX639:CB639"/>
    <mergeCell ref="BS641:BW641"/>
    <mergeCell ref="BS632:BW632"/>
    <mergeCell ref="CM638:CQ638"/>
    <mergeCell ref="CS648:CW648"/>
    <mergeCell ref="BX648:CB648"/>
    <mergeCell ref="CM650:CQ650"/>
    <mergeCell ref="BX645:CB645"/>
    <mergeCell ref="CC638:CG638"/>
    <mergeCell ref="CH640:CL640"/>
    <mergeCell ref="CM640:CQ640"/>
    <mergeCell ref="CM639:CQ639"/>
    <mergeCell ref="CH632:CL632"/>
    <mergeCell ref="CM646:CQ646"/>
    <mergeCell ref="CH638:CL638"/>
    <mergeCell ref="BX647:CB647"/>
    <mergeCell ref="BN649:BR649"/>
    <mergeCell ref="DH618:DL618"/>
    <mergeCell ref="CC624:CG624"/>
    <mergeCell ref="CS618:CW618"/>
    <mergeCell ref="CX618:DB618"/>
    <mergeCell ref="DM630:DQ630"/>
    <mergeCell ref="EM619:EQ619"/>
    <mergeCell ref="EC637:EG637"/>
    <mergeCell ref="EH637:EL637"/>
    <mergeCell ref="DR630:DV630"/>
    <mergeCell ref="DH630:DL630"/>
    <mergeCell ref="DR645:DV645"/>
    <mergeCell ref="CC645:CG645"/>
    <mergeCell ref="DC649:DG649"/>
    <mergeCell ref="DR621:DV621"/>
    <mergeCell ref="DX624:EB624"/>
    <mergeCell ref="DR631:DV631"/>
    <mergeCell ref="DR632:DV632"/>
    <mergeCell ref="DX635:EB635"/>
    <mergeCell ref="DX638:EB638"/>
    <mergeCell ref="EC638:EG638"/>
    <mergeCell ref="EH638:EL638"/>
    <mergeCell ref="CX632:DB632"/>
    <mergeCell ref="CX628:DB628"/>
    <mergeCell ref="DC628:DG628"/>
    <mergeCell ref="DH628:DL628"/>
    <mergeCell ref="DM628:DQ628"/>
    <mergeCell ref="CM630:CQ630"/>
    <mergeCell ref="CM631:CQ631"/>
    <mergeCell ref="CC629:CG629"/>
    <mergeCell ref="DM632:DQ632"/>
    <mergeCell ref="DR628:DV628"/>
    <mergeCell ref="CS629:CW629"/>
    <mergeCell ref="DM631:DQ631"/>
    <mergeCell ref="DH631:DL631"/>
    <mergeCell ref="Z635:AB635"/>
    <mergeCell ref="BN641:BR641"/>
    <mergeCell ref="BN637:BR637"/>
    <mergeCell ref="CM632:CQ632"/>
    <mergeCell ref="CM637:CQ637"/>
    <mergeCell ref="CM633:CQ633"/>
    <mergeCell ref="CC632:CG632"/>
    <mergeCell ref="DC631:DG631"/>
    <mergeCell ref="CX629:DB629"/>
    <mergeCell ref="DC629:DG629"/>
    <mergeCell ref="DH629:DL629"/>
    <mergeCell ref="DM629:DQ629"/>
    <mergeCell ref="CH629:CL629"/>
    <mergeCell ref="CC630:CG630"/>
    <mergeCell ref="BX632:CB632"/>
    <mergeCell ref="AC635:AE635"/>
    <mergeCell ref="CH639:CL639"/>
    <mergeCell ref="ER640:EV640"/>
    <mergeCell ref="DC618:DG618"/>
    <mergeCell ref="CS632:CW632"/>
    <mergeCell ref="DM617:DQ617"/>
    <mergeCell ref="CC617:CG617"/>
    <mergeCell ref="CC619:CG619"/>
    <mergeCell ref="DM619:DQ619"/>
    <mergeCell ref="CH625:CL625"/>
    <mergeCell ref="CH626:CL626"/>
    <mergeCell ref="CM626:CQ626"/>
    <mergeCell ref="CC621:CG621"/>
    <mergeCell ref="DC626:DG626"/>
    <mergeCell ref="DH626:DL626"/>
    <mergeCell ref="CS624:CW624"/>
    <mergeCell ref="CX624:DB624"/>
    <mergeCell ref="DC617:DG617"/>
    <mergeCell ref="DH617:DL617"/>
    <mergeCell ref="CS623:CW623"/>
    <mergeCell ref="CX623:DB623"/>
    <mergeCell ref="DC623:DG623"/>
    <mergeCell ref="DH623:DL623"/>
    <mergeCell ref="CS620:CW620"/>
    <mergeCell ref="CS622:CW622"/>
    <mergeCell ref="CH618:CL618"/>
    <mergeCell ref="CC622:CG622"/>
    <mergeCell ref="CH622:CL622"/>
    <mergeCell ref="DM618:DQ618"/>
    <mergeCell ref="DC620:DG620"/>
    <mergeCell ref="DR618:DV618"/>
    <mergeCell ref="CH637:CL637"/>
    <mergeCell ref="DR619:DV619"/>
    <mergeCell ref="CH630:CL630"/>
    <mergeCell ref="EH612:EL612"/>
    <mergeCell ref="EM612:EQ612"/>
    <mergeCell ref="BN617:BR617"/>
    <mergeCell ref="CX648:DB648"/>
    <mergeCell ref="DC648:DG648"/>
    <mergeCell ref="DR617:DV617"/>
    <mergeCell ref="BS645:BW645"/>
    <mergeCell ref="CS617:CW617"/>
    <mergeCell ref="CX617:DB617"/>
    <mergeCell ref="EH648:EL648"/>
    <mergeCell ref="ER619:EV619"/>
    <mergeCell ref="ER612:EV612"/>
    <mergeCell ref="CM641:CQ641"/>
    <mergeCell ref="CC637:CG637"/>
    <mergeCell ref="BX641:CB641"/>
    <mergeCell ref="CC641:CG641"/>
    <mergeCell ref="CC639:CG639"/>
    <mergeCell ref="DC630:DG630"/>
    <mergeCell ref="CS630:CW630"/>
    <mergeCell ref="CX630:DB630"/>
    <mergeCell ref="CS631:CW631"/>
    <mergeCell ref="EH619:EL619"/>
    <mergeCell ref="DR616:DV616"/>
    <mergeCell ref="CX616:DB616"/>
    <mergeCell ref="DC632:DG632"/>
    <mergeCell ref="DH632:DL632"/>
    <mergeCell ref="CM619:CQ619"/>
    <mergeCell ref="ER648:EV648"/>
    <mergeCell ref="ER647:EV647"/>
    <mergeCell ref="EH645:EL645"/>
    <mergeCell ref="EM645:EQ645"/>
    <mergeCell ref="EC644:EG644"/>
    <mergeCell ref="CC660:CG660"/>
    <mergeCell ref="EM641:EQ641"/>
    <mergeCell ref="CC651:CG651"/>
    <mergeCell ref="DC645:DG645"/>
    <mergeCell ref="CS646:CW646"/>
    <mergeCell ref="CH654:CL654"/>
    <mergeCell ref="CM652:CQ652"/>
    <mergeCell ref="CM653:CQ653"/>
    <mergeCell ref="CM654:CQ654"/>
    <mergeCell ref="CM660:CQ660"/>
    <mergeCell ref="DX656:EB656"/>
    <mergeCell ref="EC656:EG656"/>
    <mergeCell ref="ER656:EV656"/>
    <mergeCell ref="ER646:EV646"/>
    <mergeCell ref="DX660:EB660"/>
    <mergeCell ref="EC660:EG660"/>
    <mergeCell ref="EH655:EL655"/>
    <mergeCell ref="EM655:EQ655"/>
    <mergeCell ref="EH647:EL647"/>
    <mergeCell ref="EM647:EQ647"/>
    <mergeCell ref="DX648:EB648"/>
    <mergeCell ref="ER655:EV655"/>
    <mergeCell ref="EH651:EL651"/>
    <mergeCell ref="DR646:DV646"/>
    <mergeCell ref="DH645:DL645"/>
    <mergeCell ref="CM651:CQ651"/>
    <mergeCell ref="DM650:DQ650"/>
    <mergeCell ref="ER643:EV643"/>
    <mergeCell ref="CH641:CL641"/>
    <mergeCell ref="CH647:CL647"/>
    <mergeCell ref="CS650:CW650"/>
    <mergeCell ref="CX650:DB650"/>
    <mergeCell ref="ER642:EV642"/>
    <mergeCell ref="DX641:EB641"/>
    <mergeCell ref="EH656:EL656"/>
    <mergeCell ref="EM656:EQ656"/>
    <mergeCell ref="DX651:EB651"/>
    <mergeCell ref="EC651:EG651"/>
    <mergeCell ref="EM648:EQ648"/>
    <mergeCell ref="EW670:FA670"/>
    <mergeCell ref="EW656:FA656"/>
    <mergeCell ref="DX657:EB657"/>
    <mergeCell ref="EC657:EG657"/>
    <mergeCell ref="EH657:EL657"/>
    <mergeCell ref="EM657:EQ657"/>
    <mergeCell ref="ER657:EV65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W669:FA669"/>
    <mergeCell ref="EC648:EG648"/>
    <mergeCell ref="DX643:EB643"/>
    <mergeCell ref="EM662:EQ662"/>
    <mergeCell ref="ER662:EV662"/>
    <mergeCell ref="DX664:EB664"/>
    <mergeCell ref="EC664:EG664"/>
    <mergeCell ref="EH664:EL664"/>
    <mergeCell ref="EM667:EQ667"/>
    <mergeCell ref="ER667:EV667"/>
    <mergeCell ref="EW667:FA667"/>
    <mergeCell ref="EM661:EQ661"/>
    <mergeCell ref="EH640:EL640"/>
    <mergeCell ref="EM640:EQ640"/>
    <mergeCell ref="DX639:EB639"/>
    <mergeCell ref="ER663:EV663"/>
    <mergeCell ref="EW663:FA663"/>
    <mergeCell ref="EC666:EG666"/>
    <mergeCell ref="EH666:EL666"/>
    <mergeCell ref="EH650:EL650"/>
    <mergeCell ref="EM650:EQ650"/>
    <mergeCell ref="DX653:EB653"/>
    <mergeCell ref="EC653:EG653"/>
    <mergeCell ref="DX654:EB654"/>
    <mergeCell ref="EC654:EG654"/>
    <mergeCell ref="DX645:EB645"/>
    <mergeCell ref="EW649:FA649"/>
    <mergeCell ref="EW652:FA652"/>
    <mergeCell ref="EW641:FA641"/>
    <mergeCell ref="DX642:EB642"/>
    <mergeCell ref="EC642:EG642"/>
    <mergeCell ref="EH642:EL642"/>
    <mergeCell ref="EM642:EQ642"/>
    <mergeCell ref="EH665:EL665"/>
    <mergeCell ref="EM665:EQ665"/>
    <mergeCell ref="ER665:EV665"/>
    <mergeCell ref="EW665:FA665"/>
    <mergeCell ref="EW662:FA662"/>
    <mergeCell ref="DX663:EB663"/>
    <mergeCell ref="EC663:EG663"/>
    <mergeCell ref="EH663:EL663"/>
    <mergeCell ref="EM663:EQ663"/>
    <mergeCell ref="DX658:EB658"/>
    <mergeCell ref="EC658:EG658"/>
    <mergeCell ref="EH658:EL658"/>
    <mergeCell ref="EM658:EQ658"/>
    <mergeCell ref="ER658:EV658"/>
    <mergeCell ref="EW658:FA658"/>
    <mergeCell ref="EM659:EQ659"/>
    <mergeCell ref="ER659:EV659"/>
    <mergeCell ref="EW659:FA659"/>
    <mergeCell ref="EH661:EL661"/>
    <mergeCell ref="EH660:EL660"/>
    <mergeCell ref="EM660:EQ660"/>
    <mergeCell ref="EC659:EG659"/>
    <mergeCell ref="EH659:EL659"/>
    <mergeCell ref="ER661:EV661"/>
    <mergeCell ref="EW661:FA661"/>
    <mergeCell ref="EC662:EG662"/>
    <mergeCell ref="EH662:EL662"/>
    <mergeCell ref="DX659:EB659"/>
    <mergeCell ref="ER660:EV660"/>
    <mergeCell ref="EW660:FA660"/>
    <mergeCell ref="DX661:EB661"/>
    <mergeCell ref="EC661:EG661"/>
    <mergeCell ref="EW639:FA639"/>
    <mergeCell ref="DX640:EB640"/>
    <mergeCell ref="EC640:EG640"/>
    <mergeCell ref="EW640:FA640"/>
    <mergeCell ref="ER639:EV639"/>
    <mergeCell ref="EM646:EQ646"/>
    <mergeCell ref="EW642:FA642"/>
    <mergeCell ref="EW643:FA643"/>
    <mergeCell ref="DX644:EB644"/>
    <mergeCell ref="EW653:FA653"/>
    <mergeCell ref="DX649:EB649"/>
    <mergeCell ref="EH649:EL649"/>
    <mergeCell ref="DX655:EB655"/>
    <mergeCell ref="EW654:FA654"/>
    <mergeCell ref="DX636:EB636"/>
    <mergeCell ref="EW637:FA637"/>
    <mergeCell ref="EC645:EG645"/>
    <mergeCell ref="ER645:EV645"/>
    <mergeCell ref="EW645:FA645"/>
    <mergeCell ref="DX646:EB646"/>
    <mergeCell ref="EC646:EG646"/>
    <mergeCell ref="EH646:EL646"/>
    <mergeCell ref="ER651:EV651"/>
    <mergeCell ref="ER652:EV652"/>
    <mergeCell ref="EM651:EQ651"/>
    <mergeCell ref="ER649:EV649"/>
    <mergeCell ref="DX652:EB652"/>
    <mergeCell ref="EC652:EG652"/>
    <mergeCell ref="EH652:EL652"/>
    <mergeCell ref="ER650:EV650"/>
    <mergeCell ref="EH644:EL644"/>
    <mergeCell ref="EH641:EL641"/>
    <mergeCell ref="ER616:EV616"/>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H620:EL620"/>
    <mergeCell ref="EM620:EQ620"/>
    <mergeCell ref="EW646:FA646"/>
    <mergeCell ref="EH624:EL624"/>
    <mergeCell ref="EM624:EQ624"/>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19:FA619"/>
    <mergeCell ref="EH607:EL607"/>
    <mergeCell ref="EM607:EQ607"/>
    <mergeCell ref="ER607:EV607"/>
    <mergeCell ref="EW607:FA607"/>
    <mergeCell ref="DX608:EB608"/>
    <mergeCell ref="EC608:EG608"/>
    <mergeCell ref="EH608:EL608"/>
    <mergeCell ref="EM608:EQ608"/>
    <mergeCell ref="ER608:EV608"/>
    <mergeCell ref="EW608:FA608"/>
    <mergeCell ref="EW616:FA616"/>
    <mergeCell ref="DX609:EB609"/>
    <mergeCell ref="EC609:EG609"/>
    <mergeCell ref="EH609:EL609"/>
    <mergeCell ref="EM609:EQ609"/>
    <mergeCell ref="ER609:EV609"/>
    <mergeCell ref="ER624:EV624"/>
    <mergeCell ref="EW612:FA612"/>
    <mergeCell ref="EW618:FA618"/>
    <mergeCell ref="DX613:EB613"/>
    <mergeCell ref="EC613:EG613"/>
    <mergeCell ref="EH614:EL614"/>
    <mergeCell ref="EM614:EQ614"/>
    <mergeCell ref="ER614:EV614"/>
    <mergeCell ref="EW614:FA614"/>
    <mergeCell ref="DX615:EB615"/>
    <mergeCell ref="EC615:EG615"/>
    <mergeCell ref="EH615:EL615"/>
    <mergeCell ref="ER615:EV615"/>
    <mergeCell ref="EW615:FA615"/>
    <mergeCell ref="DX612:EB612"/>
    <mergeCell ref="EC612:EG612"/>
    <mergeCell ref="EH606:EL606"/>
    <mergeCell ref="EM606:EQ606"/>
    <mergeCell ref="ER606:EV606"/>
    <mergeCell ref="EW606:FA606"/>
    <mergeCell ref="DX617:EB617"/>
    <mergeCell ref="EC617:EG617"/>
    <mergeCell ref="EH617:EL617"/>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5:EQ615"/>
    <mergeCell ref="DX616:EB616"/>
    <mergeCell ref="EC616:EG616"/>
    <mergeCell ref="EH616:EL616"/>
    <mergeCell ref="EM616:EQ616"/>
    <mergeCell ref="EH613:EL613"/>
    <mergeCell ref="EM613:EQ613"/>
    <mergeCell ref="ER613:EV613"/>
    <mergeCell ref="EW613:FA613"/>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EH604:EL604"/>
    <mergeCell ref="EM604:EQ604"/>
    <mergeCell ref="ER604:EV604"/>
    <mergeCell ref="EW604:FA604"/>
    <mergeCell ref="DX605:EB605"/>
    <mergeCell ref="EC605:EG605"/>
    <mergeCell ref="EH605:EL605"/>
    <mergeCell ref="EM605:EQ605"/>
    <mergeCell ref="ER605:EV605"/>
    <mergeCell ref="EW605:FA605"/>
    <mergeCell ref="D984:Q984"/>
    <mergeCell ref="D985:Q985"/>
    <mergeCell ref="Z899:AE899"/>
    <mergeCell ref="EW600:FA600"/>
    <mergeCell ref="DX601:EB601"/>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601:EL601"/>
    <mergeCell ref="EM601:EQ601"/>
    <mergeCell ref="ER601:EV601"/>
    <mergeCell ref="EW601:FA601"/>
    <mergeCell ref="DX602:EB602"/>
    <mergeCell ref="EC602:EG602"/>
    <mergeCell ref="EH602:EL602"/>
    <mergeCell ref="EM602:EQ602"/>
    <mergeCell ref="ER602:EV602"/>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AJ1019:AQ1023"/>
    <mergeCell ref="AA967:AG967"/>
    <mergeCell ref="AE954:AK954"/>
    <mergeCell ref="I949:T949"/>
    <mergeCell ref="AA942:AF942"/>
    <mergeCell ref="M961:S961"/>
    <mergeCell ref="DX599:EB599"/>
    <mergeCell ref="EC599:EG599"/>
    <mergeCell ref="EC601:EG601"/>
    <mergeCell ref="DX604:EB604"/>
    <mergeCell ref="EC604:EG604"/>
    <mergeCell ref="DX631:EB631"/>
    <mergeCell ref="EC631:EG631"/>
    <mergeCell ref="DX630:EB630"/>
    <mergeCell ref="DX619:EB619"/>
    <mergeCell ref="EC619:EG619"/>
    <mergeCell ref="EC624:EG624"/>
    <mergeCell ref="EC649:EG649"/>
    <mergeCell ref="DX665:EB665"/>
    <mergeCell ref="EC665:EG665"/>
    <mergeCell ref="BS660:BW660"/>
    <mergeCell ref="Z627:AB627"/>
    <mergeCell ref="CX631:DB631"/>
    <mergeCell ref="CH631:CL631"/>
    <mergeCell ref="DX632:EB632"/>
    <mergeCell ref="EC632:EG632"/>
    <mergeCell ref="DH614:DL614"/>
    <mergeCell ref="DM614:DQ614"/>
    <mergeCell ref="CX614:DB614"/>
    <mergeCell ref="BS618:BW618"/>
    <mergeCell ref="BX646:CB646"/>
    <mergeCell ref="BX621:CB621"/>
    <mergeCell ref="DX606:EB606"/>
    <mergeCell ref="EC606:EG606"/>
    <mergeCell ref="DX614:EB614"/>
    <mergeCell ref="EC614:EG614"/>
    <mergeCell ref="DX607:EB607"/>
    <mergeCell ref="EC607:EG607"/>
    <mergeCell ref="AJ1044:AQ1047"/>
    <mergeCell ref="AJ1048:AQ1051"/>
    <mergeCell ref="AJ1028:AQ1030"/>
    <mergeCell ref="D1031:AE1031"/>
    <mergeCell ref="D1032:AE1034"/>
    <mergeCell ref="AJ1031:AQ1034"/>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AG1035:AH1035"/>
    <mergeCell ref="D1025:AE1027"/>
    <mergeCell ref="AJ1000:AQ1005"/>
    <mergeCell ref="D1024:AE1024"/>
    <mergeCell ref="AJ1015:AQ1018"/>
    <mergeCell ref="AJ1024:AQ1027"/>
    <mergeCell ref="AJ993:AQ999"/>
    <mergeCell ref="AJ1006:AQ1009"/>
    <mergeCell ref="R989:AA989"/>
    <mergeCell ref="D1028:AE1028"/>
    <mergeCell ref="B990:AA990"/>
    <mergeCell ref="D993:AE993"/>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B985:AI985"/>
    <mergeCell ref="AB986:AI986"/>
    <mergeCell ref="D986:Q986"/>
    <mergeCell ref="R988:AA988"/>
    <mergeCell ref="AB987:AI987"/>
    <mergeCell ref="D994:AE997"/>
    <mergeCell ref="D998:AE998"/>
    <mergeCell ref="R985:AA985"/>
    <mergeCell ref="D988:Q988"/>
    <mergeCell ref="M970:S970"/>
    <mergeCell ref="D1019:AE1020"/>
    <mergeCell ref="AB990:AI990"/>
    <mergeCell ref="AF1025:AI1025"/>
    <mergeCell ref="R984:AA984"/>
    <mergeCell ref="F939:T939"/>
    <mergeCell ref="AC887:AH887"/>
    <mergeCell ref="W871:AC871"/>
    <mergeCell ref="AG832:AJ832"/>
    <mergeCell ref="W844:AC844"/>
    <mergeCell ref="AC832:AF832"/>
    <mergeCell ref="W874:AC874"/>
    <mergeCell ref="W857:AC857"/>
    <mergeCell ref="W842:AC842"/>
    <mergeCell ref="W847:AC847"/>
    <mergeCell ref="W878:AC878"/>
    <mergeCell ref="C828:H828"/>
    <mergeCell ref="AJ1010:AQ1011"/>
    <mergeCell ref="AJ985:AQ985"/>
    <mergeCell ref="AJ986:AQ986"/>
    <mergeCell ref="AJ987:AQ987"/>
    <mergeCell ref="AA974:AG974"/>
    <mergeCell ref="AA944:AF944"/>
    <mergeCell ref="B991:AI991"/>
    <mergeCell ref="R986:AA986"/>
    <mergeCell ref="AB984:AI984"/>
    <mergeCell ref="M974:S974"/>
    <mergeCell ref="W852:AC852"/>
    <mergeCell ref="M968:S968"/>
    <mergeCell ref="M846:V846"/>
    <mergeCell ref="W843:AC843"/>
    <mergeCell ref="J849:V849"/>
    <mergeCell ref="M828:P828"/>
    <mergeCell ref="K743:N743"/>
    <mergeCell ref="O743:S743"/>
    <mergeCell ref="T743:W743"/>
    <mergeCell ref="K744:N744"/>
    <mergeCell ref="O744:S744"/>
    <mergeCell ref="AC742:AG742"/>
    <mergeCell ref="AC743:AG743"/>
    <mergeCell ref="AC744:AG744"/>
    <mergeCell ref="AC745:AG745"/>
    <mergeCell ref="AC746:AG746"/>
    <mergeCell ref="AC747:AG747"/>
    <mergeCell ref="K748:N748"/>
    <mergeCell ref="O748:S748"/>
    <mergeCell ref="T775:W775"/>
    <mergeCell ref="F831:L831"/>
    <mergeCell ref="M831:P831"/>
    <mergeCell ref="Z814:AE814"/>
    <mergeCell ref="Y830:AB830"/>
    <mergeCell ref="Z806:AE806"/>
    <mergeCell ref="B751:F751"/>
    <mergeCell ref="K745:N745"/>
    <mergeCell ref="C827:H827"/>
    <mergeCell ref="AC797:AG797"/>
    <mergeCell ref="AC787:AG787"/>
    <mergeCell ref="T783:W786"/>
    <mergeCell ref="O789:S789"/>
    <mergeCell ref="J775:N775"/>
    <mergeCell ref="AC776:AG776"/>
    <mergeCell ref="O769:S772"/>
    <mergeCell ref="B753:F753"/>
    <mergeCell ref="G752:J752"/>
    <mergeCell ref="AF178:AG178"/>
    <mergeCell ref="M27:Q27"/>
    <mergeCell ref="Z605:AE605"/>
    <mergeCell ref="Z609:AK609"/>
    <mergeCell ref="G609:R609"/>
    <mergeCell ref="AF636:AJ636"/>
    <mergeCell ref="AF637:AJ637"/>
    <mergeCell ref="AF638:AJ638"/>
    <mergeCell ref="AK624:AN626"/>
    <mergeCell ref="AK627:AN627"/>
    <mergeCell ref="AC636:AE636"/>
    <mergeCell ref="AC637:AE637"/>
    <mergeCell ref="AC638:AE638"/>
    <mergeCell ref="P421:R421"/>
    <mergeCell ref="G586:R586"/>
    <mergeCell ref="G603:R603"/>
    <mergeCell ref="N607:O607"/>
    <mergeCell ref="P597:R597"/>
    <mergeCell ref="W560:Y560"/>
    <mergeCell ref="T629:V629"/>
    <mergeCell ref="T630:V630"/>
    <mergeCell ref="AD412:AE412"/>
    <mergeCell ref="H414:AE415"/>
    <mergeCell ref="AE425:AF425"/>
    <mergeCell ref="AH536:AK536"/>
    <mergeCell ref="AK635:AN635"/>
    <mergeCell ref="AK636:AN636"/>
    <mergeCell ref="AF631:AJ631"/>
    <mergeCell ref="AF632:AJ632"/>
    <mergeCell ref="Q636:S636"/>
    <mergeCell ref="Q637:S637"/>
    <mergeCell ref="Q638:S638"/>
    <mergeCell ref="D1091:AK1093"/>
    <mergeCell ref="G686:R686"/>
    <mergeCell ref="N689:O689"/>
    <mergeCell ref="G734:J734"/>
    <mergeCell ref="AJ988:AQ988"/>
    <mergeCell ref="O737:S737"/>
    <mergeCell ref="O738:S738"/>
    <mergeCell ref="Z687:AE687"/>
    <mergeCell ref="AH718:AJ718"/>
    <mergeCell ref="T721:W721"/>
    <mergeCell ref="AC718:AG718"/>
    <mergeCell ref="M959:S959"/>
    <mergeCell ref="Z900:AE900"/>
    <mergeCell ref="X741:AB741"/>
    <mergeCell ref="T727:W727"/>
    <mergeCell ref="U826:X826"/>
    <mergeCell ref="AK714:AO717"/>
    <mergeCell ref="AK718:AO718"/>
    <mergeCell ref="R987:AA987"/>
    <mergeCell ref="G729:J729"/>
    <mergeCell ref="C830:H830"/>
    <mergeCell ref="B726:F726"/>
    <mergeCell ref="D1083:AK1085"/>
    <mergeCell ref="J792:N792"/>
    <mergeCell ref="J793:N793"/>
    <mergeCell ref="AC729:AG729"/>
    <mergeCell ref="O728:S728"/>
    <mergeCell ref="O729:S729"/>
    <mergeCell ref="B736:F736"/>
    <mergeCell ref="B733:F733"/>
    <mergeCell ref="B731:F731"/>
    <mergeCell ref="Y825:AB825"/>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D1070:AK1075"/>
    <mergeCell ref="K733:N733"/>
    <mergeCell ref="J774:N774"/>
    <mergeCell ref="O727:S727"/>
    <mergeCell ref="O756:R756"/>
    <mergeCell ref="AG756:AJ756"/>
    <mergeCell ref="A1103:B1103"/>
    <mergeCell ref="G725:J725"/>
    <mergeCell ref="B732:F732"/>
    <mergeCell ref="J794:N794"/>
    <mergeCell ref="D1064:AK1069"/>
    <mergeCell ref="W973:AG973"/>
    <mergeCell ref="M972:S972"/>
    <mergeCell ref="M971:S971"/>
    <mergeCell ref="M960:S960"/>
    <mergeCell ref="E885:AB885"/>
    <mergeCell ref="BS647:BW647"/>
    <mergeCell ref="BN645:BR645"/>
    <mergeCell ref="T794:W794"/>
    <mergeCell ref="T792:W792"/>
    <mergeCell ref="O777:S777"/>
    <mergeCell ref="X788:AB788"/>
    <mergeCell ref="T734:W734"/>
    <mergeCell ref="O775:S775"/>
    <mergeCell ref="BG975:BL975"/>
    <mergeCell ref="AA949:AF949"/>
    <mergeCell ref="BD906:BE906"/>
    <mergeCell ref="BD907:BE907"/>
    <mergeCell ref="U946:Z946"/>
    <mergeCell ref="U918:Z918"/>
    <mergeCell ref="U944:Z944"/>
    <mergeCell ref="AA933:AF933"/>
    <mergeCell ref="U920:Z920"/>
    <mergeCell ref="BG848:BL848"/>
    <mergeCell ref="O722:S722"/>
    <mergeCell ref="AH750:AJ750"/>
    <mergeCell ref="AH751:AJ751"/>
    <mergeCell ref="T776:W776"/>
    <mergeCell ref="AH749:AJ749"/>
    <mergeCell ref="AD759:AF759"/>
    <mergeCell ref="H656:R656"/>
    <mergeCell ref="Q831:T831"/>
    <mergeCell ref="X740:AB740"/>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Z647:AE647"/>
    <mergeCell ref="Z817:AE817"/>
    <mergeCell ref="X795:AB795"/>
    <mergeCell ref="AC826:AF826"/>
    <mergeCell ref="AC827:AF827"/>
    <mergeCell ref="Y826:AB826"/>
    <mergeCell ref="Z813:AE813"/>
    <mergeCell ref="AC825:AF825"/>
    <mergeCell ref="AG827:AJ827"/>
    <mergeCell ref="X789:AB789"/>
    <mergeCell ref="X790:AB790"/>
    <mergeCell ref="AI647:AK647"/>
    <mergeCell ref="Y831:AB831"/>
    <mergeCell ref="U832:X832"/>
    <mergeCell ref="AC831:AF831"/>
    <mergeCell ref="T774:W774"/>
    <mergeCell ref="U831:X831"/>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DM616:DQ616"/>
    <mergeCell ref="CS616:CW616"/>
    <mergeCell ref="CS614:CW614"/>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H610:CL610"/>
    <mergeCell ref="CH608:CL60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AG448:AJ448"/>
    <mergeCell ref="AH528:AK528"/>
    <mergeCell ref="AH505:AK505"/>
    <mergeCell ref="T558:V558"/>
    <mergeCell ref="W561:Y561"/>
    <mergeCell ref="W562:Y562"/>
    <mergeCell ref="T560:V560"/>
    <mergeCell ref="C560:L560"/>
    <mergeCell ref="D469:V469"/>
    <mergeCell ref="D468:V468"/>
    <mergeCell ref="W558:Y558"/>
    <mergeCell ref="AE558:AH558"/>
    <mergeCell ref="C557:L557"/>
    <mergeCell ref="AH503:AK503"/>
    <mergeCell ref="AC500:AF500"/>
    <mergeCell ref="Q485:AK485"/>
    <mergeCell ref="AC503:AF503"/>
    <mergeCell ref="AC513:AF513"/>
    <mergeCell ref="AI561:AL561"/>
    <mergeCell ref="AE560:AH560"/>
    <mergeCell ref="T556:V556"/>
    <mergeCell ref="AC520:AF520"/>
    <mergeCell ref="B520:H542"/>
    <mergeCell ref="AH537:AK537"/>
    <mergeCell ref="AC534:AF534"/>
    <mergeCell ref="AH542:AK542"/>
    <mergeCell ref="AC542:AF542"/>
    <mergeCell ref="AC533:AF533"/>
    <mergeCell ref="AC509:AF509"/>
    <mergeCell ref="AC525:AF525"/>
    <mergeCell ref="AH520:AK520"/>
    <mergeCell ref="AC537:AF537"/>
    <mergeCell ref="Z588:AK588"/>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T565:V565"/>
    <mergeCell ref="Z613:AE613"/>
    <mergeCell ref="Z634:AB634"/>
    <mergeCell ref="AO632:AS632"/>
    <mergeCell ref="AA614:AK614"/>
    <mergeCell ref="G613:L613"/>
    <mergeCell ref="P605:R605"/>
    <mergeCell ref="AF574:AK574"/>
    <mergeCell ref="Z585:AK585"/>
    <mergeCell ref="AE561:AH561"/>
    <mergeCell ref="AI613:AK613"/>
    <mergeCell ref="AO627:AS627"/>
    <mergeCell ref="A617:AT618"/>
    <mergeCell ref="B624:L626"/>
    <mergeCell ref="W563:Y563"/>
    <mergeCell ref="W564:Y564"/>
    <mergeCell ref="AO630:AS630"/>
    <mergeCell ref="Q624:S626"/>
    <mergeCell ref="H614:R614"/>
    <mergeCell ref="BG608:BH608"/>
    <mergeCell ref="BK605:BL605"/>
    <mergeCell ref="CH617:CL617"/>
    <mergeCell ref="BN638:BR638"/>
    <mergeCell ref="CH611:CL611"/>
    <mergeCell ref="BS611:BW611"/>
    <mergeCell ref="BG609:BH609"/>
    <mergeCell ref="BE630:BF630"/>
    <mergeCell ref="BS617:BW617"/>
    <mergeCell ref="CM612:CQ612"/>
    <mergeCell ref="CM613:CQ613"/>
    <mergeCell ref="CM614:CQ614"/>
    <mergeCell ref="CM615:CQ615"/>
    <mergeCell ref="BG615:BH615"/>
    <mergeCell ref="BX616:CB616"/>
    <mergeCell ref="BX620:CB620"/>
    <mergeCell ref="CM616:CQ616"/>
    <mergeCell ref="CM617:CQ617"/>
    <mergeCell ref="CM618:CQ618"/>
    <mergeCell ref="BI619:BJ619"/>
    <mergeCell ref="CC631:CG631"/>
    <mergeCell ref="BE631:BF631"/>
    <mergeCell ref="BX629:CB629"/>
    <mergeCell ref="CC616:CG616"/>
    <mergeCell ref="CC618:CG618"/>
    <mergeCell ref="BI630:BJ630"/>
    <mergeCell ref="BN626:BR626"/>
    <mergeCell ref="BX624:CB624"/>
    <mergeCell ref="BK620:BL620"/>
    <mergeCell ref="CM611:CQ611"/>
    <mergeCell ref="BG617:BH617"/>
    <mergeCell ref="CH619:CL619"/>
    <mergeCell ref="BS630:BW630"/>
    <mergeCell ref="W630:Y630"/>
    <mergeCell ref="BS631:BW631"/>
    <mergeCell ref="BS637:BW637"/>
    <mergeCell ref="AF624:AJ626"/>
    <mergeCell ref="B639:AN639"/>
    <mergeCell ref="CC612:CG612"/>
    <mergeCell ref="BS614:BW614"/>
    <mergeCell ref="BX630:CB630"/>
    <mergeCell ref="BG630:BH630"/>
    <mergeCell ref="BN614:BR614"/>
    <mergeCell ref="AK634:AN634"/>
    <mergeCell ref="BE622:BF622"/>
    <mergeCell ref="Z633:AB633"/>
    <mergeCell ref="BE614:BF614"/>
    <mergeCell ref="BG632:BH632"/>
    <mergeCell ref="BG631:BH631"/>
    <mergeCell ref="BI631:BJ631"/>
    <mergeCell ref="BE615:BF615"/>
    <mergeCell ref="BX638:CB638"/>
    <mergeCell ref="AO634:AS634"/>
    <mergeCell ref="BX637:CB637"/>
    <mergeCell ref="C638:L638"/>
    <mergeCell ref="AO635:AS635"/>
    <mergeCell ref="Z636:AB636"/>
    <mergeCell ref="Z637:AB637"/>
    <mergeCell ref="Z638:AB638"/>
    <mergeCell ref="W627:Y627"/>
    <mergeCell ref="T627:V627"/>
    <mergeCell ref="Z624:AB626"/>
    <mergeCell ref="AC627:AE627"/>
    <mergeCell ref="W624:Y626"/>
    <mergeCell ref="BK621:BL621"/>
    <mergeCell ref="BK625:BL625"/>
    <mergeCell ref="BG626:BH626"/>
    <mergeCell ref="BI626:BJ626"/>
    <mergeCell ref="BK626:BL626"/>
    <mergeCell ref="BG616:BH616"/>
    <mergeCell ref="BK622:BL622"/>
    <mergeCell ref="BX617:CB617"/>
    <mergeCell ref="BS622:BW622"/>
    <mergeCell ref="BX622:CB622"/>
    <mergeCell ref="BS615:BW615"/>
    <mergeCell ref="BK623:BL623"/>
    <mergeCell ref="CC611:CG611"/>
    <mergeCell ref="BS612:BW612"/>
    <mergeCell ref="BN616:BR616"/>
    <mergeCell ref="BE618:BF618"/>
    <mergeCell ref="BE619:BF619"/>
    <mergeCell ref="BI616:BJ616"/>
    <mergeCell ref="BE611:BF611"/>
    <mergeCell ref="BN613:BR613"/>
    <mergeCell ref="BN611:BR611"/>
    <mergeCell ref="BG627:BH627"/>
    <mergeCell ref="BI627:BJ627"/>
    <mergeCell ref="BK627:BL627"/>
    <mergeCell ref="BE628:BF628"/>
    <mergeCell ref="BK631:BL631"/>
    <mergeCell ref="BN631:BR631"/>
    <mergeCell ref="AO629:AS629"/>
    <mergeCell ref="AF630:AJ630"/>
    <mergeCell ref="AO638:AS638"/>
    <mergeCell ref="T631:V631"/>
    <mergeCell ref="T632:V632"/>
    <mergeCell ref="T633:V633"/>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G614:BH614"/>
    <mergeCell ref="BG613:BH613"/>
    <mergeCell ref="BK615:BL615"/>
    <mergeCell ref="CC614:CG614"/>
    <mergeCell ref="BN615:BR615"/>
    <mergeCell ref="BK616:BL616"/>
    <mergeCell ref="BS616:BW616"/>
    <mergeCell ref="BI625:BJ625"/>
    <mergeCell ref="Z655:AE655"/>
    <mergeCell ref="B640:AN640"/>
    <mergeCell ref="AO639:AS639"/>
    <mergeCell ref="AF627:AJ627"/>
    <mergeCell ref="BE626:BF626"/>
    <mergeCell ref="AO640:AS640"/>
    <mergeCell ref="M637:P637"/>
    <mergeCell ref="M638:P638"/>
    <mergeCell ref="C628:L628"/>
    <mergeCell ref="P647:R647"/>
    <mergeCell ref="AG649:AH649"/>
    <mergeCell ref="C637:L637"/>
    <mergeCell ref="CH612:CL612"/>
    <mergeCell ref="CH613:CL613"/>
    <mergeCell ref="BN629:BR629"/>
    <mergeCell ref="BS629:BW629"/>
    <mergeCell ref="BG628:BH628"/>
    <mergeCell ref="BI628:BJ628"/>
    <mergeCell ref="C636:L636"/>
    <mergeCell ref="BK632:BL632"/>
    <mergeCell ref="BN632:BR632"/>
    <mergeCell ref="M635:P635"/>
    <mergeCell ref="M636:P636"/>
    <mergeCell ref="AO637:AS637"/>
    <mergeCell ref="AO636:AS636"/>
    <mergeCell ref="W638:Y638"/>
    <mergeCell ref="AC624:AE626"/>
    <mergeCell ref="AK628:AN628"/>
    <mergeCell ref="AK637:AN637"/>
    <mergeCell ref="AK638:AN638"/>
    <mergeCell ref="AF633:AJ633"/>
    <mergeCell ref="AC629:AE629"/>
    <mergeCell ref="Z653:AK653"/>
    <mergeCell ref="H648:R648"/>
    <mergeCell ref="AO624:AS626"/>
    <mergeCell ref="AF629:AJ629"/>
    <mergeCell ref="G654:R654"/>
    <mergeCell ref="BE627:BF627"/>
    <mergeCell ref="AC628:AE628"/>
    <mergeCell ref="C629:L629"/>
    <mergeCell ref="C630:L630"/>
    <mergeCell ref="C631:L631"/>
    <mergeCell ref="C632:L632"/>
    <mergeCell ref="Z628:AB628"/>
    <mergeCell ref="Z629:AB629"/>
    <mergeCell ref="G646:R646"/>
    <mergeCell ref="T636:V636"/>
    <mergeCell ref="T637:V637"/>
    <mergeCell ref="T638:V638"/>
    <mergeCell ref="G651:R651"/>
    <mergeCell ref="G652:R652"/>
    <mergeCell ref="T634:V634"/>
    <mergeCell ref="W628:Y628"/>
    <mergeCell ref="W629:Y629"/>
    <mergeCell ref="M631:P631"/>
    <mergeCell ref="M632:P632"/>
    <mergeCell ref="W631:Y631"/>
    <mergeCell ref="G644:R644"/>
    <mergeCell ref="Z645:AK645"/>
    <mergeCell ref="AC883:AH883"/>
    <mergeCell ref="Z901:AE901"/>
    <mergeCell ref="W863:AC863"/>
    <mergeCell ref="AC891:AH891"/>
    <mergeCell ref="C893:AB893"/>
    <mergeCell ref="U928:Z928"/>
    <mergeCell ref="AA928:AF928"/>
    <mergeCell ref="U929:Z929"/>
    <mergeCell ref="AA929:AF929"/>
    <mergeCell ref="U930:Z930"/>
    <mergeCell ref="F931:T931"/>
    <mergeCell ref="AA938:AF938"/>
    <mergeCell ref="AA939:AF939"/>
    <mergeCell ref="F929:T929"/>
    <mergeCell ref="F930:T930"/>
    <mergeCell ref="W855:AC855"/>
    <mergeCell ref="AC892:AH892"/>
    <mergeCell ref="U935:Z935"/>
    <mergeCell ref="AA935:AF935"/>
    <mergeCell ref="F938:T938"/>
    <mergeCell ref="AA920:AF920"/>
    <mergeCell ref="W872:AC872"/>
    <mergeCell ref="AC884:AH884"/>
    <mergeCell ref="F925:T925"/>
    <mergeCell ref="F926:T926"/>
    <mergeCell ref="F927:T927"/>
    <mergeCell ref="U925:Z925"/>
    <mergeCell ref="AA925:AF925"/>
    <mergeCell ref="U926:Z926"/>
    <mergeCell ref="P655:R655"/>
    <mergeCell ref="M874:V874"/>
    <mergeCell ref="W846:AC846"/>
    <mergeCell ref="U919:Z919"/>
    <mergeCell ref="Z898:AE898"/>
    <mergeCell ref="AC889:AH889"/>
    <mergeCell ref="U921:Z921"/>
    <mergeCell ref="AA923:AF923"/>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A970:AG970"/>
    <mergeCell ref="D1086:AK1090"/>
    <mergeCell ref="T972:Z972"/>
    <mergeCell ref="D1000:AE1000"/>
    <mergeCell ref="D1001:AE1005"/>
    <mergeCell ref="D1010:AE1010"/>
    <mergeCell ref="D1011:AE1011"/>
    <mergeCell ref="AF1026:AI1027"/>
    <mergeCell ref="D987:Q987"/>
    <mergeCell ref="M958:S958"/>
    <mergeCell ref="AE958:AK958"/>
    <mergeCell ref="D1076:AK1082"/>
    <mergeCell ref="M967:S967"/>
    <mergeCell ref="AA966:AG966"/>
    <mergeCell ref="AA972:AG972"/>
    <mergeCell ref="AE961:AK961"/>
    <mergeCell ref="BD909:BE909"/>
    <mergeCell ref="AB956:AK956"/>
    <mergeCell ref="U948:Z948"/>
    <mergeCell ref="AA927:AF927"/>
    <mergeCell ref="U922:Z922"/>
    <mergeCell ref="AA968:AG968"/>
    <mergeCell ref="T971:Z971"/>
    <mergeCell ref="AA940:AF940"/>
    <mergeCell ref="A909:AT910"/>
    <mergeCell ref="U937:Z937"/>
    <mergeCell ref="U927:Z927"/>
    <mergeCell ref="U947:Z947"/>
    <mergeCell ref="U934:Z934"/>
    <mergeCell ref="AA922:AF922"/>
    <mergeCell ref="AB916:AE916"/>
    <mergeCell ref="AA921:AF921"/>
    <mergeCell ref="M957:S957"/>
    <mergeCell ref="AA971:AG971"/>
    <mergeCell ref="AA919:AF919"/>
    <mergeCell ref="AA918:AF918"/>
    <mergeCell ref="AA934:AF934"/>
    <mergeCell ref="AA917:AF917"/>
    <mergeCell ref="AE957:AK957"/>
    <mergeCell ref="AE955:AK955"/>
    <mergeCell ref="AA946:AF946"/>
    <mergeCell ref="AA926:AF926"/>
    <mergeCell ref="F928:T928"/>
    <mergeCell ref="AA931:AF931"/>
    <mergeCell ref="F937:T937"/>
    <mergeCell ref="M955:S955"/>
    <mergeCell ref="F915:T916"/>
    <mergeCell ref="AA930:AF930"/>
    <mergeCell ref="U931:Z931"/>
    <mergeCell ref="U914:Z916"/>
    <mergeCell ref="U949:Z949"/>
    <mergeCell ref="U917:Z917"/>
    <mergeCell ref="AC890:AH890"/>
    <mergeCell ref="F936:T936"/>
    <mergeCell ref="U936:Z936"/>
    <mergeCell ref="AA936:AF936"/>
    <mergeCell ref="F941:T941"/>
    <mergeCell ref="U941:Z941"/>
    <mergeCell ref="AA941:AF941"/>
    <mergeCell ref="F943:T943"/>
    <mergeCell ref="U943:Z943"/>
    <mergeCell ref="I946:T946"/>
    <mergeCell ref="U942:Z942"/>
    <mergeCell ref="AA943:AF943"/>
    <mergeCell ref="I945:T945"/>
    <mergeCell ref="U945:Z945"/>
    <mergeCell ref="AA945:AF945"/>
    <mergeCell ref="F945:H945"/>
    <mergeCell ref="AC893:AH893"/>
    <mergeCell ref="U924:Z924"/>
    <mergeCell ref="U938:Z938"/>
    <mergeCell ref="U939:Z939"/>
    <mergeCell ref="F935:T935"/>
    <mergeCell ref="M832:P832"/>
    <mergeCell ref="W866:AC866"/>
    <mergeCell ref="BD905:BF905"/>
    <mergeCell ref="BD904:BF904"/>
    <mergeCell ref="U923:Z923"/>
    <mergeCell ref="BD902:BE902"/>
    <mergeCell ref="AA924:AF924"/>
    <mergeCell ref="BD903:BE903"/>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AC885:AH885"/>
    <mergeCell ref="W861:AC861"/>
    <mergeCell ref="C894:AB894"/>
    <mergeCell ref="W859:AC859"/>
    <mergeCell ref="C829:H829"/>
    <mergeCell ref="AG826:AJ826"/>
    <mergeCell ref="AG825:AJ825"/>
    <mergeCell ref="AC794:AG794"/>
    <mergeCell ref="AC795:AG795"/>
    <mergeCell ref="O793:S793"/>
    <mergeCell ref="J790:N790"/>
    <mergeCell ref="AC888:AH888"/>
    <mergeCell ref="M875:V875"/>
    <mergeCell ref="W877:AC877"/>
    <mergeCell ref="W853:AC853"/>
    <mergeCell ref="AC886:AH886"/>
    <mergeCell ref="M871:V871"/>
    <mergeCell ref="M878:V878"/>
    <mergeCell ref="O783:S786"/>
    <mergeCell ref="Q825:T825"/>
    <mergeCell ref="G647:L647"/>
    <mergeCell ref="W870:AC870"/>
    <mergeCell ref="AC752:AG752"/>
    <mergeCell ref="P816:Y816"/>
    <mergeCell ref="O788:S788"/>
    <mergeCell ref="O795:S795"/>
    <mergeCell ref="AC791:AG791"/>
    <mergeCell ref="AC792:AG792"/>
    <mergeCell ref="O787:S787"/>
    <mergeCell ref="Q826:T826"/>
    <mergeCell ref="Y823:AB824"/>
    <mergeCell ref="M829:P829"/>
    <mergeCell ref="Z815:AE815"/>
    <mergeCell ref="Z808:AE808"/>
    <mergeCell ref="Q832:T832"/>
    <mergeCell ref="X794:AB794"/>
    <mergeCell ref="AG828:AJ828"/>
    <mergeCell ref="U827:X827"/>
    <mergeCell ref="T749:W749"/>
    <mergeCell ref="K750:N750"/>
    <mergeCell ref="AC749:AG749"/>
    <mergeCell ref="AC750:AG750"/>
    <mergeCell ref="AC751:AG751"/>
    <mergeCell ref="T796:W796"/>
    <mergeCell ref="X774:AB774"/>
    <mergeCell ref="J788:N788"/>
    <mergeCell ref="O797:S797"/>
    <mergeCell ref="Q827:T827"/>
    <mergeCell ref="J789:N789"/>
    <mergeCell ref="M826:P826"/>
    <mergeCell ref="X791:AB791"/>
    <mergeCell ref="K737:N737"/>
    <mergeCell ref="AH739:AJ739"/>
    <mergeCell ref="AH740:AJ740"/>
    <mergeCell ref="G739:J739"/>
    <mergeCell ref="AC828:AF828"/>
    <mergeCell ref="T793:W793"/>
    <mergeCell ref="T745:W745"/>
    <mergeCell ref="X792:AB792"/>
    <mergeCell ref="X793:AB793"/>
    <mergeCell ref="M823:P824"/>
    <mergeCell ref="AC753:AG753"/>
    <mergeCell ref="O753:S753"/>
    <mergeCell ref="O752:S752"/>
    <mergeCell ref="O739:S739"/>
    <mergeCell ref="J779:K779"/>
    <mergeCell ref="J787:N787"/>
    <mergeCell ref="G738:J738"/>
    <mergeCell ref="O736:S736"/>
    <mergeCell ref="K738:N738"/>
    <mergeCell ref="K730:N730"/>
    <mergeCell ref="K731:N731"/>
    <mergeCell ref="T740:W740"/>
    <mergeCell ref="G741:J741"/>
    <mergeCell ref="B739:F739"/>
    <mergeCell ref="K735:N735"/>
    <mergeCell ref="K749:N749"/>
    <mergeCell ref="O749:S749"/>
    <mergeCell ref="O740:S740"/>
    <mergeCell ref="K741:N741"/>
    <mergeCell ref="K752:N752"/>
    <mergeCell ref="G731:J731"/>
    <mergeCell ref="U823:X824"/>
    <mergeCell ref="T733:W733"/>
    <mergeCell ref="O734:S734"/>
    <mergeCell ref="K739:N739"/>
    <mergeCell ref="X732:AB732"/>
    <mergeCell ref="K734:N734"/>
    <mergeCell ref="X735:AB735"/>
    <mergeCell ref="X736:AB736"/>
    <mergeCell ref="B754:AH755"/>
    <mergeCell ref="C763:AR765"/>
    <mergeCell ref="C766:AR768"/>
    <mergeCell ref="AC734:AG734"/>
    <mergeCell ref="T735:W735"/>
    <mergeCell ref="T750:W750"/>
    <mergeCell ref="K751:N751"/>
    <mergeCell ref="O751:S751"/>
    <mergeCell ref="B730:F730"/>
    <mergeCell ref="G737:J737"/>
    <mergeCell ref="T741:W741"/>
    <mergeCell ref="T732:W732"/>
    <mergeCell ref="T731:W731"/>
    <mergeCell ref="AC796:AG796"/>
    <mergeCell ref="AC788:AG788"/>
    <mergeCell ref="AK746:AO746"/>
    <mergeCell ref="AK747:AO747"/>
    <mergeCell ref="M827:P827"/>
    <mergeCell ref="J797:N797"/>
    <mergeCell ref="J795:N795"/>
    <mergeCell ref="AC774:AG774"/>
    <mergeCell ref="X777:AB777"/>
    <mergeCell ref="O723:S723"/>
    <mergeCell ref="X723:AB723"/>
    <mergeCell ref="O724:S724"/>
    <mergeCell ref="T725:W725"/>
    <mergeCell ref="G724:J724"/>
    <mergeCell ref="C826:H826"/>
    <mergeCell ref="AH724:AJ724"/>
    <mergeCell ref="AK724:AO724"/>
    <mergeCell ref="AK725:AO725"/>
    <mergeCell ref="T747:W747"/>
    <mergeCell ref="J791:N791"/>
    <mergeCell ref="AH734:AJ734"/>
    <mergeCell ref="O790:S790"/>
    <mergeCell ref="X737:AB737"/>
    <mergeCell ref="G753:J753"/>
    <mergeCell ref="M825:P825"/>
    <mergeCell ref="C825:H825"/>
    <mergeCell ref="B727:F727"/>
    <mergeCell ref="O730:S730"/>
    <mergeCell ref="B740:F740"/>
    <mergeCell ref="K723:N723"/>
    <mergeCell ref="T723:W723"/>
    <mergeCell ref="K721:N721"/>
    <mergeCell ref="AK719:AO719"/>
    <mergeCell ref="W700:AK700"/>
    <mergeCell ref="AC719:AG719"/>
    <mergeCell ref="X720:AB720"/>
    <mergeCell ref="G675:R675"/>
    <mergeCell ref="Z667:AK667"/>
    <mergeCell ref="G679:L679"/>
    <mergeCell ref="G643:R643"/>
    <mergeCell ref="Z662:AK662"/>
    <mergeCell ref="U829:X829"/>
    <mergeCell ref="T795:W795"/>
    <mergeCell ref="C832:L832"/>
    <mergeCell ref="AG823:AJ824"/>
    <mergeCell ref="T729:W729"/>
    <mergeCell ref="AH728:AJ728"/>
    <mergeCell ref="AK748:AO748"/>
    <mergeCell ref="U828:X828"/>
    <mergeCell ref="Q830:T830"/>
    <mergeCell ref="Z807:AE807"/>
    <mergeCell ref="AG831:AJ831"/>
    <mergeCell ref="O774:S774"/>
    <mergeCell ref="O794:S794"/>
    <mergeCell ref="X769:AB772"/>
    <mergeCell ref="T769:W772"/>
    <mergeCell ref="AC793:AG793"/>
    <mergeCell ref="X775:AB775"/>
    <mergeCell ref="X776:AB776"/>
    <mergeCell ref="AC775:AG775"/>
    <mergeCell ref="Z685:AK685"/>
    <mergeCell ref="M830:P830"/>
    <mergeCell ref="T791:W791"/>
    <mergeCell ref="T787:W787"/>
    <mergeCell ref="T788:W788"/>
    <mergeCell ref="T789:W789"/>
    <mergeCell ref="Q828:T828"/>
    <mergeCell ref="AC777:AG777"/>
    <mergeCell ref="Q823:T824"/>
    <mergeCell ref="Z809:AE809"/>
    <mergeCell ref="O791:S791"/>
    <mergeCell ref="J783:N786"/>
    <mergeCell ref="O796:S796"/>
    <mergeCell ref="U825:X825"/>
    <mergeCell ref="J776:N776"/>
    <mergeCell ref="O776:S776"/>
    <mergeCell ref="J769:N772"/>
    <mergeCell ref="K724:N724"/>
    <mergeCell ref="AC783:AG786"/>
    <mergeCell ref="AC789:AG789"/>
    <mergeCell ref="AC790:AG790"/>
    <mergeCell ref="T752:W752"/>
    <mergeCell ref="Z818:AE818"/>
    <mergeCell ref="T790:W790"/>
    <mergeCell ref="O733:S733"/>
    <mergeCell ref="Q829:T829"/>
    <mergeCell ref="AG830:AJ830"/>
    <mergeCell ref="AG829:AJ829"/>
    <mergeCell ref="AH752:AJ752"/>
    <mergeCell ref="AH741:AJ741"/>
    <mergeCell ref="O747:S747"/>
    <mergeCell ref="Y801:AC801"/>
    <mergeCell ref="Y800:AC800"/>
    <mergeCell ref="Z560:AD560"/>
    <mergeCell ref="Z630:AB630"/>
    <mergeCell ref="B737:F737"/>
    <mergeCell ref="B735:F735"/>
    <mergeCell ref="B738:F738"/>
    <mergeCell ref="Z652:AK652"/>
    <mergeCell ref="K719:N719"/>
    <mergeCell ref="G718:J718"/>
    <mergeCell ref="AH719:AJ719"/>
    <mergeCell ref="G670:R670"/>
    <mergeCell ref="Z669:AK669"/>
    <mergeCell ref="E707:AK707"/>
    <mergeCell ref="W706:AK706"/>
    <mergeCell ref="AH726:AJ726"/>
    <mergeCell ref="G719:J719"/>
    <mergeCell ref="G727:J727"/>
    <mergeCell ref="O718:S718"/>
    <mergeCell ref="O720:S720"/>
    <mergeCell ref="G714:J717"/>
    <mergeCell ref="G668:R668"/>
    <mergeCell ref="P671:R671"/>
    <mergeCell ref="R705:T705"/>
    <mergeCell ref="AE696:AI696"/>
    <mergeCell ref="Z668:AK668"/>
    <mergeCell ref="X722:AB722"/>
    <mergeCell ref="AK723:AO723"/>
    <mergeCell ref="G671:L671"/>
    <mergeCell ref="G669:R669"/>
    <mergeCell ref="T718:W718"/>
    <mergeCell ref="O721:S721"/>
    <mergeCell ref="K722:N722"/>
    <mergeCell ref="G684:R684"/>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Q564:S564"/>
    <mergeCell ref="AI563:AL563"/>
    <mergeCell ref="Z562:AD562"/>
    <mergeCell ref="Z563:AD563"/>
    <mergeCell ref="AI564:AL564"/>
    <mergeCell ref="Z554:AD554"/>
    <mergeCell ref="W469:Y469"/>
    <mergeCell ref="P581:R581"/>
    <mergeCell ref="AA582:AK582"/>
    <mergeCell ref="AC538:AF538"/>
    <mergeCell ref="M561:P561"/>
    <mergeCell ref="B551:L553"/>
    <mergeCell ref="M551:P553"/>
    <mergeCell ref="AC527:AF527"/>
    <mergeCell ref="Z610:AK610"/>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P346:AE346"/>
    <mergeCell ref="P344:AE344"/>
    <mergeCell ref="AI560:AL560"/>
    <mergeCell ref="T562:V562"/>
    <mergeCell ref="O529:AA529"/>
    <mergeCell ref="AH533:AK533"/>
    <mergeCell ref="AC456:AF456"/>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H330:R330"/>
    <mergeCell ref="AA321:AK321"/>
    <mergeCell ref="H325:R325"/>
    <mergeCell ref="H307:M307"/>
    <mergeCell ref="M263:R263"/>
    <mergeCell ref="M265:T265"/>
    <mergeCell ref="H319:R319"/>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329:R329"/>
    <mergeCell ref="H288:R288"/>
    <mergeCell ref="AA290:AK290"/>
    <mergeCell ref="AA335:AK335"/>
    <mergeCell ref="AI331:AK331"/>
    <mergeCell ref="AA306:AK306"/>
    <mergeCell ref="AA303:AK303"/>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H298:R298"/>
    <mergeCell ref="H312:R312"/>
    <mergeCell ref="AI307:AK307"/>
    <mergeCell ref="L279:AD279"/>
    <mergeCell ref="H314:R314"/>
    <mergeCell ref="H316:M316"/>
    <mergeCell ref="AA322:AK322"/>
    <mergeCell ref="H292:M292"/>
    <mergeCell ref="H309:R309"/>
    <mergeCell ref="M251:AE251"/>
    <mergeCell ref="AA301:AK301"/>
    <mergeCell ref="H301:R301"/>
    <mergeCell ref="AA249:AK249"/>
    <mergeCell ref="AA292:AF292"/>
    <mergeCell ref="AB276:AD276"/>
    <mergeCell ref="Y278:AD278"/>
    <mergeCell ref="AA295:AK295"/>
    <mergeCell ref="AF259:AK259"/>
    <mergeCell ref="AC261:AE261"/>
    <mergeCell ref="F150:T150"/>
    <mergeCell ref="M254:AE254"/>
    <mergeCell ref="J173:S173"/>
    <mergeCell ref="O155:AH155"/>
    <mergeCell ref="O153:AH153"/>
    <mergeCell ref="O154:AH154"/>
    <mergeCell ref="O156:AH156"/>
    <mergeCell ref="O157:X157"/>
    <mergeCell ref="O158:R158"/>
    <mergeCell ref="W159:X159"/>
    <mergeCell ref="O159:T159"/>
    <mergeCell ref="AH254:AK254"/>
    <mergeCell ref="P113:S113"/>
    <mergeCell ref="I185:AE185"/>
    <mergeCell ref="D205:M205"/>
    <mergeCell ref="J174:AB174"/>
    <mergeCell ref="M238:T238"/>
    <mergeCell ref="T197:U197"/>
    <mergeCell ref="P205:U205"/>
    <mergeCell ref="M239:AE239"/>
    <mergeCell ref="O160:T160"/>
    <mergeCell ref="AI178:AK178"/>
    <mergeCell ref="M234:T234"/>
    <mergeCell ref="W234:X234"/>
    <mergeCell ref="AB212:AC212"/>
    <mergeCell ref="AF243:AK243"/>
    <mergeCell ref="T196:U196"/>
    <mergeCell ref="D220:Z220"/>
    <mergeCell ref="T193:AI193"/>
    <mergeCell ref="AI227:AJ227"/>
    <mergeCell ref="Y123:AK123"/>
    <mergeCell ref="W253:X253"/>
    <mergeCell ref="A83:AT84"/>
    <mergeCell ref="AF251:AK251"/>
    <mergeCell ref="M244:AE244"/>
    <mergeCell ref="I190:N190"/>
    <mergeCell ref="M247:R247"/>
    <mergeCell ref="M245:T245"/>
    <mergeCell ref="D208:M208"/>
    <mergeCell ref="Y117:AK117"/>
    <mergeCell ref="T190:AE190"/>
    <mergeCell ref="M232:AK232"/>
    <mergeCell ref="M233:AE233"/>
    <mergeCell ref="N191:AE192"/>
    <mergeCell ref="D211:M211"/>
    <mergeCell ref="AI228:AJ228"/>
    <mergeCell ref="AI226:AJ226"/>
    <mergeCell ref="T189:AE189"/>
    <mergeCell ref="T195:U195"/>
    <mergeCell ref="E187:AE188"/>
    <mergeCell ref="I189:P189"/>
    <mergeCell ref="Z199:AA199"/>
    <mergeCell ref="AC234:AE234"/>
    <mergeCell ref="AH197:AI197"/>
    <mergeCell ref="Z247:AE247"/>
    <mergeCell ref="W245:X245"/>
    <mergeCell ref="U247:W247"/>
    <mergeCell ref="M237:AE237"/>
    <mergeCell ref="Z205:AN205"/>
    <mergeCell ref="M249:T249"/>
    <mergeCell ref="AC245:AE245"/>
    <mergeCell ref="M246:AE246"/>
    <mergeCell ref="AA238:AK238"/>
    <mergeCell ref="Y120:AK120"/>
    <mergeCell ref="A86:AT87"/>
    <mergeCell ref="A89:AT90"/>
    <mergeCell ref="A92:AT98"/>
    <mergeCell ref="A100:AT103"/>
    <mergeCell ref="I184:AE184"/>
    <mergeCell ref="X176:Y176"/>
    <mergeCell ref="X180:Y180"/>
    <mergeCell ref="AP205:AQ205"/>
    <mergeCell ref="AI229:AJ229"/>
    <mergeCell ref="M235:AE235"/>
    <mergeCell ref="U175:V175"/>
    <mergeCell ref="R177:S177"/>
    <mergeCell ref="U236:W236"/>
    <mergeCell ref="M243:AE243"/>
    <mergeCell ref="D204:M204"/>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M248:AE248"/>
    <mergeCell ref="AC253:AE253"/>
    <mergeCell ref="L277:AD277"/>
    <mergeCell ref="T278:V278"/>
    <mergeCell ref="Z255:AE255"/>
    <mergeCell ref="M255:R255"/>
    <mergeCell ref="M253:T253"/>
    <mergeCell ref="M262:AE262"/>
    <mergeCell ref="AA299:AF299"/>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AH262:AK262"/>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11:AK311"/>
    <mergeCell ref="AA309:AK309"/>
    <mergeCell ref="AA307:AF307"/>
    <mergeCell ref="H304:R304"/>
    <mergeCell ref="H303:R303"/>
    <mergeCell ref="AA308:AF308"/>
    <mergeCell ref="AA305:AK305"/>
    <mergeCell ref="H339:M339"/>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AA333:AK333"/>
    <mergeCell ref="H313:R313"/>
    <mergeCell ref="AC531:AF531"/>
    <mergeCell ref="AH500:AK500"/>
    <mergeCell ref="AA324:AF324"/>
    <mergeCell ref="M356:N356"/>
    <mergeCell ref="G474:V474"/>
    <mergeCell ref="W474:Y474"/>
    <mergeCell ref="CC606:CG606"/>
    <mergeCell ref="H606:R606"/>
    <mergeCell ref="BN596:BR596"/>
    <mergeCell ref="BI602:BJ602"/>
    <mergeCell ref="BI598:BJ598"/>
    <mergeCell ref="BK599:BL599"/>
    <mergeCell ref="BN599:BR599"/>
    <mergeCell ref="G605:L605"/>
    <mergeCell ref="G602:R602"/>
    <mergeCell ref="N599:O599"/>
    <mergeCell ref="AA598:AK598"/>
    <mergeCell ref="Z587:AK587"/>
    <mergeCell ref="BE604:BF604"/>
    <mergeCell ref="BE606:BF606"/>
    <mergeCell ref="BE597:BF597"/>
    <mergeCell ref="N591:O591"/>
    <mergeCell ref="AA590:AK590"/>
    <mergeCell ref="BG606:BH606"/>
    <mergeCell ref="BX604:CB604"/>
    <mergeCell ref="AI589:AK589"/>
    <mergeCell ref="Z596:AK596"/>
    <mergeCell ref="H598:R598"/>
    <mergeCell ref="BK598:BL598"/>
    <mergeCell ref="CC601:CG601"/>
    <mergeCell ref="AC540:AF540"/>
    <mergeCell ref="CC602:CG602"/>
    <mergeCell ref="G604:R604"/>
    <mergeCell ref="BX596:CB596"/>
    <mergeCell ref="BG601:BH601"/>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S597:BW597"/>
    <mergeCell ref="AG583:AH583"/>
    <mergeCell ref="G588:R588"/>
    <mergeCell ref="BE605:BF605"/>
    <mergeCell ref="CC597:CG597"/>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K600:BL600"/>
    <mergeCell ref="BG598:BH598"/>
    <mergeCell ref="BG607:BH607"/>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BX602:CB602"/>
    <mergeCell ref="BN606:BR606"/>
    <mergeCell ref="BG596:BH596"/>
    <mergeCell ref="BE613:BF613"/>
    <mergeCell ref="BN618:BR618"/>
    <mergeCell ref="BK617:BL617"/>
    <mergeCell ref="BI615:BJ615"/>
    <mergeCell ref="BK618:BL618"/>
    <mergeCell ref="BS620:BW620"/>
    <mergeCell ref="BN621:BR621"/>
    <mergeCell ref="BE616:BF616"/>
    <mergeCell ref="BE617:BF617"/>
    <mergeCell ref="BI618:BJ618"/>
    <mergeCell ref="BK611:BL611"/>
    <mergeCell ref="BN600:BR600"/>
    <mergeCell ref="BG619:BH619"/>
    <mergeCell ref="BE620:BF620"/>
    <mergeCell ref="BG620:BH620"/>
    <mergeCell ref="BI620:BJ620"/>
    <mergeCell ref="BN619:BR619"/>
    <mergeCell ref="BX612:CB612"/>
    <mergeCell ref="BX615:CB615"/>
    <mergeCell ref="BK610:BL610"/>
    <mergeCell ref="BG611:BH611"/>
    <mergeCell ref="BN610:BR610"/>
    <mergeCell ref="BI612:BJ612"/>
    <mergeCell ref="BK612:BL612"/>
    <mergeCell ref="BG612:BH612"/>
    <mergeCell ref="BE610:BF610"/>
    <mergeCell ref="BI617:BJ617"/>
    <mergeCell ref="BX619:CB619"/>
    <mergeCell ref="BX618:CB618"/>
    <mergeCell ref="Z678:AK678"/>
    <mergeCell ref="G685:R685"/>
    <mergeCell ref="Z659:AK659"/>
    <mergeCell ref="N657:O657"/>
    <mergeCell ref="Z660:AK660"/>
    <mergeCell ref="BX608:CB608"/>
    <mergeCell ref="BE612:BF612"/>
    <mergeCell ref="BX611:CB611"/>
    <mergeCell ref="BX614:CB614"/>
    <mergeCell ref="BS613:BW613"/>
    <mergeCell ref="BI611:BJ611"/>
    <mergeCell ref="BE623:BF623"/>
    <mergeCell ref="BG623:BH623"/>
    <mergeCell ref="BN612:BR612"/>
    <mergeCell ref="BI614:BJ614"/>
    <mergeCell ref="BS619:BW619"/>
    <mergeCell ref="BG618:BH618"/>
    <mergeCell ref="BN620:BR620"/>
    <mergeCell ref="G663:L663"/>
    <mergeCell ref="AA656:AK656"/>
    <mergeCell ref="B641:AN641"/>
    <mergeCell ref="W633:Y633"/>
    <mergeCell ref="AC630:AE630"/>
    <mergeCell ref="AC631:AE631"/>
    <mergeCell ref="AC632:AE632"/>
    <mergeCell ref="Z646:AK646"/>
    <mergeCell ref="BK629:BL629"/>
    <mergeCell ref="BI622:BJ622"/>
    <mergeCell ref="G655:L655"/>
    <mergeCell ref="T628:V628"/>
    <mergeCell ref="BI623:BJ623"/>
    <mergeCell ref="AO641:AS641"/>
    <mergeCell ref="BX609:CB609"/>
    <mergeCell ref="AI679:AK679"/>
    <mergeCell ref="Z663:AE663"/>
    <mergeCell ref="Z643:AK643"/>
    <mergeCell ref="G721:J721"/>
    <mergeCell ref="G722:J722"/>
    <mergeCell ref="O714:S717"/>
    <mergeCell ref="Z654:AK654"/>
    <mergeCell ref="G645:R645"/>
    <mergeCell ref="BS623:BW623"/>
    <mergeCell ref="BX623:CB623"/>
    <mergeCell ref="BN625:BR625"/>
    <mergeCell ref="BS625:BW625"/>
    <mergeCell ref="BN627:BR627"/>
    <mergeCell ref="BS627:BW627"/>
    <mergeCell ref="BE629:BF629"/>
    <mergeCell ref="BG629:BH629"/>
    <mergeCell ref="BI629:BJ629"/>
    <mergeCell ref="BS649:BW649"/>
    <mergeCell ref="BX652:CB652"/>
    <mergeCell ref="BE609:BF609"/>
    <mergeCell ref="H664:R664"/>
    <mergeCell ref="P687:R687"/>
    <mergeCell ref="J705:O705"/>
    <mergeCell ref="AI663:AK663"/>
    <mergeCell ref="Z661:AK661"/>
    <mergeCell ref="T720:W720"/>
    <mergeCell ref="Z671:AE671"/>
    <mergeCell ref="P663:R663"/>
    <mergeCell ref="G659:R659"/>
    <mergeCell ref="J704:X704"/>
    <mergeCell ref="K720:N720"/>
    <mergeCell ref="BN603:BR603"/>
    <mergeCell ref="AE559:AH559"/>
    <mergeCell ref="AI559:AL559"/>
    <mergeCell ref="T557:V557"/>
    <mergeCell ref="N575:O575"/>
    <mergeCell ref="G569:R569"/>
    <mergeCell ref="BE603:BF603"/>
    <mergeCell ref="BE600:BF600"/>
    <mergeCell ref="BI599:BJ599"/>
    <mergeCell ref="BE607:BF607"/>
    <mergeCell ref="M557:P557"/>
    <mergeCell ref="G597:L597"/>
    <mergeCell ref="AG591:AH591"/>
    <mergeCell ref="M565:P565"/>
    <mergeCell ref="T563:V563"/>
    <mergeCell ref="Z564:AD564"/>
    <mergeCell ref="Z565:AD565"/>
    <mergeCell ref="AM562:AS562"/>
    <mergeCell ref="AE564:AH564"/>
    <mergeCell ref="M558:P558"/>
    <mergeCell ref="G571:R571"/>
    <mergeCell ref="G585:R585"/>
    <mergeCell ref="AG575:AH575"/>
    <mergeCell ref="Z568:AK568"/>
    <mergeCell ref="P589:R589"/>
    <mergeCell ref="Z580:AK580"/>
    <mergeCell ref="C561:L561"/>
    <mergeCell ref="G593:R593"/>
    <mergeCell ref="G579:R579"/>
    <mergeCell ref="Z559:AD559"/>
    <mergeCell ref="AM564:AS564"/>
    <mergeCell ref="H590:R590"/>
    <mergeCell ref="BI609:BJ609"/>
    <mergeCell ref="M560:P560"/>
    <mergeCell ref="N673:O673"/>
    <mergeCell ref="G687:L687"/>
    <mergeCell ref="N649:O649"/>
    <mergeCell ref="Z677:AK677"/>
    <mergeCell ref="G720:J720"/>
    <mergeCell ref="G653:R653"/>
    <mergeCell ref="AG681:AH681"/>
    <mergeCell ref="K718:N718"/>
    <mergeCell ref="Z555:AD555"/>
    <mergeCell ref="AE556:AH556"/>
    <mergeCell ref="Q558:S558"/>
    <mergeCell ref="AM555:AS555"/>
    <mergeCell ref="BI601:BJ601"/>
    <mergeCell ref="BI600:BJ600"/>
    <mergeCell ref="BE621:BF621"/>
    <mergeCell ref="BG621:BH621"/>
    <mergeCell ref="BI621:BJ621"/>
    <mergeCell ref="W556:Y556"/>
    <mergeCell ref="AI655:AK655"/>
    <mergeCell ref="G662:R662"/>
    <mergeCell ref="AE699:AI699"/>
    <mergeCell ref="AA648:AK648"/>
    <mergeCell ref="AF628:AJ628"/>
    <mergeCell ref="AG657:AH657"/>
    <mergeCell ref="G661:R661"/>
    <mergeCell ref="Q557:S557"/>
    <mergeCell ref="AI581:AK581"/>
    <mergeCell ref="BG622:BH622"/>
    <mergeCell ref="Q563:S563"/>
    <mergeCell ref="G677:R677"/>
    <mergeCell ref="AI565:AL565"/>
    <mergeCell ref="N583:O583"/>
    <mergeCell ref="Q556:S556"/>
    <mergeCell ref="AE562:AH562"/>
    <mergeCell ref="AI557:AL557"/>
    <mergeCell ref="Q562:S562"/>
    <mergeCell ref="BS607:BW607"/>
    <mergeCell ref="BN609:BR609"/>
    <mergeCell ref="BS605:BW605"/>
    <mergeCell ref="BX605:CB605"/>
    <mergeCell ref="BE608:BF608"/>
    <mergeCell ref="BN597:BR597"/>
    <mergeCell ref="BG597:BH597"/>
    <mergeCell ref="BI597:BJ597"/>
    <mergeCell ref="BK596:BL596"/>
    <mergeCell ref="G570:R570"/>
    <mergeCell ref="Z561:AD561"/>
    <mergeCell ref="M562:P562"/>
    <mergeCell ref="M563:P563"/>
    <mergeCell ref="AM559:AS559"/>
    <mergeCell ref="BK603:BL603"/>
    <mergeCell ref="BK607:BL607"/>
    <mergeCell ref="BN607:BR607"/>
    <mergeCell ref="BG603:BH603"/>
    <mergeCell ref="BN601:BR601"/>
    <mergeCell ref="Z557:AD557"/>
    <mergeCell ref="H582:R582"/>
    <mergeCell ref="Z577:AK577"/>
    <mergeCell ref="AE565:AH565"/>
    <mergeCell ref="G587:R587"/>
    <mergeCell ref="G578:R578"/>
    <mergeCell ref="G580:R580"/>
    <mergeCell ref="AC521:AF521"/>
    <mergeCell ref="BK606:BL606"/>
    <mergeCell ref="BI605:BJ605"/>
    <mergeCell ref="BX603:CB603"/>
    <mergeCell ref="S401:U401"/>
    <mergeCell ref="AA332:AF332"/>
    <mergeCell ref="AA328:AK328"/>
    <mergeCell ref="V276:W276"/>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H336:R336"/>
    <mergeCell ref="AA327:AK327"/>
    <mergeCell ref="H332:M332"/>
    <mergeCell ref="AM554:AS554"/>
    <mergeCell ref="M556:P556"/>
    <mergeCell ref="BX606:CB606"/>
    <mergeCell ref="H335:R335"/>
    <mergeCell ref="AI315:AK315"/>
    <mergeCell ref="AA329:AK329"/>
    <mergeCell ref="P331:R331"/>
    <mergeCell ref="H328:R328"/>
    <mergeCell ref="AH246:AK246"/>
    <mergeCell ref="AI397:AJ397"/>
    <mergeCell ref="T399:AJ399"/>
    <mergeCell ref="T398:AJ398"/>
    <mergeCell ref="AG440:AJ440"/>
    <mergeCell ref="AC387:AJ387"/>
    <mergeCell ref="V388:AJ388"/>
    <mergeCell ref="D443:AF443"/>
    <mergeCell ref="W471:Y471"/>
    <mergeCell ref="AG395:AJ395"/>
    <mergeCell ref="AI392:AJ392"/>
    <mergeCell ref="R412:S412"/>
    <mergeCell ref="Q429:R429"/>
    <mergeCell ref="D448:AF448"/>
    <mergeCell ref="AG445:AJ445"/>
    <mergeCell ref="P349:AE349"/>
    <mergeCell ref="AC370:AF370"/>
    <mergeCell ref="P348:Z348"/>
    <mergeCell ref="N373:AF374"/>
    <mergeCell ref="AJ355:AK355"/>
    <mergeCell ref="AG442:AJ442"/>
    <mergeCell ref="AG377:AH377"/>
    <mergeCell ref="E418:G418"/>
    <mergeCell ref="AD411:AE411"/>
    <mergeCell ref="F427:AH428"/>
    <mergeCell ref="M261:T261"/>
    <mergeCell ref="V377:W377"/>
    <mergeCell ref="S377:T377"/>
    <mergeCell ref="D437:AF437"/>
    <mergeCell ref="AI323:AK323"/>
    <mergeCell ref="AA320:AK320"/>
    <mergeCell ref="AA337:AK337"/>
    <mergeCell ref="H327:R327"/>
    <mergeCell ref="J387:U387"/>
    <mergeCell ref="AM557:AS557"/>
    <mergeCell ref="AE557:AH557"/>
    <mergeCell ref="AC505:AF505"/>
    <mergeCell ref="W467:Y467"/>
    <mergeCell ref="D406:AJ407"/>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H540:AK540"/>
    <mergeCell ref="AC515:AF515"/>
    <mergeCell ref="AC514:AF514"/>
    <mergeCell ref="AH538:AK538"/>
    <mergeCell ref="Z551:AD553"/>
    <mergeCell ref="AC501:AF501"/>
    <mergeCell ref="AH526:AK526"/>
    <mergeCell ref="Q551:S553"/>
    <mergeCell ref="T551:V553"/>
    <mergeCell ref="T554:V554"/>
    <mergeCell ref="B517:H519"/>
    <mergeCell ref="AC524:AF524"/>
    <mergeCell ref="AH516:AK516"/>
    <mergeCell ref="Q554:S554"/>
    <mergeCell ref="AH524:AK524"/>
    <mergeCell ref="AH525:AK525"/>
    <mergeCell ref="AH529:AK529"/>
    <mergeCell ref="AH534:AK534"/>
    <mergeCell ref="B724:F724"/>
    <mergeCell ref="B728:F728"/>
    <mergeCell ref="X728:AB728"/>
    <mergeCell ref="D449:AF449"/>
    <mergeCell ref="B501:H502"/>
    <mergeCell ref="O523:AA523"/>
    <mergeCell ref="AC519:AF519"/>
    <mergeCell ref="AH541:AK541"/>
    <mergeCell ref="AC535:AF535"/>
    <mergeCell ref="AI554:AL554"/>
    <mergeCell ref="W557:Y557"/>
    <mergeCell ref="W466:Y466"/>
    <mergeCell ref="W473:Y473"/>
    <mergeCell ref="W551:Y553"/>
    <mergeCell ref="AH507:AK507"/>
    <mergeCell ref="AC510:AF510"/>
    <mergeCell ref="M555:P555"/>
    <mergeCell ref="C556:L556"/>
    <mergeCell ref="L508:AB508"/>
    <mergeCell ref="AH509:AK509"/>
    <mergeCell ref="AH532:AK532"/>
    <mergeCell ref="AC523:AF523"/>
    <mergeCell ref="AC454:AF454"/>
    <mergeCell ref="AH510:AK510"/>
    <mergeCell ref="AC512:AF512"/>
    <mergeCell ref="AH512:AK512"/>
    <mergeCell ref="D442:AF442"/>
    <mergeCell ref="AH521:AK521"/>
    <mergeCell ref="AC530:AF530"/>
    <mergeCell ref="O526:AA526"/>
    <mergeCell ref="AF430:AG430"/>
    <mergeCell ref="AC529:AF529"/>
    <mergeCell ref="AH530:AK530"/>
    <mergeCell ref="AH506:AK506"/>
    <mergeCell ref="AH508:AK508"/>
    <mergeCell ref="Q494:AK494"/>
    <mergeCell ref="AG437:AJ437"/>
    <mergeCell ref="AG450:AJ450"/>
    <mergeCell ref="AC455:AF455"/>
    <mergeCell ref="F457:AB458"/>
    <mergeCell ref="D441:AF441"/>
    <mergeCell ref="D466:V466"/>
    <mergeCell ref="Q491:AK491"/>
    <mergeCell ref="AG447:AJ447"/>
    <mergeCell ref="AH495:AK495"/>
    <mergeCell ref="AH513:AK513"/>
    <mergeCell ref="B514:H516"/>
    <mergeCell ref="AC522:AF522"/>
    <mergeCell ref="D473:V473"/>
    <mergeCell ref="AC504:AF504"/>
    <mergeCell ref="AC518:AF518"/>
    <mergeCell ref="AH515:AK515"/>
    <mergeCell ref="AC516:AF516"/>
    <mergeCell ref="M495:P495"/>
    <mergeCell ref="AH519:AK519"/>
    <mergeCell ref="BE625:BF625"/>
    <mergeCell ref="BG625:BH625"/>
    <mergeCell ref="CM629:CQ629"/>
    <mergeCell ref="BE624:BF624"/>
    <mergeCell ref="BG624:BH624"/>
    <mergeCell ref="BI624:BJ624"/>
    <mergeCell ref="CS628:CW628"/>
    <mergeCell ref="CH624:CL624"/>
    <mergeCell ref="CM624:CQ624"/>
    <mergeCell ref="A105:AT106"/>
    <mergeCell ref="L113:O113"/>
    <mergeCell ref="AM551:AS553"/>
    <mergeCell ref="D472:V472"/>
    <mergeCell ref="W472:Y472"/>
    <mergeCell ref="AE551:AH553"/>
    <mergeCell ref="AI551:AL553"/>
    <mergeCell ref="O520:AA520"/>
    <mergeCell ref="AE555:AH555"/>
    <mergeCell ref="AH518:AK518"/>
    <mergeCell ref="AH514:AK514"/>
    <mergeCell ref="Q555:S555"/>
    <mergeCell ref="W418:Y418"/>
    <mergeCell ref="AM560:AS560"/>
    <mergeCell ref="AG446:AJ446"/>
    <mergeCell ref="D440:AF440"/>
    <mergeCell ref="D465:V465"/>
    <mergeCell ref="AI558:AL558"/>
    <mergeCell ref="AC526:AF526"/>
    <mergeCell ref="AH531:AK531"/>
    <mergeCell ref="AC508:AF508"/>
    <mergeCell ref="AE424:AF424"/>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BN623:BR623"/>
    <mergeCell ref="CH623:CL623"/>
    <mergeCell ref="BN624:BR624"/>
    <mergeCell ref="BS624:BW624"/>
    <mergeCell ref="BK624:BL624"/>
    <mergeCell ref="CC625:CG625"/>
    <mergeCell ref="CM625:CQ625"/>
    <mergeCell ref="BX625:CB625"/>
    <mergeCell ref="CC623:CG623"/>
    <mergeCell ref="CH620:CL620"/>
    <mergeCell ref="CM620:CQ620"/>
    <mergeCell ref="CH621:CL621"/>
    <mergeCell ref="CM621:CQ621"/>
    <mergeCell ref="BN622:BR622"/>
    <mergeCell ref="S489:AK490"/>
    <mergeCell ref="AH539:AK539"/>
    <mergeCell ref="AC528:AF528"/>
    <mergeCell ref="EW622:FA622"/>
    <mergeCell ref="BS621:BW621"/>
    <mergeCell ref="EC623:EG623"/>
    <mergeCell ref="EH623:EL623"/>
    <mergeCell ref="EM623:EQ623"/>
    <mergeCell ref="ER623:EV623"/>
    <mergeCell ref="EW623:FA623"/>
    <mergeCell ref="CX622:DB622"/>
    <mergeCell ref="DC622:DG622"/>
    <mergeCell ref="DH622:DL622"/>
    <mergeCell ref="DM622:DQ622"/>
    <mergeCell ref="DR622:DV622"/>
    <mergeCell ref="CC620:CG620"/>
    <mergeCell ref="CM622:CQ622"/>
    <mergeCell ref="CM623:CQ623"/>
    <mergeCell ref="CX620:DB620"/>
    <mergeCell ref="DM623:DQ623"/>
    <mergeCell ref="DR623:DV623"/>
    <mergeCell ref="EC620:EG620"/>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DM626:DQ626"/>
    <mergeCell ref="ER625:EV625"/>
    <mergeCell ref="EW625:FA625"/>
    <mergeCell ref="DX626:EB626"/>
    <mergeCell ref="EC626:EG626"/>
    <mergeCell ref="EH626:EL626"/>
    <mergeCell ref="EM626:EQ626"/>
    <mergeCell ref="ER626:EV626"/>
    <mergeCell ref="EW626:FA626"/>
    <mergeCell ref="DX627:EB627"/>
    <mergeCell ref="EC627:EG627"/>
    <mergeCell ref="EH627:EL627"/>
    <mergeCell ref="EM627:EQ627"/>
    <mergeCell ref="ER627:EV627"/>
    <mergeCell ref="ER628:EV628"/>
    <mergeCell ref="EW628:FA628"/>
    <mergeCell ref="EC625:EG625"/>
    <mergeCell ref="EH625:EL625"/>
    <mergeCell ref="EM625:EQ625"/>
    <mergeCell ref="ER629:EV629"/>
    <mergeCell ref="EW629:FA629"/>
    <mergeCell ref="EH632:EL632"/>
    <mergeCell ref="EM632:EQ632"/>
    <mergeCell ref="ER632:EV632"/>
    <mergeCell ref="EW632:FA632"/>
    <mergeCell ref="ER630:EV630"/>
    <mergeCell ref="EW630:FA630"/>
    <mergeCell ref="EH631:EL631"/>
    <mergeCell ref="EM631:EQ631"/>
    <mergeCell ref="EM638:EQ638"/>
    <mergeCell ref="ER638:EV638"/>
    <mergeCell ref="EC635:EG635"/>
    <mergeCell ref="EH635:EL635"/>
    <mergeCell ref="EM635:EQ635"/>
    <mergeCell ref="ER635:EV635"/>
    <mergeCell ref="EW635:FA635"/>
    <mergeCell ref="EW631:FA631"/>
    <mergeCell ref="EC636:EG636"/>
    <mergeCell ref="EH636:EL636"/>
    <mergeCell ref="EW627:FA627"/>
    <mergeCell ref="EC630:EG630"/>
    <mergeCell ref="EH630:EL630"/>
    <mergeCell ref="EM630:EQ630"/>
    <mergeCell ref="ER636:EV636"/>
    <mergeCell ref="EM636:EQ636"/>
    <mergeCell ref="DX629:EB629"/>
    <mergeCell ref="EC629:EG629"/>
    <mergeCell ref="EH629:EL629"/>
    <mergeCell ref="EM629:EQ629"/>
    <mergeCell ref="ER631:EV631"/>
    <mergeCell ref="ER637:EV637"/>
    <mergeCell ref="EH654:EL654"/>
    <mergeCell ref="EM649:EQ649"/>
    <mergeCell ref="EH653:EL653"/>
    <mergeCell ref="EM653:EQ653"/>
    <mergeCell ref="ER653:EV653"/>
    <mergeCell ref="EW647:FA647"/>
    <mergeCell ref="EW655:FA655"/>
    <mergeCell ref="EW650:FA650"/>
    <mergeCell ref="EW648:FA648"/>
    <mergeCell ref="EW651:FA651"/>
    <mergeCell ref="EW636:FA636"/>
    <mergeCell ref="ER641:EV641"/>
    <mergeCell ref="DX647:EB647"/>
    <mergeCell ref="EC647:EG647"/>
    <mergeCell ref="EM654:EQ654"/>
    <mergeCell ref="ER654:EV654"/>
    <mergeCell ref="EM652:EQ652"/>
    <mergeCell ref="DX650:EB650"/>
    <mergeCell ref="EC650:EG650"/>
    <mergeCell ref="EC655:EG655"/>
    <mergeCell ref="DX637:EB637"/>
    <mergeCell ref="EW644:FA644"/>
    <mergeCell ref="EC641:EG641"/>
    <mergeCell ref="EC643:EG643"/>
    <mergeCell ref="EH643:EL643"/>
    <mergeCell ref="EM643:EQ643"/>
    <mergeCell ref="BN655:BR655"/>
    <mergeCell ref="BS640:BW640"/>
    <mergeCell ref="AI687:AK687"/>
    <mergeCell ref="AC740:AG740"/>
    <mergeCell ref="AC741:AG741"/>
    <mergeCell ref="AC737:AG737"/>
    <mergeCell ref="BN639:BR639"/>
    <mergeCell ref="BN640:BR640"/>
    <mergeCell ref="W636:Y636"/>
    <mergeCell ref="W637:Y637"/>
    <mergeCell ref="BS639:BW639"/>
    <mergeCell ref="Z644:AK644"/>
    <mergeCell ref="X738:AB738"/>
    <mergeCell ref="X729:AB729"/>
    <mergeCell ref="T722:W722"/>
    <mergeCell ref="AG665:AH665"/>
    <mergeCell ref="Z684:AK684"/>
    <mergeCell ref="T739:W739"/>
    <mergeCell ref="T719:W719"/>
    <mergeCell ref="AC733:AG733"/>
    <mergeCell ref="BN660:BR660"/>
    <mergeCell ref="BN646:BR646"/>
    <mergeCell ref="AA664:AK664"/>
    <mergeCell ref="AH731:AJ731"/>
    <mergeCell ref="BN647:BR647"/>
    <mergeCell ref="BS653:BW653"/>
    <mergeCell ref="BN651:BR651"/>
    <mergeCell ref="Z676:AK676"/>
    <mergeCell ref="Z683:AK683"/>
    <mergeCell ref="AA688:AK688"/>
    <mergeCell ref="BN650:BR650"/>
    <mergeCell ref="BS648:BW648"/>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AK742:AO742"/>
    <mergeCell ref="X742:AB742"/>
    <mergeCell ref="K714:N717"/>
    <mergeCell ref="T724:W724"/>
    <mergeCell ref="AH742:AJ742"/>
    <mergeCell ref="B725:F725"/>
    <mergeCell ref="K725:N725"/>
    <mergeCell ref="T728:W728"/>
    <mergeCell ref="B734:F734"/>
    <mergeCell ref="AH733:AJ733"/>
    <mergeCell ref="G723:J723"/>
    <mergeCell ref="K729:N729"/>
    <mergeCell ref="B718:F718"/>
    <mergeCell ref="B721:F721"/>
    <mergeCell ref="AA312:AK312"/>
    <mergeCell ref="AA314:AK314"/>
    <mergeCell ref="AA313:AK313"/>
    <mergeCell ref="AA316:AF316"/>
    <mergeCell ref="AA315:AF315"/>
    <mergeCell ref="AA317:AK317"/>
    <mergeCell ref="Z569:AK569"/>
    <mergeCell ref="Z571:AK571"/>
    <mergeCell ref="Z570:AK570"/>
    <mergeCell ref="Z572:AE572"/>
    <mergeCell ref="AI572:AK572"/>
    <mergeCell ref="AA573:AK573"/>
    <mergeCell ref="T773:W773"/>
    <mergeCell ref="X773:AB773"/>
    <mergeCell ref="J773:N773"/>
    <mergeCell ref="O773:S773"/>
    <mergeCell ref="DX666:EB666"/>
    <mergeCell ref="DX623:EB623"/>
    <mergeCell ref="DX620:EB620"/>
    <mergeCell ref="DR626:DV626"/>
    <mergeCell ref="CS627:CW627"/>
    <mergeCell ref="CX627:DB627"/>
    <mergeCell ref="DC627:DG627"/>
    <mergeCell ref="DH627:DL627"/>
    <mergeCell ref="DM627:DQ627"/>
    <mergeCell ref="DR627:DV627"/>
    <mergeCell ref="DR620:DV620"/>
    <mergeCell ref="CS621:CW621"/>
    <mergeCell ref="CX621:DB621"/>
    <mergeCell ref="DC621:DG621"/>
    <mergeCell ref="DH621:DL621"/>
    <mergeCell ref="DM621:DQ621"/>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87" workbookViewId="0">
      <selection activeCell="D107" sqref="D107"/>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556</v>
      </c>
      <c r="B1" s="125"/>
      <c r="C1" s="125"/>
      <c r="D1" s="125"/>
      <c r="E1" s="126"/>
      <c r="F1" s="1891" t="s">
        <v>628</v>
      </c>
      <c r="G1" s="1892"/>
      <c r="H1" s="1892"/>
      <c r="I1" s="1892"/>
      <c r="J1" s="1892"/>
      <c r="K1" s="1892"/>
      <c r="L1" s="1892"/>
      <c r="M1" s="1892"/>
      <c r="N1" s="1892"/>
      <c r="O1" s="1892"/>
      <c r="P1" s="1892"/>
      <c r="Q1" s="1892"/>
      <c r="R1" s="1893"/>
      <c r="S1" s="112"/>
      <c r="T1" s="111"/>
      <c r="U1" s="113"/>
    </row>
    <row r="2" spans="1:21" s="138" customFormat="1" ht="71.25" customHeight="1">
      <c r="A2" s="137"/>
      <c r="B2" s="138" t="s">
        <v>23</v>
      </c>
      <c r="C2" s="138" t="s">
        <v>374</v>
      </c>
      <c r="D2" s="138" t="s">
        <v>373</v>
      </c>
      <c r="E2" s="138" t="s">
        <v>24</v>
      </c>
      <c r="F2" s="139" t="str">
        <f>Application!B627&amp;Application!C627</f>
        <v>1)Lument Real Estate Capital, LLC</v>
      </c>
      <c r="G2" s="139" t="str">
        <f>Application!B628&amp;Application!C628</f>
        <v>2)San Mateo County Measure K</v>
      </c>
      <c r="H2" s="139" t="str">
        <f>Application!B629&amp;Application!C629</f>
        <v>3)San Mateo County HHC</v>
      </c>
      <c r="I2" s="139" t="str">
        <f>Application!B630&amp;Application!C630</f>
        <v>4)San Mateo County MHSA</v>
      </c>
      <c r="J2" s="139" t="str">
        <f>Application!B631&amp;Application!C631</f>
        <v>5)Lument Securities, LLC</v>
      </c>
      <c r="K2" s="139" t="str">
        <f>Application!B632&amp;Application!C632</f>
        <v>6)Affimred Housing Group, Inc.</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6210000</v>
      </c>
      <c r="C4" s="147">
        <v>6210000</v>
      </c>
      <c r="D4" s="147"/>
      <c r="E4" s="147"/>
      <c r="F4" s="147"/>
      <c r="G4" s="147"/>
      <c r="H4" s="147">
        <f>C4</f>
        <v>6210000</v>
      </c>
      <c r="I4" s="147"/>
      <c r="J4" s="147"/>
      <c r="K4" s="147"/>
      <c r="L4" s="147"/>
      <c r="M4" s="147"/>
      <c r="N4" s="147"/>
      <c r="O4" s="147"/>
      <c r="P4" s="147"/>
      <c r="Q4" s="147"/>
      <c r="R4" s="550">
        <f>SUM(E4:Q4)</f>
        <v>6210000</v>
      </c>
      <c r="S4" s="148"/>
      <c r="T4" s="148"/>
      <c r="U4" s="143"/>
    </row>
    <row r="5" spans="1:21" s="144" customFormat="1">
      <c r="A5" s="145" t="s">
        <v>28</v>
      </c>
      <c r="B5" s="146">
        <f>SUM(C5+D5)</f>
        <v>109745</v>
      </c>
      <c r="C5" s="147">
        <v>109745</v>
      </c>
      <c r="D5" s="147"/>
      <c r="E5" s="147">
        <f>C5</f>
        <v>109745</v>
      </c>
      <c r="F5" s="147"/>
      <c r="G5" s="147"/>
      <c r="H5" s="147"/>
      <c r="I5" s="147"/>
      <c r="J5" s="147"/>
      <c r="K5" s="147"/>
      <c r="L5" s="147"/>
      <c r="M5" s="147"/>
      <c r="N5" s="147"/>
      <c r="O5" s="147"/>
      <c r="P5" s="147"/>
      <c r="Q5" s="147"/>
      <c r="R5" s="550">
        <f>SUM(E5:Q5)</f>
        <v>109745</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600</v>
      </c>
      <c r="B8" s="146">
        <f>SUM(C8:D8)</f>
        <v>6319745</v>
      </c>
      <c r="C8" s="146">
        <f t="shared" ref="C8:Q8" si="0">SUM(C4:C7)</f>
        <v>6319745</v>
      </c>
      <c r="D8" s="146">
        <f t="shared" si="0"/>
        <v>0</v>
      </c>
      <c r="E8" s="146">
        <f t="shared" si="0"/>
        <v>109745</v>
      </c>
      <c r="F8" s="146">
        <f t="shared" si="0"/>
        <v>0</v>
      </c>
      <c r="G8" s="146">
        <f t="shared" si="0"/>
        <v>0</v>
      </c>
      <c r="H8" s="146">
        <f t="shared" si="0"/>
        <v>6210000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6319745</v>
      </c>
      <c r="S8" s="148"/>
      <c r="T8" s="148"/>
      <c r="U8" s="143"/>
    </row>
    <row r="9" spans="1:21" s="144" customFormat="1">
      <c r="A9" s="145" t="s">
        <v>601</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602</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603</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0</v>
      </c>
      <c r="S11" s="148"/>
      <c r="T11" s="150">
        <f>SUM(T9:T10)</f>
        <v>0</v>
      </c>
      <c r="U11" s="143"/>
    </row>
    <row r="12" spans="1:21" s="144" customFormat="1">
      <c r="A12" s="149" t="s">
        <v>84</v>
      </c>
      <c r="B12" s="146">
        <f t="shared" ref="B12:Q12" si="2">SUM(B8+B11)</f>
        <v>6319745</v>
      </c>
      <c r="C12" s="146">
        <f t="shared" si="2"/>
        <v>6319745</v>
      </c>
      <c r="D12" s="146">
        <f t="shared" si="2"/>
        <v>0</v>
      </c>
      <c r="E12" s="146">
        <f t="shared" si="2"/>
        <v>109745</v>
      </c>
      <c r="F12" s="146">
        <f t="shared" si="2"/>
        <v>0</v>
      </c>
      <c r="G12" s="146">
        <f t="shared" si="2"/>
        <v>0</v>
      </c>
      <c r="H12" s="146">
        <f t="shared" si="2"/>
        <v>6210000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6319745</v>
      </c>
      <c r="S12" s="148"/>
      <c r="T12" s="148"/>
      <c r="U12" s="143"/>
    </row>
    <row r="13" spans="1:21" s="144" customFormat="1">
      <c r="A13" s="309" t="s">
        <v>916</v>
      </c>
      <c r="B13" s="146">
        <f>SUM(C13+D13)</f>
        <v>1691338</v>
      </c>
      <c r="C13" s="147">
        <v>1691338</v>
      </c>
      <c r="D13" s="147"/>
      <c r="E13" s="147">
        <v>1688016</v>
      </c>
      <c r="F13" s="147"/>
      <c r="G13" s="147"/>
      <c r="H13" s="147">
        <v>3322</v>
      </c>
      <c r="I13" s="147"/>
      <c r="J13" s="147"/>
      <c r="K13" s="147"/>
      <c r="L13" s="147"/>
      <c r="M13" s="147"/>
      <c r="N13" s="147"/>
      <c r="O13" s="147"/>
      <c r="P13" s="147"/>
      <c r="Q13" s="147"/>
      <c r="R13" s="550">
        <f>SUM(E13:Q13)</f>
        <v>1691338</v>
      </c>
      <c r="S13" s="147"/>
      <c r="T13" s="147"/>
      <c r="U13" s="143"/>
    </row>
    <row r="14" spans="1:21" s="144" customFormat="1" ht="24">
      <c r="A14" s="310" t="s">
        <v>1751</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1263</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604</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605</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606</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607</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1748</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100000</v>
      </c>
      <c r="C27" s="147">
        <v>100000</v>
      </c>
      <c r="D27" s="147"/>
      <c r="E27" s="147">
        <f>C27</f>
        <v>100000</v>
      </c>
      <c r="F27" s="147"/>
      <c r="G27" s="147"/>
      <c r="H27" s="147"/>
      <c r="I27" s="147"/>
      <c r="J27" s="147"/>
      <c r="K27" s="147"/>
      <c r="L27" s="147"/>
      <c r="M27" s="147"/>
      <c r="N27" s="147"/>
      <c r="O27" s="147"/>
      <c r="P27" s="147"/>
      <c r="Q27" s="147"/>
      <c r="R27" s="550">
        <f t="shared" si="4"/>
        <v>100000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605</v>
      </c>
      <c r="B29" s="146">
        <f t="shared" ref="B29:B38" si="6">SUM(C29+D29)</f>
        <v>2700000</v>
      </c>
      <c r="C29" s="147">
        <v>2700000</v>
      </c>
      <c r="D29" s="147"/>
      <c r="E29" s="147">
        <f>C29-SUM(F29:L29)</f>
        <v>1887270</v>
      </c>
      <c r="F29" s="147"/>
      <c r="G29" s="147">
        <v>812730</v>
      </c>
      <c r="H29" s="147"/>
      <c r="I29" s="147"/>
      <c r="J29" s="147"/>
      <c r="K29" s="147"/>
      <c r="L29" s="147"/>
      <c r="M29" s="147"/>
      <c r="N29" s="147"/>
      <c r="O29" s="147"/>
      <c r="P29" s="147"/>
      <c r="Q29" s="147"/>
      <c r="R29" s="550">
        <f t="shared" ref="R29:R37" si="7">SUM(E29:Q29)</f>
        <v>2700000</v>
      </c>
      <c r="S29" s="147">
        <f>R29</f>
        <v>2700000</v>
      </c>
      <c r="T29" s="147"/>
      <c r="U29" s="143"/>
    </row>
    <row r="30" spans="1:21" s="144" customFormat="1">
      <c r="A30" s="145" t="s">
        <v>606</v>
      </c>
      <c r="B30" s="146">
        <f t="shared" si="6"/>
        <v>28500000</v>
      </c>
      <c r="C30" s="147">
        <v>28500000</v>
      </c>
      <c r="D30" s="147"/>
      <c r="E30" s="147">
        <f t="shared" ref="E30:E37" si="8">C30-SUM(F30:L30)</f>
        <v>0</v>
      </c>
      <c r="F30" s="147">
        <f>F108</f>
        <v>14715713</v>
      </c>
      <c r="G30" s="147">
        <v>11584287</v>
      </c>
      <c r="H30" s="147"/>
      <c r="I30" s="147">
        <f>I108</f>
        <v>2200000</v>
      </c>
      <c r="J30" s="147"/>
      <c r="K30" s="147"/>
      <c r="L30" s="147"/>
      <c r="M30" s="147"/>
      <c r="N30" s="147"/>
      <c r="O30" s="147"/>
      <c r="P30" s="147"/>
      <c r="Q30" s="147"/>
      <c r="R30" s="550">
        <f t="shared" si="7"/>
        <v>28500000</v>
      </c>
      <c r="S30" s="147">
        <f t="shared" ref="S30:S37" si="9">R30</f>
        <v>28500000</v>
      </c>
      <c r="T30" s="147"/>
      <c r="U30" s="143"/>
    </row>
    <row r="31" spans="1:21" s="144" customFormat="1">
      <c r="A31" s="145" t="s">
        <v>607</v>
      </c>
      <c r="B31" s="146">
        <f t="shared" si="6"/>
        <v>1600000</v>
      </c>
      <c r="C31" s="147">
        <v>1600000</v>
      </c>
      <c r="D31" s="147"/>
      <c r="E31" s="147">
        <f t="shared" si="8"/>
        <v>1600000</v>
      </c>
      <c r="F31" s="147"/>
      <c r="G31" s="147"/>
      <c r="H31" s="147"/>
      <c r="I31" s="147"/>
      <c r="J31" s="147"/>
      <c r="K31" s="147"/>
      <c r="L31" s="147"/>
      <c r="M31" s="147"/>
      <c r="N31" s="147"/>
      <c r="O31" s="147"/>
      <c r="P31" s="147"/>
      <c r="Q31" s="147"/>
      <c r="R31" s="550">
        <f t="shared" si="7"/>
        <v>1600000</v>
      </c>
      <c r="S31" s="147">
        <f t="shared" si="9"/>
        <v>1600000</v>
      </c>
      <c r="T31" s="147"/>
      <c r="U31" s="143"/>
    </row>
    <row r="32" spans="1:21" s="144" customFormat="1">
      <c r="A32" s="145" t="s">
        <v>137</v>
      </c>
      <c r="B32" s="146">
        <f t="shared" si="6"/>
        <v>1500000</v>
      </c>
      <c r="C32" s="147">
        <v>1500000</v>
      </c>
      <c r="D32" s="147"/>
      <c r="E32" s="147">
        <f t="shared" si="8"/>
        <v>1500000</v>
      </c>
      <c r="F32" s="147"/>
      <c r="G32" s="147"/>
      <c r="H32" s="147"/>
      <c r="I32" s="147"/>
      <c r="J32" s="147"/>
      <c r="K32" s="147"/>
      <c r="L32" s="147"/>
      <c r="M32" s="147"/>
      <c r="N32" s="147"/>
      <c r="O32" s="147"/>
      <c r="P32" s="147"/>
      <c r="Q32" s="147"/>
      <c r="R32" s="550">
        <f t="shared" si="7"/>
        <v>1500000</v>
      </c>
      <c r="S32" s="147">
        <f t="shared" si="9"/>
        <v>1500000</v>
      </c>
      <c r="T32" s="147"/>
      <c r="U32" s="143"/>
    </row>
    <row r="33" spans="1:21" s="144" customFormat="1">
      <c r="A33" s="145" t="s">
        <v>138</v>
      </c>
      <c r="B33" s="146">
        <f t="shared" si="6"/>
        <v>1400000</v>
      </c>
      <c r="C33" s="147">
        <v>1400000</v>
      </c>
      <c r="D33" s="147"/>
      <c r="E33" s="147">
        <f t="shared" si="8"/>
        <v>1400000</v>
      </c>
      <c r="F33" s="147"/>
      <c r="G33" s="147"/>
      <c r="H33" s="147"/>
      <c r="I33" s="147"/>
      <c r="J33" s="147"/>
      <c r="K33" s="147"/>
      <c r="L33" s="147"/>
      <c r="M33" s="147"/>
      <c r="N33" s="147"/>
      <c r="O33" s="147"/>
      <c r="P33" s="147"/>
      <c r="Q33" s="147"/>
      <c r="R33" s="550">
        <f t="shared" si="7"/>
        <v>1400000</v>
      </c>
      <c r="S33" s="147">
        <f t="shared" si="9"/>
        <v>1400000</v>
      </c>
      <c r="T33" s="147"/>
      <c r="U33" s="143"/>
    </row>
    <row r="34" spans="1:21" s="144" customFormat="1">
      <c r="A34" s="145" t="s">
        <v>139</v>
      </c>
      <c r="B34" s="146">
        <f t="shared" si="6"/>
        <v>0</v>
      </c>
      <c r="C34" s="147">
        <v>0</v>
      </c>
      <c r="D34" s="147"/>
      <c r="E34" s="147">
        <f t="shared" si="8"/>
        <v>0</v>
      </c>
      <c r="F34" s="147"/>
      <c r="G34" s="147"/>
      <c r="H34" s="147"/>
      <c r="I34" s="147"/>
      <c r="J34" s="147"/>
      <c r="K34" s="147"/>
      <c r="L34" s="147"/>
      <c r="M34" s="147"/>
      <c r="N34" s="147"/>
      <c r="O34" s="147"/>
      <c r="P34" s="147"/>
      <c r="Q34" s="147"/>
      <c r="R34" s="550">
        <f t="shared" si="7"/>
        <v>0</v>
      </c>
      <c r="S34" s="147">
        <f t="shared" si="9"/>
        <v>0</v>
      </c>
      <c r="T34" s="147"/>
      <c r="U34" s="143"/>
    </row>
    <row r="35" spans="1:21" s="144" customFormat="1">
      <c r="A35" s="145" t="s">
        <v>140</v>
      </c>
      <c r="B35" s="146">
        <f t="shared" si="6"/>
        <v>800000</v>
      </c>
      <c r="C35" s="147">
        <v>800000</v>
      </c>
      <c r="D35" s="147"/>
      <c r="E35" s="147">
        <f t="shared" si="8"/>
        <v>800000</v>
      </c>
      <c r="F35" s="147"/>
      <c r="G35" s="147"/>
      <c r="H35" s="147"/>
      <c r="I35" s="147"/>
      <c r="J35" s="147"/>
      <c r="K35" s="147"/>
      <c r="L35" s="147"/>
      <c r="M35" s="147"/>
      <c r="N35" s="147"/>
      <c r="O35" s="147"/>
      <c r="P35" s="147"/>
      <c r="Q35" s="147"/>
      <c r="R35" s="550">
        <f t="shared" si="7"/>
        <v>800000</v>
      </c>
      <c r="S35" s="147">
        <f t="shared" si="9"/>
        <v>800000</v>
      </c>
      <c r="T35" s="147"/>
      <c r="U35" s="143"/>
    </row>
    <row r="36" spans="1:21" s="144" customFormat="1">
      <c r="A36" s="304" t="s">
        <v>1748</v>
      </c>
      <c r="B36" s="146">
        <f t="shared" si="6"/>
        <v>105000</v>
      </c>
      <c r="C36" s="147">
        <v>105000</v>
      </c>
      <c r="D36" s="147"/>
      <c r="E36" s="147">
        <f t="shared" si="8"/>
        <v>105000</v>
      </c>
      <c r="F36" s="147"/>
      <c r="G36" s="147"/>
      <c r="H36" s="147"/>
      <c r="I36" s="147"/>
      <c r="J36" s="147"/>
      <c r="K36" s="147"/>
      <c r="L36" s="147"/>
      <c r="M36" s="147"/>
      <c r="N36" s="147"/>
      <c r="O36" s="147"/>
      <c r="P36" s="147"/>
      <c r="Q36" s="147"/>
      <c r="R36" s="550">
        <f t="shared" si="7"/>
        <v>105000</v>
      </c>
      <c r="S36" s="147">
        <f t="shared" si="9"/>
        <v>105000</v>
      </c>
      <c r="T36" s="147"/>
      <c r="U36" s="143"/>
    </row>
    <row r="37" spans="1:21" s="144" customFormat="1">
      <c r="A37" s="1193" t="s">
        <v>2755</v>
      </c>
      <c r="B37" s="146">
        <f t="shared" si="6"/>
        <v>382200</v>
      </c>
      <c r="C37" s="147">
        <v>382200</v>
      </c>
      <c r="D37" s="147"/>
      <c r="E37" s="147">
        <f t="shared" si="8"/>
        <v>382200</v>
      </c>
      <c r="F37" s="147"/>
      <c r="G37" s="147"/>
      <c r="H37" s="147"/>
      <c r="I37" s="147"/>
      <c r="J37" s="147"/>
      <c r="K37" s="147"/>
      <c r="L37" s="147"/>
      <c r="M37" s="147"/>
      <c r="N37" s="147"/>
      <c r="O37" s="147"/>
      <c r="P37" s="147"/>
      <c r="Q37" s="147"/>
      <c r="R37" s="550">
        <f t="shared" si="7"/>
        <v>382200</v>
      </c>
      <c r="S37" s="147">
        <f t="shared" si="9"/>
        <v>382200</v>
      </c>
      <c r="T37" s="147"/>
      <c r="U37" s="143"/>
    </row>
    <row r="38" spans="1:21" s="144" customFormat="1">
      <c r="A38" s="149" t="s">
        <v>143</v>
      </c>
      <c r="B38" s="146">
        <f t="shared" si="6"/>
        <v>36987200</v>
      </c>
      <c r="C38" s="146">
        <f>SUM(C29:C37)</f>
        <v>36987200</v>
      </c>
      <c r="D38" s="146">
        <f t="shared" ref="D38:Q38" si="10">SUM(D29:D37)</f>
        <v>0</v>
      </c>
      <c r="E38" s="146">
        <f t="shared" si="10"/>
        <v>7674470</v>
      </c>
      <c r="F38" s="146">
        <f t="shared" si="10"/>
        <v>14715713</v>
      </c>
      <c r="G38" s="146">
        <f t="shared" si="10"/>
        <v>12397017</v>
      </c>
      <c r="H38" s="146">
        <f t="shared" si="10"/>
        <v>0</v>
      </c>
      <c r="I38" s="146">
        <f t="shared" si="10"/>
        <v>2200000</v>
      </c>
      <c r="J38" s="146">
        <f t="shared" si="10"/>
        <v>0</v>
      </c>
      <c r="K38" s="146">
        <f t="shared" si="10"/>
        <v>0</v>
      </c>
      <c r="L38" s="146">
        <f t="shared" si="10"/>
        <v>0</v>
      </c>
      <c r="M38" s="146">
        <f t="shared" si="10"/>
        <v>0</v>
      </c>
      <c r="N38" s="146">
        <f t="shared" si="10"/>
        <v>0</v>
      </c>
      <c r="O38" s="146">
        <f t="shared" si="10"/>
        <v>0</v>
      </c>
      <c r="P38" s="146">
        <f t="shared" si="10"/>
        <v>0</v>
      </c>
      <c r="Q38" s="146">
        <f t="shared" si="10"/>
        <v>0</v>
      </c>
      <c r="R38" s="370">
        <f>SUM(R29:R37)</f>
        <v>36987200</v>
      </c>
      <c r="S38" s="150">
        <f>SUM(S29:S37)</f>
        <v>36987200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2650000</v>
      </c>
      <c r="C40" s="147">
        <v>2650000</v>
      </c>
      <c r="D40" s="147"/>
      <c r="E40" s="147">
        <f>C40-SUM(F40:M40)</f>
        <v>2650000</v>
      </c>
      <c r="F40" s="147"/>
      <c r="G40" s="147"/>
      <c r="H40" s="147"/>
      <c r="I40" s="147"/>
      <c r="J40" s="147"/>
      <c r="K40" s="147"/>
      <c r="L40" s="147"/>
      <c r="M40" s="147"/>
      <c r="N40" s="147"/>
      <c r="O40" s="147"/>
      <c r="P40" s="147"/>
      <c r="Q40" s="147"/>
      <c r="R40" s="550">
        <f>SUM(E40:Q40)</f>
        <v>2650000</v>
      </c>
      <c r="S40" s="147">
        <f>R40</f>
        <v>2650000</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50">
        <f>SUM(E41:Q41)</f>
        <v>0</v>
      </c>
      <c r="S41" s="147">
        <f>R41</f>
        <v>0</v>
      </c>
      <c r="T41" s="147"/>
      <c r="U41" s="143"/>
    </row>
    <row r="42" spans="1:21" s="144" customFormat="1">
      <c r="A42" s="149" t="s">
        <v>147</v>
      </c>
      <c r="B42" s="146">
        <f>SUM(C42:D42)</f>
        <v>2650000</v>
      </c>
      <c r="C42" s="146">
        <f>SUM(C39:C41)</f>
        <v>2650000</v>
      </c>
      <c r="D42" s="146">
        <f>SUM(D39:D41)</f>
        <v>0</v>
      </c>
      <c r="E42" s="146">
        <f t="shared" ref="E42:T42" si="11">SUM(E40:E41)</f>
        <v>2650000</v>
      </c>
      <c r="F42" s="146">
        <f t="shared" si="11"/>
        <v>0</v>
      </c>
      <c r="G42" s="146">
        <f t="shared" si="11"/>
        <v>0</v>
      </c>
      <c r="H42" s="146">
        <f t="shared" si="11"/>
        <v>0</v>
      </c>
      <c r="I42" s="146">
        <f t="shared" si="11"/>
        <v>0</v>
      </c>
      <c r="J42" s="146">
        <f t="shared" si="11"/>
        <v>0</v>
      </c>
      <c r="K42" s="146">
        <f t="shared" si="11"/>
        <v>0</v>
      </c>
      <c r="L42" s="146">
        <f t="shared" si="11"/>
        <v>0</v>
      </c>
      <c r="M42" s="146">
        <f t="shared" si="11"/>
        <v>0</v>
      </c>
      <c r="N42" s="146">
        <f t="shared" si="11"/>
        <v>0</v>
      </c>
      <c r="O42" s="146">
        <f t="shared" si="11"/>
        <v>0</v>
      </c>
      <c r="P42" s="146">
        <f t="shared" si="11"/>
        <v>0</v>
      </c>
      <c r="Q42" s="146">
        <f t="shared" si="11"/>
        <v>0</v>
      </c>
      <c r="R42" s="370">
        <f>SUM(R40:R41)</f>
        <v>2650000</v>
      </c>
      <c r="S42" s="150">
        <f t="shared" si="11"/>
        <v>2650000</v>
      </c>
      <c r="T42" s="150">
        <f t="shared" si="11"/>
        <v>0</v>
      </c>
      <c r="U42" s="143"/>
    </row>
    <row r="43" spans="1:21" s="144" customFormat="1">
      <c r="A43" s="149" t="s">
        <v>148</v>
      </c>
      <c r="B43" s="146">
        <f>SUM(C43:D43)</f>
        <v>650000</v>
      </c>
      <c r="C43" s="147">
        <v>650000</v>
      </c>
      <c r="D43" s="147"/>
      <c r="E43" s="147">
        <f>C43-SUM(F43:P43)</f>
        <v>650000</v>
      </c>
      <c r="F43" s="147"/>
      <c r="G43" s="147"/>
      <c r="H43" s="147"/>
      <c r="I43" s="147"/>
      <c r="J43" s="147"/>
      <c r="K43" s="147"/>
      <c r="L43" s="147"/>
      <c r="M43" s="147"/>
      <c r="N43" s="147"/>
      <c r="O43" s="147"/>
      <c r="P43" s="147"/>
      <c r="Q43" s="147"/>
      <c r="R43" s="550">
        <f>SUM(E43:Q43)</f>
        <v>650000</v>
      </c>
      <c r="S43" s="147">
        <f>R43</f>
        <v>650000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2">SUM(C45+D45)</f>
        <v>2075000</v>
      </c>
      <c r="C45" s="147">
        <v>2075000</v>
      </c>
      <c r="D45" s="147"/>
      <c r="E45" s="147">
        <f>C45-SUM(F45:Q45)</f>
        <v>2075000</v>
      </c>
      <c r="F45" s="147"/>
      <c r="G45" s="147"/>
      <c r="H45" s="147"/>
      <c r="I45" s="147"/>
      <c r="J45" s="147"/>
      <c r="K45" s="147"/>
      <c r="L45" s="147"/>
      <c r="M45" s="147"/>
      <c r="N45" s="147"/>
      <c r="O45" s="147"/>
      <c r="P45" s="147"/>
      <c r="Q45" s="147"/>
      <c r="R45" s="550">
        <f t="shared" ref="R45:R53" si="13">SUM(E45:Q45)</f>
        <v>2075000</v>
      </c>
      <c r="S45" s="147">
        <f>R45</f>
        <v>2075000</v>
      </c>
      <c r="T45" s="147"/>
      <c r="U45" s="143"/>
    </row>
    <row r="46" spans="1:21" s="144" customFormat="1">
      <c r="A46" s="145" t="s">
        <v>151</v>
      </c>
      <c r="B46" s="146">
        <f t="shared" si="12"/>
        <v>300000</v>
      </c>
      <c r="C46" s="147">
        <v>300000</v>
      </c>
      <c r="D46" s="147"/>
      <c r="E46" s="147">
        <f t="shared" ref="E46:E53" si="14">C46-SUM(F46:Q46)</f>
        <v>300000</v>
      </c>
      <c r="F46" s="147"/>
      <c r="G46" s="147"/>
      <c r="H46" s="147"/>
      <c r="I46" s="147"/>
      <c r="J46" s="147"/>
      <c r="K46" s="147"/>
      <c r="L46" s="147"/>
      <c r="M46" s="147"/>
      <c r="N46" s="147"/>
      <c r="O46" s="147"/>
      <c r="P46" s="147"/>
      <c r="Q46" s="147"/>
      <c r="R46" s="550">
        <f t="shared" si="13"/>
        <v>300000</v>
      </c>
      <c r="S46" s="147">
        <f t="shared" ref="S46:S53" si="15">R46</f>
        <v>300000</v>
      </c>
      <c r="T46" s="147"/>
      <c r="U46" s="143"/>
    </row>
    <row r="47" spans="1:21" s="144" customFormat="1">
      <c r="A47" s="198" t="s">
        <v>152</v>
      </c>
      <c r="B47" s="146">
        <f t="shared" si="12"/>
        <v>0</v>
      </c>
      <c r="C47" s="147"/>
      <c r="D47" s="147"/>
      <c r="E47" s="147">
        <f t="shared" si="14"/>
        <v>0</v>
      </c>
      <c r="F47" s="147"/>
      <c r="G47" s="147"/>
      <c r="H47" s="147"/>
      <c r="I47" s="147"/>
      <c r="J47" s="147"/>
      <c r="K47" s="147"/>
      <c r="L47" s="147"/>
      <c r="M47" s="147"/>
      <c r="N47" s="147"/>
      <c r="O47" s="147"/>
      <c r="P47" s="147"/>
      <c r="Q47" s="147"/>
      <c r="R47" s="550">
        <f t="shared" si="13"/>
        <v>0</v>
      </c>
      <c r="S47" s="147">
        <f t="shared" si="15"/>
        <v>0</v>
      </c>
      <c r="T47" s="147"/>
      <c r="U47" s="143"/>
    </row>
    <row r="48" spans="1:21" s="144" customFormat="1">
      <c r="A48" s="145" t="s">
        <v>153</v>
      </c>
      <c r="B48" s="146">
        <f t="shared" si="12"/>
        <v>0</v>
      </c>
      <c r="C48" s="147"/>
      <c r="D48" s="147"/>
      <c r="E48" s="147">
        <f t="shared" si="14"/>
        <v>0</v>
      </c>
      <c r="F48" s="147"/>
      <c r="G48" s="147"/>
      <c r="H48" s="147"/>
      <c r="I48" s="147"/>
      <c r="J48" s="147"/>
      <c r="K48" s="147"/>
      <c r="L48" s="147"/>
      <c r="M48" s="147"/>
      <c r="N48" s="147"/>
      <c r="O48" s="147"/>
      <c r="P48" s="147"/>
      <c r="Q48" s="147"/>
      <c r="R48" s="550">
        <f t="shared" si="13"/>
        <v>0</v>
      </c>
      <c r="S48" s="147">
        <f t="shared" si="15"/>
        <v>0</v>
      </c>
      <c r="T48" s="147"/>
      <c r="U48" s="143"/>
    </row>
    <row r="49" spans="1:21" s="144" customFormat="1">
      <c r="A49" s="145" t="s">
        <v>57</v>
      </c>
      <c r="B49" s="146">
        <f t="shared" si="12"/>
        <v>450000</v>
      </c>
      <c r="C49" s="147">
        <v>450000</v>
      </c>
      <c r="D49" s="147"/>
      <c r="E49" s="147">
        <f t="shared" si="14"/>
        <v>450000</v>
      </c>
      <c r="F49" s="147"/>
      <c r="G49" s="147"/>
      <c r="H49" s="147"/>
      <c r="I49" s="147"/>
      <c r="J49" s="147"/>
      <c r="K49" s="147"/>
      <c r="L49" s="147"/>
      <c r="M49" s="147"/>
      <c r="N49" s="147"/>
      <c r="O49" s="147"/>
      <c r="P49" s="147"/>
      <c r="Q49" s="147"/>
      <c r="R49" s="550">
        <f t="shared" si="13"/>
        <v>450000</v>
      </c>
      <c r="S49" s="147">
        <v>45000</v>
      </c>
      <c r="T49" s="147"/>
      <c r="U49" s="143"/>
    </row>
    <row r="50" spans="1:21" s="144" customFormat="1">
      <c r="A50" s="145" t="s">
        <v>156</v>
      </c>
      <c r="B50" s="146">
        <f t="shared" si="12"/>
        <v>100000</v>
      </c>
      <c r="C50" s="147">
        <v>100000</v>
      </c>
      <c r="D50" s="147"/>
      <c r="E50" s="147">
        <f t="shared" si="14"/>
        <v>100000</v>
      </c>
      <c r="F50" s="147"/>
      <c r="G50" s="147"/>
      <c r="H50" s="147"/>
      <c r="I50" s="147"/>
      <c r="J50" s="147"/>
      <c r="K50" s="147"/>
      <c r="L50" s="147"/>
      <c r="M50" s="147"/>
      <c r="N50" s="147"/>
      <c r="O50" s="147"/>
      <c r="P50" s="147"/>
      <c r="Q50" s="147"/>
      <c r="R50" s="550">
        <f t="shared" si="13"/>
        <v>100000</v>
      </c>
      <c r="S50" s="147">
        <f t="shared" si="15"/>
        <v>100000</v>
      </c>
      <c r="T50" s="147"/>
      <c r="U50" s="143"/>
    </row>
    <row r="51" spans="1:21" s="144" customFormat="1">
      <c r="A51" s="304" t="s">
        <v>154</v>
      </c>
      <c r="B51" s="146">
        <f t="shared" si="12"/>
        <v>125000</v>
      </c>
      <c r="C51" s="147">
        <v>125000</v>
      </c>
      <c r="D51" s="147"/>
      <c r="E51" s="147">
        <f t="shared" si="14"/>
        <v>125000</v>
      </c>
      <c r="F51" s="147"/>
      <c r="G51" s="147"/>
      <c r="H51" s="147"/>
      <c r="I51" s="147"/>
      <c r="J51" s="147"/>
      <c r="K51" s="147"/>
      <c r="L51" s="147"/>
      <c r="M51" s="147"/>
      <c r="N51" s="147"/>
      <c r="O51" s="147"/>
      <c r="P51" s="147"/>
      <c r="Q51" s="147"/>
      <c r="R51" s="550">
        <f t="shared" si="13"/>
        <v>125000</v>
      </c>
      <c r="S51" s="147">
        <f t="shared" si="15"/>
        <v>125000</v>
      </c>
      <c r="T51" s="147"/>
      <c r="U51" s="143"/>
    </row>
    <row r="52" spans="1:21" s="144" customFormat="1">
      <c r="A52" s="145" t="s">
        <v>155</v>
      </c>
      <c r="B52" s="146">
        <f t="shared" si="12"/>
        <v>775000</v>
      </c>
      <c r="C52" s="147">
        <v>775000</v>
      </c>
      <c r="D52" s="147"/>
      <c r="E52" s="147">
        <f t="shared" si="14"/>
        <v>775000</v>
      </c>
      <c r="F52" s="147"/>
      <c r="G52" s="147"/>
      <c r="H52" s="147"/>
      <c r="I52" s="147"/>
      <c r="J52" s="147"/>
      <c r="K52" s="147"/>
      <c r="L52" s="147"/>
      <c r="M52" s="147"/>
      <c r="N52" s="147"/>
      <c r="O52" s="147"/>
      <c r="P52" s="147"/>
      <c r="Q52" s="147"/>
      <c r="R52" s="550">
        <f t="shared" si="13"/>
        <v>775000</v>
      </c>
      <c r="S52" s="147">
        <f t="shared" si="15"/>
        <v>775000</v>
      </c>
      <c r="T52" s="147"/>
      <c r="U52" s="143"/>
    </row>
    <row r="53" spans="1:21" s="144" customFormat="1">
      <c r="A53" s="1193" t="s">
        <v>2776</v>
      </c>
      <c r="B53" s="146">
        <f t="shared" si="12"/>
        <v>2087222</v>
      </c>
      <c r="C53" s="147">
        <v>2087222</v>
      </c>
      <c r="D53" s="147"/>
      <c r="E53" s="147">
        <f t="shared" si="14"/>
        <v>0</v>
      </c>
      <c r="F53" s="147"/>
      <c r="G53" s="147"/>
      <c r="H53" s="147"/>
      <c r="I53" s="147"/>
      <c r="J53" s="147">
        <f>J108</f>
        <v>2087222</v>
      </c>
      <c r="K53" s="147"/>
      <c r="L53" s="147"/>
      <c r="M53" s="147"/>
      <c r="N53" s="147"/>
      <c r="O53" s="147"/>
      <c r="P53" s="147"/>
      <c r="Q53" s="147"/>
      <c r="R53" s="550">
        <f t="shared" si="13"/>
        <v>2087222</v>
      </c>
      <c r="S53" s="147">
        <f t="shared" si="15"/>
        <v>2087222</v>
      </c>
      <c r="T53" s="147"/>
      <c r="U53" s="143"/>
    </row>
    <row r="54" spans="1:21" s="153" customFormat="1">
      <c r="A54" s="149" t="s">
        <v>157</v>
      </c>
      <c r="B54" s="150">
        <f>SUM(C54:D54)</f>
        <v>5912222</v>
      </c>
      <c r="C54" s="150">
        <f t="shared" ref="C54:T54" si="16">SUM(C45:C53)</f>
        <v>5912222</v>
      </c>
      <c r="D54" s="150">
        <f t="shared" si="16"/>
        <v>0</v>
      </c>
      <c r="E54" s="150">
        <f t="shared" si="16"/>
        <v>3825000</v>
      </c>
      <c r="F54" s="150">
        <f t="shared" si="16"/>
        <v>0</v>
      </c>
      <c r="G54" s="150">
        <f t="shared" si="16"/>
        <v>0</v>
      </c>
      <c r="H54" s="150">
        <f t="shared" si="16"/>
        <v>0</v>
      </c>
      <c r="I54" s="150">
        <f t="shared" si="16"/>
        <v>0</v>
      </c>
      <c r="J54" s="150">
        <f t="shared" si="16"/>
        <v>2087222</v>
      </c>
      <c r="K54" s="150">
        <f t="shared" si="16"/>
        <v>0</v>
      </c>
      <c r="L54" s="150">
        <f t="shared" si="16"/>
        <v>0</v>
      </c>
      <c r="M54" s="150">
        <f t="shared" si="16"/>
        <v>0</v>
      </c>
      <c r="N54" s="150">
        <f t="shared" si="16"/>
        <v>0</v>
      </c>
      <c r="O54" s="150">
        <f t="shared" si="16"/>
        <v>0</v>
      </c>
      <c r="P54" s="150">
        <f t="shared" si="16"/>
        <v>0</v>
      </c>
      <c r="Q54" s="150">
        <f t="shared" si="16"/>
        <v>0</v>
      </c>
      <c r="R54" s="370">
        <f t="shared" si="16"/>
        <v>5912222</v>
      </c>
      <c r="S54" s="150">
        <f t="shared" si="16"/>
        <v>5507222</v>
      </c>
      <c r="T54" s="150">
        <f t="shared" si="16"/>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7">SUM(C56+D56)</f>
        <v>148200</v>
      </c>
      <c r="C56" s="147">
        <v>148200</v>
      </c>
      <c r="D56" s="147"/>
      <c r="E56" s="147">
        <f>C56-SUM(F56:P56)</f>
        <v>148200</v>
      </c>
      <c r="F56" s="147"/>
      <c r="G56" s="147"/>
      <c r="H56" s="147"/>
      <c r="I56" s="147"/>
      <c r="J56" s="147"/>
      <c r="K56" s="147"/>
      <c r="L56" s="147"/>
      <c r="M56" s="147"/>
      <c r="N56" s="147"/>
      <c r="O56" s="147"/>
      <c r="P56" s="147"/>
      <c r="Q56" s="147"/>
      <c r="R56" s="550">
        <f t="shared" ref="R56:R61" si="18">SUM(E56:Q56)</f>
        <v>148200</v>
      </c>
      <c r="S56" s="148"/>
      <c r="T56" s="148"/>
      <c r="U56" s="143"/>
    </row>
    <row r="57" spans="1:21" s="204" customFormat="1">
      <c r="A57" s="198" t="s">
        <v>152</v>
      </c>
      <c r="B57" s="205">
        <f t="shared" si="17"/>
        <v>105575</v>
      </c>
      <c r="C57" s="202">
        <f>55575+50000</f>
        <v>105575</v>
      </c>
      <c r="D57" s="202"/>
      <c r="E57" s="202">
        <f t="shared" ref="E57:E61" si="19">C57-SUM(F57:P57)</f>
        <v>105575</v>
      </c>
      <c r="F57" s="202"/>
      <c r="G57" s="202"/>
      <c r="H57" s="202"/>
      <c r="I57" s="202"/>
      <c r="J57" s="202"/>
      <c r="K57" s="202"/>
      <c r="L57" s="202"/>
      <c r="M57" s="202"/>
      <c r="N57" s="202"/>
      <c r="O57" s="202"/>
      <c r="P57" s="202"/>
      <c r="Q57" s="202"/>
      <c r="R57" s="550">
        <f t="shared" si="18"/>
        <v>105575</v>
      </c>
      <c r="S57" s="206"/>
      <c r="T57" s="206"/>
      <c r="U57" s="203"/>
    </row>
    <row r="58" spans="1:21" s="144" customFormat="1">
      <c r="A58" s="145" t="s">
        <v>156</v>
      </c>
      <c r="B58" s="146">
        <f t="shared" si="17"/>
        <v>0</v>
      </c>
      <c r="C58" s="147">
        <v>0</v>
      </c>
      <c r="D58" s="147"/>
      <c r="E58" s="147">
        <f t="shared" si="19"/>
        <v>0</v>
      </c>
      <c r="F58" s="147"/>
      <c r="G58" s="147"/>
      <c r="H58" s="147"/>
      <c r="I58" s="147"/>
      <c r="J58" s="147"/>
      <c r="K58" s="147"/>
      <c r="L58" s="147"/>
      <c r="M58" s="147"/>
      <c r="N58" s="147"/>
      <c r="O58" s="147"/>
      <c r="P58" s="147"/>
      <c r="Q58" s="147"/>
      <c r="R58" s="550">
        <f t="shared" si="18"/>
        <v>0</v>
      </c>
      <c r="S58" s="148"/>
      <c r="T58" s="148"/>
      <c r="U58" s="143"/>
    </row>
    <row r="59" spans="1:21" s="144" customFormat="1">
      <c r="A59" s="304" t="s">
        <v>154</v>
      </c>
      <c r="B59" s="146">
        <f t="shared" si="17"/>
        <v>0</v>
      </c>
      <c r="C59" s="147">
        <v>0</v>
      </c>
      <c r="D59" s="147"/>
      <c r="E59" s="147">
        <f t="shared" si="19"/>
        <v>0</v>
      </c>
      <c r="F59" s="147"/>
      <c r="G59" s="147"/>
      <c r="H59" s="147"/>
      <c r="I59" s="147"/>
      <c r="J59" s="147"/>
      <c r="K59" s="147"/>
      <c r="L59" s="147"/>
      <c r="M59" s="147"/>
      <c r="N59" s="147"/>
      <c r="O59" s="147"/>
      <c r="P59" s="147"/>
      <c r="Q59" s="147"/>
      <c r="R59" s="550">
        <f t="shared" si="18"/>
        <v>0</v>
      </c>
      <c r="S59" s="148"/>
      <c r="T59" s="148"/>
      <c r="U59" s="143"/>
    </row>
    <row r="60" spans="1:21" s="144" customFormat="1">
      <c r="A60" s="145" t="s">
        <v>155</v>
      </c>
      <c r="B60" s="146">
        <f t="shared" si="17"/>
        <v>0</v>
      </c>
      <c r="C60" s="147">
        <v>0</v>
      </c>
      <c r="D60" s="147"/>
      <c r="E60" s="147">
        <f t="shared" si="19"/>
        <v>0</v>
      </c>
      <c r="F60" s="147"/>
      <c r="G60" s="147"/>
      <c r="H60" s="147"/>
      <c r="I60" s="147"/>
      <c r="J60" s="147"/>
      <c r="K60" s="147"/>
      <c r="L60" s="147"/>
      <c r="M60" s="147"/>
      <c r="N60" s="147"/>
      <c r="O60" s="147"/>
      <c r="P60" s="147"/>
      <c r="Q60" s="147"/>
      <c r="R60" s="550">
        <f t="shared" si="18"/>
        <v>0</v>
      </c>
      <c r="S60" s="148"/>
      <c r="T60" s="148"/>
      <c r="U60" s="143"/>
    </row>
    <row r="61" spans="1:21" s="144" customFormat="1">
      <c r="A61" s="1193" t="s">
        <v>2756</v>
      </c>
      <c r="B61" s="146">
        <f t="shared" si="17"/>
        <v>148200</v>
      </c>
      <c r="C61" s="147">
        <v>148200</v>
      </c>
      <c r="D61" s="147"/>
      <c r="E61" s="147">
        <f t="shared" si="19"/>
        <v>148200</v>
      </c>
      <c r="F61" s="147"/>
      <c r="G61" s="147"/>
      <c r="H61" s="147"/>
      <c r="I61" s="147"/>
      <c r="J61" s="147"/>
      <c r="K61" s="147"/>
      <c r="L61" s="147"/>
      <c r="M61" s="147"/>
      <c r="N61" s="147"/>
      <c r="O61" s="147"/>
      <c r="P61" s="147"/>
      <c r="Q61" s="147"/>
      <c r="R61" s="550">
        <f t="shared" si="18"/>
        <v>148200</v>
      </c>
      <c r="S61" s="148"/>
      <c r="T61" s="148"/>
      <c r="U61" s="143"/>
    </row>
    <row r="62" spans="1:21" s="144" customFormat="1" ht="13.7" customHeight="1">
      <c r="A62" s="149" t="s">
        <v>301</v>
      </c>
      <c r="B62" s="146">
        <f>SUM(C62:D62)</f>
        <v>401975</v>
      </c>
      <c r="C62" s="146">
        <f t="shared" ref="C62:R62" si="20">SUM(C56:C61)</f>
        <v>401975</v>
      </c>
      <c r="D62" s="146">
        <f t="shared" si="20"/>
        <v>0</v>
      </c>
      <c r="E62" s="146">
        <f t="shared" si="20"/>
        <v>401975</v>
      </c>
      <c r="F62" s="146">
        <f t="shared" si="20"/>
        <v>0</v>
      </c>
      <c r="G62" s="146">
        <f t="shared" si="20"/>
        <v>0</v>
      </c>
      <c r="H62" s="146">
        <f t="shared" si="20"/>
        <v>0</v>
      </c>
      <c r="I62" s="146">
        <f t="shared" si="20"/>
        <v>0</v>
      </c>
      <c r="J62" s="146">
        <f t="shared" si="20"/>
        <v>0</v>
      </c>
      <c r="K62" s="146">
        <f t="shared" si="20"/>
        <v>0</v>
      </c>
      <c r="L62" s="146">
        <f t="shared" si="20"/>
        <v>0</v>
      </c>
      <c r="M62" s="146">
        <f t="shared" si="20"/>
        <v>0</v>
      </c>
      <c r="N62" s="146">
        <f t="shared" si="20"/>
        <v>0</v>
      </c>
      <c r="O62" s="146">
        <f t="shared" si="20"/>
        <v>0</v>
      </c>
      <c r="P62" s="146">
        <f t="shared" si="20"/>
        <v>0</v>
      </c>
      <c r="Q62" s="146">
        <f t="shared" si="20"/>
        <v>0</v>
      </c>
      <c r="R62" s="370">
        <f t="shared" si="20"/>
        <v>401975</v>
      </c>
      <c r="S62" s="148"/>
      <c r="T62" s="148"/>
      <c r="U62" s="143"/>
    </row>
    <row r="63" spans="1:21" s="144" customFormat="1">
      <c r="A63" s="154" t="s">
        <v>302</v>
      </c>
      <c r="B63" s="146">
        <f t="shared" ref="B63:R63" si="21">SUM(B8+B11+B13+B14+B15+B26+B27+B38+B42+B43+B54+B62)</f>
        <v>54712480</v>
      </c>
      <c r="C63" s="146">
        <f t="shared" si="21"/>
        <v>54712480</v>
      </c>
      <c r="D63" s="146">
        <f t="shared" si="21"/>
        <v>0</v>
      </c>
      <c r="E63" s="146">
        <f t="shared" si="21"/>
        <v>17099206</v>
      </c>
      <c r="F63" s="146">
        <f t="shared" si="21"/>
        <v>14715713</v>
      </c>
      <c r="G63" s="146">
        <f t="shared" si="21"/>
        <v>12397017</v>
      </c>
      <c r="H63" s="146">
        <f t="shared" si="21"/>
        <v>6213322</v>
      </c>
      <c r="I63" s="146">
        <f t="shared" si="21"/>
        <v>2200000</v>
      </c>
      <c r="J63" s="146">
        <f t="shared" si="21"/>
        <v>2087222</v>
      </c>
      <c r="K63" s="146">
        <f t="shared" si="21"/>
        <v>0</v>
      </c>
      <c r="L63" s="146">
        <f t="shared" si="21"/>
        <v>0</v>
      </c>
      <c r="M63" s="146">
        <f t="shared" si="21"/>
        <v>0</v>
      </c>
      <c r="N63" s="146">
        <f t="shared" si="21"/>
        <v>0</v>
      </c>
      <c r="O63" s="146">
        <f t="shared" si="21"/>
        <v>0</v>
      </c>
      <c r="P63" s="146">
        <f t="shared" si="21"/>
        <v>0</v>
      </c>
      <c r="Q63" s="146">
        <f t="shared" si="21"/>
        <v>0</v>
      </c>
      <c r="R63" s="370">
        <f t="shared" si="21"/>
        <v>54712480</v>
      </c>
      <c r="S63" s="146">
        <f>SUM(S10+S13+S14+S15+S26+S27+S38+S42+S43+S54)</f>
        <v>45794422</v>
      </c>
      <c r="T63" s="146">
        <f>SUM(T11+T13+T14+T15+T26+T27+T38+T42+T43+T54)</f>
        <v>0</v>
      </c>
      <c r="U63" s="143"/>
    </row>
    <row r="64" spans="1:21" s="144" customFormat="1" ht="24">
      <c r="A64" s="141" t="s">
        <v>1752</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83500</v>
      </c>
      <c r="C65" s="147">
        <v>83500</v>
      </c>
      <c r="D65" s="147"/>
      <c r="E65" s="147">
        <f>C65-SUM(F65:Q65)</f>
        <v>83500</v>
      </c>
      <c r="F65" s="147"/>
      <c r="G65" s="147"/>
      <c r="H65" s="147"/>
      <c r="I65" s="147"/>
      <c r="J65" s="147"/>
      <c r="K65" s="147"/>
      <c r="L65" s="147"/>
      <c r="M65" s="147"/>
      <c r="N65" s="147"/>
      <c r="O65" s="147"/>
      <c r="P65" s="147"/>
      <c r="Q65" s="147"/>
      <c r="R65" s="550">
        <f>SUM(E65:Q65)</f>
        <v>83500</v>
      </c>
      <c r="S65" s="147">
        <v>50000</v>
      </c>
      <c r="T65" s="147"/>
      <c r="U65" s="143"/>
    </row>
    <row r="66" spans="1:21" s="144" customFormat="1" ht="24" customHeight="1">
      <c r="A66" s="304" t="s">
        <v>1749</v>
      </c>
      <c r="B66" s="146">
        <f>SUM(C66+D66)</f>
        <v>0</v>
      </c>
      <c r="C66" s="147"/>
      <c r="D66" s="147"/>
      <c r="E66" s="147">
        <f t="shared" ref="E66:E69" si="22">C66-SUM(F66:Q66)</f>
        <v>0</v>
      </c>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1750</v>
      </c>
      <c r="B67" s="146">
        <f>SUM(C67+D67)</f>
        <v>0</v>
      </c>
      <c r="C67" s="147"/>
      <c r="D67" s="147"/>
      <c r="E67" s="147">
        <f t="shared" si="22"/>
        <v>0</v>
      </c>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1756</v>
      </c>
      <c r="B68" s="146">
        <f>SUM(C68+D68)</f>
        <v>0</v>
      </c>
      <c r="C68" s="147"/>
      <c r="D68" s="147"/>
      <c r="E68" s="147">
        <f t="shared" si="22"/>
        <v>0</v>
      </c>
      <c r="F68" s="147"/>
      <c r="G68" s="147"/>
      <c r="H68" s="147"/>
      <c r="I68" s="147"/>
      <c r="J68" s="147"/>
      <c r="K68" s="147"/>
      <c r="L68" s="147"/>
      <c r="M68" s="147"/>
      <c r="N68" s="147"/>
      <c r="O68" s="147"/>
      <c r="P68" s="147"/>
      <c r="Q68" s="147"/>
      <c r="R68" s="550">
        <f>SUM(E68:Q68)</f>
        <v>0</v>
      </c>
      <c r="S68" s="147"/>
      <c r="T68" s="147"/>
      <c r="U68" s="143"/>
    </row>
    <row r="69" spans="1:21" s="144" customFormat="1">
      <c r="A69" s="1193" t="s">
        <v>2757</v>
      </c>
      <c r="B69" s="146">
        <f>SUM(C69+D69)</f>
        <v>1050000</v>
      </c>
      <c r="C69" s="147">
        <v>1050000</v>
      </c>
      <c r="D69" s="147"/>
      <c r="E69" s="147">
        <f t="shared" si="22"/>
        <v>1050000</v>
      </c>
      <c r="F69" s="147"/>
      <c r="G69" s="147"/>
      <c r="H69" s="147"/>
      <c r="I69" s="147"/>
      <c r="J69" s="147"/>
      <c r="K69" s="147"/>
      <c r="L69" s="147"/>
      <c r="M69" s="147"/>
      <c r="N69" s="147"/>
      <c r="O69" s="147"/>
      <c r="P69" s="147"/>
      <c r="Q69" s="147"/>
      <c r="R69" s="550">
        <f>SUM(E69:Q69)</f>
        <v>1050000</v>
      </c>
      <c r="S69" s="147">
        <v>0</v>
      </c>
      <c r="T69" s="147"/>
      <c r="U69" s="143"/>
    </row>
    <row r="70" spans="1:21" s="144" customFormat="1">
      <c r="A70" s="149" t="s">
        <v>1753</v>
      </c>
      <c r="B70" s="146">
        <f>SUM(C70:D70)</f>
        <v>1133500</v>
      </c>
      <c r="C70" s="146">
        <f>SUM(C65:C69)</f>
        <v>1133500</v>
      </c>
      <c r="D70" s="146">
        <f>SUM(D65:D69)</f>
        <v>0</v>
      </c>
      <c r="E70" s="146">
        <f t="shared" ref="E70:T70" si="23">SUM(E65:E69)</f>
        <v>1133500</v>
      </c>
      <c r="F70" s="146">
        <f t="shared" si="23"/>
        <v>0</v>
      </c>
      <c r="G70" s="146">
        <f t="shared" si="23"/>
        <v>0</v>
      </c>
      <c r="H70" s="146">
        <f t="shared" si="23"/>
        <v>0</v>
      </c>
      <c r="I70" s="146">
        <f t="shared" si="23"/>
        <v>0</v>
      </c>
      <c r="J70" s="146">
        <f t="shared" si="23"/>
        <v>0</v>
      </c>
      <c r="K70" s="146">
        <f t="shared" si="23"/>
        <v>0</v>
      </c>
      <c r="L70" s="146">
        <f t="shared" si="23"/>
        <v>0</v>
      </c>
      <c r="M70" s="146">
        <f t="shared" si="23"/>
        <v>0</v>
      </c>
      <c r="N70" s="146">
        <f t="shared" si="23"/>
        <v>0</v>
      </c>
      <c r="O70" s="146">
        <f t="shared" si="23"/>
        <v>0</v>
      </c>
      <c r="P70" s="146">
        <f t="shared" si="23"/>
        <v>0</v>
      </c>
      <c r="Q70" s="146">
        <f t="shared" si="23"/>
        <v>0</v>
      </c>
      <c r="R70" s="370">
        <f t="shared" si="23"/>
        <v>1133500</v>
      </c>
      <c r="S70" s="150">
        <f t="shared" si="23"/>
        <v>50000</v>
      </c>
      <c r="T70" s="150">
        <f t="shared" si="23"/>
        <v>0</v>
      </c>
      <c r="U70" s="143"/>
    </row>
    <row r="71" spans="1:21" s="144" customFormat="1">
      <c r="A71" s="141" t="s">
        <v>609</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610</v>
      </c>
      <c r="B72" s="146">
        <f>SUM(C72+D72)</f>
        <v>0</v>
      </c>
      <c r="C72" s="147">
        <v>0</v>
      </c>
      <c r="D72" s="147"/>
      <c r="E72" s="147">
        <f>C72-SUM(F72:Q72)</f>
        <v>0</v>
      </c>
      <c r="F72" s="147"/>
      <c r="G72" s="147"/>
      <c r="H72" s="147"/>
      <c r="I72" s="147"/>
      <c r="J72" s="147"/>
      <c r="K72" s="147"/>
      <c r="L72" s="147"/>
      <c r="M72" s="147"/>
      <c r="N72" s="147"/>
      <c r="O72" s="147"/>
      <c r="P72" s="147"/>
      <c r="Q72" s="147"/>
      <c r="R72" s="550">
        <f>SUM(E72:Q72)</f>
        <v>0</v>
      </c>
      <c r="S72" s="148"/>
      <c r="T72" s="148"/>
      <c r="U72" s="143"/>
    </row>
    <row r="73" spans="1:21" s="144" customFormat="1">
      <c r="A73" s="145" t="s">
        <v>611</v>
      </c>
      <c r="B73" s="146">
        <f>SUM(C73+D73)</f>
        <v>0</v>
      </c>
      <c r="C73" s="147">
        <v>0</v>
      </c>
      <c r="D73" s="147"/>
      <c r="E73" s="147">
        <f t="shared" ref="E73:E76" si="24">C73-SUM(F73:Q73)</f>
        <v>0</v>
      </c>
      <c r="F73" s="147"/>
      <c r="G73" s="147"/>
      <c r="H73" s="147"/>
      <c r="I73" s="147"/>
      <c r="J73" s="147"/>
      <c r="K73" s="147"/>
      <c r="L73" s="147"/>
      <c r="M73" s="147"/>
      <c r="N73" s="147"/>
      <c r="O73" s="147"/>
      <c r="P73" s="147"/>
      <c r="Q73" s="147"/>
      <c r="R73" s="550">
        <f>SUM(E73:Q73)</f>
        <v>0</v>
      </c>
      <c r="S73" s="148"/>
      <c r="T73" s="148"/>
      <c r="U73" s="143"/>
    </row>
    <row r="74" spans="1:21" s="144" customFormat="1">
      <c r="A74" s="484" t="s">
        <v>1004</v>
      </c>
      <c r="B74" s="146">
        <f>SUM(C74+D74)</f>
        <v>0</v>
      </c>
      <c r="C74" s="147">
        <v>0</v>
      </c>
      <c r="D74" s="147"/>
      <c r="E74" s="147">
        <f t="shared" si="24"/>
        <v>0</v>
      </c>
      <c r="F74" s="147"/>
      <c r="G74" s="147"/>
      <c r="H74" s="147"/>
      <c r="I74" s="147"/>
      <c r="J74" s="147"/>
      <c r="K74" s="147"/>
      <c r="L74" s="147"/>
      <c r="M74" s="147"/>
      <c r="N74" s="147"/>
      <c r="O74" s="147"/>
      <c r="P74" s="147"/>
      <c r="Q74" s="147"/>
      <c r="R74" s="550">
        <f>SUM(E74:Q74)</f>
        <v>0</v>
      </c>
      <c r="S74" s="148"/>
      <c r="T74" s="148"/>
      <c r="U74" s="143"/>
    </row>
    <row r="75" spans="1:21" s="144" customFormat="1">
      <c r="A75" s="145" t="s">
        <v>612</v>
      </c>
      <c r="B75" s="146">
        <f>SUM(C75+D75)</f>
        <v>475000</v>
      </c>
      <c r="C75" s="147">
        <v>475000</v>
      </c>
      <c r="D75" s="147"/>
      <c r="E75" s="147">
        <f t="shared" si="24"/>
        <v>475000</v>
      </c>
      <c r="F75" s="147"/>
      <c r="G75" s="147"/>
      <c r="H75" s="147"/>
      <c r="I75" s="147"/>
      <c r="J75" s="147"/>
      <c r="K75" s="147"/>
      <c r="L75" s="147"/>
      <c r="M75" s="147"/>
      <c r="N75" s="147"/>
      <c r="O75" s="147"/>
      <c r="P75" s="147"/>
      <c r="Q75" s="147"/>
      <c r="R75" s="550">
        <f>SUM(E75:Q75)</f>
        <v>475000</v>
      </c>
      <c r="S75" s="148"/>
      <c r="T75" s="148"/>
      <c r="U75" s="143"/>
    </row>
    <row r="76" spans="1:21" s="144" customFormat="1">
      <c r="A76" s="1193" t="s">
        <v>34</v>
      </c>
      <c r="B76" s="146">
        <f>SUM(C76+D76)</f>
        <v>0</v>
      </c>
      <c r="C76" s="147">
        <v>0</v>
      </c>
      <c r="D76" s="147"/>
      <c r="E76" s="147">
        <f t="shared" si="24"/>
        <v>0</v>
      </c>
      <c r="F76" s="147"/>
      <c r="G76" s="147"/>
      <c r="H76" s="147"/>
      <c r="I76" s="147"/>
      <c r="J76" s="147"/>
      <c r="K76" s="147"/>
      <c r="L76" s="147"/>
      <c r="M76" s="147"/>
      <c r="N76" s="147"/>
      <c r="O76" s="147"/>
      <c r="P76" s="147"/>
      <c r="Q76" s="147"/>
      <c r="R76" s="550">
        <f>SUM(E76:Q76)</f>
        <v>0</v>
      </c>
      <c r="S76" s="148"/>
      <c r="T76" s="148"/>
      <c r="U76" s="143"/>
    </row>
    <row r="77" spans="1:21" s="144" customFormat="1">
      <c r="A77" s="149" t="s">
        <v>613</v>
      </c>
      <c r="B77" s="146">
        <f>SUM(C77:D77)</f>
        <v>475000</v>
      </c>
      <c r="C77" s="146">
        <f>SUM(C72:C76)</f>
        <v>475000</v>
      </c>
      <c r="D77" s="146">
        <f>SUM(D72:D76)</f>
        <v>0</v>
      </c>
      <c r="E77" s="146">
        <f t="shared" ref="E77:Q77" si="25">SUM(E72:E76)</f>
        <v>475000</v>
      </c>
      <c r="F77" s="146">
        <f t="shared" si="25"/>
        <v>0</v>
      </c>
      <c r="G77" s="146">
        <f t="shared" si="25"/>
        <v>0</v>
      </c>
      <c r="H77" s="146">
        <f t="shared" si="25"/>
        <v>0</v>
      </c>
      <c r="I77" s="146">
        <f t="shared" si="25"/>
        <v>0</v>
      </c>
      <c r="J77" s="146">
        <f t="shared" si="25"/>
        <v>0</v>
      </c>
      <c r="K77" s="146">
        <f t="shared" si="25"/>
        <v>0</v>
      </c>
      <c r="L77" s="146">
        <f t="shared" si="25"/>
        <v>0</v>
      </c>
      <c r="M77" s="146">
        <f t="shared" si="25"/>
        <v>0</v>
      </c>
      <c r="N77" s="146">
        <f t="shared" si="25"/>
        <v>0</v>
      </c>
      <c r="O77" s="146">
        <f t="shared" si="25"/>
        <v>0</v>
      </c>
      <c r="P77" s="146">
        <f t="shared" si="25"/>
        <v>0</v>
      </c>
      <c r="Q77" s="146">
        <f t="shared" si="25"/>
        <v>0</v>
      </c>
      <c r="R77" s="370">
        <f>SUM(R72:R76)</f>
        <v>475000</v>
      </c>
      <c r="S77" s="148"/>
      <c r="T77" s="148"/>
      <c r="U77" s="143"/>
    </row>
    <row r="78" spans="1:21" s="144" customFormat="1">
      <c r="A78" s="141" t="s">
        <v>1313</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1315</v>
      </c>
      <c r="B79" s="146">
        <f>SUM(C79:D79)</f>
        <v>2219516</v>
      </c>
      <c r="C79" s="147">
        <v>2219516</v>
      </c>
      <c r="D79" s="147"/>
      <c r="E79" s="147">
        <f>C79-SUM(F79:Q79)</f>
        <v>2219516</v>
      </c>
      <c r="F79" s="147"/>
      <c r="G79" s="147"/>
      <c r="H79" s="147"/>
      <c r="I79" s="147"/>
      <c r="J79" s="147"/>
      <c r="K79" s="147"/>
      <c r="L79" s="147"/>
      <c r="M79" s="147"/>
      <c r="N79" s="147"/>
      <c r="O79" s="147"/>
      <c r="P79" s="147"/>
      <c r="Q79" s="147"/>
      <c r="R79" s="550">
        <f>SUM(E79:Q79)</f>
        <v>2219516</v>
      </c>
      <c r="S79" s="147">
        <f>R79</f>
        <v>2219516</v>
      </c>
      <c r="T79" s="147"/>
      <c r="U79" s="143"/>
    </row>
    <row r="80" spans="1:21" s="144" customFormat="1">
      <c r="A80" s="304" t="s">
        <v>58</v>
      </c>
      <c r="B80" s="146">
        <f>SUM(C80:D80)</f>
        <v>640591</v>
      </c>
      <c r="C80" s="147">
        <v>640591</v>
      </c>
      <c r="D80" s="147"/>
      <c r="E80" s="147">
        <f>C80-SUM(F80:Q80)</f>
        <v>640591</v>
      </c>
      <c r="F80" s="147"/>
      <c r="G80" s="147"/>
      <c r="H80" s="147"/>
      <c r="I80" s="147"/>
      <c r="J80" s="147"/>
      <c r="K80" s="147"/>
      <c r="L80" s="147"/>
      <c r="M80" s="147"/>
      <c r="N80" s="147"/>
      <c r="O80" s="147"/>
      <c r="P80" s="147"/>
      <c r="Q80" s="147"/>
      <c r="R80" s="550">
        <f>SUM(E80:Q80)</f>
        <v>640591</v>
      </c>
      <c r="S80" s="147">
        <f>R80</f>
        <v>640591</v>
      </c>
      <c r="T80" s="147"/>
      <c r="U80" s="143"/>
    </row>
    <row r="81" spans="1:21" s="144" customFormat="1">
      <c r="A81" s="149" t="s">
        <v>1312</v>
      </c>
      <c r="B81" s="146">
        <f>SUM(C81:D81)</f>
        <v>2860107</v>
      </c>
      <c r="C81" s="543">
        <f>SUM(C79:C80)</f>
        <v>2860107</v>
      </c>
      <c r="D81" s="543">
        <f t="shared" ref="D81:T81" si="26">SUM(D79:D80)</f>
        <v>0</v>
      </c>
      <c r="E81" s="543">
        <f t="shared" si="26"/>
        <v>2860107</v>
      </c>
      <c r="F81" s="543">
        <f t="shared" si="26"/>
        <v>0</v>
      </c>
      <c r="G81" s="543">
        <f t="shared" si="26"/>
        <v>0</v>
      </c>
      <c r="H81" s="543">
        <f t="shared" si="26"/>
        <v>0</v>
      </c>
      <c r="I81" s="543">
        <f t="shared" si="26"/>
        <v>0</v>
      </c>
      <c r="J81" s="543">
        <f t="shared" si="26"/>
        <v>0</v>
      </c>
      <c r="K81" s="543">
        <f t="shared" si="26"/>
        <v>0</v>
      </c>
      <c r="L81" s="543">
        <f t="shared" si="26"/>
        <v>0</v>
      </c>
      <c r="M81" s="543">
        <f t="shared" si="26"/>
        <v>0</v>
      </c>
      <c r="N81" s="543">
        <f t="shared" si="26"/>
        <v>0</v>
      </c>
      <c r="O81" s="543">
        <f t="shared" si="26"/>
        <v>0</v>
      </c>
      <c r="P81" s="543">
        <f t="shared" si="26"/>
        <v>0</v>
      </c>
      <c r="Q81" s="543">
        <f t="shared" si="26"/>
        <v>0</v>
      </c>
      <c r="R81" s="543">
        <f t="shared" si="26"/>
        <v>2860107</v>
      </c>
      <c r="S81" s="543">
        <f t="shared" si="26"/>
        <v>2860107</v>
      </c>
      <c r="T81" s="543">
        <f t="shared" si="26"/>
        <v>0</v>
      </c>
      <c r="U81" s="143"/>
    </row>
    <row r="82" spans="1:21" s="144" customFormat="1">
      <c r="A82" s="141" t="s">
        <v>773</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2406</v>
      </c>
      <c r="B83" s="146">
        <f t="shared" ref="B83:B95" si="27">SUM(C83+D83)</f>
        <v>185000</v>
      </c>
      <c r="C83" s="147">
        <v>185000</v>
      </c>
      <c r="D83" s="147"/>
      <c r="E83" s="147">
        <f>C83-SUM(F83:Q83)</f>
        <v>185000</v>
      </c>
      <c r="F83" s="147"/>
      <c r="G83" s="147"/>
      <c r="H83" s="147"/>
      <c r="I83" s="147"/>
      <c r="J83" s="147"/>
      <c r="K83" s="147"/>
      <c r="L83" s="147"/>
      <c r="M83" s="147"/>
      <c r="N83" s="147"/>
      <c r="O83" s="147"/>
      <c r="P83" s="147"/>
      <c r="Q83" s="147"/>
      <c r="R83" s="550">
        <f t="shared" ref="R83:R95" si="28">SUM(E83:Q83)</f>
        <v>185000</v>
      </c>
      <c r="S83" s="148"/>
      <c r="T83" s="148"/>
      <c r="U83" s="143"/>
    </row>
    <row r="84" spans="1:21" s="144" customFormat="1">
      <c r="A84" s="145" t="s">
        <v>775</v>
      </c>
      <c r="B84" s="146">
        <f t="shared" si="27"/>
        <v>65000</v>
      </c>
      <c r="C84" s="147">
        <v>65000</v>
      </c>
      <c r="D84" s="147"/>
      <c r="E84" s="147">
        <f t="shared" ref="E84:E95" si="29">C84-SUM(F84:Q84)</f>
        <v>65000</v>
      </c>
      <c r="F84" s="147"/>
      <c r="G84" s="147"/>
      <c r="H84" s="147"/>
      <c r="I84" s="147"/>
      <c r="J84" s="147"/>
      <c r="K84" s="147"/>
      <c r="L84" s="147"/>
      <c r="M84" s="147"/>
      <c r="N84" s="147"/>
      <c r="O84" s="147"/>
      <c r="P84" s="147"/>
      <c r="Q84" s="147"/>
      <c r="R84" s="550">
        <f t="shared" si="28"/>
        <v>65000</v>
      </c>
      <c r="S84" s="147">
        <v>65000</v>
      </c>
      <c r="T84" s="147"/>
      <c r="U84" s="143"/>
    </row>
    <row r="85" spans="1:21" s="144" customFormat="1">
      <c r="A85" s="145" t="s">
        <v>776</v>
      </c>
      <c r="B85" s="146">
        <f t="shared" si="27"/>
        <v>551222</v>
      </c>
      <c r="C85" s="147">
        <v>551222</v>
      </c>
      <c r="D85" s="147"/>
      <c r="E85" s="147">
        <f t="shared" si="29"/>
        <v>551222</v>
      </c>
      <c r="F85" s="147"/>
      <c r="G85" s="147"/>
      <c r="H85" s="147"/>
      <c r="I85" s="147"/>
      <c r="J85" s="147"/>
      <c r="K85" s="147"/>
      <c r="L85" s="147"/>
      <c r="M85" s="147"/>
      <c r="N85" s="147"/>
      <c r="O85" s="147"/>
      <c r="P85" s="147"/>
      <c r="Q85" s="147"/>
      <c r="R85" s="550">
        <f t="shared" si="28"/>
        <v>551222</v>
      </c>
      <c r="S85" s="147">
        <v>551222</v>
      </c>
      <c r="T85" s="147"/>
      <c r="U85" s="143"/>
    </row>
    <row r="86" spans="1:21" s="144" customFormat="1">
      <c r="A86" s="145" t="s">
        <v>777</v>
      </c>
      <c r="B86" s="146">
        <f t="shared" si="27"/>
        <v>195778</v>
      </c>
      <c r="C86" s="147">
        <v>195778</v>
      </c>
      <c r="D86" s="147"/>
      <c r="E86" s="147">
        <f t="shared" si="29"/>
        <v>195778</v>
      </c>
      <c r="F86" s="147"/>
      <c r="G86" s="147"/>
      <c r="H86" s="147"/>
      <c r="I86" s="147"/>
      <c r="J86" s="147"/>
      <c r="K86" s="147"/>
      <c r="L86" s="147"/>
      <c r="M86" s="147"/>
      <c r="N86" s="147"/>
      <c r="O86" s="147"/>
      <c r="P86" s="147"/>
      <c r="Q86" s="147"/>
      <c r="R86" s="550">
        <f t="shared" si="28"/>
        <v>195778</v>
      </c>
      <c r="S86" s="147">
        <v>195778</v>
      </c>
      <c r="T86" s="147"/>
      <c r="U86" s="143"/>
    </row>
    <row r="87" spans="1:21" s="144" customFormat="1">
      <c r="A87" s="145" t="s">
        <v>778</v>
      </c>
      <c r="B87" s="146">
        <f t="shared" si="27"/>
        <v>0</v>
      </c>
      <c r="C87" s="147"/>
      <c r="D87" s="147"/>
      <c r="E87" s="147">
        <v>0</v>
      </c>
      <c r="F87" s="147"/>
      <c r="G87" s="147"/>
      <c r="H87" s="147"/>
      <c r="I87" s="147"/>
      <c r="J87" s="147"/>
      <c r="K87" s="147"/>
      <c r="L87" s="147"/>
      <c r="M87" s="147"/>
      <c r="N87" s="147"/>
      <c r="O87" s="147"/>
      <c r="P87" s="147"/>
      <c r="Q87" s="147"/>
      <c r="R87" s="550">
        <f t="shared" si="28"/>
        <v>0</v>
      </c>
      <c r="S87" s="147"/>
      <c r="T87" s="147"/>
      <c r="U87" s="143"/>
    </row>
    <row r="88" spans="1:21" s="144" customFormat="1">
      <c r="A88" s="145" t="s">
        <v>779</v>
      </c>
      <c r="B88" s="146">
        <f t="shared" si="27"/>
        <v>10000</v>
      </c>
      <c r="C88" s="147">
        <v>10000</v>
      </c>
      <c r="D88" s="147"/>
      <c r="E88" s="147">
        <f t="shared" si="29"/>
        <v>10000</v>
      </c>
      <c r="F88" s="147"/>
      <c r="G88" s="147"/>
      <c r="H88" s="147"/>
      <c r="I88" s="147"/>
      <c r="J88" s="147"/>
      <c r="K88" s="147"/>
      <c r="L88" s="147"/>
      <c r="M88" s="147"/>
      <c r="N88" s="147"/>
      <c r="O88" s="147"/>
      <c r="P88" s="147"/>
      <c r="Q88" s="147"/>
      <c r="R88" s="550">
        <f t="shared" si="28"/>
        <v>10000</v>
      </c>
      <c r="S88" s="148"/>
      <c r="T88" s="148"/>
      <c r="U88" s="143"/>
    </row>
    <row r="89" spans="1:21" s="144" customFormat="1">
      <c r="A89" s="145" t="s">
        <v>780</v>
      </c>
      <c r="B89" s="146">
        <f t="shared" si="27"/>
        <v>550000</v>
      </c>
      <c r="C89" s="147">
        <v>550000</v>
      </c>
      <c r="D89" s="147"/>
      <c r="E89" s="147">
        <f t="shared" si="29"/>
        <v>550000</v>
      </c>
      <c r="F89" s="147"/>
      <c r="G89" s="147"/>
      <c r="H89" s="147"/>
      <c r="I89" s="147"/>
      <c r="J89" s="147"/>
      <c r="K89" s="147"/>
      <c r="L89" s="147"/>
      <c r="M89" s="147"/>
      <c r="N89" s="147"/>
      <c r="O89" s="147"/>
      <c r="P89" s="147"/>
      <c r="Q89" s="147"/>
      <c r="R89" s="550">
        <f t="shared" si="28"/>
        <v>550000</v>
      </c>
      <c r="S89" s="147">
        <v>550000</v>
      </c>
      <c r="T89" s="147"/>
      <c r="U89" s="143"/>
    </row>
    <row r="90" spans="1:21" s="144" customFormat="1">
      <c r="A90" s="145" t="s">
        <v>781</v>
      </c>
      <c r="B90" s="146">
        <f t="shared" si="27"/>
        <v>8000</v>
      </c>
      <c r="C90" s="147">
        <v>8000</v>
      </c>
      <c r="D90" s="147"/>
      <c r="E90" s="147">
        <f t="shared" si="29"/>
        <v>8000</v>
      </c>
      <c r="F90" s="147"/>
      <c r="G90" s="147"/>
      <c r="H90" s="147"/>
      <c r="I90" s="147"/>
      <c r="J90" s="147"/>
      <c r="K90" s="147"/>
      <c r="L90" s="147"/>
      <c r="M90" s="147"/>
      <c r="N90" s="147"/>
      <c r="O90" s="147"/>
      <c r="P90" s="147"/>
      <c r="Q90" s="147"/>
      <c r="R90" s="550">
        <f t="shared" si="28"/>
        <v>8000</v>
      </c>
      <c r="S90" s="147">
        <v>8000</v>
      </c>
      <c r="T90" s="147"/>
      <c r="U90" s="143"/>
    </row>
    <row r="91" spans="1:21" s="144" customFormat="1">
      <c r="A91" s="145" t="s">
        <v>372</v>
      </c>
      <c r="B91" s="146">
        <f t="shared" si="27"/>
        <v>25000</v>
      </c>
      <c r="C91" s="147">
        <v>25000</v>
      </c>
      <c r="D91" s="147"/>
      <c r="E91" s="147">
        <f t="shared" si="29"/>
        <v>25000</v>
      </c>
      <c r="F91" s="147"/>
      <c r="G91" s="147"/>
      <c r="H91" s="147"/>
      <c r="I91" s="147"/>
      <c r="J91" s="147"/>
      <c r="K91" s="147"/>
      <c r="L91" s="147"/>
      <c r="M91" s="147"/>
      <c r="N91" s="147"/>
      <c r="O91" s="147"/>
      <c r="P91" s="147"/>
      <c r="Q91" s="147"/>
      <c r="R91" s="550">
        <f t="shared" si="28"/>
        <v>25000</v>
      </c>
      <c r="S91" s="147">
        <v>25000</v>
      </c>
      <c r="T91" s="147"/>
      <c r="U91" s="143"/>
    </row>
    <row r="92" spans="1:21" s="144" customFormat="1">
      <c r="A92" s="304" t="s">
        <v>1314</v>
      </c>
      <c r="B92" s="146">
        <f t="shared" si="27"/>
        <v>15000</v>
      </c>
      <c r="C92" s="147">
        <v>15000</v>
      </c>
      <c r="D92" s="147"/>
      <c r="E92" s="147">
        <f t="shared" si="29"/>
        <v>15000</v>
      </c>
      <c r="F92" s="147"/>
      <c r="G92" s="147"/>
      <c r="H92" s="147"/>
      <c r="I92" s="147"/>
      <c r="J92" s="147"/>
      <c r="K92" s="147"/>
      <c r="L92" s="147"/>
      <c r="M92" s="147"/>
      <c r="N92" s="147"/>
      <c r="O92" s="147"/>
      <c r="P92" s="147"/>
      <c r="Q92" s="147"/>
      <c r="R92" s="550">
        <f t="shared" si="28"/>
        <v>15000</v>
      </c>
      <c r="S92" s="147">
        <v>15000</v>
      </c>
      <c r="T92" s="147"/>
      <c r="U92" s="143"/>
    </row>
    <row r="93" spans="1:21" s="144" customFormat="1">
      <c r="A93" s="1193" t="s">
        <v>2758</v>
      </c>
      <c r="B93" s="146">
        <f t="shared" si="27"/>
        <v>125000</v>
      </c>
      <c r="C93" s="147">
        <v>125000</v>
      </c>
      <c r="D93" s="147"/>
      <c r="E93" s="147">
        <f t="shared" si="29"/>
        <v>125000</v>
      </c>
      <c r="F93" s="147"/>
      <c r="G93" s="147"/>
      <c r="H93" s="147"/>
      <c r="I93" s="147"/>
      <c r="J93" s="147"/>
      <c r="K93" s="147"/>
      <c r="L93" s="147"/>
      <c r="M93" s="147"/>
      <c r="N93" s="147"/>
      <c r="O93" s="147"/>
      <c r="P93" s="147"/>
      <c r="Q93" s="147"/>
      <c r="R93" s="550">
        <f t="shared" si="28"/>
        <v>125000</v>
      </c>
      <c r="S93" s="147">
        <v>10000</v>
      </c>
      <c r="T93" s="147"/>
      <c r="U93" s="143"/>
    </row>
    <row r="94" spans="1:21" s="144" customFormat="1">
      <c r="A94" s="1193" t="s">
        <v>2759</v>
      </c>
      <c r="B94" s="146">
        <f t="shared" si="27"/>
        <v>100000</v>
      </c>
      <c r="C94" s="147">
        <v>100000</v>
      </c>
      <c r="D94" s="147"/>
      <c r="E94" s="147">
        <f t="shared" si="29"/>
        <v>100000</v>
      </c>
      <c r="F94" s="147"/>
      <c r="G94" s="147"/>
      <c r="H94" s="147"/>
      <c r="I94" s="147"/>
      <c r="J94" s="147"/>
      <c r="K94" s="147"/>
      <c r="L94" s="147"/>
      <c r="M94" s="147"/>
      <c r="N94" s="147"/>
      <c r="O94" s="147"/>
      <c r="P94" s="147"/>
      <c r="Q94" s="147"/>
      <c r="R94" s="550">
        <f t="shared" si="28"/>
        <v>100000</v>
      </c>
      <c r="S94" s="147"/>
      <c r="T94" s="147"/>
      <c r="U94" s="143"/>
    </row>
    <row r="95" spans="1:21" s="144" customFormat="1">
      <c r="A95" s="1193" t="s">
        <v>2784</v>
      </c>
      <c r="B95" s="146">
        <f t="shared" si="27"/>
        <v>103010</v>
      </c>
      <c r="C95" s="147">
        <v>103010</v>
      </c>
      <c r="D95" s="147"/>
      <c r="E95" s="147">
        <f t="shared" si="29"/>
        <v>103010</v>
      </c>
      <c r="F95" s="147"/>
      <c r="G95" s="147"/>
      <c r="H95" s="147"/>
      <c r="I95" s="147"/>
      <c r="J95" s="147"/>
      <c r="K95" s="147"/>
      <c r="L95" s="147"/>
      <c r="M95" s="147"/>
      <c r="N95" s="147"/>
      <c r="O95" s="147"/>
      <c r="P95" s="147"/>
      <c r="Q95" s="147"/>
      <c r="R95" s="550">
        <f t="shared" si="28"/>
        <v>103010</v>
      </c>
      <c r="S95" s="147"/>
      <c r="T95" s="147"/>
      <c r="U95" s="143"/>
    </row>
    <row r="96" spans="1:21" s="144" customFormat="1">
      <c r="A96" s="149" t="s">
        <v>782</v>
      </c>
      <c r="B96" s="146">
        <f>SUM(C96:D96)</f>
        <v>1933010</v>
      </c>
      <c r="C96" s="146">
        <f t="shared" ref="C96:R96" si="30">SUM(C83:C95)</f>
        <v>1933010</v>
      </c>
      <c r="D96" s="146">
        <f t="shared" si="30"/>
        <v>0</v>
      </c>
      <c r="E96" s="146">
        <f t="shared" si="30"/>
        <v>1933010</v>
      </c>
      <c r="F96" s="146">
        <f t="shared" si="30"/>
        <v>0</v>
      </c>
      <c r="G96" s="146">
        <f t="shared" si="30"/>
        <v>0</v>
      </c>
      <c r="H96" s="146">
        <f t="shared" si="30"/>
        <v>0</v>
      </c>
      <c r="I96" s="146">
        <f t="shared" si="30"/>
        <v>0</v>
      </c>
      <c r="J96" s="146">
        <f t="shared" si="30"/>
        <v>0</v>
      </c>
      <c r="K96" s="146">
        <f t="shared" si="30"/>
        <v>0</v>
      </c>
      <c r="L96" s="146">
        <f t="shared" si="30"/>
        <v>0</v>
      </c>
      <c r="M96" s="146">
        <f t="shared" si="30"/>
        <v>0</v>
      </c>
      <c r="N96" s="146">
        <f t="shared" si="30"/>
        <v>0</v>
      </c>
      <c r="O96" s="146">
        <f t="shared" si="30"/>
        <v>0</v>
      </c>
      <c r="P96" s="146">
        <f t="shared" si="30"/>
        <v>0</v>
      </c>
      <c r="Q96" s="146">
        <f t="shared" si="30"/>
        <v>0</v>
      </c>
      <c r="R96" s="370">
        <f t="shared" si="30"/>
        <v>1933010</v>
      </c>
      <c r="S96" s="150">
        <f>SUM(S84:S87,S89:S95)</f>
        <v>1420000</v>
      </c>
      <c r="T96" s="146">
        <f>SUM(T84:T87,T89:T95)</f>
        <v>0</v>
      </c>
      <c r="U96" s="143"/>
    </row>
    <row r="97" spans="1:21" s="144" customFormat="1">
      <c r="A97" s="149" t="s">
        <v>783</v>
      </c>
      <c r="B97" s="146">
        <f>SUM(C97:D97)</f>
        <v>61114097</v>
      </c>
      <c r="C97" s="146">
        <f t="shared" ref="C97:R97" si="31">SUM(C63+C70+C77+C81+C96)</f>
        <v>61114097</v>
      </c>
      <c r="D97" s="146">
        <f t="shared" si="31"/>
        <v>0</v>
      </c>
      <c r="E97" s="146">
        <f t="shared" si="31"/>
        <v>23500823</v>
      </c>
      <c r="F97" s="146">
        <f t="shared" si="31"/>
        <v>14715713</v>
      </c>
      <c r="G97" s="146">
        <f t="shared" si="31"/>
        <v>12397017</v>
      </c>
      <c r="H97" s="146">
        <f t="shared" si="31"/>
        <v>6213322</v>
      </c>
      <c r="I97" s="146">
        <f t="shared" si="31"/>
        <v>2200000</v>
      </c>
      <c r="J97" s="146">
        <f t="shared" si="31"/>
        <v>2087222</v>
      </c>
      <c r="K97" s="146">
        <f t="shared" si="31"/>
        <v>0</v>
      </c>
      <c r="L97" s="146">
        <f t="shared" si="31"/>
        <v>0</v>
      </c>
      <c r="M97" s="146">
        <f t="shared" si="31"/>
        <v>0</v>
      </c>
      <c r="N97" s="146">
        <f t="shared" si="31"/>
        <v>0</v>
      </c>
      <c r="O97" s="146">
        <f t="shared" si="31"/>
        <v>0</v>
      </c>
      <c r="P97" s="146">
        <f t="shared" si="31"/>
        <v>0</v>
      </c>
      <c r="Q97" s="146">
        <f t="shared" si="31"/>
        <v>0</v>
      </c>
      <c r="R97" s="146">
        <f t="shared" si="31"/>
        <v>61114097</v>
      </c>
      <c r="S97" s="146">
        <f>SUM(S63+S70+S81+S96)</f>
        <v>50124529</v>
      </c>
      <c r="T97" s="146">
        <f>SUM(T63+T70+T81+T96)</f>
        <v>0</v>
      </c>
      <c r="U97" s="143"/>
    </row>
    <row r="98" spans="1:21" s="144" customFormat="1">
      <c r="A98" s="141" t="s">
        <v>784</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785</v>
      </c>
      <c r="B99" s="146">
        <f>SUM(C99+D99)</f>
        <v>7518679</v>
      </c>
      <c r="C99" s="1014">
        <v>7518679</v>
      </c>
      <c r="D99" s="1014"/>
      <c r="E99" s="1014">
        <f>C99-SUM(F99:Q99)</f>
        <v>4390551</v>
      </c>
      <c r="F99" s="147"/>
      <c r="G99" s="147"/>
      <c r="H99" s="147"/>
      <c r="I99" s="147"/>
      <c r="J99" s="147"/>
      <c r="K99" s="147">
        <f>K108</f>
        <v>3128128</v>
      </c>
      <c r="L99" s="147"/>
      <c r="M99" s="147"/>
      <c r="N99" s="147"/>
      <c r="O99" s="147"/>
      <c r="P99" s="147"/>
      <c r="Q99" s="147"/>
      <c r="R99" s="550">
        <f>SUM(E99:Q99)</f>
        <v>7518679</v>
      </c>
      <c r="S99" s="147">
        <v>7518679</v>
      </c>
      <c r="T99" s="147"/>
      <c r="U99" s="143"/>
    </row>
    <row r="100" spans="1:21" s="144" customFormat="1">
      <c r="A100" s="304" t="s">
        <v>1754</v>
      </c>
      <c r="B100" s="146">
        <f>SUM(C100+D100)</f>
        <v>0</v>
      </c>
      <c r="C100" s="147"/>
      <c r="D100" s="147"/>
      <c r="E100" s="147">
        <f t="shared" ref="E100:E103" si="32">C100-SUM(F100:Q100)</f>
        <v>0</v>
      </c>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786</v>
      </c>
      <c r="B101" s="146">
        <f>SUM(C101+D101)</f>
        <v>0</v>
      </c>
      <c r="C101" s="147"/>
      <c r="D101" s="147"/>
      <c r="E101" s="147">
        <f t="shared" si="32"/>
        <v>0</v>
      </c>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1755</v>
      </c>
      <c r="B102" s="146">
        <f>SUM(C102+D102)</f>
        <v>0</v>
      </c>
      <c r="C102" s="147"/>
      <c r="D102" s="147"/>
      <c r="E102" s="147">
        <f t="shared" si="32"/>
        <v>0</v>
      </c>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f t="shared" si="32"/>
        <v>0</v>
      </c>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787</v>
      </c>
      <c r="B104" s="146">
        <f>SUM(C104:D104)</f>
        <v>7518679</v>
      </c>
      <c r="C104" s="146">
        <f>SUM(C99:C103)</f>
        <v>7518679</v>
      </c>
      <c r="D104" s="146">
        <f t="shared" ref="D104:T104" si="33">SUM(D99:D103)</f>
        <v>0</v>
      </c>
      <c r="E104" s="146">
        <f t="shared" si="33"/>
        <v>4390551</v>
      </c>
      <c r="F104" s="146">
        <f t="shared" si="33"/>
        <v>0</v>
      </c>
      <c r="G104" s="146">
        <f t="shared" si="33"/>
        <v>0</v>
      </c>
      <c r="H104" s="146">
        <f t="shared" si="33"/>
        <v>0</v>
      </c>
      <c r="I104" s="146">
        <f t="shared" si="33"/>
        <v>0</v>
      </c>
      <c r="J104" s="146">
        <f t="shared" si="33"/>
        <v>0</v>
      </c>
      <c r="K104" s="146">
        <f t="shared" si="33"/>
        <v>3128128</v>
      </c>
      <c r="L104" s="146">
        <f t="shared" si="33"/>
        <v>0</v>
      </c>
      <c r="M104" s="146">
        <f t="shared" si="33"/>
        <v>0</v>
      </c>
      <c r="N104" s="146">
        <f t="shared" si="33"/>
        <v>0</v>
      </c>
      <c r="O104" s="146">
        <f t="shared" si="33"/>
        <v>0</v>
      </c>
      <c r="P104" s="146">
        <f t="shared" si="33"/>
        <v>0</v>
      </c>
      <c r="Q104" s="146">
        <f t="shared" si="33"/>
        <v>0</v>
      </c>
      <c r="R104" s="370">
        <f t="shared" si="33"/>
        <v>7518679</v>
      </c>
      <c r="S104" s="150">
        <f t="shared" si="33"/>
        <v>7518679</v>
      </c>
      <c r="T104" s="150">
        <f t="shared" si="33"/>
        <v>0</v>
      </c>
      <c r="U104" s="143"/>
    </row>
    <row r="105" spans="1:21" s="144" customFormat="1">
      <c r="A105" s="149" t="s">
        <v>788</v>
      </c>
      <c r="B105" s="150">
        <f>SUM(C105:D105)</f>
        <v>68632776</v>
      </c>
      <c r="C105" s="150">
        <f t="shared" ref="C105:R105" si="34">SUM(C97+C104)</f>
        <v>68632776</v>
      </c>
      <c r="D105" s="150">
        <f t="shared" si="34"/>
        <v>0</v>
      </c>
      <c r="E105" s="150">
        <f t="shared" si="34"/>
        <v>27891374</v>
      </c>
      <c r="F105" s="150">
        <f t="shared" si="34"/>
        <v>14715713</v>
      </c>
      <c r="G105" s="150">
        <f t="shared" si="34"/>
        <v>12397017</v>
      </c>
      <c r="H105" s="150">
        <f t="shared" si="34"/>
        <v>6213322</v>
      </c>
      <c r="I105" s="150">
        <f t="shared" si="34"/>
        <v>2200000</v>
      </c>
      <c r="J105" s="150">
        <f t="shared" si="34"/>
        <v>2087222</v>
      </c>
      <c r="K105" s="150">
        <f t="shared" si="34"/>
        <v>3128128</v>
      </c>
      <c r="L105" s="150">
        <f t="shared" si="34"/>
        <v>0</v>
      </c>
      <c r="M105" s="150">
        <f t="shared" si="34"/>
        <v>0</v>
      </c>
      <c r="N105" s="150">
        <f t="shared" si="34"/>
        <v>0</v>
      </c>
      <c r="O105" s="150">
        <f t="shared" si="34"/>
        <v>0</v>
      </c>
      <c r="P105" s="150">
        <f t="shared" si="34"/>
        <v>0</v>
      </c>
      <c r="Q105" s="150">
        <f t="shared" si="34"/>
        <v>0</v>
      </c>
      <c r="R105" s="370">
        <f t="shared" si="34"/>
        <v>68632776</v>
      </c>
      <c r="S105" s="150">
        <f>S97+S104</f>
        <v>57643208</v>
      </c>
      <c r="T105" s="150">
        <f>T97+T104</f>
        <v>0</v>
      </c>
      <c r="U105" s="143"/>
    </row>
    <row r="106" spans="1:21">
      <c r="A106" s="548" t="s">
        <v>1041</v>
      </c>
      <c r="B106" s="157"/>
      <c r="C106" s="157"/>
      <c r="D106" s="157"/>
      <c r="H106" s="159" t="s">
        <v>92</v>
      </c>
      <c r="I106" s="159"/>
      <c r="J106" s="159"/>
      <c r="R106" s="160" t="s">
        <v>93</v>
      </c>
      <c r="S106" s="147"/>
      <c r="T106" s="147"/>
    </row>
    <row r="107" spans="1:21">
      <c r="A107" s="157" t="s">
        <v>183</v>
      </c>
      <c r="C107" s="157"/>
      <c r="D107" s="157"/>
      <c r="I107" s="162" t="s">
        <v>350</v>
      </c>
      <c r="J107" s="162"/>
      <c r="R107" s="160" t="s">
        <v>94</v>
      </c>
      <c r="S107" s="150">
        <f>S105+S106</f>
        <v>57643208</v>
      </c>
      <c r="T107" s="150">
        <f>T105+T106</f>
        <v>0</v>
      </c>
    </row>
    <row r="108" spans="1:21" s="201" customFormat="1">
      <c r="A108" s="162" t="s">
        <v>890</v>
      </c>
      <c r="B108" s="157"/>
      <c r="C108" s="157"/>
      <c r="D108" s="157"/>
      <c r="E108" s="323">
        <f>Application!AO640</f>
        <v>27891374</v>
      </c>
      <c r="F108" s="323">
        <f>Application!AO627</f>
        <v>14715713</v>
      </c>
      <c r="G108" s="323">
        <f>Application!AO628</f>
        <v>12397017</v>
      </c>
      <c r="H108" s="323">
        <f>Application!AO629</f>
        <v>6213322</v>
      </c>
      <c r="I108" s="323">
        <f>Application!AO630</f>
        <v>2200000</v>
      </c>
      <c r="J108" s="323">
        <f>Application!AO631</f>
        <v>2087222</v>
      </c>
      <c r="K108" s="323">
        <f>Application!AO632</f>
        <v>3128128</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974</v>
      </c>
      <c r="B110" s="157"/>
      <c r="C110" s="157"/>
      <c r="D110" s="157"/>
    </row>
    <row r="111" spans="1:21">
      <c r="A111" s="156" t="s">
        <v>975</v>
      </c>
      <c r="B111" s="157"/>
      <c r="C111" s="157"/>
      <c r="D111" s="157"/>
    </row>
    <row r="112" spans="1:21" ht="12" customHeight="1">
      <c r="A112" s="336"/>
      <c r="B112" s="157"/>
      <c r="C112" s="157"/>
      <c r="D112" s="157"/>
    </row>
    <row r="113" spans="1:21">
      <c r="A113" s="156" t="s">
        <v>1040</v>
      </c>
      <c r="B113" s="157"/>
      <c r="C113" s="157"/>
      <c r="D113" s="157"/>
    </row>
    <row r="114" spans="1:21">
      <c r="A114" s="156" t="s">
        <v>2407</v>
      </c>
      <c r="B114" s="157"/>
      <c r="C114" s="157"/>
      <c r="D114" s="157"/>
    </row>
    <row r="115" spans="1:21" ht="12" customHeight="1">
      <c r="A115" s="336"/>
      <c r="B115" s="157"/>
      <c r="C115" s="157"/>
      <c r="D115" s="157"/>
    </row>
    <row r="116" spans="1:21">
      <c r="A116" s="373" t="s">
        <v>1043</v>
      </c>
      <c r="B116" s="157"/>
      <c r="C116" s="157"/>
      <c r="D116" s="157"/>
    </row>
    <row r="117" spans="1:21">
      <c r="A117" s="373" t="s">
        <v>1327</v>
      </c>
      <c r="B117" s="157"/>
      <c r="C117" s="157"/>
      <c r="D117" s="157"/>
    </row>
    <row r="118" spans="1:21">
      <c r="A118" s="373" t="s">
        <v>1042</v>
      </c>
      <c r="B118" s="157"/>
      <c r="C118" s="157"/>
      <c r="D118" s="157"/>
    </row>
    <row r="119" spans="1:21">
      <c r="A119" s="373" t="s">
        <v>1044</v>
      </c>
      <c r="B119" s="157"/>
      <c r="C119" s="157"/>
      <c r="D119" s="157"/>
    </row>
    <row r="120" spans="1:21" ht="12" customHeight="1">
      <c r="A120" s="372"/>
      <c r="B120" s="157"/>
      <c r="C120" s="157"/>
      <c r="D120" s="157"/>
    </row>
    <row r="121" spans="1:21" ht="15.75">
      <c r="A121" s="366" t="s">
        <v>1026</v>
      </c>
      <c r="B121" s="157"/>
      <c r="C121" s="157"/>
      <c r="D121" s="157"/>
    </row>
    <row r="122" spans="1:21">
      <c r="A122" s="353" t="s">
        <v>1010</v>
      </c>
      <c r="B122" s="352"/>
      <c r="C122" s="352"/>
      <c r="D122" s="1895" t="s">
        <v>1011</v>
      </c>
      <c r="E122" s="1895"/>
      <c r="F122" s="1895"/>
      <c r="G122" s="352"/>
      <c r="H122" s="352"/>
      <c r="I122" s="352"/>
      <c r="J122" s="352"/>
      <c r="K122" s="352"/>
      <c r="L122" s="352"/>
      <c r="M122" s="352"/>
      <c r="N122" s="352"/>
      <c r="O122" s="352"/>
      <c r="P122" s="352"/>
      <c r="Q122" s="352"/>
      <c r="R122" s="352"/>
      <c r="S122" s="352"/>
      <c r="T122" s="352"/>
      <c r="U122" s="354"/>
    </row>
    <row r="123" spans="1:21">
      <c r="A123" s="352" t="s">
        <v>1012</v>
      </c>
      <c r="B123" s="361"/>
      <c r="C123" s="352"/>
      <c r="D123" s="1887" t="s">
        <v>1328</v>
      </c>
      <c r="E123" s="1576"/>
      <c r="F123" s="1576"/>
      <c r="G123" s="1576"/>
      <c r="H123" s="1576"/>
      <c r="I123" s="1576"/>
      <c r="J123" s="1576"/>
      <c r="K123" s="1576"/>
      <c r="L123" s="1576"/>
      <c r="M123" s="1576"/>
      <c r="N123" s="1576"/>
      <c r="O123" s="1576"/>
      <c r="P123" s="1576"/>
      <c r="Q123" s="1576"/>
      <c r="R123" s="1576"/>
      <c r="S123" s="1576"/>
      <c r="T123" s="352"/>
      <c r="U123" s="354"/>
    </row>
    <row r="124" spans="1:21" ht="12.75">
      <c r="A124" s="117" t="s">
        <v>1013</v>
      </c>
      <c r="B124" s="361"/>
      <c r="C124" s="117"/>
      <c r="D124" s="1576"/>
      <c r="E124" s="1576"/>
      <c r="F124" s="1576"/>
      <c r="G124" s="1576"/>
      <c r="H124" s="1576"/>
      <c r="I124" s="1576"/>
      <c r="J124" s="1576"/>
      <c r="K124" s="1576"/>
      <c r="L124" s="1576"/>
      <c r="M124" s="1576"/>
      <c r="N124" s="1576"/>
      <c r="O124" s="1576"/>
      <c r="P124" s="1576"/>
      <c r="Q124" s="1576"/>
      <c r="R124" s="1576"/>
      <c r="S124" s="1576"/>
      <c r="T124" s="352"/>
      <c r="U124" s="354"/>
    </row>
    <row r="125" spans="1:21" ht="12.75">
      <c r="A125" s="117" t="s">
        <v>1014</v>
      </c>
      <c r="B125" s="361"/>
      <c r="C125" s="117"/>
      <c r="D125" s="1576"/>
      <c r="E125" s="1576"/>
      <c r="F125" s="1576"/>
      <c r="G125" s="1576"/>
      <c r="H125" s="1576"/>
      <c r="I125" s="1576"/>
      <c r="J125" s="1576"/>
      <c r="K125" s="1576"/>
      <c r="L125" s="1576"/>
      <c r="M125" s="1576"/>
      <c r="N125" s="1576"/>
      <c r="O125" s="1576"/>
      <c r="P125" s="1576"/>
      <c r="Q125" s="1576"/>
      <c r="R125" s="1576"/>
      <c r="S125" s="1576"/>
      <c r="T125" s="352"/>
      <c r="U125" s="354"/>
    </row>
    <row r="126" spans="1:21" ht="12.75">
      <c r="A126" s="117" t="s">
        <v>1015</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1016</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1017</v>
      </c>
      <c r="B128" s="361"/>
      <c r="C128" s="117"/>
      <c r="D128" s="1890"/>
      <c r="E128" s="1890"/>
      <c r="F128" s="1890"/>
      <c r="G128" s="1890"/>
      <c r="H128" s="1890"/>
      <c r="I128" s="117"/>
      <c r="J128" s="1886"/>
      <c r="K128" s="1886"/>
      <c r="L128" s="117"/>
      <c r="M128" s="117"/>
      <c r="N128" s="117"/>
      <c r="O128" s="117"/>
      <c r="P128" s="117"/>
      <c r="Q128" s="117"/>
      <c r="R128" s="117"/>
      <c r="S128" s="117"/>
      <c r="T128" s="352"/>
      <c r="U128" s="354"/>
    </row>
    <row r="129" spans="1:21" ht="12.75">
      <c r="A129" s="117" t="s">
        <v>300</v>
      </c>
      <c r="B129" s="361"/>
      <c r="C129" s="117"/>
      <c r="D129" s="1894" t="s">
        <v>1018</v>
      </c>
      <c r="E129" s="1894"/>
      <c r="F129" s="1894"/>
      <c r="G129" s="1894"/>
      <c r="H129" s="1894"/>
      <c r="I129" s="117"/>
      <c r="J129" s="117" t="s">
        <v>1019</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1020</v>
      </c>
      <c r="B131" s="362">
        <f>SUM(B123:B129)</f>
        <v>0</v>
      </c>
      <c r="C131" s="117"/>
      <c r="D131" s="1520"/>
      <c r="E131" s="1520"/>
      <c r="F131" s="1520"/>
      <c r="G131" s="1520"/>
      <c r="H131" s="1520"/>
      <c r="I131" s="117"/>
      <c r="J131" s="1520"/>
      <c r="K131" s="1520"/>
      <c r="L131" s="1520"/>
      <c r="M131" s="1520"/>
      <c r="N131" s="117"/>
      <c r="O131" s="117"/>
      <c r="P131" s="117"/>
      <c r="Q131" s="117"/>
      <c r="R131" s="117"/>
      <c r="S131" s="117"/>
      <c r="T131" s="352"/>
      <c r="U131" s="354"/>
    </row>
    <row r="132" spans="1:21" ht="12" customHeight="1">
      <c r="A132" s="364"/>
      <c r="B132" s="117"/>
      <c r="C132" s="117"/>
      <c r="D132" s="1888" t="s">
        <v>1021</v>
      </c>
      <c r="E132" s="1888"/>
      <c r="F132" s="1888"/>
      <c r="G132" s="1888"/>
      <c r="H132" s="1888"/>
      <c r="I132" s="117"/>
      <c r="J132" s="1888" t="s">
        <v>1022</v>
      </c>
      <c r="K132" s="1888"/>
      <c r="L132" s="1888"/>
      <c r="M132" s="1888"/>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1023</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1024</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89"/>
      <c r="B138" s="1890"/>
      <c r="C138" s="1890"/>
      <c r="D138" s="356"/>
      <c r="E138" s="1886"/>
      <c r="F138" s="1886"/>
      <c r="G138" s="117"/>
      <c r="H138" s="117"/>
      <c r="I138" s="117"/>
      <c r="J138" s="117"/>
      <c r="K138" s="117"/>
      <c r="L138" s="117"/>
      <c r="M138" s="117"/>
      <c r="N138" s="117"/>
      <c r="O138" s="117"/>
      <c r="P138" s="117"/>
      <c r="Q138" s="117"/>
      <c r="R138" s="117"/>
      <c r="S138" s="117"/>
      <c r="T138" s="358"/>
      <c r="U138" s="359"/>
    </row>
    <row r="139" spans="1:21" ht="12.75">
      <c r="A139" s="1885" t="s">
        <v>1025</v>
      </c>
      <c r="B139" s="1885"/>
      <c r="C139" s="1885"/>
      <c r="D139" s="356"/>
      <c r="E139" s="117" t="s">
        <v>1019</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67" workbookViewId="0">
      <selection activeCell="D75" sqref="D75"/>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98" t="s">
        <v>1331</v>
      </c>
      <c r="B1" s="1899"/>
      <c r="C1" s="1899"/>
      <c r="D1" s="1899"/>
      <c r="E1" s="1899"/>
      <c r="F1" s="1899"/>
      <c r="G1" s="1899"/>
      <c r="H1" s="1899"/>
      <c r="I1" s="1899"/>
      <c r="J1" s="1900"/>
      <c r="K1" s="386"/>
    </row>
    <row r="2" spans="1:11" s="432" customFormat="1" ht="72">
      <c r="A2" s="429"/>
      <c r="B2" s="430" t="s">
        <v>1048</v>
      </c>
      <c r="C2" s="430" t="s">
        <v>1333</v>
      </c>
      <c r="D2" s="430" t="s">
        <v>1334</v>
      </c>
      <c r="E2" s="430" t="s">
        <v>1259</v>
      </c>
      <c r="F2" s="430" t="s">
        <v>1335</v>
      </c>
      <c r="G2" s="430" t="s">
        <v>1336</v>
      </c>
      <c r="H2" s="430" t="s">
        <v>1049</v>
      </c>
      <c r="I2" s="430" t="s">
        <v>1337</v>
      </c>
      <c r="J2" s="430" t="s">
        <v>1338</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6210000</v>
      </c>
      <c r="C4" s="393">
        <f>B4</f>
        <v>6210000</v>
      </c>
      <c r="D4" s="393"/>
      <c r="E4" s="394"/>
      <c r="F4" s="394"/>
      <c r="G4" s="394"/>
      <c r="H4" s="394"/>
      <c r="I4" s="394"/>
      <c r="J4" s="394"/>
      <c r="K4" s="390"/>
    </row>
    <row r="5" spans="1:11" s="391" customFormat="1">
      <c r="A5" s="395" t="s">
        <v>28</v>
      </c>
      <c r="B5" s="392">
        <f>'Sources and Uses Budget'!C5</f>
        <v>109745</v>
      </c>
      <c r="C5" s="393">
        <f t="shared" ref="C5:C7" si="0">B5</f>
        <v>109745</v>
      </c>
      <c r="D5" s="393"/>
      <c r="E5" s="394"/>
      <c r="F5" s="394"/>
      <c r="G5" s="394"/>
      <c r="H5" s="394"/>
      <c r="I5" s="394"/>
      <c r="J5" s="394"/>
      <c r="K5" s="390"/>
    </row>
    <row r="6" spans="1:11" s="391" customFormat="1">
      <c r="A6" s="395" t="s">
        <v>29</v>
      </c>
      <c r="B6" s="392">
        <f>'Sources and Uses Budget'!C6</f>
        <v>0</v>
      </c>
      <c r="C6" s="393">
        <f t="shared" si="0"/>
        <v>0</v>
      </c>
      <c r="D6" s="393"/>
      <c r="E6" s="394"/>
      <c r="F6" s="394"/>
      <c r="G6" s="394"/>
      <c r="H6" s="394"/>
      <c r="I6" s="394"/>
      <c r="J6" s="394"/>
      <c r="K6" s="390"/>
    </row>
    <row r="7" spans="1:11" s="391" customFormat="1">
      <c r="A7" s="395" t="s">
        <v>97</v>
      </c>
      <c r="B7" s="392">
        <f>'Sources and Uses Budget'!C7</f>
        <v>0</v>
      </c>
      <c r="C7" s="393">
        <f t="shared" si="0"/>
        <v>0</v>
      </c>
      <c r="D7" s="393"/>
      <c r="E7" s="394"/>
      <c r="F7" s="394"/>
      <c r="G7" s="394"/>
      <c r="H7" s="394"/>
      <c r="I7" s="394"/>
      <c r="J7" s="394"/>
      <c r="K7" s="390"/>
    </row>
    <row r="8" spans="1:11" s="391" customFormat="1">
      <c r="A8" s="396" t="s">
        <v>600</v>
      </c>
      <c r="B8" s="392">
        <f>'Sources and Uses Budget'!C8</f>
        <v>6319745</v>
      </c>
      <c r="C8" s="392">
        <f>SUM(C4:C7)</f>
        <v>6319745</v>
      </c>
      <c r="D8" s="392">
        <f>SUM(D4:D7)</f>
        <v>0</v>
      </c>
      <c r="E8" s="394"/>
      <c r="F8" s="394"/>
      <c r="G8" s="394"/>
      <c r="H8" s="394"/>
      <c r="I8" s="394"/>
      <c r="J8" s="394"/>
      <c r="K8" s="390"/>
    </row>
    <row r="9" spans="1:11" s="391" customFormat="1">
      <c r="A9" s="395" t="s">
        <v>601</v>
      </c>
      <c r="B9" s="392">
        <f>'Sources and Uses Budget'!C9</f>
        <v>0</v>
      </c>
      <c r="C9" s="393">
        <f>B9</f>
        <v>0</v>
      </c>
      <c r="D9" s="393"/>
      <c r="E9" s="394"/>
      <c r="F9" s="394"/>
      <c r="G9" s="394"/>
      <c r="H9" s="392">
        <f>'Sources and Uses Budget'!T9</f>
        <v>0</v>
      </c>
      <c r="I9" s="393"/>
      <c r="J9" s="393"/>
      <c r="K9" s="390"/>
    </row>
    <row r="10" spans="1:11" s="391" customFormat="1">
      <c r="A10" s="395" t="s">
        <v>602</v>
      </c>
      <c r="B10" s="392">
        <f>'Sources and Uses Budget'!C10</f>
        <v>0</v>
      </c>
      <c r="C10" s="393">
        <f>B10</f>
        <v>0</v>
      </c>
      <c r="D10" s="393"/>
      <c r="E10" s="392">
        <f>'Sources and Uses Budget'!S10</f>
        <v>0</v>
      </c>
      <c r="F10" s="393"/>
      <c r="G10" s="393"/>
      <c r="H10" s="392">
        <f>'Sources and Uses Budget'!T10</f>
        <v>0</v>
      </c>
      <c r="I10" s="393"/>
      <c r="J10" s="393"/>
      <c r="K10" s="390"/>
    </row>
    <row r="11" spans="1:11" s="391" customFormat="1">
      <c r="A11" s="396" t="s">
        <v>603</v>
      </c>
      <c r="B11" s="392">
        <f>'Sources and Uses Budget'!C11</f>
        <v>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6319745</v>
      </c>
      <c r="C12" s="392">
        <f>SUM(C8+C11)</f>
        <v>6319745</v>
      </c>
      <c r="D12" s="392">
        <f>SUM(D8+D11)</f>
        <v>0</v>
      </c>
      <c r="E12" s="394"/>
      <c r="F12" s="394"/>
      <c r="G12" s="394"/>
      <c r="H12" s="394"/>
      <c r="I12" s="394"/>
      <c r="J12" s="394"/>
      <c r="K12" s="390"/>
    </row>
    <row r="13" spans="1:11" s="391" customFormat="1">
      <c r="A13" s="397" t="s">
        <v>916</v>
      </c>
      <c r="B13" s="392">
        <f>'Sources and Uses Budget'!C13</f>
        <v>1691338</v>
      </c>
      <c r="C13" s="393">
        <f>B13</f>
        <v>1691338</v>
      </c>
      <c r="D13" s="393"/>
      <c r="E13" s="392">
        <f>'Sources and Uses Budget'!S13</f>
        <v>0</v>
      </c>
      <c r="F13" s="393"/>
      <c r="G13" s="393"/>
      <c r="H13" s="392">
        <f>'Sources and Uses Budget'!T13</f>
        <v>0</v>
      </c>
      <c r="I13" s="393"/>
      <c r="J13" s="393"/>
      <c r="K13" s="390"/>
    </row>
    <row r="14" spans="1:11" s="391" customFormat="1" ht="24">
      <c r="A14" s="395" t="s">
        <v>917</v>
      </c>
      <c r="B14" s="392">
        <f>'Sources and Uses Budget'!C14</f>
        <v>0</v>
      </c>
      <c r="C14" s="393">
        <f t="shared" ref="C14:C15" si="1">B14</f>
        <v>0</v>
      </c>
      <c r="D14" s="393"/>
      <c r="E14" s="392">
        <f>'Sources and Uses Budget'!S14</f>
        <v>0</v>
      </c>
      <c r="F14" s="393"/>
      <c r="G14" s="393"/>
      <c r="H14" s="392">
        <f>'Sources and Uses Budget'!T14</f>
        <v>0</v>
      </c>
      <c r="I14" s="393"/>
      <c r="J14" s="393"/>
      <c r="K14" s="390"/>
    </row>
    <row r="15" spans="1:11" s="391" customFormat="1">
      <c r="A15" s="395" t="s">
        <v>1263</v>
      </c>
      <c r="B15" s="392">
        <f>'Sources and Uses Budget'!C15</f>
        <v>0</v>
      </c>
      <c r="C15" s="393">
        <f t="shared" si="1"/>
        <v>0</v>
      </c>
      <c r="D15" s="393"/>
      <c r="E15" s="394">
        <f>'Sources and Uses Budget'!S15</f>
        <v>0</v>
      </c>
      <c r="F15" s="394"/>
      <c r="G15" s="394"/>
      <c r="H15" s="394">
        <f>'Sources and Uses Budget'!T15</f>
        <v>0</v>
      </c>
      <c r="I15" s="394"/>
      <c r="J15" s="394"/>
      <c r="K15" s="390"/>
    </row>
    <row r="16" spans="1:11" s="391" customFormat="1">
      <c r="A16" s="388" t="s">
        <v>604</v>
      </c>
      <c r="B16" s="389"/>
      <c r="C16" s="389"/>
      <c r="D16" s="389"/>
      <c r="E16" s="389"/>
      <c r="F16" s="389"/>
      <c r="G16" s="389"/>
      <c r="H16" s="389"/>
      <c r="I16" s="389"/>
      <c r="J16" s="389"/>
      <c r="K16" s="390"/>
    </row>
    <row r="17" spans="1:11" s="391" customFormat="1">
      <c r="A17" s="395" t="s">
        <v>605</v>
      </c>
      <c r="B17" s="392">
        <f>'Sources and Uses Budget'!C17</f>
        <v>0</v>
      </c>
      <c r="C17" s="393">
        <f>B17</f>
        <v>0</v>
      </c>
      <c r="D17" s="393"/>
      <c r="E17" s="392">
        <f>'Sources and Uses Budget'!S17</f>
        <v>0</v>
      </c>
      <c r="F17" s="393"/>
      <c r="G17" s="393"/>
      <c r="H17" s="392">
        <f>'Sources and Uses Budget'!T17</f>
        <v>0</v>
      </c>
      <c r="I17" s="393"/>
      <c r="J17" s="393"/>
      <c r="K17" s="390"/>
    </row>
    <row r="18" spans="1:11" s="391" customFormat="1">
      <c r="A18" s="395" t="s">
        <v>606</v>
      </c>
      <c r="B18" s="392">
        <f>'Sources and Uses Budget'!C18</f>
        <v>0</v>
      </c>
      <c r="C18" s="393">
        <f t="shared" ref="C18:C25" si="2">B18</f>
        <v>0</v>
      </c>
      <c r="D18" s="393"/>
      <c r="E18" s="392">
        <f>'Sources and Uses Budget'!S18</f>
        <v>0</v>
      </c>
      <c r="F18" s="393"/>
      <c r="G18" s="393"/>
      <c r="H18" s="392">
        <f>'Sources and Uses Budget'!T18</f>
        <v>0</v>
      </c>
      <c r="I18" s="393"/>
      <c r="J18" s="393"/>
      <c r="K18" s="390"/>
    </row>
    <row r="19" spans="1:11" s="391" customFormat="1">
      <c r="A19" s="395" t="s">
        <v>607</v>
      </c>
      <c r="B19" s="392">
        <f>'Sources and Uses Budget'!C19</f>
        <v>0</v>
      </c>
      <c r="C19" s="393">
        <f t="shared" si="2"/>
        <v>0</v>
      </c>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f t="shared" si="2"/>
        <v>0</v>
      </c>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f t="shared" si="2"/>
        <v>0</v>
      </c>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f t="shared" si="2"/>
        <v>0</v>
      </c>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f t="shared" si="2"/>
        <v>0</v>
      </c>
      <c r="D23" s="393"/>
      <c r="E23" s="392">
        <f>'Sources and Uses Budget'!S23</f>
        <v>0</v>
      </c>
      <c r="F23" s="393"/>
      <c r="G23" s="393"/>
      <c r="H23" s="392">
        <f>'Sources and Uses Budget'!T23</f>
        <v>0</v>
      </c>
      <c r="I23" s="393"/>
      <c r="J23" s="393"/>
      <c r="K23" s="390"/>
    </row>
    <row r="24" spans="1:11" s="391" customFormat="1">
      <c r="A24" s="542" t="s">
        <v>1748</v>
      </c>
      <c r="B24" s="392">
        <f>'Sources and Uses Budget'!C24</f>
        <v>0</v>
      </c>
      <c r="C24" s="393">
        <f t="shared" si="2"/>
        <v>0</v>
      </c>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f t="shared" si="2"/>
        <v>0</v>
      </c>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100000</v>
      </c>
      <c r="C27" s="393">
        <f>B27</f>
        <v>100000</v>
      </c>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605</v>
      </c>
      <c r="B29" s="392">
        <f>'Sources and Uses Budget'!C29</f>
        <v>2700000</v>
      </c>
      <c r="C29" s="393">
        <f>B29</f>
        <v>2700000</v>
      </c>
      <c r="D29" s="393"/>
      <c r="E29" s="392">
        <f>'Sources and Uses Budget'!S29</f>
        <v>2700000</v>
      </c>
      <c r="F29" s="393">
        <f>E29</f>
        <v>2700000</v>
      </c>
      <c r="G29" s="393"/>
      <c r="H29" s="392">
        <f>'Sources and Uses Budget'!T29</f>
        <v>0</v>
      </c>
      <c r="I29" s="393"/>
      <c r="J29" s="393"/>
      <c r="K29" s="390"/>
    </row>
    <row r="30" spans="1:11" s="391" customFormat="1">
      <c r="A30" s="145" t="s">
        <v>606</v>
      </c>
      <c r="B30" s="392">
        <f>'Sources and Uses Budget'!C30</f>
        <v>28500000</v>
      </c>
      <c r="C30" s="393">
        <f t="shared" ref="C30:C37" si="3">B30</f>
        <v>28500000</v>
      </c>
      <c r="D30" s="393"/>
      <c r="E30" s="392">
        <f>'Sources and Uses Budget'!S30</f>
        <v>28500000</v>
      </c>
      <c r="F30" s="393">
        <f t="shared" ref="F30:F37" si="4">E30</f>
        <v>28500000</v>
      </c>
      <c r="G30" s="393"/>
      <c r="H30" s="392">
        <f>'Sources and Uses Budget'!T30</f>
        <v>0</v>
      </c>
      <c r="I30" s="393"/>
      <c r="J30" s="393"/>
      <c r="K30" s="390"/>
    </row>
    <row r="31" spans="1:11" s="391" customFormat="1">
      <c r="A31" s="145" t="s">
        <v>607</v>
      </c>
      <c r="B31" s="392">
        <f>'Sources and Uses Budget'!C31</f>
        <v>1600000</v>
      </c>
      <c r="C31" s="393">
        <f t="shared" si="3"/>
        <v>1600000</v>
      </c>
      <c r="D31" s="393"/>
      <c r="E31" s="392">
        <f>'Sources and Uses Budget'!S31</f>
        <v>1600000</v>
      </c>
      <c r="F31" s="393">
        <f t="shared" si="4"/>
        <v>1600000</v>
      </c>
      <c r="G31" s="393"/>
      <c r="H31" s="392">
        <f>'Sources and Uses Budget'!T31</f>
        <v>0</v>
      </c>
      <c r="I31" s="393"/>
      <c r="J31" s="393"/>
      <c r="K31" s="390"/>
    </row>
    <row r="32" spans="1:11" s="391" customFormat="1">
      <c r="A32" s="145" t="s">
        <v>137</v>
      </c>
      <c r="B32" s="392">
        <f>'Sources and Uses Budget'!C32</f>
        <v>1500000</v>
      </c>
      <c r="C32" s="393">
        <f t="shared" si="3"/>
        <v>1500000</v>
      </c>
      <c r="D32" s="393"/>
      <c r="E32" s="392">
        <f>'Sources and Uses Budget'!S32</f>
        <v>1500000</v>
      </c>
      <c r="F32" s="393">
        <f t="shared" si="4"/>
        <v>1500000</v>
      </c>
      <c r="G32" s="393"/>
      <c r="H32" s="392">
        <f>'Sources and Uses Budget'!T32</f>
        <v>0</v>
      </c>
      <c r="I32" s="393"/>
      <c r="J32" s="393"/>
      <c r="K32" s="390"/>
    </row>
    <row r="33" spans="1:11" s="391" customFormat="1">
      <c r="A33" s="145" t="s">
        <v>138</v>
      </c>
      <c r="B33" s="392">
        <f>'Sources and Uses Budget'!C33</f>
        <v>1400000</v>
      </c>
      <c r="C33" s="393">
        <f t="shared" si="3"/>
        <v>1400000</v>
      </c>
      <c r="D33" s="393"/>
      <c r="E33" s="392">
        <f>'Sources and Uses Budget'!S33</f>
        <v>1400000</v>
      </c>
      <c r="F33" s="393">
        <f t="shared" si="4"/>
        <v>1400000</v>
      </c>
      <c r="G33" s="393"/>
      <c r="H33" s="392">
        <f>'Sources and Uses Budget'!T33</f>
        <v>0</v>
      </c>
      <c r="I33" s="393"/>
      <c r="J33" s="393"/>
      <c r="K33" s="390"/>
    </row>
    <row r="34" spans="1:11" s="391" customFormat="1">
      <c r="A34" s="145" t="s">
        <v>139</v>
      </c>
      <c r="B34" s="392">
        <f>'Sources and Uses Budget'!C34</f>
        <v>0</v>
      </c>
      <c r="C34" s="393">
        <f t="shared" si="3"/>
        <v>0</v>
      </c>
      <c r="D34" s="393"/>
      <c r="E34" s="392">
        <f>'Sources and Uses Budget'!S34</f>
        <v>0</v>
      </c>
      <c r="F34" s="393">
        <f t="shared" si="4"/>
        <v>0</v>
      </c>
      <c r="G34" s="393"/>
      <c r="H34" s="392">
        <f>'Sources and Uses Budget'!T34</f>
        <v>0</v>
      </c>
      <c r="I34" s="393"/>
      <c r="J34" s="393"/>
      <c r="K34" s="390"/>
    </row>
    <row r="35" spans="1:11" s="391" customFormat="1">
      <c r="A35" s="145" t="s">
        <v>140</v>
      </c>
      <c r="B35" s="392">
        <f>'Sources and Uses Budget'!C35</f>
        <v>800000</v>
      </c>
      <c r="C35" s="393">
        <f t="shared" si="3"/>
        <v>800000</v>
      </c>
      <c r="D35" s="393"/>
      <c r="E35" s="392">
        <f>'Sources and Uses Budget'!S35</f>
        <v>800000</v>
      </c>
      <c r="F35" s="393">
        <f t="shared" si="4"/>
        <v>800000</v>
      </c>
      <c r="G35" s="393"/>
      <c r="H35" s="392">
        <f>'Sources and Uses Budget'!T35</f>
        <v>0</v>
      </c>
      <c r="I35" s="393"/>
      <c r="J35" s="393"/>
      <c r="K35" s="390"/>
    </row>
    <row r="36" spans="1:11" s="391" customFormat="1">
      <c r="A36" s="542" t="s">
        <v>1748</v>
      </c>
      <c r="B36" s="392">
        <f>'Sources and Uses Budget'!C36</f>
        <v>105000</v>
      </c>
      <c r="C36" s="393">
        <f t="shared" si="3"/>
        <v>105000</v>
      </c>
      <c r="D36" s="393"/>
      <c r="E36" s="392">
        <f>'Sources and Uses Budget'!S36</f>
        <v>105000</v>
      </c>
      <c r="F36" s="393">
        <f t="shared" si="4"/>
        <v>105000</v>
      </c>
      <c r="G36" s="393"/>
      <c r="H36" s="392">
        <f>'Sources and Uses Budget'!T36</f>
        <v>0</v>
      </c>
      <c r="I36" s="393"/>
      <c r="J36" s="393"/>
      <c r="K36" s="390"/>
    </row>
    <row r="37" spans="1:11" s="391" customFormat="1">
      <c r="A37" s="395" t="str">
        <f>'Sources and Uses Budget'!$A37</f>
        <v>Solar</v>
      </c>
      <c r="B37" s="392">
        <f>'Sources and Uses Budget'!C37</f>
        <v>382200</v>
      </c>
      <c r="C37" s="393">
        <f t="shared" si="3"/>
        <v>382200</v>
      </c>
      <c r="D37" s="393"/>
      <c r="E37" s="392">
        <f>'Sources and Uses Budget'!S37</f>
        <v>382200</v>
      </c>
      <c r="F37" s="393">
        <f t="shared" si="4"/>
        <v>382200</v>
      </c>
      <c r="G37" s="393"/>
      <c r="H37" s="392">
        <f>'Sources and Uses Budget'!T37</f>
        <v>0</v>
      </c>
      <c r="I37" s="393"/>
      <c r="J37" s="393"/>
      <c r="K37" s="390"/>
    </row>
    <row r="38" spans="1:11" s="391" customFormat="1">
      <c r="A38" s="396" t="s">
        <v>143</v>
      </c>
      <c r="B38" s="392">
        <f>'Sources and Uses Budget'!C38</f>
        <v>36987200</v>
      </c>
      <c r="C38" s="392">
        <f>SUM(C29:C37)</f>
        <v>36987200</v>
      </c>
      <c r="D38" s="392">
        <f>SUM(D29:D37)</f>
        <v>0</v>
      </c>
      <c r="E38" s="392">
        <f>'Sources and Uses Budget'!S38</f>
        <v>36987200</v>
      </c>
      <c r="F38" s="398">
        <f>SUM(F29:F37)</f>
        <v>36987200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2650000</v>
      </c>
      <c r="C40" s="393">
        <f>B40</f>
        <v>2650000</v>
      </c>
      <c r="D40" s="393"/>
      <c r="E40" s="392">
        <f>'Sources and Uses Budget'!S40</f>
        <v>2650000</v>
      </c>
      <c r="F40" s="393">
        <f>E40</f>
        <v>2650000</v>
      </c>
      <c r="G40" s="393"/>
      <c r="H40" s="392">
        <f>'Sources and Uses Budget'!T40</f>
        <v>0</v>
      </c>
      <c r="I40" s="393"/>
      <c r="J40" s="393"/>
      <c r="K40" s="390"/>
    </row>
    <row r="41" spans="1:11" s="391" customFormat="1">
      <c r="A41" s="395" t="s">
        <v>146</v>
      </c>
      <c r="B41" s="392">
        <f>'Sources and Uses Budget'!C41</f>
        <v>0</v>
      </c>
      <c r="C41" s="393">
        <f>B41</f>
        <v>0</v>
      </c>
      <c r="D41" s="393"/>
      <c r="E41" s="392">
        <f>'Sources and Uses Budget'!S41</f>
        <v>0</v>
      </c>
      <c r="F41" s="393"/>
      <c r="G41" s="393"/>
      <c r="H41" s="392">
        <f>'Sources and Uses Budget'!T41</f>
        <v>0</v>
      </c>
      <c r="I41" s="393"/>
      <c r="J41" s="393"/>
      <c r="K41" s="390"/>
    </row>
    <row r="42" spans="1:11" s="391" customFormat="1">
      <c r="A42" s="396" t="s">
        <v>147</v>
      </c>
      <c r="B42" s="392">
        <f>'Sources and Uses Budget'!C42</f>
        <v>2650000</v>
      </c>
      <c r="C42" s="392">
        <f>SUM(C39:C41)</f>
        <v>2650000</v>
      </c>
      <c r="D42" s="392">
        <f>SUM(D39:D41)</f>
        <v>0</v>
      </c>
      <c r="E42" s="392">
        <f>'Sources and Uses Budget'!S42</f>
        <v>2650000</v>
      </c>
      <c r="F42" s="398">
        <f>SUM(F40:F41)</f>
        <v>2650000</v>
      </c>
      <c r="G42" s="398">
        <f>SUM(G40:G41)</f>
        <v>0</v>
      </c>
      <c r="H42" s="392">
        <f>'Sources and Uses Budget'!T42</f>
        <v>0</v>
      </c>
      <c r="I42" s="398">
        <f>SUM(I40:I41)</f>
        <v>0</v>
      </c>
      <c r="J42" s="398">
        <f>SUM(J40:J41)</f>
        <v>0</v>
      </c>
      <c r="K42" s="390"/>
    </row>
    <row r="43" spans="1:11" s="391" customFormat="1">
      <c r="A43" s="396" t="s">
        <v>148</v>
      </c>
      <c r="B43" s="392">
        <f>'Sources and Uses Budget'!C43</f>
        <v>650000</v>
      </c>
      <c r="C43" s="393">
        <f>B43</f>
        <v>650000</v>
      </c>
      <c r="D43" s="393"/>
      <c r="E43" s="392">
        <f>'Sources and Uses Budget'!S43</f>
        <v>650000</v>
      </c>
      <c r="F43" s="393">
        <f>E43</f>
        <v>650000</v>
      </c>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2075000</v>
      </c>
      <c r="C45" s="393">
        <f>B45</f>
        <v>2075000</v>
      </c>
      <c r="D45" s="393"/>
      <c r="E45" s="392">
        <f>'Sources and Uses Budget'!S45</f>
        <v>2075000</v>
      </c>
      <c r="F45" s="393">
        <f>E45</f>
        <v>2075000</v>
      </c>
      <c r="G45" s="393"/>
      <c r="H45" s="392">
        <f>'Sources and Uses Budget'!T45</f>
        <v>0</v>
      </c>
      <c r="I45" s="393"/>
      <c r="J45" s="393"/>
      <c r="K45" s="390"/>
    </row>
    <row r="46" spans="1:11" s="391" customFormat="1">
      <c r="A46" s="395" t="s">
        <v>151</v>
      </c>
      <c r="B46" s="392">
        <f>'Sources and Uses Budget'!C46</f>
        <v>300000</v>
      </c>
      <c r="C46" s="393">
        <f t="shared" ref="C46:C53" si="5">B46</f>
        <v>300000</v>
      </c>
      <c r="D46" s="393"/>
      <c r="E46" s="392">
        <f>'Sources and Uses Budget'!S46</f>
        <v>300000</v>
      </c>
      <c r="F46" s="393">
        <f t="shared" ref="F46:F53" si="6">E46</f>
        <v>300000</v>
      </c>
      <c r="G46" s="393"/>
      <c r="H46" s="392">
        <f>'Sources and Uses Budget'!T46</f>
        <v>0</v>
      </c>
      <c r="I46" s="393"/>
      <c r="J46" s="393"/>
      <c r="K46" s="390"/>
    </row>
    <row r="47" spans="1:11" s="391" customFormat="1" ht="12" customHeight="1">
      <c r="A47" s="395" t="s">
        <v>152</v>
      </c>
      <c r="B47" s="392">
        <f>'Sources and Uses Budget'!C47</f>
        <v>0</v>
      </c>
      <c r="C47" s="393">
        <f t="shared" si="5"/>
        <v>0</v>
      </c>
      <c r="D47" s="393"/>
      <c r="E47" s="392">
        <f>'Sources and Uses Budget'!S47</f>
        <v>0</v>
      </c>
      <c r="F47" s="393">
        <f t="shared" si="6"/>
        <v>0</v>
      </c>
      <c r="G47" s="393"/>
      <c r="H47" s="392">
        <f>'Sources and Uses Budget'!T47</f>
        <v>0</v>
      </c>
      <c r="I47" s="393"/>
      <c r="J47" s="393"/>
      <c r="K47" s="390"/>
    </row>
    <row r="48" spans="1:11" s="391" customFormat="1">
      <c r="A48" s="395" t="s">
        <v>153</v>
      </c>
      <c r="B48" s="392">
        <f>'Sources and Uses Budget'!C48</f>
        <v>0</v>
      </c>
      <c r="C48" s="393">
        <f t="shared" si="5"/>
        <v>0</v>
      </c>
      <c r="D48" s="393"/>
      <c r="E48" s="392">
        <f>'Sources and Uses Budget'!S48</f>
        <v>0</v>
      </c>
      <c r="F48" s="393">
        <f t="shared" si="6"/>
        <v>0</v>
      </c>
      <c r="G48" s="393"/>
      <c r="H48" s="392">
        <f>'Sources and Uses Budget'!T48</f>
        <v>0</v>
      </c>
      <c r="I48" s="393"/>
      <c r="J48" s="393"/>
      <c r="K48" s="390"/>
    </row>
    <row r="49" spans="1:11" s="391" customFormat="1">
      <c r="A49" s="304" t="s">
        <v>57</v>
      </c>
      <c r="B49" s="392">
        <f>'Sources and Uses Budget'!C49</f>
        <v>450000</v>
      </c>
      <c r="C49" s="393">
        <f t="shared" si="5"/>
        <v>450000</v>
      </c>
      <c r="D49" s="393"/>
      <c r="E49" s="392">
        <f>'Sources and Uses Budget'!S49</f>
        <v>45000</v>
      </c>
      <c r="F49" s="393">
        <f t="shared" si="6"/>
        <v>45000</v>
      </c>
      <c r="G49" s="393"/>
      <c r="H49" s="392">
        <f>'Sources and Uses Budget'!T49</f>
        <v>0</v>
      </c>
      <c r="I49" s="393"/>
      <c r="J49" s="393"/>
      <c r="K49" s="390"/>
    </row>
    <row r="50" spans="1:11" s="391" customFormat="1">
      <c r="A50" s="395" t="s">
        <v>156</v>
      </c>
      <c r="B50" s="392">
        <f>'Sources and Uses Budget'!C50</f>
        <v>100000</v>
      </c>
      <c r="C50" s="393">
        <f t="shared" si="5"/>
        <v>100000</v>
      </c>
      <c r="D50" s="393"/>
      <c r="E50" s="392">
        <f>'Sources and Uses Budget'!S50</f>
        <v>100000</v>
      </c>
      <c r="F50" s="393">
        <f t="shared" si="6"/>
        <v>100000</v>
      </c>
      <c r="G50" s="393"/>
      <c r="H50" s="392">
        <f>'Sources and Uses Budget'!T50</f>
        <v>0</v>
      </c>
      <c r="I50" s="393"/>
      <c r="J50" s="393"/>
      <c r="K50" s="390"/>
    </row>
    <row r="51" spans="1:11" s="391" customFormat="1">
      <c r="A51" s="395" t="s">
        <v>154</v>
      </c>
      <c r="B51" s="392">
        <f>'Sources and Uses Budget'!C51</f>
        <v>125000</v>
      </c>
      <c r="C51" s="393">
        <f t="shared" si="5"/>
        <v>125000</v>
      </c>
      <c r="D51" s="393"/>
      <c r="E51" s="392">
        <f>'Sources and Uses Budget'!S51</f>
        <v>125000</v>
      </c>
      <c r="F51" s="393">
        <f t="shared" si="6"/>
        <v>125000</v>
      </c>
      <c r="G51" s="393"/>
      <c r="H51" s="392">
        <f>'Sources and Uses Budget'!T51</f>
        <v>0</v>
      </c>
      <c r="I51" s="393"/>
      <c r="J51" s="393"/>
      <c r="K51" s="390"/>
    </row>
    <row r="52" spans="1:11" s="391" customFormat="1">
      <c r="A52" s="395" t="s">
        <v>155</v>
      </c>
      <c r="B52" s="392">
        <f>'Sources and Uses Budget'!C52</f>
        <v>775000</v>
      </c>
      <c r="C52" s="393">
        <f t="shared" si="5"/>
        <v>775000</v>
      </c>
      <c r="D52" s="393"/>
      <c r="E52" s="392">
        <f>'Sources and Uses Budget'!S52</f>
        <v>775000</v>
      </c>
      <c r="F52" s="393">
        <f t="shared" si="6"/>
        <v>775000</v>
      </c>
      <c r="G52" s="393"/>
      <c r="H52" s="392">
        <f>'Sources and Uses Budget'!T52</f>
        <v>0</v>
      </c>
      <c r="I52" s="393"/>
      <c r="J52" s="393"/>
      <c r="K52" s="390"/>
    </row>
    <row r="53" spans="1:11" s="391" customFormat="1">
      <c r="A53" s="395" t="str">
        <f>'Sources and Uses Budget'!$A53</f>
        <v>Public Bond Interest</v>
      </c>
      <c r="B53" s="392">
        <f>'Sources and Uses Budget'!C53</f>
        <v>2087222</v>
      </c>
      <c r="C53" s="393">
        <f t="shared" si="5"/>
        <v>2087222</v>
      </c>
      <c r="D53" s="393"/>
      <c r="E53" s="392">
        <f>'Sources and Uses Budget'!S53</f>
        <v>2087222</v>
      </c>
      <c r="F53" s="393">
        <f t="shared" si="6"/>
        <v>2087222</v>
      </c>
      <c r="G53" s="393"/>
      <c r="H53" s="392">
        <f>'Sources and Uses Budget'!T53</f>
        <v>0</v>
      </c>
      <c r="I53" s="393"/>
      <c r="J53" s="393"/>
      <c r="K53" s="390"/>
    </row>
    <row r="54" spans="1:11" s="400" customFormat="1">
      <c r="A54" s="396" t="s">
        <v>157</v>
      </c>
      <c r="B54" s="392">
        <f>'Sources and Uses Budget'!C54</f>
        <v>5912222</v>
      </c>
      <c r="C54" s="398">
        <f>SUM(C45:C53)</f>
        <v>5912222</v>
      </c>
      <c r="D54" s="398">
        <f>SUM(D45:D53)</f>
        <v>0</v>
      </c>
      <c r="E54" s="392">
        <f>'Sources and Uses Budget'!S54</f>
        <v>5507222</v>
      </c>
      <c r="F54" s="398">
        <f>SUM(F45:F53)</f>
        <v>5507222</v>
      </c>
      <c r="G54" s="398">
        <f>SUM(G45:G53)</f>
        <v>0</v>
      </c>
      <c r="H54" s="392">
        <f>'Sources and Uses Budget'!T54</f>
        <v>0</v>
      </c>
      <c r="I54" s="398">
        <f>SUM(I45:I53)</f>
        <v>0</v>
      </c>
      <c r="J54" s="398">
        <f>SUM(J45:J53)</f>
        <v>0</v>
      </c>
      <c r="K54" s="399"/>
    </row>
    <row r="55" spans="1:11" s="391" customFormat="1">
      <c r="A55" s="388" t="s">
        <v>418</v>
      </c>
      <c r="B55" s="389"/>
      <c r="C55" s="389"/>
      <c r="D55" s="389"/>
      <c r="E55" s="389"/>
      <c r="F55" s="389"/>
      <c r="G55" s="389"/>
      <c r="H55" s="389"/>
      <c r="I55" s="389"/>
      <c r="J55" s="389"/>
      <c r="K55" s="390"/>
    </row>
    <row r="56" spans="1:11" s="391" customFormat="1">
      <c r="A56" s="395" t="s">
        <v>158</v>
      </c>
      <c r="B56" s="392">
        <f>'Sources and Uses Budget'!C56</f>
        <v>148200</v>
      </c>
      <c r="C56" s="393">
        <f>B56</f>
        <v>148200</v>
      </c>
      <c r="D56" s="393"/>
      <c r="E56" s="394"/>
      <c r="F56" s="394"/>
      <c r="G56" s="394"/>
      <c r="H56" s="394"/>
      <c r="I56" s="394"/>
      <c r="J56" s="394"/>
      <c r="K56" s="390"/>
    </row>
    <row r="57" spans="1:11" s="391" customFormat="1" ht="12" customHeight="1">
      <c r="A57" s="395" t="s">
        <v>152</v>
      </c>
      <c r="B57" s="392">
        <f>'Sources and Uses Budget'!C57</f>
        <v>105575</v>
      </c>
      <c r="C57" s="393">
        <f t="shared" ref="C57:C61" si="7">B57</f>
        <v>105575</v>
      </c>
      <c r="D57" s="393"/>
      <c r="E57" s="394"/>
      <c r="F57" s="394"/>
      <c r="G57" s="394"/>
      <c r="H57" s="394"/>
      <c r="I57" s="394"/>
      <c r="J57" s="394"/>
      <c r="K57" s="390"/>
    </row>
    <row r="58" spans="1:11" s="391" customFormat="1">
      <c r="A58" s="395" t="s">
        <v>156</v>
      </c>
      <c r="B58" s="392">
        <f>'Sources and Uses Budget'!C58</f>
        <v>0</v>
      </c>
      <c r="C58" s="393">
        <f t="shared" si="7"/>
        <v>0</v>
      </c>
      <c r="D58" s="393"/>
      <c r="E58" s="394"/>
      <c r="F58" s="394"/>
      <c r="G58" s="394"/>
      <c r="H58" s="394"/>
      <c r="I58" s="394"/>
      <c r="J58" s="394"/>
      <c r="K58" s="390"/>
    </row>
    <row r="59" spans="1:11" s="391" customFormat="1">
      <c r="A59" s="395" t="s">
        <v>154</v>
      </c>
      <c r="B59" s="392">
        <f>'Sources and Uses Budget'!C59</f>
        <v>0</v>
      </c>
      <c r="C59" s="393">
        <f t="shared" si="7"/>
        <v>0</v>
      </c>
      <c r="D59" s="393"/>
      <c r="E59" s="394"/>
      <c r="F59" s="394"/>
      <c r="G59" s="394"/>
      <c r="H59" s="394"/>
      <c r="I59" s="394"/>
      <c r="J59" s="394"/>
      <c r="K59" s="390"/>
    </row>
    <row r="60" spans="1:11" s="391" customFormat="1">
      <c r="A60" s="395" t="s">
        <v>155</v>
      </c>
      <c r="B60" s="392">
        <f>'Sources and Uses Budget'!C60</f>
        <v>0</v>
      </c>
      <c r="C60" s="393">
        <f t="shared" si="7"/>
        <v>0</v>
      </c>
      <c r="D60" s="393"/>
      <c r="E60" s="394"/>
      <c r="F60" s="394"/>
      <c r="G60" s="394"/>
      <c r="H60" s="394"/>
      <c r="I60" s="394"/>
      <c r="J60" s="394"/>
      <c r="K60" s="390"/>
    </row>
    <row r="61" spans="1:11" s="391" customFormat="1">
      <c r="A61" s="395" t="str">
        <f>'Sources and Uses Budget'!$A61</f>
        <v>Good Faith Deposit</v>
      </c>
      <c r="B61" s="392">
        <f>'Sources and Uses Budget'!C61</f>
        <v>148200</v>
      </c>
      <c r="C61" s="393">
        <f t="shared" si="7"/>
        <v>148200</v>
      </c>
      <c r="D61" s="393"/>
      <c r="E61" s="394"/>
      <c r="F61" s="394"/>
      <c r="G61" s="394"/>
      <c r="H61" s="394"/>
      <c r="I61" s="394"/>
      <c r="J61" s="394"/>
      <c r="K61" s="390"/>
    </row>
    <row r="62" spans="1:11" s="391" customFormat="1" ht="13.7" customHeight="1">
      <c r="A62" s="396" t="s">
        <v>301</v>
      </c>
      <c r="B62" s="392">
        <f>'Sources and Uses Budget'!C62</f>
        <v>401975</v>
      </c>
      <c r="C62" s="392">
        <f>SUM(C56:C61)</f>
        <v>401975</v>
      </c>
      <c r="D62" s="392">
        <f>SUM(D56:D61)</f>
        <v>0</v>
      </c>
      <c r="E62" s="394"/>
      <c r="F62" s="394"/>
      <c r="G62" s="394"/>
      <c r="H62" s="394"/>
      <c r="I62" s="394"/>
      <c r="J62" s="394"/>
      <c r="K62" s="390"/>
    </row>
    <row r="63" spans="1:11" s="391" customFormat="1">
      <c r="A63" s="401" t="s">
        <v>302</v>
      </c>
      <c r="B63" s="392">
        <f>'Sources and Uses Budget'!C63</f>
        <v>54712480</v>
      </c>
      <c r="C63" s="392">
        <f>SUM(C8+C11+C13+C14+C15+C26+C27+C38+C42+C43+C54+C62)</f>
        <v>54712480</v>
      </c>
      <c r="D63" s="392">
        <f>SUM(D8+D11+D13+D14+D15+D26+D27+D38+D42+D43+D54+D62)</f>
        <v>0</v>
      </c>
      <c r="E63" s="392">
        <f>'Sources and Uses Budget'!S63</f>
        <v>45794422</v>
      </c>
      <c r="F63" s="392">
        <f>SUM(F10+F13+F14+F15+F26+F27+F38+F42+F43+F54)</f>
        <v>45794422</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1752</v>
      </c>
      <c r="B64" s="389"/>
      <c r="C64" s="389"/>
      <c r="D64" s="389"/>
      <c r="E64" s="389"/>
      <c r="F64" s="389"/>
      <c r="G64" s="389"/>
      <c r="H64" s="389"/>
      <c r="I64" s="389"/>
      <c r="J64" s="389"/>
      <c r="K64" s="390"/>
    </row>
    <row r="65" spans="1:11" s="391" customFormat="1">
      <c r="A65" s="145" t="s">
        <v>170</v>
      </c>
      <c r="B65" s="392">
        <f>'Sources and Uses Budget'!C65</f>
        <v>83500</v>
      </c>
      <c r="C65" s="393">
        <f>B65</f>
        <v>83500</v>
      </c>
      <c r="D65" s="393"/>
      <c r="E65" s="392">
        <f>'Sources and Uses Budget'!S65</f>
        <v>50000</v>
      </c>
      <c r="F65" s="393">
        <f>E65</f>
        <v>50000</v>
      </c>
      <c r="G65" s="393"/>
      <c r="H65" s="392">
        <f>'Sources and Uses Budget'!T65</f>
        <v>0</v>
      </c>
      <c r="I65" s="393"/>
      <c r="J65" s="393"/>
      <c r="K65" s="390"/>
    </row>
    <row r="66" spans="1:11" s="391" customFormat="1" ht="24">
      <c r="A66" s="304" t="s">
        <v>1749</v>
      </c>
      <c r="B66" s="392">
        <f>'Sources and Uses Budget'!C66</f>
        <v>0</v>
      </c>
      <c r="C66" s="393">
        <f t="shared" ref="C66:C69" si="8">B66</f>
        <v>0</v>
      </c>
      <c r="D66" s="393"/>
      <c r="E66" s="392">
        <f>'Sources and Uses Budget'!S66</f>
        <v>0</v>
      </c>
      <c r="F66" s="393">
        <f t="shared" ref="F66:F68" si="9">E66</f>
        <v>0</v>
      </c>
      <c r="G66" s="393"/>
      <c r="H66" s="392">
        <f>'Sources and Uses Budget'!T66</f>
        <v>0</v>
      </c>
      <c r="I66" s="393"/>
      <c r="J66" s="393"/>
      <c r="K66" s="390"/>
    </row>
    <row r="67" spans="1:11" s="391" customFormat="1" ht="24">
      <c r="A67" s="304" t="s">
        <v>1750</v>
      </c>
      <c r="B67" s="392">
        <f>'Sources and Uses Budget'!C67</f>
        <v>0</v>
      </c>
      <c r="C67" s="393">
        <f t="shared" si="8"/>
        <v>0</v>
      </c>
      <c r="D67" s="393"/>
      <c r="E67" s="392">
        <f>'Sources and Uses Budget'!S67</f>
        <v>0</v>
      </c>
      <c r="F67" s="393">
        <f t="shared" si="9"/>
        <v>0</v>
      </c>
      <c r="G67" s="393"/>
      <c r="H67" s="392">
        <f>'Sources and Uses Budget'!T67</f>
        <v>0</v>
      </c>
      <c r="I67" s="393"/>
      <c r="J67" s="393"/>
      <c r="K67" s="390"/>
    </row>
    <row r="68" spans="1:11" s="391" customFormat="1">
      <c r="A68" s="304" t="s">
        <v>1756</v>
      </c>
      <c r="B68" s="392">
        <f>'Sources and Uses Budget'!C68</f>
        <v>0</v>
      </c>
      <c r="C68" s="393">
        <f t="shared" si="8"/>
        <v>0</v>
      </c>
      <c r="D68" s="393"/>
      <c r="E68" s="392">
        <f>'Sources and Uses Budget'!S68</f>
        <v>0</v>
      </c>
      <c r="F68" s="393">
        <f t="shared" si="9"/>
        <v>0</v>
      </c>
      <c r="G68" s="393"/>
      <c r="H68" s="392">
        <f>'Sources and Uses Budget'!T68</f>
        <v>0</v>
      </c>
      <c r="I68" s="393"/>
      <c r="J68" s="393"/>
      <c r="K68" s="390"/>
    </row>
    <row r="69" spans="1:11" s="391" customFormat="1">
      <c r="A69" s="395" t="str">
        <f>'Sources and Uses Budget'!$A69</f>
        <v>Interest Prioir to Conversion</v>
      </c>
      <c r="B69" s="392">
        <f>'Sources and Uses Budget'!C69</f>
        <v>1050000</v>
      </c>
      <c r="C69" s="393">
        <f t="shared" si="8"/>
        <v>1050000</v>
      </c>
      <c r="D69" s="393"/>
      <c r="E69" s="392">
        <f>'Sources and Uses Budget'!S69</f>
        <v>0</v>
      </c>
      <c r="F69" s="393">
        <f>E69</f>
        <v>0</v>
      </c>
      <c r="G69" s="393"/>
      <c r="H69" s="392">
        <f>'Sources and Uses Budget'!T69</f>
        <v>0</v>
      </c>
      <c r="I69" s="393"/>
      <c r="J69" s="393"/>
      <c r="K69" s="390"/>
    </row>
    <row r="70" spans="1:11" s="391" customFormat="1">
      <c r="A70" s="396" t="s">
        <v>608</v>
      </c>
      <c r="B70" s="392">
        <f>'Sources and Uses Budget'!C70</f>
        <v>1133500</v>
      </c>
      <c r="C70" s="392">
        <f>SUM(C64:C69)</f>
        <v>1133500</v>
      </c>
      <c r="D70" s="392">
        <f>SUM(D64:D69)</f>
        <v>0</v>
      </c>
      <c r="E70" s="392">
        <f>'Sources and Uses Budget'!S70</f>
        <v>50000</v>
      </c>
      <c r="F70" s="398">
        <f>SUM(F65:F69)</f>
        <v>50000</v>
      </c>
      <c r="G70" s="398">
        <f>SUM(G65:G69)</f>
        <v>0</v>
      </c>
      <c r="H70" s="392">
        <f>'Sources and Uses Budget'!T70</f>
        <v>0</v>
      </c>
      <c r="I70" s="398">
        <f>SUM(I65:I69)</f>
        <v>0</v>
      </c>
      <c r="J70" s="398">
        <f>SUM(J65:J69)</f>
        <v>0</v>
      </c>
      <c r="K70" s="390"/>
    </row>
    <row r="71" spans="1:11" s="391" customFormat="1">
      <c r="A71" s="388" t="s">
        <v>609</v>
      </c>
      <c r="B71" s="389"/>
      <c r="C71" s="389"/>
      <c r="D71" s="389"/>
      <c r="E71" s="389"/>
      <c r="F71" s="389"/>
      <c r="G71" s="389"/>
      <c r="H71" s="389"/>
      <c r="I71" s="389"/>
      <c r="J71" s="389"/>
      <c r="K71" s="390"/>
    </row>
    <row r="72" spans="1:11" s="391" customFormat="1">
      <c r="A72" s="395" t="s">
        <v>610</v>
      </c>
      <c r="B72" s="392">
        <f>'Sources and Uses Budget'!C72</f>
        <v>0</v>
      </c>
      <c r="C72" s="393">
        <f>B72</f>
        <v>0</v>
      </c>
      <c r="D72" s="393"/>
      <c r="E72" s="394"/>
      <c r="F72" s="394"/>
      <c r="G72" s="394"/>
      <c r="H72" s="394"/>
      <c r="I72" s="394"/>
      <c r="J72" s="394"/>
      <c r="K72" s="390"/>
    </row>
    <row r="73" spans="1:11" s="391" customFormat="1">
      <c r="A73" s="395" t="s">
        <v>611</v>
      </c>
      <c r="B73" s="392">
        <f>'Sources and Uses Budget'!C73</f>
        <v>0</v>
      </c>
      <c r="C73" s="393">
        <f t="shared" ref="C73:C76" si="10">B73</f>
        <v>0</v>
      </c>
      <c r="D73" s="393"/>
      <c r="E73" s="394"/>
      <c r="F73" s="394"/>
      <c r="G73" s="394"/>
      <c r="H73" s="394"/>
      <c r="I73" s="394"/>
      <c r="J73" s="394"/>
      <c r="K73" s="390"/>
    </row>
    <row r="74" spans="1:11" s="391" customFormat="1">
      <c r="A74" s="397" t="s">
        <v>1004</v>
      </c>
      <c r="B74" s="392">
        <f>'Sources and Uses Budget'!C74</f>
        <v>0</v>
      </c>
      <c r="C74" s="393">
        <f t="shared" si="10"/>
        <v>0</v>
      </c>
      <c r="D74" s="393"/>
      <c r="E74" s="394"/>
      <c r="F74" s="394"/>
      <c r="G74" s="394"/>
      <c r="H74" s="394"/>
      <c r="I74" s="394"/>
      <c r="J74" s="394"/>
      <c r="K74" s="390"/>
    </row>
    <row r="75" spans="1:11" s="391" customFormat="1">
      <c r="A75" s="395" t="s">
        <v>612</v>
      </c>
      <c r="B75" s="392">
        <f>'Sources and Uses Budget'!C75</f>
        <v>475000</v>
      </c>
      <c r="C75" s="393">
        <f t="shared" si="10"/>
        <v>475000</v>
      </c>
      <c r="D75" s="393"/>
      <c r="E75" s="394"/>
      <c r="F75" s="394"/>
      <c r="G75" s="394"/>
      <c r="H75" s="394"/>
      <c r="I75" s="394"/>
      <c r="J75" s="394"/>
      <c r="K75" s="390"/>
    </row>
    <row r="76" spans="1:11" s="391" customFormat="1">
      <c r="A76" s="395" t="str">
        <f>'Sources and Uses Budget'!$A76</f>
        <v>Other: (Specify)</v>
      </c>
      <c r="B76" s="392">
        <f>'Sources and Uses Budget'!C76</f>
        <v>0</v>
      </c>
      <c r="C76" s="393">
        <f t="shared" si="10"/>
        <v>0</v>
      </c>
      <c r="D76" s="393"/>
      <c r="E76" s="394"/>
      <c r="F76" s="394"/>
      <c r="G76" s="394"/>
      <c r="H76" s="394"/>
      <c r="I76" s="394"/>
      <c r="J76" s="394"/>
      <c r="K76" s="390"/>
    </row>
    <row r="77" spans="1:11" s="391" customFormat="1">
      <c r="A77" s="396" t="s">
        <v>613</v>
      </c>
      <c r="B77" s="392">
        <f>'Sources and Uses Budget'!C77</f>
        <v>475000</v>
      </c>
      <c r="C77" s="392">
        <f>SUM(C72:C76)</f>
        <v>475000</v>
      </c>
      <c r="D77" s="392">
        <f>SUM(D72:D76)</f>
        <v>0</v>
      </c>
      <c r="E77" s="394"/>
      <c r="F77" s="394"/>
      <c r="G77" s="394"/>
      <c r="H77" s="394"/>
      <c r="I77" s="394"/>
      <c r="J77" s="394"/>
      <c r="K77" s="390"/>
    </row>
    <row r="78" spans="1:11" s="391" customFormat="1">
      <c r="A78" s="388" t="s">
        <v>1313</v>
      </c>
      <c r="B78" s="389"/>
      <c r="C78" s="389"/>
      <c r="D78" s="389"/>
      <c r="E78" s="389"/>
      <c r="F78" s="389"/>
      <c r="G78" s="389"/>
      <c r="H78" s="389"/>
      <c r="I78" s="389"/>
      <c r="J78" s="389"/>
      <c r="K78" s="390"/>
    </row>
    <row r="79" spans="1:11" s="391" customFormat="1">
      <c r="A79" s="395" t="s">
        <v>1315</v>
      </c>
      <c r="B79" s="392">
        <f>'Sources and Uses Budget'!C79</f>
        <v>2219516</v>
      </c>
      <c r="C79" s="393">
        <f>B79</f>
        <v>2219516</v>
      </c>
      <c r="D79" s="393"/>
      <c r="E79" s="392">
        <f>'Sources and Uses Budget'!S79</f>
        <v>2219516</v>
      </c>
      <c r="F79" s="393">
        <f>E79</f>
        <v>2219516</v>
      </c>
      <c r="G79" s="393"/>
      <c r="H79" s="392">
        <f>'Sources and Uses Budget'!T79</f>
        <v>0</v>
      </c>
      <c r="I79" s="393"/>
      <c r="J79" s="393"/>
      <c r="K79" s="390"/>
    </row>
    <row r="80" spans="1:11" s="391" customFormat="1">
      <c r="A80" s="395" t="s">
        <v>58</v>
      </c>
      <c r="B80" s="392">
        <f>'Sources and Uses Budget'!C80</f>
        <v>640591</v>
      </c>
      <c r="C80" s="393">
        <f>B80</f>
        <v>640591</v>
      </c>
      <c r="D80" s="393"/>
      <c r="E80" s="392">
        <f>'Sources and Uses Budget'!S80</f>
        <v>640591</v>
      </c>
      <c r="F80" s="393">
        <f>E80</f>
        <v>640591</v>
      </c>
      <c r="G80" s="393"/>
      <c r="H80" s="392">
        <f>'Sources and Uses Budget'!T80</f>
        <v>0</v>
      </c>
      <c r="I80" s="393"/>
      <c r="J80" s="393"/>
      <c r="K80" s="390"/>
    </row>
    <row r="81" spans="1:11" s="391" customFormat="1">
      <c r="A81" s="396" t="s">
        <v>1312</v>
      </c>
      <c r="B81" s="392">
        <f>'Sources and Uses Budget'!C81</f>
        <v>2860107</v>
      </c>
      <c r="C81" s="392">
        <f>SUM(C79:C80)</f>
        <v>2860107</v>
      </c>
      <c r="D81" s="392">
        <f>SUM(D79:D80)</f>
        <v>0</v>
      </c>
      <c r="E81" s="392">
        <f>'Sources and Uses Budget'!S81</f>
        <v>2860107</v>
      </c>
      <c r="F81" s="392">
        <f>SUM(F79:F80)</f>
        <v>2860107</v>
      </c>
      <c r="G81" s="392">
        <f>SUM(G79:G80)</f>
        <v>0</v>
      </c>
      <c r="H81" s="392">
        <f>'Sources and Uses Budget'!T81</f>
        <v>0</v>
      </c>
      <c r="I81" s="392">
        <f>SUM(I79:I80)</f>
        <v>0</v>
      </c>
      <c r="J81" s="392">
        <f>SUM(J79:J80)</f>
        <v>0</v>
      </c>
      <c r="K81" s="390"/>
    </row>
    <row r="82" spans="1:11" s="391" customFormat="1">
      <c r="A82" s="388" t="s">
        <v>773</v>
      </c>
      <c r="B82" s="389"/>
      <c r="C82" s="389"/>
      <c r="D82" s="389"/>
      <c r="E82" s="389"/>
      <c r="F82" s="389"/>
      <c r="G82" s="389"/>
      <c r="H82" s="389"/>
      <c r="I82" s="389"/>
      <c r="J82" s="389"/>
      <c r="K82" s="390"/>
    </row>
    <row r="83" spans="1:11" s="391" customFormat="1" ht="13.7" customHeight="1">
      <c r="A83" s="145" t="s">
        <v>2406</v>
      </c>
      <c r="B83" s="392">
        <f>'Sources and Uses Budget'!C83</f>
        <v>185000</v>
      </c>
      <c r="C83" s="393">
        <f>B83</f>
        <v>185000</v>
      </c>
      <c r="D83" s="393"/>
      <c r="E83" s="394"/>
      <c r="F83" s="394"/>
      <c r="G83" s="394"/>
      <c r="H83" s="394"/>
      <c r="I83" s="394"/>
      <c r="J83" s="394"/>
      <c r="K83" s="390"/>
    </row>
    <row r="84" spans="1:11" s="391" customFormat="1">
      <c r="A84" s="145" t="s">
        <v>775</v>
      </c>
      <c r="B84" s="392">
        <f>'Sources and Uses Budget'!C84</f>
        <v>65000</v>
      </c>
      <c r="C84" s="393">
        <f t="shared" ref="C84:C95" si="11">B84</f>
        <v>65000</v>
      </c>
      <c r="D84" s="393"/>
      <c r="E84" s="392">
        <f>'Sources and Uses Budget'!S84</f>
        <v>65000</v>
      </c>
      <c r="F84" s="393">
        <f>E84</f>
        <v>65000</v>
      </c>
      <c r="G84" s="393"/>
      <c r="H84" s="392">
        <f>'Sources and Uses Budget'!T84</f>
        <v>0</v>
      </c>
      <c r="I84" s="393"/>
      <c r="J84" s="393"/>
      <c r="K84" s="390"/>
    </row>
    <row r="85" spans="1:11" s="391" customFormat="1">
      <c r="A85" s="145" t="s">
        <v>776</v>
      </c>
      <c r="B85" s="392">
        <f>'Sources and Uses Budget'!C85</f>
        <v>551222</v>
      </c>
      <c r="C85" s="393">
        <f t="shared" si="11"/>
        <v>551222</v>
      </c>
      <c r="D85" s="393"/>
      <c r="E85" s="392">
        <f>'Sources and Uses Budget'!S85</f>
        <v>551222</v>
      </c>
      <c r="F85" s="393">
        <f t="shared" ref="F85:F87" si="12">E85</f>
        <v>551222</v>
      </c>
      <c r="G85" s="393"/>
      <c r="H85" s="392">
        <f>'Sources and Uses Budget'!T85</f>
        <v>0</v>
      </c>
      <c r="I85" s="393"/>
      <c r="J85" s="393"/>
      <c r="K85" s="390"/>
    </row>
    <row r="86" spans="1:11" s="391" customFormat="1">
      <c r="A86" s="145" t="s">
        <v>777</v>
      </c>
      <c r="B86" s="392">
        <f>'Sources and Uses Budget'!C86</f>
        <v>195778</v>
      </c>
      <c r="C86" s="393">
        <f t="shared" si="11"/>
        <v>195778</v>
      </c>
      <c r="D86" s="393"/>
      <c r="E86" s="392">
        <f>'Sources and Uses Budget'!S86</f>
        <v>195778</v>
      </c>
      <c r="F86" s="393">
        <f t="shared" si="12"/>
        <v>195778</v>
      </c>
      <c r="G86" s="393"/>
      <c r="H86" s="392">
        <f>'Sources and Uses Budget'!T86</f>
        <v>0</v>
      </c>
      <c r="I86" s="393"/>
      <c r="J86" s="393"/>
      <c r="K86" s="390"/>
    </row>
    <row r="87" spans="1:11" s="391" customFormat="1">
      <c r="A87" s="145" t="s">
        <v>778</v>
      </c>
      <c r="B87" s="392">
        <f>'Sources and Uses Budget'!C87</f>
        <v>0</v>
      </c>
      <c r="C87" s="393">
        <f t="shared" si="11"/>
        <v>0</v>
      </c>
      <c r="D87" s="393"/>
      <c r="E87" s="392">
        <f>'Sources and Uses Budget'!S87</f>
        <v>0</v>
      </c>
      <c r="F87" s="393">
        <f t="shared" si="12"/>
        <v>0</v>
      </c>
      <c r="G87" s="393"/>
      <c r="H87" s="392">
        <f>'Sources and Uses Budget'!T87</f>
        <v>0</v>
      </c>
      <c r="I87" s="393"/>
      <c r="J87" s="393"/>
      <c r="K87" s="390"/>
    </row>
    <row r="88" spans="1:11" s="391" customFormat="1">
      <c r="A88" s="145" t="s">
        <v>779</v>
      </c>
      <c r="B88" s="392">
        <f>'Sources and Uses Budget'!C88</f>
        <v>10000</v>
      </c>
      <c r="C88" s="393">
        <f t="shared" si="11"/>
        <v>10000</v>
      </c>
      <c r="D88" s="393"/>
      <c r="E88" s="394"/>
      <c r="F88" s="394"/>
      <c r="G88" s="394"/>
      <c r="H88" s="394"/>
      <c r="I88" s="394"/>
      <c r="J88" s="394"/>
      <c r="K88" s="390"/>
    </row>
    <row r="89" spans="1:11" s="391" customFormat="1">
      <c r="A89" s="145" t="s">
        <v>780</v>
      </c>
      <c r="B89" s="392">
        <f>'Sources and Uses Budget'!C89</f>
        <v>550000</v>
      </c>
      <c r="C89" s="393">
        <f t="shared" si="11"/>
        <v>550000</v>
      </c>
      <c r="D89" s="393"/>
      <c r="E89" s="392">
        <f>'Sources and Uses Budget'!S89</f>
        <v>550000</v>
      </c>
      <c r="F89" s="393">
        <f>E89</f>
        <v>550000</v>
      </c>
      <c r="G89" s="393"/>
      <c r="H89" s="392">
        <f>'Sources and Uses Budget'!T89</f>
        <v>0</v>
      </c>
      <c r="I89" s="393"/>
      <c r="J89" s="393"/>
      <c r="K89" s="390"/>
    </row>
    <row r="90" spans="1:11" s="391" customFormat="1">
      <c r="A90" s="145" t="s">
        <v>781</v>
      </c>
      <c r="B90" s="392">
        <f>'Sources and Uses Budget'!C90</f>
        <v>8000</v>
      </c>
      <c r="C90" s="393">
        <f t="shared" si="11"/>
        <v>8000</v>
      </c>
      <c r="D90" s="393"/>
      <c r="E90" s="392">
        <f>'Sources and Uses Budget'!S90</f>
        <v>8000</v>
      </c>
      <c r="F90" s="393">
        <f t="shared" ref="F90:F95" si="13">E90</f>
        <v>8000</v>
      </c>
      <c r="G90" s="393"/>
      <c r="H90" s="392">
        <f>'Sources and Uses Budget'!T90</f>
        <v>0</v>
      </c>
      <c r="I90" s="393"/>
      <c r="J90" s="393"/>
      <c r="K90" s="390"/>
    </row>
    <row r="91" spans="1:11" s="391" customFormat="1">
      <c r="A91" s="155" t="s">
        <v>372</v>
      </c>
      <c r="B91" s="392">
        <f>'Sources and Uses Budget'!C91</f>
        <v>25000</v>
      </c>
      <c r="C91" s="393">
        <f t="shared" si="11"/>
        <v>25000</v>
      </c>
      <c r="D91" s="393"/>
      <c r="E91" s="392">
        <f>'Sources and Uses Budget'!S91</f>
        <v>25000</v>
      </c>
      <c r="F91" s="393">
        <f t="shared" si="13"/>
        <v>25000</v>
      </c>
      <c r="G91" s="393"/>
      <c r="H91" s="392">
        <f>'Sources and Uses Budget'!T91</f>
        <v>0</v>
      </c>
      <c r="I91" s="393"/>
      <c r="J91" s="393"/>
      <c r="K91" s="390"/>
    </row>
    <row r="92" spans="1:11" s="391" customFormat="1">
      <c r="A92" s="542" t="s">
        <v>1314</v>
      </c>
      <c r="B92" s="392">
        <f>'Sources and Uses Budget'!C92</f>
        <v>15000</v>
      </c>
      <c r="C92" s="393">
        <f t="shared" si="11"/>
        <v>15000</v>
      </c>
      <c r="D92" s="393"/>
      <c r="E92" s="392">
        <f>'Sources and Uses Budget'!S92</f>
        <v>15000</v>
      </c>
      <c r="F92" s="393">
        <f t="shared" si="13"/>
        <v>15000</v>
      </c>
      <c r="G92" s="393"/>
      <c r="H92" s="392">
        <f>'Sources and Uses Budget'!T92</f>
        <v>0</v>
      </c>
      <c r="I92" s="393"/>
      <c r="J92" s="393"/>
      <c r="K92" s="390"/>
    </row>
    <row r="93" spans="1:11" s="391" customFormat="1">
      <c r="A93" s="395" t="str">
        <f>'Sources and Uses Budget'!$A93</f>
        <v>Partnership &amp; Transaction</v>
      </c>
      <c r="B93" s="392">
        <f>'Sources and Uses Budget'!C93</f>
        <v>125000</v>
      </c>
      <c r="C93" s="393">
        <f t="shared" si="11"/>
        <v>125000</v>
      </c>
      <c r="D93" s="393"/>
      <c r="E93" s="392">
        <f>'Sources and Uses Budget'!S93</f>
        <v>10000</v>
      </c>
      <c r="F93" s="393">
        <f t="shared" si="13"/>
        <v>10000</v>
      </c>
      <c r="G93" s="393"/>
      <c r="H93" s="392">
        <f>'Sources and Uses Budget'!T93</f>
        <v>0</v>
      </c>
      <c r="I93" s="393"/>
      <c r="J93" s="393"/>
      <c r="K93" s="390"/>
    </row>
    <row r="94" spans="1:11" s="391" customFormat="1">
      <c r="A94" s="395" t="str">
        <f>'Sources and Uses Budget'!$A94</f>
        <v>Lease up Costs</v>
      </c>
      <c r="B94" s="392">
        <f>'Sources and Uses Budget'!C94</f>
        <v>100000</v>
      </c>
      <c r="C94" s="393">
        <f t="shared" si="11"/>
        <v>100000</v>
      </c>
      <c r="D94" s="393"/>
      <c r="E94" s="392">
        <f>'Sources and Uses Budget'!S94</f>
        <v>0</v>
      </c>
      <c r="F94" s="393">
        <f t="shared" si="13"/>
        <v>0</v>
      </c>
      <c r="G94" s="393"/>
      <c r="H94" s="392">
        <f>'Sources and Uses Budget'!T94</f>
        <v>0</v>
      </c>
      <c r="I94" s="393"/>
      <c r="J94" s="393"/>
      <c r="K94" s="390"/>
    </row>
    <row r="95" spans="1:11" s="391" customFormat="1">
      <c r="A95" s="395" t="str">
        <f>'Sources and Uses Budget'!$A95</f>
        <v>Bond Negative Arbitrage</v>
      </c>
      <c r="B95" s="392">
        <f>'Sources and Uses Budget'!C95</f>
        <v>103010</v>
      </c>
      <c r="C95" s="393">
        <f t="shared" si="11"/>
        <v>103010</v>
      </c>
      <c r="D95" s="393"/>
      <c r="E95" s="392">
        <f>'Sources and Uses Budget'!S95</f>
        <v>0</v>
      </c>
      <c r="F95" s="393">
        <f t="shared" si="13"/>
        <v>0</v>
      </c>
      <c r="G95" s="393"/>
      <c r="H95" s="392">
        <f>'Sources and Uses Budget'!T95</f>
        <v>0</v>
      </c>
      <c r="I95" s="393"/>
      <c r="J95" s="393"/>
      <c r="K95" s="390"/>
    </row>
    <row r="96" spans="1:11" s="391" customFormat="1">
      <c r="A96" s="396" t="s">
        <v>782</v>
      </c>
      <c r="B96" s="392">
        <f>'Sources and Uses Budget'!C96</f>
        <v>1933010</v>
      </c>
      <c r="C96" s="392">
        <f>SUM(C83:C95)</f>
        <v>1933010</v>
      </c>
      <c r="D96" s="392">
        <f>SUM(D83:D95)</f>
        <v>0</v>
      </c>
      <c r="E96" s="392">
        <f>'Sources and Uses Budget'!S96</f>
        <v>1420000</v>
      </c>
      <c r="F96" s="398">
        <f>SUM(F84:F87,F89:F95)</f>
        <v>1420000</v>
      </c>
      <c r="G96" s="398">
        <f>SUM(G84:G87,G89:G95)</f>
        <v>0</v>
      </c>
      <c r="H96" s="392">
        <f>'Sources and Uses Budget'!T96</f>
        <v>0</v>
      </c>
      <c r="I96" s="392">
        <f>SUM(I84:I87,I89:I95)</f>
        <v>0</v>
      </c>
      <c r="J96" s="392">
        <f>SUM(J84:J87,J89:J95)</f>
        <v>0</v>
      </c>
      <c r="K96" s="390"/>
    </row>
    <row r="97" spans="1:11" s="391" customFormat="1">
      <c r="A97" s="396" t="s">
        <v>1050</v>
      </c>
      <c r="B97" s="392">
        <f>'Sources and Uses Budget'!C97</f>
        <v>61114097</v>
      </c>
      <c r="C97" s="392">
        <f>SUM(C63+C70+C77+C81+C96)</f>
        <v>61114097</v>
      </c>
      <c r="D97" s="392">
        <f>SUM(D63+D70+D77+D81+D96)</f>
        <v>0</v>
      </c>
      <c r="E97" s="392">
        <f>'Sources and Uses Budget'!S97</f>
        <v>50124529</v>
      </c>
      <c r="F97" s="398">
        <f>SUM(+F63+F70+F81+F96)</f>
        <v>50124529</v>
      </c>
      <c r="G97" s="398">
        <f>SUM(+G63+G70+G81+G96)</f>
        <v>0</v>
      </c>
      <c r="H97" s="392">
        <f>'Sources and Uses Budget'!T97</f>
        <v>0</v>
      </c>
      <c r="I97" s="398">
        <f>SUM(I63+I70+I81+I96)</f>
        <v>0</v>
      </c>
      <c r="J97" s="398">
        <f>SUM(J63+J70+J81+J96)</f>
        <v>0</v>
      </c>
      <c r="K97" s="390"/>
    </row>
    <row r="98" spans="1:11" s="391" customFormat="1">
      <c r="A98" s="388" t="s">
        <v>784</v>
      </c>
      <c r="B98" s="389"/>
      <c r="C98" s="389"/>
      <c r="D98" s="389"/>
      <c r="E98" s="389"/>
      <c r="F98" s="389"/>
      <c r="G98" s="389"/>
      <c r="H98" s="389"/>
      <c r="I98" s="389"/>
      <c r="J98" s="389"/>
      <c r="K98" s="390"/>
    </row>
    <row r="99" spans="1:11" s="391" customFormat="1">
      <c r="A99" s="145" t="s">
        <v>785</v>
      </c>
      <c r="B99" s="392">
        <f>'Sources and Uses Budget'!C99</f>
        <v>7518679</v>
      </c>
      <c r="C99" s="393">
        <f>B99</f>
        <v>7518679</v>
      </c>
      <c r="D99" s="393"/>
      <c r="E99" s="392">
        <f>'Sources and Uses Budget'!S99</f>
        <v>7518679</v>
      </c>
      <c r="F99" s="393">
        <f>E99</f>
        <v>7518679</v>
      </c>
      <c r="G99" s="393"/>
      <c r="H99" s="392">
        <f>'Sources and Uses Budget'!T99</f>
        <v>0</v>
      </c>
      <c r="I99" s="393"/>
      <c r="J99" s="393"/>
      <c r="K99" s="390"/>
    </row>
    <row r="100" spans="1:11" s="391" customFormat="1">
      <c r="A100" s="304" t="s">
        <v>1754</v>
      </c>
      <c r="B100" s="392">
        <f>'Sources and Uses Budget'!C100</f>
        <v>0</v>
      </c>
      <c r="C100" s="393">
        <f t="shared" ref="C100:C103" si="14">B100</f>
        <v>0</v>
      </c>
      <c r="D100" s="393"/>
      <c r="E100" s="392">
        <f>'Sources and Uses Budget'!S100</f>
        <v>0</v>
      </c>
      <c r="F100" s="393">
        <f t="shared" ref="F100:F103" si="15">E100</f>
        <v>0</v>
      </c>
      <c r="G100" s="393"/>
      <c r="H100" s="392">
        <f>'Sources and Uses Budget'!T100</f>
        <v>0</v>
      </c>
      <c r="I100" s="393"/>
      <c r="J100" s="393"/>
      <c r="K100" s="390"/>
    </row>
    <row r="101" spans="1:11" s="391" customFormat="1">
      <c r="A101" s="145" t="s">
        <v>786</v>
      </c>
      <c r="B101" s="392">
        <f>'Sources and Uses Budget'!C101</f>
        <v>0</v>
      </c>
      <c r="C101" s="393">
        <f t="shared" si="14"/>
        <v>0</v>
      </c>
      <c r="D101" s="393"/>
      <c r="E101" s="392">
        <f>'Sources and Uses Budget'!S101</f>
        <v>0</v>
      </c>
      <c r="F101" s="393">
        <f t="shared" si="15"/>
        <v>0</v>
      </c>
      <c r="G101" s="393"/>
      <c r="H101" s="392">
        <f>'Sources and Uses Budget'!T101</f>
        <v>0</v>
      </c>
      <c r="I101" s="393"/>
      <c r="J101" s="393"/>
      <c r="K101" s="390"/>
    </row>
    <row r="102" spans="1:11" s="391" customFormat="1" ht="12" customHeight="1">
      <c r="A102" s="304" t="s">
        <v>1755</v>
      </c>
      <c r="B102" s="392">
        <f>'Sources and Uses Budget'!C102</f>
        <v>0</v>
      </c>
      <c r="C102" s="393">
        <f t="shared" si="14"/>
        <v>0</v>
      </c>
      <c r="D102" s="393"/>
      <c r="E102" s="392">
        <f>'Sources and Uses Budget'!S102</f>
        <v>0</v>
      </c>
      <c r="F102" s="393">
        <f t="shared" si="15"/>
        <v>0</v>
      </c>
      <c r="G102" s="393"/>
      <c r="H102" s="392">
        <f>'Sources and Uses Budget'!T102</f>
        <v>0</v>
      </c>
      <c r="I102" s="393"/>
      <c r="J102" s="393"/>
      <c r="K102" s="390"/>
    </row>
    <row r="103" spans="1:11" s="391" customFormat="1">
      <c r="A103" s="395" t="str">
        <f>'Sources and Uses Budget'!$A103</f>
        <v>Other: (Specify)</v>
      </c>
      <c r="B103" s="392">
        <f>'Sources and Uses Budget'!C103</f>
        <v>0</v>
      </c>
      <c r="C103" s="393">
        <f t="shared" si="14"/>
        <v>0</v>
      </c>
      <c r="D103" s="393"/>
      <c r="E103" s="392">
        <f>'Sources and Uses Budget'!S103</f>
        <v>0</v>
      </c>
      <c r="F103" s="393">
        <f t="shared" si="15"/>
        <v>0</v>
      </c>
      <c r="G103" s="393"/>
      <c r="H103" s="392">
        <f>'Sources and Uses Budget'!T103</f>
        <v>0</v>
      </c>
      <c r="I103" s="393"/>
      <c r="J103" s="393"/>
      <c r="K103" s="390"/>
    </row>
    <row r="104" spans="1:11" s="391" customFormat="1">
      <c r="A104" s="396" t="s">
        <v>787</v>
      </c>
      <c r="B104" s="392">
        <f>'Sources and Uses Budget'!C104</f>
        <v>7518679</v>
      </c>
      <c r="C104" s="392">
        <f>SUM(C99:C103)</f>
        <v>7518679</v>
      </c>
      <c r="D104" s="392">
        <f>SUM(D99:D103)</f>
        <v>0</v>
      </c>
      <c r="E104" s="392">
        <f>'Sources and Uses Budget'!S104</f>
        <v>7518679</v>
      </c>
      <c r="F104" s="398">
        <f>SUM(F99:F103)</f>
        <v>7518679</v>
      </c>
      <c r="G104" s="398">
        <f>SUM(G99:G103)</f>
        <v>0</v>
      </c>
      <c r="H104" s="392">
        <f>'Sources and Uses Budget'!T104</f>
        <v>0</v>
      </c>
      <c r="I104" s="398">
        <f>SUM(I99:I103)</f>
        <v>0</v>
      </c>
      <c r="J104" s="398">
        <f>SUM(J99:J103)</f>
        <v>0</v>
      </c>
      <c r="K104" s="390"/>
    </row>
    <row r="105" spans="1:11" s="391" customFormat="1">
      <c r="A105" s="396" t="s">
        <v>1051</v>
      </c>
      <c r="B105" s="392">
        <f>'Sources and Uses Budget'!C105</f>
        <v>68632776</v>
      </c>
      <c r="C105" s="398">
        <f>SUM(C97+C104)</f>
        <v>68632776</v>
      </c>
      <c r="D105" s="398">
        <f>SUM(D97+D104)</f>
        <v>0</v>
      </c>
      <c r="E105" s="392">
        <f>'Sources and Uses Budget'!S105</f>
        <v>57643208</v>
      </c>
      <c r="F105" s="398">
        <f>F97+F104</f>
        <v>57643208</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375</v>
      </c>
      <c r="E107" s="392">
        <f>'Sources and Uses Budget'!S107</f>
        <v>57643208</v>
      </c>
      <c r="F107" s="398">
        <f>F105+F106</f>
        <v>57643208</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96"/>
      <c r="E124" s="1345"/>
      <c r="F124" s="1345"/>
      <c r="G124" s="1345"/>
      <c r="H124" s="1345"/>
      <c r="I124" s="1345"/>
      <c r="J124" s="407"/>
      <c r="K124" s="390"/>
    </row>
    <row r="125" spans="1:11" s="391" customFormat="1" ht="12.75">
      <c r="A125" s="416"/>
      <c r="B125" s="415"/>
      <c r="C125" s="416"/>
      <c r="D125" s="1345"/>
      <c r="E125" s="1345"/>
      <c r="F125" s="1345"/>
      <c r="G125" s="1345"/>
      <c r="H125" s="1345"/>
      <c r="I125" s="1345"/>
      <c r="J125" s="407"/>
      <c r="K125" s="390"/>
    </row>
    <row r="126" spans="1:11" s="391" customFormat="1" ht="12.75">
      <c r="A126" s="416"/>
      <c r="B126" s="415"/>
      <c r="C126" s="416"/>
      <c r="D126" s="1345"/>
      <c r="E126" s="1345"/>
      <c r="F126" s="1345"/>
      <c r="G126" s="1345"/>
      <c r="H126" s="1345"/>
      <c r="I126" s="1345"/>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97"/>
      <c r="B139" s="1345"/>
      <c r="C139" s="1345"/>
      <c r="D139" s="387"/>
      <c r="E139" s="416"/>
      <c r="F139" s="416"/>
      <c r="G139" s="416"/>
    </row>
    <row r="140" spans="1:11" ht="12" customHeight="1">
      <c r="A140" s="1282"/>
      <c r="B140" s="1282"/>
      <c r="C140" s="1282"/>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420" workbookViewId="0">
      <selection activeCell="F373" sqref="F373:AF377"/>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130" t="s">
        <v>1406</v>
      </c>
      <c r="B1" s="2130"/>
      <c r="C1" s="2130"/>
      <c r="D1" s="2130"/>
      <c r="E1" s="2130"/>
      <c r="F1" s="2130"/>
      <c r="G1" s="2130"/>
      <c r="H1" s="2130"/>
      <c r="I1" s="2130"/>
      <c r="J1" s="2130"/>
      <c r="K1" s="2130"/>
      <c r="L1" s="2130"/>
      <c r="M1" s="2130"/>
      <c r="N1" s="2130"/>
      <c r="O1" s="2130"/>
      <c r="P1" s="2130"/>
      <c r="Q1" s="2130"/>
      <c r="R1" s="2130"/>
      <c r="S1" s="2130"/>
      <c r="T1" s="2130"/>
      <c r="U1" s="2130"/>
      <c r="V1" s="2130"/>
      <c r="W1" s="2130"/>
      <c r="X1" s="2130"/>
      <c r="Y1" s="2130"/>
      <c r="Z1" s="2130"/>
      <c r="AA1" s="2130"/>
      <c r="AB1" s="2130"/>
      <c r="AC1" s="2130"/>
      <c r="AD1" s="2130"/>
      <c r="AE1" s="2130"/>
      <c r="AF1" s="2130"/>
      <c r="AG1" s="2130"/>
      <c r="AH1" s="2130"/>
      <c r="AI1" s="2130"/>
      <c r="AJ1" s="2130"/>
      <c r="AK1" s="2130"/>
      <c r="AL1" s="2130"/>
      <c r="AM1" s="2130"/>
    </row>
    <row r="2" spans="1:42" s="570" customFormat="1" ht="12.75" customHeight="1" thickBot="1">
      <c r="A2" s="2131"/>
      <c r="B2" s="2131"/>
      <c r="C2" s="2131"/>
      <c r="D2" s="2131"/>
      <c r="E2" s="2131"/>
      <c r="F2" s="2131"/>
      <c r="G2" s="2131"/>
      <c r="H2" s="2131"/>
      <c r="I2" s="2131"/>
      <c r="J2" s="2131"/>
      <c r="K2" s="2131"/>
      <c r="L2" s="2131"/>
      <c r="M2" s="2131"/>
      <c r="N2" s="2131"/>
      <c r="O2" s="2131"/>
      <c r="P2" s="2131"/>
      <c r="Q2" s="2131"/>
      <c r="R2" s="2131"/>
      <c r="S2" s="2131"/>
      <c r="T2" s="2131"/>
      <c r="U2" s="2131"/>
      <c r="V2" s="2131"/>
      <c r="W2" s="2131"/>
      <c r="X2" s="2131"/>
      <c r="Y2" s="2131"/>
      <c r="Z2" s="2131"/>
      <c r="AA2" s="2131"/>
      <c r="AB2" s="2131"/>
      <c r="AC2" s="2131"/>
      <c r="AD2" s="2131"/>
      <c r="AE2" s="2131"/>
      <c r="AF2" s="2131"/>
      <c r="AG2" s="2131"/>
      <c r="AH2" s="2131"/>
      <c r="AI2" s="2131"/>
      <c r="AJ2" s="2131"/>
      <c r="AK2" s="2131"/>
      <c r="AL2" s="2131"/>
      <c r="AM2" s="2131"/>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1407</v>
      </c>
      <c r="B4" s="573" t="s">
        <v>1408</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1409</v>
      </c>
      <c r="B7" s="573" t="s">
        <v>1410</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41" t="s">
        <v>1411</v>
      </c>
      <c r="AF7" s="1941"/>
      <c r="AG7" s="1941"/>
      <c r="AH7" s="1941"/>
      <c r="AI7" s="1941"/>
      <c r="AJ7" s="1941"/>
      <c r="AK7" s="1941"/>
      <c r="AL7" s="574"/>
      <c r="AM7" s="574"/>
      <c r="AN7" s="569"/>
    </row>
    <row r="8" spans="1:42" s="570" customFormat="1" ht="12.75" customHeight="1">
      <c r="A8" s="572"/>
      <c r="B8" s="573" t="s">
        <v>1914</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2319</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2313</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24" t="s">
        <v>598</v>
      </c>
      <c r="C13" s="2124"/>
      <c r="D13" s="581"/>
      <c r="E13" s="582" t="s">
        <v>1412</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32"/>
      <c r="AH13" s="2132"/>
      <c r="AI13" s="2132"/>
      <c r="AJ13" s="2133"/>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24" t="s">
        <v>598</v>
      </c>
      <c r="C16" s="2124"/>
      <c r="D16" s="581"/>
      <c r="E16" s="2116" t="s">
        <v>1413</v>
      </c>
      <c r="F16" s="2117"/>
      <c r="G16" s="2117"/>
      <c r="H16" s="2117"/>
      <c r="I16" s="2117"/>
      <c r="J16" s="2117"/>
      <c r="K16" s="2117"/>
      <c r="L16" s="2117"/>
      <c r="M16" s="2117"/>
      <c r="N16" s="2117"/>
      <c r="O16" s="2117"/>
      <c r="P16" s="2117"/>
      <c r="Q16" s="2117"/>
      <c r="R16" s="2117"/>
      <c r="S16" s="2117"/>
      <c r="T16" s="2117"/>
      <c r="U16" s="2117"/>
      <c r="V16" s="2117"/>
      <c r="W16" s="2117"/>
      <c r="X16" s="2117"/>
      <c r="Y16" s="2117"/>
      <c r="Z16" s="2117"/>
      <c r="AA16" s="2117"/>
      <c r="AB16" s="2117"/>
      <c r="AC16" s="2117"/>
      <c r="AD16" s="2117"/>
      <c r="AE16" s="2117"/>
      <c r="AF16" s="2117"/>
      <c r="AG16" s="2117"/>
      <c r="AH16" s="2117"/>
      <c r="AI16" s="2117"/>
      <c r="AJ16" s="2118"/>
      <c r="AK16" s="574"/>
      <c r="AL16" s="574"/>
      <c r="AM16" s="574"/>
      <c r="AN16" s="569"/>
      <c r="AO16" s="584">
        <f>IF($B25="yes",20,0)</f>
        <v>0</v>
      </c>
      <c r="AP16" s="14"/>
    </row>
    <row r="17" spans="1:42" s="570" customFormat="1" ht="12.75" customHeight="1">
      <c r="A17" s="574"/>
      <c r="B17" s="574"/>
      <c r="C17" s="574"/>
      <c r="D17" s="585"/>
      <c r="E17" s="2119"/>
      <c r="F17" s="2120"/>
      <c r="G17" s="2120"/>
      <c r="H17" s="2120"/>
      <c r="I17" s="2120"/>
      <c r="J17" s="2120"/>
      <c r="K17" s="2120"/>
      <c r="L17" s="2120"/>
      <c r="M17" s="2120"/>
      <c r="N17" s="2120"/>
      <c r="O17" s="2120"/>
      <c r="P17" s="2120"/>
      <c r="Q17" s="2120"/>
      <c r="R17" s="2120"/>
      <c r="S17" s="2120"/>
      <c r="T17" s="2120"/>
      <c r="U17" s="2120"/>
      <c r="V17" s="2120"/>
      <c r="W17" s="2120"/>
      <c r="X17" s="2120"/>
      <c r="Y17" s="2120"/>
      <c r="Z17" s="2120"/>
      <c r="AA17" s="2120"/>
      <c r="AB17" s="2120"/>
      <c r="AC17" s="2120"/>
      <c r="AD17" s="2120"/>
      <c r="AE17" s="2120"/>
      <c r="AF17" s="2120"/>
      <c r="AG17" s="2120"/>
      <c r="AH17" s="2120"/>
      <c r="AI17" s="2120"/>
      <c r="AJ17" s="2121"/>
      <c r="AK17" s="574"/>
      <c r="AL17" s="574"/>
      <c r="AM17" s="574"/>
      <c r="AN17" s="569"/>
      <c r="AO17" s="570">
        <f>IF(SUM(AO13:AO16)&gt;20,20,(SUM(AO13:AO16)))</f>
        <v>0</v>
      </c>
      <c r="AP17" s="570" t="s">
        <v>1414</v>
      </c>
    </row>
    <row r="18" spans="1:42" s="570" customFormat="1" ht="12.75" customHeight="1">
      <c r="A18" s="574"/>
      <c r="B18" s="574"/>
      <c r="C18" s="574"/>
      <c r="D18" s="585"/>
      <c r="E18" s="2119"/>
      <c r="F18" s="2120"/>
      <c r="G18" s="2120"/>
      <c r="H18" s="2120"/>
      <c r="I18" s="2120"/>
      <c r="J18" s="2120"/>
      <c r="K18" s="2120"/>
      <c r="L18" s="2120"/>
      <c r="M18" s="2120"/>
      <c r="N18" s="2120"/>
      <c r="O18" s="2120"/>
      <c r="P18" s="2120"/>
      <c r="Q18" s="2120"/>
      <c r="R18" s="2120"/>
      <c r="S18" s="2120"/>
      <c r="T18" s="2120"/>
      <c r="U18" s="2120"/>
      <c r="V18" s="2120"/>
      <c r="W18" s="2120"/>
      <c r="X18" s="2120"/>
      <c r="Y18" s="2120"/>
      <c r="Z18" s="2120"/>
      <c r="AA18" s="2120"/>
      <c r="AB18" s="2120"/>
      <c r="AC18" s="2120"/>
      <c r="AD18" s="2120"/>
      <c r="AE18" s="2120"/>
      <c r="AF18" s="2120"/>
      <c r="AG18" s="2120"/>
      <c r="AH18" s="2120"/>
      <c r="AI18" s="2120"/>
      <c r="AJ18" s="2121"/>
      <c r="AK18" s="574"/>
      <c r="AL18" s="574"/>
      <c r="AM18" s="574"/>
      <c r="AN18" s="569"/>
    </row>
    <row r="19" spans="1:42" s="570" customFormat="1" ht="12.75" customHeight="1">
      <c r="A19" s="574"/>
      <c r="B19" s="574"/>
      <c r="C19" s="574"/>
      <c r="D19" s="585"/>
      <c r="E19" s="586" t="s">
        <v>1415</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40"/>
      <c r="F20" s="2141"/>
      <c r="G20" s="2141"/>
      <c r="H20" s="2141"/>
      <c r="I20" s="2141"/>
      <c r="J20" s="2141"/>
      <c r="K20" s="2141"/>
      <c r="L20" s="2141"/>
      <c r="M20" s="2141"/>
      <c r="N20" s="2141"/>
      <c r="O20" s="2141"/>
      <c r="P20" s="2141"/>
      <c r="Q20" s="2141"/>
      <c r="R20" s="2141"/>
      <c r="S20" s="2141"/>
      <c r="T20" s="2141"/>
      <c r="U20" s="2141"/>
      <c r="V20" s="2141"/>
      <c r="W20" s="2141"/>
      <c r="X20" s="2141"/>
      <c r="Y20" s="2141"/>
      <c r="Z20" s="2141"/>
      <c r="AA20" s="2141"/>
      <c r="AB20" s="2141"/>
      <c r="AC20" s="2141"/>
      <c r="AD20" s="2141"/>
      <c r="AE20" s="2141"/>
      <c r="AF20" s="2141"/>
      <c r="AG20" s="2141"/>
      <c r="AH20" s="2141"/>
      <c r="AI20" s="2141"/>
      <c r="AJ20" s="2142"/>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24" t="s">
        <v>598</v>
      </c>
      <c r="C22" s="2124"/>
      <c r="D22" s="581"/>
      <c r="E22" s="2134" t="s">
        <v>1416</v>
      </c>
      <c r="F22" s="2135"/>
      <c r="G22" s="2135"/>
      <c r="H22" s="2135"/>
      <c r="I22" s="2135"/>
      <c r="J22" s="2135"/>
      <c r="K22" s="2135"/>
      <c r="L22" s="2135"/>
      <c r="M22" s="2135"/>
      <c r="N22" s="2135"/>
      <c r="O22" s="2135"/>
      <c r="P22" s="2135"/>
      <c r="Q22" s="2135"/>
      <c r="R22" s="2135"/>
      <c r="S22" s="2135"/>
      <c r="T22" s="2135"/>
      <c r="U22" s="2135"/>
      <c r="V22" s="2135"/>
      <c r="W22" s="2135"/>
      <c r="X22" s="2135"/>
      <c r="Y22" s="2135"/>
      <c r="Z22" s="2135"/>
      <c r="AA22" s="2135"/>
      <c r="AB22" s="2135"/>
      <c r="AC22" s="2135"/>
      <c r="AD22" s="2135"/>
      <c r="AE22" s="2135"/>
      <c r="AF22" s="2135"/>
      <c r="AG22" s="2135"/>
      <c r="AH22" s="2135"/>
      <c r="AI22" s="2135"/>
      <c r="AJ22" s="2136"/>
      <c r="AK22" s="574"/>
      <c r="AL22" s="574"/>
      <c r="AM22" s="574"/>
      <c r="AN22" s="569"/>
      <c r="AO22" s="570">
        <f>IF(SUM(AO20:AO21)&gt;14,14,SUM(AO20:AO21))</f>
        <v>0</v>
      </c>
      <c r="AP22" s="570" t="s">
        <v>1414</v>
      </c>
    </row>
    <row r="23" spans="1:42" s="570" customFormat="1" ht="12.75" customHeight="1">
      <c r="A23" s="574"/>
      <c r="B23" s="574"/>
      <c r="C23" s="574"/>
      <c r="D23" s="584"/>
      <c r="E23" s="2137"/>
      <c r="F23" s="2138"/>
      <c r="G23" s="2138"/>
      <c r="H23" s="2138"/>
      <c r="I23" s="2138"/>
      <c r="J23" s="2138"/>
      <c r="K23" s="2138"/>
      <c r="L23" s="2138"/>
      <c r="M23" s="2138"/>
      <c r="N23" s="2138"/>
      <c r="O23" s="2138"/>
      <c r="P23" s="2138"/>
      <c r="Q23" s="2138"/>
      <c r="R23" s="2138"/>
      <c r="S23" s="2138"/>
      <c r="T23" s="2138"/>
      <c r="U23" s="2138"/>
      <c r="V23" s="2138"/>
      <c r="W23" s="2138"/>
      <c r="X23" s="2138"/>
      <c r="Y23" s="2138"/>
      <c r="Z23" s="2138"/>
      <c r="AA23" s="2138"/>
      <c r="AB23" s="2138"/>
      <c r="AC23" s="2138"/>
      <c r="AD23" s="2138"/>
      <c r="AE23" s="2138"/>
      <c r="AF23" s="2138"/>
      <c r="AG23" s="2138"/>
      <c r="AH23" s="2138"/>
      <c r="AI23" s="2138"/>
      <c r="AJ23" s="2139"/>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24" t="s">
        <v>598</v>
      </c>
      <c r="C25" s="2124"/>
      <c r="D25" s="581"/>
      <c r="E25" s="2051" t="s">
        <v>2343</v>
      </c>
      <c r="F25" s="2052"/>
      <c r="G25" s="2052"/>
      <c r="H25" s="2052"/>
      <c r="I25" s="2052"/>
      <c r="J25" s="2052"/>
      <c r="K25" s="2052"/>
      <c r="L25" s="2052"/>
      <c r="M25" s="2052"/>
      <c r="N25" s="2052"/>
      <c r="O25" s="2052"/>
      <c r="P25" s="2052"/>
      <c r="Q25" s="2052"/>
      <c r="R25" s="2052"/>
      <c r="S25" s="2052"/>
      <c r="T25" s="2052"/>
      <c r="U25" s="2052"/>
      <c r="V25" s="2052"/>
      <c r="W25" s="2052"/>
      <c r="X25" s="2052"/>
      <c r="Y25" s="2052"/>
      <c r="Z25" s="2052"/>
      <c r="AA25" s="2052"/>
      <c r="AB25" s="2052"/>
      <c r="AC25" s="2052"/>
      <c r="AD25" s="2052"/>
      <c r="AE25" s="2052"/>
      <c r="AF25" s="2052"/>
      <c r="AG25" s="2052"/>
      <c r="AH25" s="2052"/>
      <c r="AI25" s="2052"/>
      <c r="AJ25" s="2053"/>
      <c r="AK25" s="574"/>
      <c r="AL25" s="574"/>
      <c r="AM25" s="574"/>
      <c r="AN25" s="569"/>
      <c r="AO25" s="570">
        <f>IF(AO24&gt;6,6,AO24)</f>
        <v>0</v>
      </c>
      <c r="AP25" s="570" t="s">
        <v>1414</v>
      </c>
    </row>
    <row r="26" spans="1:42" s="570" customFormat="1" ht="12.75" customHeight="1">
      <c r="A26" s="574"/>
      <c r="B26" s="574"/>
      <c r="C26" s="574"/>
      <c r="D26" s="584"/>
      <c r="E26" s="2076"/>
      <c r="F26" s="2077"/>
      <c r="G26" s="2077"/>
      <c r="H26" s="2077"/>
      <c r="I26" s="2077"/>
      <c r="J26" s="2077"/>
      <c r="K26" s="2077"/>
      <c r="L26" s="2077"/>
      <c r="M26" s="2077"/>
      <c r="N26" s="2077"/>
      <c r="O26" s="2077"/>
      <c r="P26" s="2077"/>
      <c r="Q26" s="2077"/>
      <c r="R26" s="2077"/>
      <c r="S26" s="2077"/>
      <c r="T26" s="2077"/>
      <c r="U26" s="2077"/>
      <c r="V26" s="2077"/>
      <c r="W26" s="2077"/>
      <c r="X26" s="2077"/>
      <c r="Y26" s="2077"/>
      <c r="Z26" s="2077"/>
      <c r="AA26" s="2077"/>
      <c r="AB26" s="2077"/>
      <c r="AC26" s="2077"/>
      <c r="AD26" s="2077"/>
      <c r="AE26" s="2077"/>
      <c r="AF26" s="2077"/>
      <c r="AG26" s="2077"/>
      <c r="AH26" s="2077"/>
      <c r="AI26" s="2077"/>
      <c r="AJ26" s="2078"/>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2314</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1414</v>
      </c>
    </row>
    <row r="30" spans="1:42" s="570" customFormat="1" ht="12.75" customHeight="1">
      <c r="A30" s="574"/>
      <c r="B30" s="2124" t="s">
        <v>598</v>
      </c>
      <c r="C30" s="2124"/>
      <c r="D30" s="581"/>
      <c r="E30" s="2134" t="s">
        <v>2315</v>
      </c>
      <c r="F30" s="2135"/>
      <c r="G30" s="2135"/>
      <c r="H30" s="2135"/>
      <c r="I30" s="2135"/>
      <c r="J30" s="2135"/>
      <c r="K30" s="2135"/>
      <c r="L30" s="2135"/>
      <c r="M30" s="2135"/>
      <c r="N30" s="2135"/>
      <c r="O30" s="2135"/>
      <c r="P30" s="2135"/>
      <c r="Q30" s="2135"/>
      <c r="R30" s="2135"/>
      <c r="S30" s="2135"/>
      <c r="T30" s="2135"/>
      <c r="U30" s="2135"/>
      <c r="V30" s="2135"/>
      <c r="W30" s="2135"/>
      <c r="X30" s="2135"/>
      <c r="Y30" s="2135"/>
      <c r="Z30" s="2135"/>
      <c r="AA30" s="2135"/>
      <c r="AB30" s="2135"/>
      <c r="AC30" s="2135"/>
      <c r="AD30" s="2135"/>
      <c r="AE30" s="2135"/>
      <c r="AF30" s="2135"/>
      <c r="AG30" s="2135"/>
      <c r="AH30" s="2135"/>
      <c r="AI30" s="2135"/>
      <c r="AJ30" s="2136"/>
      <c r="AK30" s="574"/>
      <c r="AL30" s="574"/>
      <c r="AM30" s="574"/>
      <c r="AN30" s="569"/>
      <c r="AO30" s="584"/>
    </row>
    <row r="31" spans="1:42" s="570" customFormat="1" ht="12.75" customHeight="1">
      <c r="A31" s="574"/>
      <c r="B31" s="574"/>
      <c r="C31" s="574"/>
      <c r="E31" s="2137"/>
      <c r="F31" s="2138"/>
      <c r="G31" s="2138"/>
      <c r="H31" s="2138"/>
      <c r="I31" s="2138"/>
      <c r="J31" s="2138"/>
      <c r="K31" s="2138"/>
      <c r="L31" s="2138"/>
      <c r="M31" s="2138"/>
      <c r="N31" s="2138"/>
      <c r="O31" s="2138"/>
      <c r="P31" s="2138"/>
      <c r="Q31" s="2138"/>
      <c r="R31" s="2138"/>
      <c r="S31" s="2138"/>
      <c r="T31" s="2138"/>
      <c r="U31" s="2138"/>
      <c r="V31" s="2138"/>
      <c r="W31" s="2138"/>
      <c r="X31" s="2138"/>
      <c r="Y31" s="2138"/>
      <c r="Z31" s="2138"/>
      <c r="AA31" s="2138"/>
      <c r="AB31" s="2138"/>
      <c r="AC31" s="2138"/>
      <c r="AD31" s="2138"/>
      <c r="AE31" s="2138"/>
      <c r="AF31" s="2138"/>
      <c r="AG31" s="2138"/>
      <c r="AH31" s="2138"/>
      <c r="AI31" s="2138"/>
      <c r="AJ31" s="2139"/>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24" t="s">
        <v>598</v>
      </c>
      <c r="C33" s="2124"/>
      <c r="D33" s="581"/>
      <c r="E33" s="2051" t="s">
        <v>2316</v>
      </c>
      <c r="F33" s="2052"/>
      <c r="G33" s="2052"/>
      <c r="H33" s="2052"/>
      <c r="I33" s="2052"/>
      <c r="J33" s="2052"/>
      <c r="K33" s="2052"/>
      <c r="L33" s="2052"/>
      <c r="M33" s="2052"/>
      <c r="N33" s="2052"/>
      <c r="O33" s="2052"/>
      <c r="P33" s="2052"/>
      <c r="Q33" s="2052"/>
      <c r="R33" s="2052"/>
      <c r="S33" s="2052"/>
      <c r="T33" s="2052"/>
      <c r="U33" s="2052"/>
      <c r="V33" s="2052"/>
      <c r="W33" s="2052"/>
      <c r="X33" s="2052"/>
      <c r="Y33" s="2052"/>
      <c r="Z33" s="2052"/>
      <c r="AA33" s="2052"/>
      <c r="AB33" s="2052"/>
      <c r="AC33" s="2052"/>
      <c r="AD33" s="2052"/>
      <c r="AE33" s="2052"/>
      <c r="AF33" s="2052"/>
      <c r="AG33" s="2052"/>
      <c r="AH33" s="2052"/>
      <c r="AI33" s="2052"/>
      <c r="AJ33" s="2053"/>
      <c r="AK33" s="574"/>
      <c r="AL33" s="574"/>
      <c r="AM33" s="574"/>
      <c r="AN33" s="569"/>
    </row>
    <row r="34" spans="1:41" s="570" customFormat="1" ht="12.75" customHeight="1">
      <c r="A34" s="574"/>
      <c r="B34" s="574"/>
      <c r="C34" s="574"/>
      <c r="E34" s="2054"/>
      <c r="F34" s="2055"/>
      <c r="G34" s="2055"/>
      <c r="H34" s="2055"/>
      <c r="I34" s="2055"/>
      <c r="J34" s="2055"/>
      <c r="K34" s="2055"/>
      <c r="L34" s="2055"/>
      <c r="M34" s="2055"/>
      <c r="N34" s="2055"/>
      <c r="O34" s="2055"/>
      <c r="P34" s="2055"/>
      <c r="Q34" s="2055"/>
      <c r="R34" s="2055"/>
      <c r="S34" s="2055"/>
      <c r="T34" s="2055"/>
      <c r="U34" s="2055"/>
      <c r="V34" s="2055"/>
      <c r="W34" s="2055"/>
      <c r="X34" s="2055"/>
      <c r="Y34" s="2055"/>
      <c r="Z34" s="2055"/>
      <c r="AA34" s="2055"/>
      <c r="AB34" s="2055"/>
      <c r="AC34" s="2055"/>
      <c r="AD34" s="2055"/>
      <c r="AE34" s="2055"/>
      <c r="AF34" s="2055"/>
      <c r="AG34" s="2055"/>
      <c r="AH34" s="2055"/>
      <c r="AI34" s="2055"/>
      <c r="AJ34" s="2056"/>
      <c r="AK34" s="574"/>
      <c r="AL34" s="574"/>
      <c r="AM34" s="574"/>
      <c r="AN34" s="569"/>
    </row>
    <row r="35" spans="1:41" s="570" customFormat="1" ht="12.75" customHeight="1">
      <c r="A35" s="574"/>
      <c r="B35" s="574"/>
      <c r="C35" s="574"/>
      <c r="E35" s="2076"/>
      <c r="F35" s="2077"/>
      <c r="G35" s="2077"/>
      <c r="H35" s="2077"/>
      <c r="I35" s="2077"/>
      <c r="J35" s="2077"/>
      <c r="K35" s="2077"/>
      <c r="L35" s="2077"/>
      <c r="M35" s="2077"/>
      <c r="N35" s="2077"/>
      <c r="O35" s="2077"/>
      <c r="P35" s="2077"/>
      <c r="Q35" s="2077"/>
      <c r="R35" s="2077"/>
      <c r="S35" s="2077"/>
      <c r="T35" s="2077"/>
      <c r="U35" s="2077"/>
      <c r="V35" s="2077"/>
      <c r="W35" s="2077"/>
      <c r="X35" s="2077"/>
      <c r="Y35" s="2077"/>
      <c r="Z35" s="2077"/>
      <c r="AA35" s="2077"/>
      <c r="AB35" s="2077"/>
      <c r="AC35" s="2077"/>
      <c r="AD35" s="2077"/>
      <c r="AE35" s="2077"/>
      <c r="AF35" s="2077"/>
      <c r="AG35" s="2077"/>
      <c r="AH35" s="2077"/>
      <c r="AI35" s="2077"/>
      <c r="AJ35" s="2078"/>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2318</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24" t="s">
        <v>598</v>
      </c>
      <c r="C39" s="2124"/>
      <c r="D39" s="1186"/>
      <c r="E39" s="2051" t="s">
        <v>2317</v>
      </c>
      <c r="F39" s="2052"/>
      <c r="G39" s="2052"/>
      <c r="H39" s="2052"/>
      <c r="I39" s="2052"/>
      <c r="J39" s="2052"/>
      <c r="K39" s="2052"/>
      <c r="L39" s="2052"/>
      <c r="M39" s="2052"/>
      <c r="N39" s="2052"/>
      <c r="O39" s="2052"/>
      <c r="P39" s="2052"/>
      <c r="Q39" s="2052"/>
      <c r="R39" s="2052"/>
      <c r="S39" s="2052"/>
      <c r="T39" s="2052"/>
      <c r="U39" s="2052"/>
      <c r="V39" s="2052"/>
      <c r="W39" s="2052"/>
      <c r="X39" s="2052"/>
      <c r="Y39" s="2052"/>
      <c r="Z39" s="2052"/>
      <c r="AA39" s="2052"/>
      <c r="AB39" s="2052"/>
      <c r="AC39" s="2052"/>
      <c r="AD39" s="2052"/>
      <c r="AE39" s="2052"/>
      <c r="AF39" s="2052"/>
      <c r="AG39" s="2052"/>
      <c r="AH39" s="2052"/>
      <c r="AI39" s="2052"/>
      <c r="AJ39" s="2053"/>
      <c r="AK39" s="1186"/>
      <c r="AL39" s="574"/>
      <c r="AM39" s="574"/>
      <c r="AN39" s="569"/>
    </row>
    <row r="40" spans="1:41" s="570" customFormat="1" ht="12.75" customHeight="1">
      <c r="A40" s="574"/>
      <c r="B40" s="574"/>
      <c r="C40" s="574"/>
      <c r="E40" s="2054"/>
      <c r="F40" s="2055"/>
      <c r="G40" s="2055"/>
      <c r="H40" s="2055"/>
      <c r="I40" s="2055"/>
      <c r="J40" s="2055"/>
      <c r="K40" s="2055"/>
      <c r="L40" s="2055"/>
      <c r="M40" s="2055"/>
      <c r="N40" s="2055"/>
      <c r="O40" s="2055"/>
      <c r="P40" s="2055"/>
      <c r="Q40" s="2055"/>
      <c r="R40" s="2055"/>
      <c r="S40" s="2055"/>
      <c r="T40" s="2055"/>
      <c r="U40" s="2055"/>
      <c r="V40" s="2055"/>
      <c r="W40" s="2055"/>
      <c r="X40" s="2055"/>
      <c r="Y40" s="2055"/>
      <c r="Z40" s="2055"/>
      <c r="AA40" s="2055"/>
      <c r="AB40" s="2055"/>
      <c r="AC40" s="2055"/>
      <c r="AD40" s="2055"/>
      <c r="AE40" s="2055"/>
      <c r="AF40" s="2055"/>
      <c r="AG40" s="2055"/>
      <c r="AH40" s="2055"/>
      <c r="AI40" s="2055"/>
      <c r="AJ40" s="2056"/>
      <c r="AK40" s="574"/>
      <c r="AL40" s="574"/>
      <c r="AM40" s="574"/>
      <c r="AN40" s="569"/>
    </row>
    <row r="41" spans="1:41" s="570" customFormat="1" ht="12.75" customHeight="1">
      <c r="A41" s="574"/>
      <c r="D41" s="581"/>
      <c r="E41" s="2076"/>
      <c r="F41" s="2077"/>
      <c r="G41" s="2077"/>
      <c r="H41" s="2077"/>
      <c r="I41" s="2077"/>
      <c r="J41" s="2077"/>
      <c r="K41" s="2077"/>
      <c r="L41" s="2077"/>
      <c r="M41" s="2077"/>
      <c r="N41" s="2077"/>
      <c r="O41" s="2077"/>
      <c r="P41" s="2077"/>
      <c r="Q41" s="2077"/>
      <c r="R41" s="2077"/>
      <c r="S41" s="2077"/>
      <c r="T41" s="2077"/>
      <c r="U41" s="2077"/>
      <c r="V41" s="2077"/>
      <c r="W41" s="2077"/>
      <c r="X41" s="2077"/>
      <c r="Y41" s="2077"/>
      <c r="Z41" s="2077"/>
      <c r="AA41" s="2077"/>
      <c r="AB41" s="2077"/>
      <c r="AC41" s="2077"/>
      <c r="AD41" s="2077"/>
      <c r="AE41" s="2077"/>
      <c r="AF41" s="2077"/>
      <c r="AG41" s="2077"/>
      <c r="AH41" s="2077"/>
      <c r="AI41" s="2077"/>
      <c r="AJ41" s="2078"/>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2320</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2321</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24" t="s">
        <v>598</v>
      </c>
      <c r="C46" s="2124"/>
      <c r="D46" s="574"/>
      <c r="E46" s="2051" t="s">
        <v>2322</v>
      </c>
      <c r="F46" s="2052"/>
      <c r="G46" s="2052"/>
      <c r="H46" s="2052"/>
      <c r="I46" s="2052"/>
      <c r="J46" s="2052"/>
      <c r="K46" s="2052"/>
      <c r="L46" s="2052"/>
      <c r="M46" s="2052"/>
      <c r="N46" s="2052"/>
      <c r="O46" s="2052"/>
      <c r="P46" s="2052"/>
      <c r="Q46" s="2052"/>
      <c r="R46" s="2052"/>
      <c r="S46" s="2052"/>
      <c r="T46" s="2052"/>
      <c r="U46" s="2052"/>
      <c r="V46" s="2052"/>
      <c r="W46" s="2052"/>
      <c r="X46" s="2052"/>
      <c r="Y46" s="2052"/>
      <c r="Z46" s="2052"/>
      <c r="AA46" s="2052"/>
      <c r="AB46" s="2052"/>
      <c r="AC46" s="2052"/>
      <c r="AD46" s="2052"/>
      <c r="AE46" s="2052"/>
      <c r="AF46" s="2052"/>
      <c r="AG46" s="2052"/>
      <c r="AH46" s="2052"/>
      <c r="AI46" s="2052"/>
      <c r="AJ46" s="2053"/>
      <c r="AK46" s="574"/>
      <c r="AL46" s="574"/>
      <c r="AM46" s="574"/>
      <c r="AN46" s="569"/>
      <c r="AO46" s="593"/>
    </row>
    <row r="47" spans="1:41" s="570" customFormat="1" ht="12.75" customHeight="1">
      <c r="A47" s="574"/>
      <c r="D47" s="581"/>
      <c r="E47" s="2054"/>
      <c r="F47" s="2055"/>
      <c r="G47" s="2055"/>
      <c r="H47" s="2055"/>
      <c r="I47" s="2055"/>
      <c r="J47" s="2055"/>
      <c r="K47" s="2055"/>
      <c r="L47" s="2055"/>
      <c r="M47" s="2055"/>
      <c r="N47" s="2055"/>
      <c r="O47" s="2055"/>
      <c r="P47" s="2055"/>
      <c r="Q47" s="2055"/>
      <c r="R47" s="2055"/>
      <c r="S47" s="2055"/>
      <c r="T47" s="2055"/>
      <c r="U47" s="2055"/>
      <c r="V47" s="2055"/>
      <c r="W47" s="2055"/>
      <c r="X47" s="2055"/>
      <c r="Y47" s="2055"/>
      <c r="Z47" s="2055"/>
      <c r="AA47" s="2055"/>
      <c r="AB47" s="2055"/>
      <c r="AC47" s="2055"/>
      <c r="AD47" s="2055"/>
      <c r="AE47" s="2055"/>
      <c r="AF47" s="2055"/>
      <c r="AG47" s="2055"/>
      <c r="AH47" s="2055"/>
      <c r="AI47" s="2055"/>
      <c r="AJ47" s="2056"/>
      <c r="AK47" s="574"/>
      <c r="AL47" s="574"/>
      <c r="AM47" s="574"/>
      <c r="AN47" s="569"/>
      <c r="AO47" s="593"/>
    </row>
    <row r="48" spans="1:41" s="570" customFormat="1" ht="12.75" customHeight="1">
      <c r="A48" s="574"/>
      <c r="D48" s="574"/>
      <c r="E48" s="2076"/>
      <c r="F48" s="2077"/>
      <c r="G48" s="2077"/>
      <c r="H48" s="2077"/>
      <c r="I48" s="2077"/>
      <c r="J48" s="2077"/>
      <c r="K48" s="2077"/>
      <c r="L48" s="2077"/>
      <c r="M48" s="2077"/>
      <c r="N48" s="2077"/>
      <c r="O48" s="2077"/>
      <c r="P48" s="2077"/>
      <c r="Q48" s="2077"/>
      <c r="R48" s="2077"/>
      <c r="S48" s="2077"/>
      <c r="T48" s="2077"/>
      <c r="U48" s="2077"/>
      <c r="V48" s="2077"/>
      <c r="W48" s="2077"/>
      <c r="X48" s="2077"/>
      <c r="Y48" s="2077"/>
      <c r="Z48" s="2077"/>
      <c r="AA48" s="2077"/>
      <c r="AB48" s="2077"/>
      <c r="AC48" s="2077"/>
      <c r="AD48" s="2077"/>
      <c r="AE48" s="2077"/>
      <c r="AF48" s="2077"/>
      <c r="AG48" s="2077"/>
      <c r="AH48" s="2077"/>
      <c r="AI48" s="2077"/>
      <c r="AJ48" s="2078"/>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24" t="s">
        <v>598</v>
      </c>
      <c r="C50" s="2124"/>
      <c r="D50" s="574"/>
      <c r="E50" s="2150" t="s">
        <v>2323</v>
      </c>
      <c r="F50" s="2151"/>
      <c r="G50" s="2151"/>
      <c r="H50" s="2151"/>
      <c r="I50" s="2151"/>
      <c r="J50" s="2151"/>
      <c r="K50" s="2151"/>
      <c r="L50" s="2151"/>
      <c r="M50" s="2151"/>
      <c r="N50" s="2151"/>
      <c r="O50" s="2151"/>
      <c r="P50" s="2151"/>
      <c r="Q50" s="2151"/>
      <c r="R50" s="2151"/>
      <c r="S50" s="2151"/>
      <c r="T50" s="2151"/>
      <c r="U50" s="2151"/>
      <c r="V50" s="2151"/>
      <c r="W50" s="2151"/>
      <c r="X50" s="2151"/>
      <c r="Y50" s="2151"/>
      <c r="Z50" s="2151"/>
      <c r="AA50" s="2151"/>
      <c r="AB50" s="2151"/>
      <c r="AC50" s="2151"/>
      <c r="AD50" s="2151"/>
      <c r="AE50" s="2151"/>
      <c r="AF50" s="2151"/>
      <c r="AG50" s="2151"/>
      <c r="AH50" s="2151"/>
      <c r="AI50" s="2151"/>
      <c r="AJ50" s="2152"/>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24" t="s">
        <v>598</v>
      </c>
      <c r="C52" s="2124"/>
      <c r="D52" s="574"/>
      <c r="E52" s="2051" t="s">
        <v>2324</v>
      </c>
      <c r="F52" s="2052"/>
      <c r="G52" s="2052"/>
      <c r="H52" s="2052"/>
      <c r="I52" s="2052"/>
      <c r="J52" s="2052"/>
      <c r="K52" s="2052"/>
      <c r="L52" s="2052"/>
      <c r="M52" s="2052"/>
      <c r="N52" s="2052"/>
      <c r="O52" s="2052"/>
      <c r="P52" s="2052"/>
      <c r="Q52" s="2052"/>
      <c r="R52" s="2052"/>
      <c r="S52" s="2052"/>
      <c r="T52" s="2052"/>
      <c r="U52" s="2052"/>
      <c r="V52" s="2052"/>
      <c r="W52" s="2052"/>
      <c r="X52" s="2052"/>
      <c r="Y52" s="2052"/>
      <c r="Z52" s="2052"/>
      <c r="AA52" s="2052"/>
      <c r="AB52" s="2052"/>
      <c r="AC52" s="2052"/>
      <c r="AD52" s="2052"/>
      <c r="AE52" s="2052"/>
      <c r="AF52" s="2052"/>
      <c r="AG52" s="2052"/>
      <c r="AH52" s="2052"/>
      <c r="AI52" s="2052"/>
      <c r="AJ52" s="2053"/>
      <c r="AK52" s="574"/>
      <c r="AL52" s="574"/>
      <c r="AM52" s="574"/>
      <c r="AN52" s="569"/>
    </row>
    <row r="53" spans="1:50" s="570" customFormat="1" ht="12.75" customHeight="1">
      <c r="A53" s="574"/>
      <c r="B53" s="581"/>
      <c r="C53" s="581"/>
      <c r="D53" s="581"/>
      <c r="E53" s="2076"/>
      <c r="F53" s="2077"/>
      <c r="G53" s="2077"/>
      <c r="H53" s="2077"/>
      <c r="I53" s="2077"/>
      <c r="J53" s="2077"/>
      <c r="K53" s="2077"/>
      <c r="L53" s="2077"/>
      <c r="M53" s="2077"/>
      <c r="N53" s="2077"/>
      <c r="O53" s="2077"/>
      <c r="P53" s="2077"/>
      <c r="Q53" s="2077"/>
      <c r="R53" s="2077"/>
      <c r="S53" s="2077"/>
      <c r="T53" s="2077"/>
      <c r="U53" s="2077"/>
      <c r="V53" s="2077"/>
      <c r="W53" s="2077"/>
      <c r="X53" s="2077"/>
      <c r="Y53" s="2077"/>
      <c r="Z53" s="2077"/>
      <c r="AA53" s="2077"/>
      <c r="AB53" s="2077"/>
      <c r="AC53" s="2077"/>
      <c r="AD53" s="2077"/>
      <c r="AE53" s="2077"/>
      <c r="AF53" s="2077"/>
      <c r="AG53" s="2077"/>
      <c r="AH53" s="2077"/>
      <c r="AI53" s="2077"/>
      <c r="AJ53" s="2078"/>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1417</v>
      </c>
      <c r="AK56" s="2097">
        <f>AO36</f>
        <v>0</v>
      </c>
      <c r="AL56" s="2098"/>
      <c r="AM56" s="2099"/>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1418</v>
      </c>
      <c r="B59" s="573" t="s">
        <v>1419</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41" t="s">
        <v>1420</v>
      </c>
      <c r="AF59" s="1941"/>
      <c r="AG59" s="1941"/>
      <c r="AH59" s="1941"/>
      <c r="AI59" s="1941"/>
      <c r="AJ59" s="1941"/>
      <c r="AK59" s="1941"/>
      <c r="AL59" s="574"/>
      <c r="AM59" s="574"/>
      <c r="AN59" s="569"/>
    </row>
    <row r="60" spans="1:50" s="570" customFormat="1" ht="12.75" customHeight="1">
      <c r="A60" s="572"/>
      <c r="B60" s="573" t="s">
        <v>1913</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24" t="s">
        <v>552</v>
      </c>
      <c r="C62" s="2124"/>
      <c r="D62" s="581" t="s">
        <v>1421</v>
      </c>
      <c r="E62" s="2116" t="s">
        <v>2325</v>
      </c>
      <c r="F62" s="2117"/>
      <c r="G62" s="2117"/>
      <c r="H62" s="2117"/>
      <c r="I62" s="2117"/>
      <c r="J62" s="2117"/>
      <c r="K62" s="2117"/>
      <c r="L62" s="2117"/>
      <c r="M62" s="2117"/>
      <c r="N62" s="2117"/>
      <c r="O62" s="2117"/>
      <c r="P62" s="2117"/>
      <c r="Q62" s="2117"/>
      <c r="R62" s="2117"/>
      <c r="S62" s="2117"/>
      <c r="T62" s="2117"/>
      <c r="U62" s="2117"/>
      <c r="V62" s="2117"/>
      <c r="W62" s="2117"/>
      <c r="X62" s="2117"/>
      <c r="Y62" s="2117"/>
      <c r="Z62" s="2117"/>
      <c r="AA62" s="2117"/>
      <c r="AB62" s="2117"/>
      <c r="AC62" s="2117"/>
      <c r="AD62" s="2117"/>
      <c r="AE62" s="2117"/>
      <c r="AF62" s="2117"/>
      <c r="AG62" s="2117"/>
      <c r="AH62" s="2117"/>
      <c r="AI62" s="2117"/>
      <c r="AJ62" s="2118"/>
      <c r="AK62" s="577"/>
      <c r="AL62" s="574"/>
      <c r="AM62" s="574"/>
      <c r="AN62" s="569"/>
      <c r="AO62" s="584">
        <f>IF($B62="yes",10,0)</f>
        <v>10</v>
      </c>
    </row>
    <row r="63" spans="1:50" s="570" customFormat="1" ht="12.75" customHeight="1">
      <c r="A63" s="572"/>
      <c r="B63" s="574"/>
      <c r="C63" s="574"/>
      <c r="D63" s="585"/>
      <c r="E63" s="2119"/>
      <c r="F63" s="2120"/>
      <c r="G63" s="2120"/>
      <c r="H63" s="2120"/>
      <c r="I63" s="2120"/>
      <c r="J63" s="2120"/>
      <c r="K63" s="2120"/>
      <c r="L63" s="2120"/>
      <c r="M63" s="2120"/>
      <c r="N63" s="2120"/>
      <c r="O63" s="2120"/>
      <c r="P63" s="2120"/>
      <c r="Q63" s="2120"/>
      <c r="R63" s="2120"/>
      <c r="S63" s="2120"/>
      <c r="T63" s="2120"/>
      <c r="U63" s="2120"/>
      <c r="V63" s="2120"/>
      <c r="W63" s="2120"/>
      <c r="X63" s="2120"/>
      <c r="Y63" s="2120"/>
      <c r="Z63" s="2120"/>
      <c r="AA63" s="2120"/>
      <c r="AB63" s="2120"/>
      <c r="AC63" s="2120"/>
      <c r="AD63" s="2120"/>
      <c r="AE63" s="2120"/>
      <c r="AF63" s="2120"/>
      <c r="AG63" s="2120"/>
      <c r="AH63" s="2120"/>
      <c r="AI63" s="2120"/>
      <c r="AJ63" s="2121"/>
      <c r="AK63" s="577"/>
      <c r="AL63" s="574"/>
      <c r="AM63" s="574"/>
      <c r="AN63" s="569"/>
      <c r="AO63" s="584">
        <f>IF($B68="yes",10,0)</f>
        <v>0</v>
      </c>
    </row>
    <row r="64" spans="1:50" s="570" customFormat="1" ht="12.75" customHeight="1">
      <c r="A64" s="572"/>
      <c r="B64" s="574"/>
      <c r="C64" s="574"/>
      <c r="D64" s="585"/>
      <c r="E64" s="2119"/>
      <c r="F64" s="2120"/>
      <c r="G64" s="2120"/>
      <c r="H64" s="2120"/>
      <c r="I64" s="2120"/>
      <c r="J64" s="2120"/>
      <c r="K64" s="2120"/>
      <c r="L64" s="2120"/>
      <c r="M64" s="2120"/>
      <c r="N64" s="2120"/>
      <c r="O64" s="2120"/>
      <c r="P64" s="2120"/>
      <c r="Q64" s="2120"/>
      <c r="R64" s="2120"/>
      <c r="S64" s="2120"/>
      <c r="T64" s="2120"/>
      <c r="U64" s="2120"/>
      <c r="V64" s="2120"/>
      <c r="W64" s="2120"/>
      <c r="X64" s="2120"/>
      <c r="Y64" s="2120"/>
      <c r="Z64" s="2120"/>
      <c r="AA64" s="2120"/>
      <c r="AB64" s="2120"/>
      <c r="AC64" s="2120"/>
      <c r="AD64" s="2120"/>
      <c r="AE64" s="2120"/>
      <c r="AF64" s="2120"/>
      <c r="AG64" s="2120"/>
      <c r="AH64" s="2120"/>
      <c r="AI64" s="2120"/>
      <c r="AJ64" s="2121"/>
      <c r="AK64" s="577"/>
      <c r="AL64" s="574"/>
      <c r="AM64" s="574"/>
      <c r="AN64" s="569"/>
      <c r="AO64" s="584">
        <f>IF($B75="yes",10,0)</f>
        <v>0</v>
      </c>
    </row>
    <row r="65" spans="1:42" s="570" customFormat="1" ht="12.75" customHeight="1">
      <c r="A65" s="572"/>
      <c r="B65" s="574"/>
      <c r="C65" s="574"/>
      <c r="D65" s="585"/>
      <c r="E65" s="2119"/>
      <c r="F65" s="2120"/>
      <c r="G65" s="2120"/>
      <c r="H65" s="2120"/>
      <c r="I65" s="2120"/>
      <c r="J65" s="2120"/>
      <c r="K65" s="2120"/>
      <c r="L65" s="2120"/>
      <c r="M65" s="2120"/>
      <c r="N65" s="2120"/>
      <c r="O65" s="2120"/>
      <c r="P65" s="2120"/>
      <c r="Q65" s="2120"/>
      <c r="R65" s="2120"/>
      <c r="S65" s="2120"/>
      <c r="T65" s="2120"/>
      <c r="U65" s="2120"/>
      <c r="V65" s="2120"/>
      <c r="W65" s="2120"/>
      <c r="X65" s="2120"/>
      <c r="Y65" s="2120"/>
      <c r="Z65" s="2120"/>
      <c r="AA65" s="2120"/>
      <c r="AB65" s="2120"/>
      <c r="AC65" s="2120"/>
      <c r="AD65" s="2120"/>
      <c r="AE65" s="2120"/>
      <c r="AF65" s="2120"/>
      <c r="AG65" s="2120"/>
      <c r="AH65" s="2120"/>
      <c r="AI65" s="2120"/>
      <c r="AJ65" s="2121"/>
      <c r="AK65" s="577"/>
      <c r="AL65" s="574"/>
      <c r="AM65" s="574"/>
      <c r="AN65" s="569"/>
      <c r="AO65" s="570">
        <f>IF(SUM(AO62:AO64)&gt;10,10,(SUM(AO62:AO64)))</f>
        <v>10</v>
      </c>
      <c r="AP65" s="608" t="s">
        <v>1422</v>
      </c>
    </row>
    <row r="66" spans="1:42" s="570" customFormat="1" ht="12.75" customHeight="1">
      <c r="A66" s="572"/>
      <c r="B66" s="574"/>
      <c r="C66" s="574"/>
      <c r="D66" s="585"/>
      <c r="E66" s="2146"/>
      <c r="F66" s="2147"/>
      <c r="G66" s="2147"/>
      <c r="H66" s="2147"/>
      <c r="I66" s="2147"/>
      <c r="J66" s="2147"/>
      <c r="K66" s="2147"/>
      <c r="L66" s="2147"/>
      <c r="M66" s="2147"/>
      <c r="N66" s="2147"/>
      <c r="O66" s="2147"/>
      <c r="P66" s="2147"/>
      <c r="Q66" s="2147"/>
      <c r="R66" s="2147"/>
      <c r="S66" s="2147"/>
      <c r="T66" s="2147"/>
      <c r="U66" s="2147"/>
      <c r="V66" s="2147"/>
      <c r="W66" s="2147"/>
      <c r="X66" s="2147"/>
      <c r="Y66" s="2147"/>
      <c r="Z66" s="2147"/>
      <c r="AA66" s="2147"/>
      <c r="AB66" s="2147"/>
      <c r="AC66" s="2147"/>
      <c r="AD66" s="2147"/>
      <c r="AE66" s="2147"/>
      <c r="AF66" s="2147"/>
      <c r="AG66" s="2147"/>
      <c r="AH66" s="2147"/>
      <c r="AI66" s="2147"/>
      <c r="AJ66" s="2148"/>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24" t="s">
        <v>598</v>
      </c>
      <c r="C68" s="2124"/>
      <c r="D68" s="581" t="s">
        <v>1423</v>
      </c>
      <c r="E68" s="1006" t="s">
        <v>1909</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49" t="s">
        <v>598</v>
      </c>
      <c r="F69" s="2124"/>
      <c r="G69" s="609"/>
      <c r="H69" s="592" t="s">
        <v>1424</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44" t="s">
        <v>598</v>
      </c>
      <c r="F70" s="2145"/>
      <c r="G70" s="609"/>
      <c r="H70" s="592" t="s">
        <v>1425</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44" t="s">
        <v>598</v>
      </c>
      <c r="F71" s="2145"/>
      <c r="G71" s="609"/>
      <c r="H71" s="592" t="s">
        <v>1924</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49" t="s">
        <v>598</v>
      </c>
      <c r="F73" s="2124"/>
      <c r="G73" s="941"/>
      <c r="H73" s="1011" t="s">
        <v>1923</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24" t="s">
        <v>598</v>
      </c>
      <c r="C75" s="2124"/>
      <c r="D75" s="581" t="s">
        <v>1426</v>
      </c>
      <c r="E75" s="2051" t="s">
        <v>1925</v>
      </c>
      <c r="F75" s="2052"/>
      <c r="G75" s="2052"/>
      <c r="H75" s="2052"/>
      <c r="I75" s="2052"/>
      <c r="J75" s="2052"/>
      <c r="K75" s="2052"/>
      <c r="L75" s="2052"/>
      <c r="M75" s="2052"/>
      <c r="N75" s="2052"/>
      <c r="O75" s="2052"/>
      <c r="P75" s="2052"/>
      <c r="Q75" s="2052"/>
      <c r="R75" s="2052"/>
      <c r="S75" s="2052"/>
      <c r="T75" s="2052"/>
      <c r="U75" s="2052"/>
      <c r="V75" s="2052"/>
      <c r="W75" s="2052"/>
      <c r="X75" s="2052"/>
      <c r="Y75" s="2052"/>
      <c r="Z75" s="2052"/>
      <c r="AA75" s="2052"/>
      <c r="AB75" s="2052"/>
      <c r="AC75" s="2052"/>
      <c r="AD75" s="2052"/>
      <c r="AE75" s="2052"/>
      <c r="AF75" s="2052"/>
      <c r="AG75" s="2052"/>
      <c r="AH75" s="2052"/>
      <c r="AI75" s="2052"/>
      <c r="AJ75" s="2053"/>
      <c r="AK75" s="577"/>
      <c r="AL75" s="574"/>
      <c r="AM75" s="574"/>
      <c r="AN75" s="569"/>
    </row>
    <row r="76" spans="1:42" s="570" customFormat="1" ht="12.75" customHeight="1">
      <c r="A76" s="572"/>
      <c r="B76" s="574"/>
      <c r="C76" s="574"/>
      <c r="D76" s="584"/>
      <c r="E76" s="2076"/>
      <c r="F76" s="2077"/>
      <c r="G76" s="2077"/>
      <c r="H76" s="2077"/>
      <c r="I76" s="2077"/>
      <c r="J76" s="2077"/>
      <c r="K76" s="2077"/>
      <c r="L76" s="2077"/>
      <c r="M76" s="2077"/>
      <c r="N76" s="2077"/>
      <c r="O76" s="2077"/>
      <c r="P76" s="2077"/>
      <c r="Q76" s="2077"/>
      <c r="R76" s="2077"/>
      <c r="S76" s="2077"/>
      <c r="T76" s="2077"/>
      <c r="U76" s="2077"/>
      <c r="V76" s="2077"/>
      <c r="W76" s="2077"/>
      <c r="X76" s="2077"/>
      <c r="Y76" s="2077"/>
      <c r="Z76" s="2077"/>
      <c r="AA76" s="2077"/>
      <c r="AB76" s="2077"/>
      <c r="AC76" s="2077"/>
      <c r="AD76" s="2077"/>
      <c r="AE76" s="2077"/>
      <c r="AF76" s="2077"/>
      <c r="AG76" s="2077"/>
      <c r="AH76" s="2077"/>
      <c r="AI76" s="2077"/>
      <c r="AJ76" s="2078"/>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1427</v>
      </c>
      <c r="AK78" s="2097">
        <f>IF(AK56&gt;0,0,AO65)</f>
        <v>10</v>
      </c>
      <c r="AL78" s="2098"/>
      <c r="AM78" s="2099"/>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1428</v>
      </c>
      <c r="B81" s="573" t="s">
        <v>1429</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41" t="s">
        <v>1411</v>
      </c>
      <c r="AF81" s="1941"/>
      <c r="AG81" s="1941"/>
      <c r="AH81" s="1941"/>
      <c r="AI81" s="1941"/>
      <c r="AJ81" s="1941"/>
      <c r="AK81" s="1941"/>
      <c r="AL81" s="574"/>
      <c r="AM81" s="574"/>
      <c r="AN81" s="569"/>
    </row>
    <row r="82" spans="1:43" s="570" customFormat="1" ht="12.75" customHeight="1">
      <c r="A82" s="572"/>
      <c r="B82" s="573" t="s">
        <v>1430</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24" t="s">
        <v>552</v>
      </c>
      <c r="C84" s="2124"/>
      <c r="D84" s="581" t="s">
        <v>1421</v>
      </c>
      <c r="E84" s="2116" t="s">
        <v>1431</v>
      </c>
      <c r="F84" s="2117"/>
      <c r="G84" s="2117"/>
      <c r="H84" s="2117"/>
      <c r="I84" s="2117"/>
      <c r="J84" s="2117"/>
      <c r="K84" s="2117"/>
      <c r="L84" s="2117"/>
      <c r="M84" s="2117"/>
      <c r="N84" s="2117"/>
      <c r="O84" s="2117"/>
      <c r="P84" s="2117"/>
      <c r="Q84" s="2117"/>
      <c r="R84" s="2117"/>
      <c r="S84" s="2117"/>
      <c r="T84" s="2117"/>
      <c r="U84" s="2117"/>
      <c r="V84" s="2117"/>
      <c r="W84" s="2117"/>
      <c r="X84" s="2117"/>
      <c r="Y84" s="2117"/>
      <c r="Z84" s="2117"/>
      <c r="AA84" s="2117"/>
      <c r="AB84" s="2117"/>
      <c r="AC84" s="2117"/>
      <c r="AD84" s="2117"/>
      <c r="AE84" s="2117"/>
      <c r="AF84" s="2117"/>
      <c r="AG84" s="2117"/>
      <c r="AH84" s="2117"/>
      <c r="AI84" s="2117"/>
      <c r="AJ84" s="2118"/>
      <c r="AK84" s="577"/>
      <c r="AL84" s="574"/>
      <c r="AM84" s="574"/>
      <c r="AN84" s="569"/>
    </row>
    <row r="85" spans="1:43" s="570" customFormat="1" ht="12.75" customHeight="1">
      <c r="A85" s="572"/>
      <c r="B85" s="573"/>
      <c r="C85" s="573"/>
      <c r="D85" s="573"/>
      <c r="E85" s="2119"/>
      <c r="F85" s="2120"/>
      <c r="G85" s="2120"/>
      <c r="H85" s="2120"/>
      <c r="I85" s="2120"/>
      <c r="J85" s="2120"/>
      <c r="K85" s="2120"/>
      <c r="L85" s="2120"/>
      <c r="M85" s="2120"/>
      <c r="N85" s="2120"/>
      <c r="O85" s="2120"/>
      <c r="P85" s="2120"/>
      <c r="Q85" s="2120"/>
      <c r="R85" s="2120"/>
      <c r="S85" s="2120"/>
      <c r="T85" s="2120"/>
      <c r="U85" s="2120"/>
      <c r="V85" s="2120"/>
      <c r="W85" s="2120"/>
      <c r="X85" s="2120"/>
      <c r="Y85" s="2120"/>
      <c r="Z85" s="2120"/>
      <c r="AA85" s="2120"/>
      <c r="AB85" s="2120"/>
      <c r="AC85" s="2120"/>
      <c r="AD85" s="2120"/>
      <c r="AE85" s="2120"/>
      <c r="AF85" s="2120"/>
      <c r="AG85" s="2120"/>
      <c r="AH85" s="2120"/>
      <c r="AI85" s="2120"/>
      <c r="AJ85" s="2121"/>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112">
        <f>Application!AC753</f>
        <v>0.43411764705882361</v>
      </c>
      <c r="F87" s="2113"/>
      <c r="G87" s="2113"/>
      <c r="H87" s="2113"/>
      <c r="I87" s="611"/>
      <c r="J87" s="614" t="s">
        <v>1432</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43">
        <f>0.6-ROUNDUP(E87,2)</f>
        <v>0.15999999999999998</v>
      </c>
      <c r="F88" s="1915"/>
      <c r="G88" s="1915"/>
      <c r="H88" s="1915"/>
      <c r="I88" s="611"/>
      <c r="J88" s="614" t="s">
        <v>1433</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28">
        <f>IF(E88*200&gt;20,20,E88*200)</f>
        <v>20</v>
      </c>
      <c r="F89" s="2129"/>
      <c r="G89" s="2129"/>
      <c r="H89" s="2129"/>
      <c r="I89" s="611"/>
      <c r="J89" s="614" t="s">
        <v>1434</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20</v>
      </c>
      <c r="AQ89" s="570" t="s">
        <v>1414</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24" t="s">
        <v>598</v>
      </c>
      <c r="C92" s="2124"/>
      <c r="D92" s="581" t="s">
        <v>1423</v>
      </c>
      <c r="E92" s="2116" t="s">
        <v>1910</v>
      </c>
      <c r="F92" s="2117"/>
      <c r="G92" s="2117"/>
      <c r="H92" s="2117"/>
      <c r="I92" s="2117"/>
      <c r="J92" s="2117"/>
      <c r="K92" s="2117"/>
      <c r="L92" s="2117"/>
      <c r="M92" s="2117"/>
      <c r="N92" s="2117"/>
      <c r="O92" s="2117"/>
      <c r="P92" s="2117"/>
      <c r="Q92" s="2117"/>
      <c r="R92" s="2117"/>
      <c r="S92" s="2117"/>
      <c r="T92" s="2117"/>
      <c r="U92" s="2117"/>
      <c r="V92" s="2117"/>
      <c r="W92" s="2117"/>
      <c r="X92" s="2117"/>
      <c r="Y92" s="2117"/>
      <c r="Z92" s="2117"/>
      <c r="AA92" s="2117"/>
      <c r="AB92" s="2117"/>
      <c r="AC92" s="2117"/>
      <c r="AD92" s="2117"/>
      <c r="AE92" s="2117"/>
      <c r="AF92" s="2117"/>
      <c r="AG92" s="2117"/>
      <c r="AH92" s="2117"/>
      <c r="AI92" s="2117"/>
      <c r="AJ92" s="2118"/>
      <c r="AK92" s="577"/>
      <c r="AL92" s="574"/>
      <c r="AM92" s="574"/>
      <c r="AN92" s="569"/>
    </row>
    <row r="93" spans="1:43" s="570" customFormat="1" ht="12.75" customHeight="1">
      <c r="A93" s="572"/>
      <c r="B93" s="573"/>
      <c r="C93" s="573"/>
      <c r="D93" s="573"/>
      <c r="E93" s="2119"/>
      <c r="F93" s="2120"/>
      <c r="G93" s="2120"/>
      <c r="H93" s="2120"/>
      <c r="I93" s="2120"/>
      <c r="J93" s="2120"/>
      <c r="K93" s="2120"/>
      <c r="L93" s="2120"/>
      <c r="M93" s="2120"/>
      <c r="N93" s="2120"/>
      <c r="O93" s="2120"/>
      <c r="P93" s="2120"/>
      <c r="Q93" s="2120"/>
      <c r="R93" s="2120"/>
      <c r="S93" s="2120"/>
      <c r="T93" s="2120"/>
      <c r="U93" s="2120"/>
      <c r="V93" s="2120"/>
      <c r="W93" s="2120"/>
      <c r="X93" s="2120"/>
      <c r="Y93" s="2120"/>
      <c r="Z93" s="2120"/>
      <c r="AA93" s="2120"/>
      <c r="AB93" s="2120"/>
      <c r="AC93" s="2120"/>
      <c r="AD93" s="2120"/>
      <c r="AE93" s="2120"/>
      <c r="AF93" s="2120"/>
      <c r="AG93" s="2120"/>
      <c r="AH93" s="2120"/>
      <c r="AI93" s="2120"/>
      <c r="AJ93" s="2121"/>
      <c r="AK93" s="577"/>
      <c r="AL93" s="574"/>
      <c r="AM93" s="574"/>
      <c r="AN93" s="569"/>
    </row>
    <row r="94" spans="1:43" s="570" customFormat="1" ht="12.75" customHeight="1">
      <c r="A94" s="572"/>
      <c r="B94" s="573"/>
      <c r="C94" s="573"/>
      <c r="D94" s="573"/>
      <c r="E94" s="2119"/>
      <c r="F94" s="2120"/>
      <c r="G94" s="2120"/>
      <c r="H94" s="2120"/>
      <c r="I94" s="2120"/>
      <c r="J94" s="2120"/>
      <c r="K94" s="2120"/>
      <c r="L94" s="2120"/>
      <c r="M94" s="2120"/>
      <c r="N94" s="2120"/>
      <c r="O94" s="2120"/>
      <c r="P94" s="2120"/>
      <c r="Q94" s="2120"/>
      <c r="R94" s="2120"/>
      <c r="S94" s="2120"/>
      <c r="T94" s="2120"/>
      <c r="U94" s="2120"/>
      <c r="V94" s="2120"/>
      <c r="W94" s="2120"/>
      <c r="X94" s="2120"/>
      <c r="Y94" s="2120"/>
      <c r="Z94" s="2120"/>
      <c r="AA94" s="2120"/>
      <c r="AB94" s="2120"/>
      <c r="AC94" s="2120"/>
      <c r="AD94" s="2120"/>
      <c r="AE94" s="2120"/>
      <c r="AF94" s="2120"/>
      <c r="AG94" s="2120"/>
      <c r="AH94" s="2120"/>
      <c r="AI94" s="2120"/>
      <c r="AJ94" s="2121"/>
      <c r="AK94" s="577"/>
      <c r="AL94" s="574"/>
      <c r="AM94" s="574"/>
      <c r="AN94" s="569"/>
    </row>
    <row r="95" spans="1:43" s="570" customFormat="1" ht="12.75" customHeight="1">
      <c r="A95" s="572"/>
      <c r="B95" s="573"/>
      <c r="C95" s="573"/>
      <c r="D95" s="573"/>
      <c r="E95" s="2119"/>
      <c r="F95" s="2120"/>
      <c r="G95" s="2120"/>
      <c r="H95" s="2120"/>
      <c r="I95" s="2120"/>
      <c r="J95" s="2120"/>
      <c r="K95" s="2120"/>
      <c r="L95" s="2120"/>
      <c r="M95" s="2120"/>
      <c r="N95" s="2120"/>
      <c r="O95" s="2120"/>
      <c r="P95" s="2120"/>
      <c r="Q95" s="2120"/>
      <c r="R95" s="2120"/>
      <c r="S95" s="2120"/>
      <c r="T95" s="2120"/>
      <c r="U95" s="2120"/>
      <c r="V95" s="2120"/>
      <c r="W95" s="2120"/>
      <c r="X95" s="2120"/>
      <c r="Y95" s="2120"/>
      <c r="Z95" s="2120"/>
      <c r="AA95" s="2120"/>
      <c r="AB95" s="2120"/>
      <c r="AC95" s="2120"/>
      <c r="AD95" s="2120"/>
      <c r="AE95" s="2120"/>
      <c r="AF95" s="2120"/>
      <c r="AG95" s="2120"/>
      <c r="AH95" s="2120"/>
      <c r="AI95" s="2120"/>
      <c r="AJ95" s="2121"/>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112">
        <f>Application!AC753</f>
        <v>0.43411764705882361</v>
      </c>
      <c r="F97" s="2113"/>
      <c r="G97" s="2113"/>
      <c r="H97" s="2113"/>
      <c r="I97" s="611"/>
      <c r="J97" s="614" t="s">
        <v>1432</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112">
        <f ca="1">SUMIF(Application!AC718:AG752,0.2,Application!G718:J752)/Application!G753+SUMIF(Application!AC718:AG752,0.25,Application!G718:J752)/Application!G753+SUMIF(Application!AC718:AG752,0.3,Application!G718:J752)/Application!G753</f>
        <v>0.45882352941176474</v>
      </c>
      <c r="F98" s="2113"/>
      <c r="G98" s="2113"/>
      <c r="H98" s="2113"/>
      <c r="I98" s="611"/>
      <c r="J98" s="614" t="s">
        <v>1435</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112">
        <f ca="1">SUMIF(Application!AC718:AG752,0.35,Application!G718:J752)/Application!G753+SUMIF(Application!AC718:AG752,0.4,Application!G718:J752)/Application!G753+SUMIF(Application!AC718:AG752,0.45,Application!G718:J752)/Application!G753+SUMIF(Application!AC718:AG752,0.5,Application!G718:J752)/Application!G753</f>
        <v>0</v>
      </c>
      <c r="F99" s="2113"/>
      <c r="G99" s="2113"/>
      <c r="H99" s="2113"/>
      <c r="I99" s="611"/>
      <c r="J99" s="614" t="s">
        <v>1436</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110">
        <f ca="1">IF(AND(E97&lt;=0.6,OR(AND(E98&gt;=0.1,E99&gt;=0.1),AND(E98&gt;0.1,(E98+E99)&gt;=0.2))),20,0)</f>
        <v>20</v>
      </c>
      <c r="F100" s="2111"/>
      <c r="G100" s="2111"/>
      <c r="H100" s="2111"/>
      <c r="I100" s="587"/>
      <c r="J100" s="621" t="s">
        <v>1434</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IF(B92="yes",E100,0)</f>
        <v>0</v>
      </c>
      <c r="AQ100" s="570" t="s">
        <v>1414</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1437</v>
      </c>
      <c r="AK103" s="2097">
        <f>MAX(AP89,AP100)</f>
        <v>20</v>
      </c>
      <c r="AL103" s="2098"/>
      <c r="AM103" s="2099"/>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1438</v>
      </c>
      <c r="B106" s="573" t="s">
        <v>1439</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41" t="s">
        <v>1420</v>
      </c>
      <c r="AF106" s="1941"/>
      <c r="AG106" s="1941"/>
      <c r="AH106" s="1941"/>
      <c r="AI106" s="1941"/>
      <c r="AJ106" s="1941"/>
      <c r="AK106" s="1941"/>
      <c r="AL106" s="574"/>
      <c r="AM106" s="574"/>
      <c r="AN106" s="569"/>
      <c r="AO106" s="570" t="str">
        <f>Application!B718</f>
        <v>SRO/Studio</v>
      </c>
      <c r="AQ106" s="570">
        <f>Application!O718</f>
        <v>685</v>
      </c>
    </row>
    <row r="107" spans="1:49" s="570" customFormat="1" ht="12.75" customHeight="1">
      <c r="A107" s="574"/>
      <c r="B107" s="573" t="s">
        <v>1430</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SRO/Studio</v>
      </c>
      <c r="AQ107" s="570">
        <f>Application!O719</f>
        <v>1028</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SRO/Studio</v>
      </c>
      <c r="AQ108" s="570">
        <f>Application!O720</f>
        <v>1028</v>
      </c>
    </row>
    <row r="109" spans="1:49" s="570" customFormat="1" ht="12.75" customHeight="1">
      <c r="A109" s="574"/>
      <c r="B109" s="2124" t="s">
        <v>552</v>
      </c>
      <c r="C109" s="2124"/>
      <c r="D109" s="581" t="s">
        <v>1421</v>
      </c>
      <c r="E109" s="2116" t="s">
        <v>2044</v>
      </c>
      <c r="F109" s="2117"/>
      <c r="G109" s="2117"/>
      <c r="H109" s="2117"/>
      <c r="I109" s="2117"/>
      <c r="J109" s="2117"/>
      <c r="K109" s="2117"/>
      <c r="L109" s="2117"/>
      <c r="M109" s="2117"/>
      <c r="N109" s="2117"/>
      <c r="O109" s="2117"/>
      <c r="P109" s="2117"/>
      <c r="Q109" s="2117"/>
      <c r="R109" s="2117"/>
      <c r="S109" s="2117"/>
      <c r="T109" s="2117"/>
      <c r="U109" s="2117"/>
      <c r="V109" s="2117"/>
      <c r="W109" s="2117"/>
      <c r="X109" s="2117"/>
      <c r="Y109" s="2117"/>
      <c r="Z109" s="2117"/>
      <c r="AA109" s="2117"/>
      <c r="AB109" s="2117"/>
      <c r="AC109" s="2117"/>
      <c r="AD109" s="2117"/>
      <c r="AE109" s="2117"/>
      <c r="AF109" s="2117"/>
      <c r="AG109" s="2117"/>
      <c r="AH109" s="2117"/>
      <c r="AI109" s="2117"/>
      <c r="AJ109" s="2118"/>
      <c r="AK109" s="574"/>
      <c r="AL109" s="574"/>
      <c r="AM109" s="574"/>
      <c r="AN109" s="569"/>
      <c r="AO109" s="570" t="str">
        <f>Application!B721</f>
        <v>SRO/Studio</v>
      </c>
      <c r="AQ109" s="570">
        <f>Application!O721</f>
        <v>2011</v>
      </c>
      <c r="AU109" s="570" t="s">
        <v>2026</v>
      </c>
      <c r="AV109" s="629" t="s">
        <v>2027</v>
      </c>
      <c r="AW109" s="570" t="s">
        <v>2028</v>
      </c>
    </row>
    <row r="110" spans="1:49" s="570" customFormat="1" ht="12.75" customHeight="1">
      <c r="A110" s="574"/>
      <c r="B110" s="573"/>
      <c r="C110" s="573"/>
      <c r="D110" s="573"/>
      <c r="E110" s="2119"/>
      <c r="F110" s="2120"/>
      <c r="G110" s="2120"/>
      <c r="H110" s="2120"/>
      <c r="I110" s="2120"/>
      <c r="J110" s="2120"/>
      <c r="K110" s="2120"/>
      <c r="L110" s="2120"/>
      <c r="M110" s="2120"/>
      <c r="N110" s="2120"/>
      <c r="O110" s="2120"/>
      <c r="P110" s="2120"/>
      <c r="Q110" s="2120"/>
      <c r="R110" s="2120"/>
      <c r="S110" s="2120"/>
      <c r="T110" s="2120"/>
      <c r="U110" s="2120"/>
      <c r="V110" s="2120"/>
      <c r="W110" s="2120"/>
      <c r="X110" s="2120"/>
      <c r="Y110" s="2120"/>
      <c r="Z110" s="2120"/>
      <c r="AA110" s="2120"/>
      <c r="AB110" s="2120"/>
      <c r="AC110" s="2120"/>
      <c r="AD110" s="2120"/>
      <c r="AE110" s="2120"/>
      <c r="AF110" s="2120"/>
      <c r="AG110" s="2120"/>
      <c r="AH110" s="2120"/>
      <c r="AI110" s="2120"/>
      <c r="AJ110" s="2121"/>
      <c r="AK110" s="574"/>
      <c r="AL110" s="574"/>
      <c r="AM110" s="574"/>
      <c r="AN110" s="569"/>
      <c r="AO110" s="570" t="str">
        <f>Application!B722</f>
        <v>1 Bedroom</v>
      </c>
      <c r="AQ110" s="570">
        <f>Application!O722</f>
        <v>734</v>
      </c>
      <c r="AU110" s="890" t="str">
        <f>E118</f>
        <v>Studio/SRO</v>
      </c>
      <c r="AV110" s="570">
        <f t="array" ref="AV110">SUM(IF(Application!B718:F752="SRO/Studio",Application!G718:J752))</f>
        <v>47</v>
      </c>
      <c r="AW110" s="1046">
        <f>AV110/AV116</f>
        <v>0.55294117647058827</v>
      </c>
    </row>
    <row r="111" spans="1:49" s="570" customFormat="1" ht="12.75" customHeight="1">
      <c r="A111" s="574"/>
      <c r="B111" s="573"/>
      <c r="C111" s="573"/>
      <c r="D111" s="573"/>
      <c r="E111" s="2119"/>
      <c r="F111" s="2120"/>
      <c r="G111" s="2120"/>
      <c r="H111" s="2120"/>
      <c r="I111" s="2120"/>
      <c r="J111" s="2120"/>
      <c r="K111" s="2120"/>
      <c r="L111" s="2120"/>
      <c r="M111" s="2120"/>
      <c r="N111" s="2120"/>
      <c r="O111" s="2120"/>
      <c r="P111" s="2120"/>
      <c r="Q111" s="2120"/>
      <c r="R111" s="2120"/>
      <c r="S111" s="2120"/>
      <c r="T111" s="2120"/>
      <c r="U111" s="2120"/>
      <c r="V111" s="2120"/>
      <c r="W111" s="2120"/>
      <c r="X111" s="2120"/>
      <c r="Y111" s="2120"/>
      <c r="Z111" s="2120"/>
      <c r="AA111" s="2120"/>
      <c r="AB111" s="2120"/>
      <c r="AC111" s="2120"/>
      <c r="AD111" s="2120"/>
      <c r="AE111" s="2120"/>
      <c r="AF111" s="2120"/>
      <c r="AG111" s="2120"/>
      <c r="AH111" s="2120"/>
      <c r="AI111" s="2120"/>
      <c r="AJ111" s="2121"/>
      <c r="AK111" s="574"/>
      <c r="AL111" s="574"/>
      <c r="AM111" s="574"/>
      <c r="AN111" s="569"/>
      <c r="AO111" s="570" t="str">
        <f>Application!B723</f>
        <v>1 Bedroom</v>
      </c>
      <c r="AQ111" s="570">
        <f>Application!O723</f>
        <v>1101</v>
      </c>
      <c r="AU111" s="890" t="str">
        <f>J118</f>
        <v>1-bedroom</v>
      </c>
      <c r="AV111" s="570">
        <f t="array" ref="AV111">SUM(IF(Application!B718:F752="1 Bedroom",Application!G718:J752))</f>
        <v>29</v>
      </c>
      <c r="AW111" s="1046">
        <f>AV111/AV116</f>
        <v>0.3411764705882353</v>
      </c>
    </row>
    <row r="112" spans="1:49" s="570" customFormat="1" ht="12.75" customHeight="1">
      <c r="A112" s="574"/>
      <c r="B112" s="573"/>
      <c r="C112" s="573"/>
      <c r="D112" s="573"/>
      <c r="E112" s="2119"/>
      <c r="F112" s="2120"/>
      <c r="G112" s="2120"/>
      <c r="H112" s="2120"/>
      <c r="I112" s="2120"/>
      <c r="J112" s="2120"/>
      <c r="K112" s="2120"/>
      <c r="L112" s="2120"/>
      <c r="M112" s="2120"/>
      <c r="N112" s="2120"/>
      <c r="O112" s="2120"/>
      <c r="P112" s="2120"/>
      <c r="Q112" s="2120"/>
      <c r="R112" s="2120"/>
      <c r="S112" s="2120"/>
      <c r="T112" s="2120"/>
      <c r="U112" s="2120"/>
      <c r="V112" s="2120"/>
      <c r="W112" s="2120"/>
      <c r="X112" s="2120"/>
      <c r="Y112" s="2120"/>
      <c r="Z112" s="2120"/>
      <c r="AA112" s="2120"/>
      <c r="AB112" s="2120"/>
      <c r="AC112" s="2120"/>
      <c r="AD112" s="2120"/>
      <c r="AE112" s="2120"/>
      <c r="AF112" s="2120"/>
      <c r="AG112" s="2120"/>
      <c r="AH112" s="2120"/>
      <c r="AI112" s="2120"/>
      <c r="AJ112" s="2121"/>
      <c r="AK112" s="574"/>
      <c r="AL112" s="574"/>
      <c r="AM112" s="574"/>
      <c r="AN112" s="569"/>
      <c r="AO112" s="570" t="str">
        <f>Application!B724</f>
        <v>1 Bedroom</v>
      </c>
      <c r="AQ112" s="570">
        <f>Application!O724</f>
        <v>1101</v>
      </c>
      <c r="AU112" s="890" t="str">
        <f>O118</f>
        <v>2-bedroom</v>
      </c>
      <c r="AV112" s="570">
        <f t="array" ref="AV112">SUM(IF(Application!B718:F752="2 Bedrooms",Application!G718:J752))</f>
        <v>4</v>
      </c>
      <c r="AW112" s="1046">
        <f>AV112/AV116</f>
        <v>4.7058823529411764E-2</v>
      </c>
    </row>
    <row r="113" spans="1:52" s="570" customFormat="1" ht="12.75" customHeight="1">
      <c r="A113" s="574"/>
      <c r="B113" s="573"/>
      <c r="C113" s="573"/>
      <c r="D113" s="573"/>
      <c r="E113" s="2119"/>
      <c r="F113" s="2120"/>
      <c r="G113" s="2120"/>
      <c r="H113" s="2120"/>
      <c r="I113" s="2120"/>
      <c r="J113" s="2120"/>
      <c r="K113" s="2120"/>
      <c r="L113" s="2120"/>
      <c r="M113" s="2120"/>
      <c r="N113" s="2120"/>
      <c r="O113" s="2120"/>
      <c r="P113" s="2120"/>
      <c r="Q113" s="2120"/>
      <c r="R113" s="2120"/>
      <c r="S113" s="2120"/>
      <c r="T113" s="2120"/>
      <c r="U113" s="2120"/>
      <c r="V113" s="2120"/>
      <c r="W113" s="2120"/>
      <c r="X113" s="2120"/>
      <c r="Y113" s="2120"/>
      <c r="Z113" s="2120"/>
      <c r="AA113" s="2120"/>
      <c r="AB113" s="2120"/>
      <c r="AC113" s="2120"/>
      <c r="AD113" s="2120"/>
      <c r="AE113" s="2120"/>
      <c r="AF113" s="2120"/>
      <c r="AG113" s="2120"/>
      <c r="AH113" s="2120"/>
      <c r="AI113" s="2120"/>
      <c r="AJ113" s="2121"/>
      <c r="AK113" s="574"/>
      <c r="AL113" s="574"/>
      <c r="AM113" s="574"/>
      <c r="AN113" s="569"/>
      <c r="AO113" s="570" t="str">
        <f>Application!B725</f>
        <v>1 Bedroom</v>
      </c>
      <c r="AQ113" s="570">
        <f>Application!O725</f>
        <v>2161</v>
      </c>
      <c r="AU113" s="890" t="str">
        <f>T118</f>
        <v>3-bedroom</v>
      </c>
      <c r="AV113" s="570">
        <f t="array" ref="AV113">SUM(IF(Application!B718:F752="3 Bedrooms",Application!G718:J752))</f>
        <v>5</v>
      </c>
      <c r="AW113" s="1046">
        <f>AV113/AV116</f>
        <v>5.8823529411764705E-2</v>
      </c>
    </row>
    <row r="114" spans="1:52" s="570" customFormat="1" ht="12.75" customHeight="1">
      <c r="A114" s="574"/>
      <c r="B114" s="573"/>
      <c r="C114" s="573"/>
      <c r="D114" s="573"/>
      <c r="E114" s="2119"/>
      <c r="F114" s="2120"/>
      <c r="G114" s="2120"/>
      <c r="H114" s="2120"/>
      <c r="I114" s="2120"/>
      <c r="J114" s="2120"/>
      <c r="K114" s="2120"/>
      <c r="L114" s="2120"/>
      <c r="M114" s="2120"/>
      <c r="N114" s="2120"/>
      <c r="O114" s="2120"/>
      <c r="P114" s="2120"/>
      <c r="Q114" s="2120"/>
      <c r="R114" s="2120"/>
      <c r="S114" s="2120"/>
      <c r="T114" s="2120"/>
      <c r="U114" s="2120"/>
      <c r="V114" s="2120"/>
      <c r="W114" s="2120"/>
      <c r="X114" s="2120"/>
      <c r="Y114" s="2120"/>
      <c r="Z114" s="2120"/>
      <c r="AA114" s="2120"/>
      <c r="AB114" s="2120"/>
      <c r="AC114" s="2120"/>
      <c r="AD114" s="2120"/>
      <c r="AE114" s="2120"/>
      <c r="AF114" s="2120"/>
      <c r="AG114" s="2120"/>
      <c r="AH114" s="2120"/>
      <c r="AI114" s="2120"/>
      <c r="AJ114" s="2121"/>
      <c r="AK114" s="574"/>
      <c r="AL114" s="574"/>
      <c r="AM114" s="574"/>
      <c r="AN114" s="569"/>
      <c r="AO114" s="570" t="str">
        <f>Application!B726</f>
        <v>2 Bedrooms</v>
      </c>
      <c r="AQ114" s="570">
        <f>Application!O726</f>
        <v>2595</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2119"/>
      <c r="F115" s="2120"/>
      <c r="G115" s="2120"/>
      <c r="H115" s="2120"/>
      <c r="I115" s="2120"/>
      <c r="J115" s="2120"/>
      <c r="K115" s="2120"/>
      <c r="L115" s="2120"/>
      <c r="M115" s="2120"/>
      <c r="N115" s="2120"/>
      <c r="O115" s="2120"/>
      <c r="P115" s="2120"/>
      <c r="Q115" s="2120"/>
      <c r="R115" s="2120"/>
      <c r="S115" s="2120"/>
      <c r="T115" s="2120"/>
      <c r="U115" s="2120"/>
      <c r="V115" s="2120"/>
      <c r="W115" s="2120"/>
      <c r="X115" s="2120"/>
      <c r="Y115" s="2120"/>
      <c r="Z115" s="2120"/>
      <c r="AA115" s="2120"/>
      <c r="AB115" s="2120"/>
      <c r="AC115" s="2120"/>
      <c r="AD115" s="2120"/>
      <c r="AE115" s="2120"/>
      <c r="AF115" s="2120"/>
      <c r="AG115" s="2120"/>
      <c r="AH115" s="2120"/>
      <c r="AI115" s="2120"/>
      <c r="AJ115" s="2121"/>
      <c r="AK115" s="574"/>
      <c r="AL115" s="574"/>
      <c r="AM115" s="574"/>
      <c r="AN115" s="569"/>
      <c r="AO115" s="570" t="str">
        <f>Application!B727</f>
        <v>3 Bedrooms</v>
      </c>
      <c r="AQ115" s="570">
        <f>Application!O727</f>
        <v>3011</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119"/>
      <c r="F116" s="2120"/>
      <c r="G116" s="2120"/>
      <c r="H116" s="2120"/>
      <c r="I116" s="2120"/>
      <c r="J116" s="2120"/>
      <c r="K116" s="2120"/>
      <c r="L116" s="2120"/>
      <c r="M116" s="2120"/>
      <c r="N116" s="2120"/>
      <c r="O116" s="2120"/>
      <c r="P116" s="2120"/>
      <c r="Q116" s="2120"/>
      <c r="R116" s="2120"/>
      <c r="S116" s="2120"/>
      <c r="T116" s="2120"/>
      <c r="U116" s="2120"/>
      <c r="V116" s="2120"/>
      <c r="W116" s="2120"/>
      <c r="X116" s="2120"/>
      <c r="Y116" s="2120"/>
      <c r="Z116" s="2120"/>
      <c r="AA116" s="2120"/>
      <c r="AB116" s="2120"/>
      <c r="AC116" s="2120"/>
      <c r="AD116" s="2120"/>
      <c r="AE116" s="2120"/>
      <c r="AF116" s="2120"/>
      <c r="AG116" s="2120"/>
      <c r="AH116" s="2120"/>
      <c r="AI116" s="2120"/>
      <c r="AJ116" s="2121"/>
      <c r="AK116" s="574"/>
      <c r="AL116" s="574"/>
      <c r="AM116" s="574"/>
      <c r="AN116" s="569"/>
      <c r="AO116" s="570">
        <f>Application!B728</f>
        <v>0</v>
      </c>
      <c r="AQ116" s="570">
        <f>Application!O728</f>
        <v>0</v>
      </c>
      <c r="AV116" s="570">
        <f>SUM(AV110:AV115)</f>
        <v>85</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2112" t="s">
        <v>1695</v>
      </c>
      <c r="F118" s="2113"/>
      <c r="G118" s="2113"/>
      <c r="H118" s="2113"/>
      <c r="I118" s="611"/>
      <c r="J118" s="2113" t="s">
        <v>1739</v>
      </c>
      <c r="K118" s="2113"/>
      <c r="L118" s="2113"/>
      <c r="M118" s="2113"/>
      <c r="N118" s="611"/>
      <c r="O118" s="2113" t="s">
        <v>1740</v>
      </c>
      <c r="P118" s="2113"/>
      <c r="Q118" s="2113"/>
      <c r="R118" s="2113"/>
      <c r="S118" s="611"/>
      <c r="T118" s="2113" t="s">
        <v>1440</v>
      </c>
      <c r="U118" s="2113"/>
      <c r="V118" s="2113"/>
      <c r="W118" s="2113"/>
      <c r="X118" s="611"/>
      <c r="Y118" s="2113" t="s">
        <v>1741</v>
      </c>
      <c r="Z118" s="2113"/>
      <c r="AA118" s="2113"/>
      <c r="AB118" s="2113"/>
      <c r="AC118" s="611"/>
      <c r="AD118" s="2113" t="s">
        <v>1742</v>
      </c>
      <c r="AE118" s="2113"/>
      <c r="AF118" s="2113"/>
      <c r="AG118" s="2113"/>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1743</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2114">
        <v>2535</v>
      </c>
      <c r="F121" s="2115"/>
      <c r="G121" s="2115"/>
      <c r="H121" s="2115"/>
      <c r="I121" s="898"/>
      <c r="J121" s="2115">
        <v>2994</v>
      </c>
      <c r="K121" s="2115"/>
      <c r="L121" s="2115"/>
      <c r="M121" s="2115"/>
      <c r="N121" s="898"/>
      <c r="O121" s="2115">
        <v>3613</v>
      </c>
      <c r="P121" s="2115"/>
      <c r="Q121" s="2115"/>
      <c r="R121" s="2115"/>
      <c r="S121" s="898"/>
      <c r="T121" s="2115">
        <v>5074</v>
      </c>
      <c r="U121" s="2115"/>
      <c r="V121" s="2115"/>
      <c r="W121" s="2115"/>
      <c r="X121" s="898"/>
      <c r="Y121" s="2115">
        <v>0</v>
      </c>
      <c r="Z121" s="2115"/>
      <c r="AA121" s="2115"/>
      <c r="AB121" s="2115"/>
      <c r="AC121" s="898"/>
      <c r="AD121" s="2115">
        <v>0</v>
      </c>
      <c r="AE121" s="2115"/>
      <c r="AF121" s="2115"/>
      <c r="AG121" s="2115"/>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2030</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2122">
        <f>Application!DX670</f>
        <v>1448.7021276595744</v>
      </c>
      <c r="F124" s="2123"/>
      <c r="G124" s="2123"/>
      <c r="H124" s="2123"/>
      <c r="I124" s="898"/>
      <c r="J124" s="2123">
        <f>Application!EC670</f>
        <v>1413.0689655172414</v>
      </c>
      <c r="K124" s="2123"/>
      <c r="L124" s="2123"/>
      <c r="M124" s="2123"/>
      <c r="N124" s="898"/>
      <c r="O124" s="2123">
        <f>Application!EH670</f>
        <v>2595</v>
      </c>
      <c r="P124" s="2123"/>
      <c r="Q124" s="2123"/>
      <c r="R124" s="2123"/>
      <c r="S124" s="902"/>
      <c r="T124" s="2123">
        <f>Application!EM670</f>
        <v>3011</v>
      </c>
      <c r="U124" s="2123"/>
      <c r="V124" s="2123"/>
      <c r="W124" s="2123"/>
      <c r="X124" s="902"/>
      <c r="Y124" s="2123">
        <f>Application!ER670</f>
        <v>0</v>
      </c>
      <c r="Z124" s="2123"/>
      <c r="AA124" s="2123"/>
      <c r="AB124" s="2123"/>
      <c r="AC124" s="902"/>
      <c r="AD124" s="2123">
        <f>Application!EW670</f>
        <v>0</v>
      </c>
      <c r="AE124" s="2123"/>
      <c r="AF124" s="2123"/>
      <c r="AG124" s="2123"/>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2031</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914">
        <f>(E121-E124)/E121</f>
        <v>0.42851987074573</v>
      </c>
      <c r="F127" s="1915"/>
      <c r="G127" s="1915"/>
      <c r="H127" s="1916"/>
      <c r="I127" s="611"/>
      <c r="J127" s="1914">
        <f>(J121-J124)/J121</f>
        <v>0.52803307764955199</v>
      </c>
      <c r="K127" s="1915"/>
      <c r="L127" s="1915"/>
      <c r="M127" s="1916"/>
      <c r="N127" s="611"/>
      <c r="O127" s="1914">
        <f>(O121-O124)/O121</f>
        <v>0.28176030999169666</v>
      </c>
      <c r="P127" s="1915"/>
      <c r="Q127" s="1915"/>
      <c r="R127" s="1916"/>
      <c r="S127" s="611"/>
      <c r="T127" s="1914">
        <f>(T121-T124)/T121</f>
        <v>0.40658257784785179</v>
      </c>
      <c r="U127" s="1915"/>
      <c r="V127" s="1915"/>
      <c r="W127" s="1916"/>
      <c r="X127" s="611"/>
      <c r="Y127" s="1914" t="e">
        <f>(Y121-Y124)/Y121</f>
        <v>#DIV/0!</v>
      </c>
      <c r="Z127" s="1915"/>
      <c r="AA127" s="1915"/>
      <c r="AB127" s="1916"/>
      <c r="AC127" s="611"/>
      <c r="AD127" s="1914" t="e">
        <f>(AD121-AD124)/AD121</f>
        <v>#DIV/0!</v>
      </c>
      <c r="AE127" s="1915"/>
      <c r="AF127" s="1915"/>
      <c r="AG127" s="1916"/>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2032</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25">
        <f>IF(((E127-0.1)*AW110)&gt;0,((E127-0.1)*AW110),0)</f>
        <v>0.18165216382410954</v>
      </c>
      <c r="F130" s="2126"/>
      <c r="G130" s="2126"/>
      <c r="H130" s="2127"/>
      <c r="I130" s="611"/>
      <c r="J130" s="2125">
        <f>IF(((J127-0.1)*AW111)&gt;0,((J127-0.1)*AW111),0)</f>
        <v>0.14603481472749422</v>
      </c>
      <c r="K130" s="2126"/>
      <c r="L130" s="2126"/>
      <c r="M130" s="2127"/>
      <c r="N130" s="611"/>
      <c r="O130" s="2125">
        <f>IF(((O127-0.1)*AW112)&gt;0,((O127-0.1)*AW112),0)</f>
        <v>8.5534263525504309E-3</v>
      </c>
      <c r="P130" s="2126"/>
      <c r="Q130" s="2126"/>
      <c r="R130" s="2127"/>
      <c r="S130" s="611"/>
      <c r="T130" s="2125">
        <f>IF(((T127-0.1)*AW113)&gt;0,((T127-0.1)*AW113),0)</f>
        <v>1.8034269285167753E-2</v>
      </c>
      <c r="U130" s="2126"/>
      <c r="V130" s="2126"/>
      <c r="W130" s="2127"/>
      <c r="X130" s="611"/>
      <c r="Y130" s="2125" t="e">
        <f>IF(((Y127-0.1)*AW114)&gt;0,((Y127-0.1)*AW114),0)</f>
        <v>#DIV/0!</v>
      </c>
      <c r="Z130" s="2126"/>
      <c r="AA130" s="2126"/>
      <c r="AB130" s="2127"/>
      <c r="AC130" s="611"/>
      <c r="AD130" s="2125" t="e">
        <f>IF(((AD127-0.1)*AW115)&gt;0,((AD127-0.1)*AW115),0)</f>
        <v>#DIV/0!</v>
      </c>
      <c r="AE130" s="2126"/>
      <c r="AF130" s="2126"/>
      <c r="AG130" s="2127"/>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914">
        <f>ROUNDDOWN(SUMIF(E130:AG130,"&gt;0"),2)</f>
        <v>0.35</v>
      </c>
      <c r="F132" s="1915"/>
      <c r="G132" s="1915"/>
      <c r="H132" s="1916"/>
      <c r="I132" s="611"/>
      <c r="J132" s="614" t="s">
        <v>2033</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97">
        <f>IF((E132*100)&gt;10,10,E132*100)</f>
        <v>10</v>
      </c>
      <c r="F133" s="2098"/>
      <c r="G133" s="2098"/>
      <c r="H133" s="2099"/>
      <c r="I133" s="611"/>
      <c r="J133" s="614" t="s">
        <v>1434</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1441</v>
      </c>
      <c r="AK137" s="2097">
        <f>E133</f>
        <v>10</v>
      </c>
      <c r="AL137" s="2098"/>
      <c r="AM137" s="2099"/>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1442</v>
      </c>
      <c r="AE140" s="1941" t="s">
        <v>1420</v>
      </c>
      <c r="AF140" s="1941"/>
      <c r="AG140" s="1941"/>
      <c r="AH140" s="1941"/>
      <c r="AI140" s="1941"/>
      <c r="AJ140" s="1941"/>
      <c r="AK140" s="1941"/>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1443</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2008" t="s">
        <v>1444</v>
      </c>
      <c r="AG142" s="2008"/>
      <c r="AH142" s="2008"/>
      <c r="AI142" s="2008"/>
      <c r="AJ142" s="2008"/>
      <c r="AK142" s="2008"/>
      <c r="AL142" s="2008"/>
      <c r="AM142" s="573"/>
      <c r="AN142" s="569"/>
    </row>
    <row r="143" spans="1:52" s="570" customFormat="1" ht="12.75" customHeight="1">
      <c r="A143" s="572"/>
      <c r="B143" s="572" t="s">
        <v>539</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102" t="s">
        <v>2760</v>
      </c>
      <c r="C144" s="2102"/>
      <c r="D144" s="2102"/>
      <c r="E144" s="2102"/>
      <c r="F144" s="2102"/>
      <c r="G144" s="2102"/>
      <c r="H144" s="2102"/>
      <c r="I144" s="2102"/>
      <c r="J144" s="2102"/>
      <c r="K144" s="2102"/>
      <c r="L144" s="2102"/>
      <c r="M144" s="2102"/>
      <c r="N144" s="2102"/>
      <c r="O144" s="2102"/>
      <c r="P144" s="2102"/>
      <c r="Q144" s="2102"/>
      <c r="R144" s="2102"/>
      <c r="S144" s="2102"/>
      <c r="T144" s="2102"/>
      <c r="U144" s="2102"/>
      <c r="V144" s="2102"/>
      <c r="W144" s="2102"/>
      <c r="X144" s="2102"/>
      <c r="Y144" s="2102"/>
      <c r="Z144" s="2102"/>
      <c r="AA144" s="2102"/>
      <c r="AB144" s="2102"/>
      <c r="AC144" s="2102"/>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307</v>
      </c>
      <c r="AP145" s="579"/>
    </row>
    <row r="146" spans="1:42" s="570" customFormat="1" ht="12.75" customHeight="1">
      <c r="A146" s="572"/>
      <c r="B146" s="573" t="s">
        <v>1445</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1446</v>
      </c>
      <c r="AP146" s="523">
        <v>5</v>
      </c>
    </row>
    <row r="147" spans="1:42" s="570" customFormat="1" ht="12.75" customHeight="1">
      <c r="A147" s="572"/>
      <c r="B147" s="2103" t="s">
        <v>1447</v>
      </c>
      <c r="C147" s="2103"/>
      <c r="D147" s="2103"/>
      <c r="E147" s="2103"/>
      <c r="F147" s="2103"/>
      <c r="G147" s="2103"/>
      <c r="H147" s="2103"/>
      <c r="I147" s="2103"/>
      <c r="J147" s="2103"/>
      <c r="K147" s="2103"/>
      <c r="L147" s="2103"/>
      <c r="M147" s="2103"/>
      <c r="N147" s="2103"/>
      <c r="O147" s="2103"/>
      <c r="P147" s="2103"/>
      <c r="Q147" s="2103"/>
      <c r="R147" s="2103"/>
      <c r="S147" s="2103"/>
      <c r="T147" s="2103"/>
      <c r="U147" s="2103"/>
      <c r="V147" s="2103"/>
      <c r="W147" s="2103"/>
      <c r="X147" s="2103"/>
      <c r="Y147" s="2103"/>
      <c r="Z147" s="2103"/>
      <c r="AA147" s="2103"/>
      <c r="AB147" s="2103"/>
      <c r="AC147" s="2103"/>
      <c r="AD147" s="2103"/>
      <c r="AE147" s="2103"/>
      <c r="AF147" s="2103"/>
      <c r="AG147" s="2103"/>
      <c r="AH147" s="2103"/>
      <c r="AI147" s="2103"/>
      <c r="AM147" s="573"/>
      <c r="AN147" s="569"/>
      <c r="AO147" s="510" t="s">
        <v>1447</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2326</v>
      </c>
      <c r="AP148" s="523">
        <v>7</v>
      </c>
    </row>
    <row r="149" spans="1:42" s="570" customFormat="1" ht="12.75" customHeight="1">
      <c r="A149" s="572"/>
      <c r="B149" s="573" t="s">
        <v>1448</v>
      </c>
      <c r="AB149" s="2044" t="s">
        <v>598</v>
      </c>
      <c r="AC149" s="2044"/>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1449</v>
      </c>
      <c r="AP150" s="523"/>
    </row>
    <row r="151" spans="1:42" s="570" customFormat="1" ht="12.75" customHeight="1">
      <c r="A151" s="572"/>
      <c r="B151" s="572" t="s">
        <v>1450</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1451</v>
      </c>
      <c r="AP151" s="523">
        <v>5</v>
      </c>
    </row>
    <row r="152" spans="1:42" s="570" customFormat="1" ht="12.75" customHeight="1">
      <c r="A152" s="572"/>
      <c r="B152" s="2103" t="s">
        <v>1449</v>
      </c>
      <c r="C152" s="2103"/>
      <c r="D152" s="2103"/>
      <c r="E152" s="2103"/>
      <c r="F152" s="2103"/>
      <c r="G152" s="2103"/>
      <c r="H152" s="2103"/>
      <c r="I152" s="2103"/>
      <c r="J152" s="2103"/>
      <c r="K152" s="2103"/>
      <c r="L152" s="2103"/>
      <c r="M152" s="2103"/>
      <c r="N152" s="2103"/>
      <c r="O152" s="2103"/>
      <c r="P152" s="2103"/>
      <c r="Q152" s="2103"/>
      <c r="R152" s="2103"/>
      <c r="S152" s="2103"/>
      <c r="T152" s="2103"/>
      <c r="U152" s="2103"/>
      <c r="V152" s="2103"/>
      <c r="W152" s="2103"/>
      <c r="X152" s="2103"/>
      <c r="Y152" s="2103"/>
      <c r="Z152" s="2103"/>
      <c r="AA152" s="2103"/>
      <c r="AB152" s="2103"/>
      <c r="AC152" s="2103"/>
      <c r="AD152" s="2103"/>
      <c r="AE152" s="2103"/>
      <c r="AF152" s="2103"/>
      <c r="AG152" s="2103"/>
      <c r="AH152" s="2103"/>
      <c r="AI152" s="2103"/>
      <c r="AJ152" s="2103"/>
      <c r="AN152" s="569"/>
      <c r="AO152" s="510" t="s">
        <v>1452</v>
      </c>
      <c r="AP152" s="523">
        <v>7</v>
      </c>
    </row>
    <row r="153" spans="1:42" s="570" customFormat="1" ht="12.75" customHeight="1">
      <c r="B153" s="573" t="s">
        <v>1453</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1455</v>
      </c>
      <c r="AJ155" s="1968">
        <f>IF($AB$149="N/A",VLOOKUP($B$147,$AO$145:$AP$148,2,FALSE),VLOOKUP($B$152,$AO$150:$AP$152,2,FALSE))</f>
        <v>7</v>
      </c>
      <c r="AK155" s="1968"/>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1457</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2008" t="s">
        <v>1458</v>
      </c>
      <c r="AG157" s="2008"/>
      <c r="AH157" s="2008"/>
      <c r="AI157" s="2008"/>
      <c r="AJ157" s="2008"/>
      <c r="AK157" s="2008"/>
      <c r="AL157" s="2008"/>
      <c r="AM157" s="637"/>
      <c r="AN157" s="632"/>
    </row>
    <row r="158" spans="1:42" s="584" customFormat="1" ht="12.75" customHeight="1">
      <c r="A158" s="570"/>
      <c r="B158" s="573" t="s">
        <v>1459</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103" t="s">
        <v>1456</v>
      </c>
      <c r="D159" s="2103"/>
      <c r="E159" s="2103"/>
      <c r="F159" s="2103"/>
      <c r="G159" s="2103"/>
      <c r="H159" s="2103"/>
      <c r="I159" s="2103"/>
      <c r="J159" s="2103"/>
      <c r="K159" s="2103"/>
      <c r="L159" s="2103"/>
      <c r="M159" s="2103"/>
      <c r="N159" s="2103"/>
      <c r="O159" s="2103"/>
      <c r="P159" s="2103"/>
      <c r="Q159" s="2103"/>
      <c r="R159" s="2103"/>
      <c r="S159" s="2103"/>
      <c r="T159" s="2103"/>
      <c r="U159" s="2103"/>
      <c r="V159" s="2103"/>
      <c r="W159" s="2103"/>
      <c r="X159" s="2103"/>
      <c r="Y159" s="2103"/>
      <c r="Z159" s="2103"/>
      <c r="AA159" s="2103"/>
      <c r="AB159" s="2103"/>
      <c r="AC159" s="2103"/>
      <c r="AD159" s="2103"/>
      <c r="AE159" s="2103"/>
      <c r="AF159" s="2103"/>
      <c r="AG159" s="2103"/>
      <c r="AH159" s="2103"/>
      <c r="AI159" s="2103"/>
      <c r="AJ159" s="570"/>
      <c r="AK159" s="570"/>
      <c r="AL159" s="570"/>
      <c r="AM159" s="637"/>
      <c r="AN159" s="631"/>
      <c r="AO159" s="510" t="s">
        <v>307</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1454</v>
      </c>
      <c r="AP160" s="633">
        <v>2</v>
      </c>
    </row>
    <row r="161" spans="1:73" s="584" customFormat="1" ht="12.75" customHeight="1">
      <c r="A161" s="570"/>
      <c r="B161" s="570"/>
      <c r="C161" s="573" t="s">
        <v>1461</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44" t="s">
        <v>598</v>
      </c>
      <c r="AG161" s="2044"/>
      <c r="AH161" s="570"/>
      <c r="AI161" s="570"/>
      <c r="AJ161" s="570"/>
      <c r="AK161" s="570"/>
      <c r="AL161" s="570"/>
      <c r="AM161" s="637"/>
      <c r="AN161" s="631"/>
      <c r="AO161" s="510" t="s">
        <v>1456</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2526</v>
      </c>
      <c r="AP162" s="633">
        <v>3</v>
      </c>
    </row>
    <row r="163" spans="1:73" s="584" customFormat="1" ht="12.75" customHeight="1">
      <c r="A163" s="570"/>
      <c r="B163" s="570"/>
      <c r="C163" s="2103" t="s">
        <v>1449</v>
      </c>
      <c r="D163" s="2103"/>
      <c r="E163" s="2103"/>
      <c r="F163" s="2103"/>
      <c r="G163" s="2103"/>
      <c r="H163" s="2103"/>
      <c r="I163" s="2103"/>
      <c r="J163" s="2103"/>
      <c r="K163" s="2103"/>
      <c r="L163" s="2103"/>
      <c r="M163" s="2103"/>
      <c r="N163" s="2103"/>
      <c r="O163" s="2103"/>
      <c r="P163" s="2103"/>
      <c r="Q163" s="2103"/>
      <c r="R163" s="2103"/>
      <c r="S163" s="2103"/>
      <c r="T163" s="2103"/>
      <c r="U163" s="2103"/>
      <c r="V163" s="2103"/>
      <c r="W163" s="2103"/>
      <c r="X163" s="2103"/>
      <c r="Y163" s="2103"/>
      <c r="Z163" s="2103"/>
      <c r="AA163" s="2103"/>
      <c r="AB163" s="2103"/>
      <c r="AC163" s="2103"/>
      <c r="AD163" s="2103"/>
      <c r="AE163" s="570"/>
      <c r="AF163" s="570"/>
      <c r="AG163" s="570"/>
      <c r="AH163" s="570"/>
      <c r="AI163" s="570"/>
      <c r="AJ163" s="570"/>
      <c r="AK163" s="570"/>
      <c r="AL163" s="570"/>
      <c r="AM163" s="637"/>
      <c r="AN163" s="631"/>
      <c r="AO163" s="636"/>
      <c r="AP163" s="633"/>
    </row>
    <row r="164" spans="1:73" s="584" customFormat="1" ht="12.75" customHeight="1">
      <c r="A164" s="570"/>
      <c r="B164" s="570"/>
      <c r="C164" s="573" t="s">
        <v>1453</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1463</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1449</v>
      </c>
      <c r="AP166" s="510"/>
    </row>
    <row r="167" spans="1:73" s="584" customFormat="1" ht="12.75" customHeight="1">
      <c r="A167" s="570"/>
      <c r="B167" s="570"/>
      <c r="C167" s="2104" t="str">
        <f>Application!AA335</f>
        <v>Solari Enterprises, Inc.</v>
      </c>
      <c r="D167" s="2104"/>
      <c r="E167" s="2104"/>
      <c r="F167" s="2104"/>
      <c r="G167" s="2104"/>
      <c r="H167" s="2104"/>
      <c r="I167" s="2104"/>
      <c r="J167" s="2104"/>
      <c r="K167" s="2104"/>
      <c r="L167" s="2104"/>
      <c r="M167" s="2104"/>
      <c r="N167" s="2104"/>
      <c r="O167" s="2104"/>
      <c r="P167" s="2104"/>
      <c r="Q167" s="2104"/>
      <c r="R167" s="2104"/>
      <c r="S167" s="2104"/>
      <c r="T167" s="2104"/>
      <c r="U167" s="2104"/>
      <c r="V167" s="2104"/>
      <c r="W167" s="2104"/>
      <c r="X167" s="2104"/>
      <c r="Y167" s="2104"/>
      <c r="Z167" s="2104"/>
      <c r="AA167" s="2104"/>
      <c r="AB167" s="2104"/>
      <c r="AC167" s="2104"/>
      <c r="AD167" s="2104"/>
      <c r="AE167" s="570"/>
      <c r="AF167" s="570"/>
      <c r="AG167" s="570"/>
      <c r="AH167" s="570"/>
      <c r="AI167" s="570"/>
      <c r="AJ167" s="570"/>
      <c r="AK167" s="570"/>
      <c r="AL167" s="570"/>
      <c r="AM167" s="637"/>
      <c r="AN167" s="631"/>
      <c r="AO167" s="510" t="s">
        <v>1460</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1462</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1464</v>
      </c>
      <c r="AJ169" s="1967">
        <f>IF($AF$161="N/A",VLOOKUP($C$159,$AO$159:$AP$162,2,FALSE),VLOOKUP($C$163,$AO$166:$AP$168,2,FALSE))</f>
        <v>3</v>
      </c>
      <c r="AK169" s="1967"/>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1465</v>
      </c>
      <c r="AK172" s="2097">
        <f>$AJ$155+$AJ$169</f>
        <v>10</v>
      </c>
      <c r="AL172" s="2098"/>
      <c r="AM172" s="2099"/>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1466</v>
      </c>
      <c r="AQ174" s="646">
        <v>0</v>
      </c>
    </row>
    <row r="175" spans="1:73" s="584" customFormat="1" ht="12.75" customHeight="1">
      <c r="A175" s="572" t="s">
        <v>1467</v>
      </c>
      <c r="B175" s="572" t="s">
        <v>1912</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41" t="s">
        <v>1420</v>
      </c>
      <c r="AF175" s="1941"/>
      <c r="AG175" s="1941"/>
      <c r="AH175" s="1941"/>
      <c r="AI175" s="1941"/>
      <c r="AJ175" s="1941"/>
      <c r="AK175" s="1941"/>
      <c r="AL175" s="625"/>
      <c r="AN175" s="631"/>
      <c r="AP175" s="584" t="s">
        <v>1062</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1468</v>
      </c>
      <c r="AQ176" s="584">
        <v>10</v>
      </c>
    </row>
    <row r="177" spans="1:45" s="584" customFormat="1" ht="12.75" customHeight="1">
      <c r="A177" s="570"/>
      <c r="B177" s="2100" t="s">
        <v>1064</v>
      </c>
      <c r="C177" s="2100"/>
      <c r="D177" s="2100"/>
      <c r="E177" s="2100"/>
      <c r="F177" s="2100"/>
      <c r="G177" s="2100"/>
      <c r="H177" s="2100"/>
      <c r="I177" s="2100"/>
      <c r="J177" s="2100"/>
      <c r="K177" s="2100"/>
      <c r="L177" s="2100"/>
      <c r="M177" s="2100"/>
      <c r="N177" s="2100"/>
      <c r="O177" s="2100"/>
      <c r="P177" s="2100"/>
      <c r="Q177" s="2100"/>
      <c r="R177" s="2100"/>
      <c r="S177" s="2100"/>
      <c r="T177" s="2100"/>
      <c r="U177" s="2100"/>
      <c r="V177" s="2100"/>
      <c r="W177" s="2100"/>
      <c r="X177" s="2100"/>
      <c r="Y177" s="2100"/>
      <c r="Z177" s="2100"/>
      <c r="AA177" s="2100"/>
      <c r="AB177" s="2100"/>
      <c r="AC177" s="2100"/>
      <c r="AD177" s="570"/>
      <c r="AE177" s="570"/>
      <c r="AF177" s="2008" t="s">
        <v>1469</v>
      </c>
      <c r="AG177" s="2008"/>
      <c r="AH177" s="2008"/>
      <c r="AI177" s="2008"/>
      <c r="AJ177" s="2008"/>
      <c r="AK177" s="2008"/>
      <c r="AL177" s="2008"/>
      <c r="AN177" s="631"/>
      <c r="AP177" s="584" t="s">
        <v>1064</v>
      </c>
      <c r="AQ177" s="584">
        <v>10</v>
      </c>
    </row>
    <row r="178" spans="1:45" s="584" customFormat="1" ht="12.75" customHeight="1">
      <c r="A178" s="570"/>
      <c r="B178" s="2101" t="s">
        <v>1911</v>
      </c>
      <c r="C178" s="2101"/>
      <c r="D178" s="2101"/>
      <c r="E178" s="2101"/>
      <c r="F178" s="2101"/>
      <c r="G178" s="2101"/>
      <c r="H178" s="2101"/>
      <c r="I178" s="2101"/>
      <c r="J178" s="2101"/>
      <c r="K178" s="2101"/>
      <c r="L178" s="2101"/>
      <c r="M178" s="2101"/>
      <c r="N178" s="2101"/>
      <c r="O178" s="2101"/>
      <c r="P178" s="2101"/>
      <c r="Q178" s="2101"/>
      <c r="R178" s="2101"/>
      <c r="S178" s="2101"/>
      <c r="T178" s="2102" t="s">
        <v>598</v>
      </c>
      <c r="U178" s="2102"/>
      <c r="V178" s="2102"/>
      <c r="W178" s="2102"/>
      <c r="X178" s="2102"/>
      <c r="Y178" s="2102"/>
      <c r="Z178" s="2102"/>
      <c r="AA178" s="2102"/>
      <c r="AB178" s="2102"/>
      <c r="AC178" s="2102"/>
      <c r="AD178" s="570"/>
      <c r="AE178" s="570"/>
      <c r="AF178" s="570"/>
      <c r="AG178" s="570"/>
      <c r="AH178" s="570"/>
      <c r="AI178" s="570"/>
      <c r="AJ178" s="577"/>
      <c r="AK178" s="629"/>
      <c r="AL178" s="629"/>
      <c r="AM178" s="629"/>
      <c r="AN178" s="631"/>
      <c r="AP178" s="584" t="s">
        <v>1470</v>
      </c>
      <c r="AQ178" s="584">
        <v>10</v>
      </c>
      <c r="AS178" s="584" t="s">
        <v>598</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1473</v>
      </c>
      <c r="AQ179" s="584">
        <v>10</v>
      </c>
      <c r="AS179" s="584" t="s">
        <v>1471</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1472</v>
      </c>
      <c r="AK180" s="1935">
        <f>IF(AK78&gt;0,VLOOKUP($B$177,AP174:AQ180,2,FALSE),0)</f>
        <v>10</v>
      </c>
      <c r="AL180" s="1936"/>
      <c r="AM180" s="1937"/>
      <c r="AN180" s="569"/>
      <c r="AP180" s="584" t="s">
        <v>1475</v>
      </c>
      <c r="AQ180" s="584">
        <v>10</v>
      </c>
      <c r="AS180" s="584" t="s">
        <v>1474</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1476</v>
      </c>
      <c r="B183" s="572" t="s">
        <v>1477</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41" t="s">
        <v>1478</v>
      </c>
      <c r="AF183" s="1941"/>
      <c r="AG183" s="1941"/>
      <c r="AH183" s="1941"/>
      <c r="AI183" s="1941"/>
      <c r="AJ183" s="1941"/>
      <c r="AK183" s="1941"/>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1696</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1732</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94" t="s">
        <v>2761</v>
      </c>
      <c r="C188" s="2094"/>
      <c r="D188" s="2094"/>
      <c r="E188" s="2094"/>
      <c r="F188" s="2094"/>
      <c r="G188" s="2094"/>
      <c r="H188" s="2094"/>
      <c r="I188" s="2094"/>
      <c r="J188" s="2094"/>
      <c r="K188" s="2094"/>
      <c r="L188" s="2094"/>
      <c r="M188" s="2094"/>
      <c r="N188" s="2094"/>
      <c r="O188" s="2094"/>
      <c r="P188" s="2094"/>
      <c r="Q188" s="2094"/>
      <c r="R188" s="2094"/>
      <c r="S188" s="2094"/>
      <c r="T188" s="2094"/>
      <c r="U188" s="2094"/>
      <c r="V188" s="2094"/>
      <c r="W188" s="2094"/>
      <c r="X188" s="2094"/>
      <c r="Y188" s="2094"/>
      <c r="Z188" s="2094"/>
      <c r="AA188" s="2094"/>
      <c r="AB188" s="2094"/>
      <c r="AC188" s="880"/>
      <c r="AD188" s="2084">
        <v>20810339</v>
      </c>
      <c r="AE188" s="2084"/>
      <c r="AF188" s="2084"/>
      <c r="AG188" s="2084"/>
      <c r="AH188" s="2084"/>
      <c r="AI188" s="2084"/>
      <c r="AJ188" s="2084"/>
      <c r="AK188" s="644"/>
    </row>
    <row r="189" spans="1:45">
      <c r="A189" s="639"/>
      <c r="B189" s="2094"/>
      <c r="C189" s="2094"/>
      <c r="D189" s="2094"/>
      <c r="E189" s="2094"/>
      <c r="F189" s="2094"/>
      <c r="G189" s="2094"/>
      <c r="H189" s="2094"/>
      <c r="I189" s="2094"/>
      <c r="J189" s="2094"/>
      <c r="K189" s="2094"/>
      <c r="L189" s="2094"/>
      <c r="M189" s="2094"/>
      <c r="N189" s="2094"/>
      <c r="O189" s="2094"/>
      <c r="P189" s="2094"/>
      <c r="Q189" s="2094"/>
      <c r="R189" s="2094"/>
      <c r="S189" s="2094"/>
      <c r="T189" s="2094"/>
      <c r="U189" s="2094"/>
      <c r="V189" s="2094"/>
      <c r="W189" s="2094"/>
      <c r="X189" s="2094"/>
      <c r="Y189" s="2094"/>
      <c r="Z189" s="2094"/>
      <c r="AA189" s="2094"/>
      <c r="AB189" s="2094"/>
      <c r="AC189" s="880"/>
      <c r="AD189" s="2084"/>
      <c r="AE189" s="2084"/>
      <c r="AF189" s="2084"/>
      <c r="AG189" s="2084"/>
      <c r="AH189" s="2084"/>
      <c r="AI189" s="2084"/>
      <c r="AJ189" s="2084"/>
      <c r="AK189" s="644"/>
    </row>
    <row r="190" spans="1:45">
      <c r="A190" s="639"/>
      <c r="B190" s="2094"/>
      <c r="C190" s="2094"/>
      <c r="D190" s="2094"/>
      <c r="E190" s="2094"/>
      <c r="F190" s="2094"/>
      <c r="G190" s="2094"/>
      <c r="H190" s="2094"/>
      <c r="I190" s="2094"/>
      <c r="J190" s="2094"/>
      <c r="K190" s="2094"/>
      <c r="L190" s="2094"/>
      <c r="M190" s="2094"/>
      <c r="N190" s="2094"/>
      <c r="O190" s="2094"/>
      <c r="P190" s="2094"/>
      <c r="Q190" s="2094"/>
      <c r="R190" s="2094"/>
      <c r="S190" s="2094"/>
      <c r="T190" s="2094"/>
      <c r="U190" s="2094"/>
      <c r="V190" s="2094"/>
      <c r="W190" s="2094"/>
      <c r="X190" s="2094"/>
      <c r="Y190" s="2094"/>
      <c r="Z190" s="2094"/>
      <c r="AA190" s="2094"/>
      <c r="AB190" s="2094"/>
      <c r="AC190" s="880"/>
      <c r="AD190" s="2084"/>
      <c r="AE190" s="2084"/>
      <c r="AF190" s="2084"/>
      <c r="AG190" s="2084"/>
      <c r="AH190" s="2084"/>
      <c r="AI190" s="2084"/>
      <c r="AJ190" s="2084"/>
      <c r="AK190" s="644"/>
    </row>
    <row r="191" spans="1:45">
      <c r="A191" s="639"/>
      <c r="B191" s="2094"/>
      <c r="C191" s="2094"/>
      <c r="D191" s="2094"/>
      <c r="E191" s="2094"/>
      <c r="F191" s="2094"/>
      <c r="G191" s="2094"/>
      <c r="H191" s="2094"/>
      <c r="I191" s="2094"/>
      <c r="J191" s="2094"/>
      <c r="K191" s="2094"/>
      <c r="L191" s="2094"/>
      <c r="M191" s="2094"/>
      <c r="N191" s="2094"/>
      <c r="O191" s="2094"/>
      <c r="P191" s="2094"/>
      <c r="Q191" s="2094"/>
      <c r="R191" s="2094"/>
      <c r="S191" s="2094"/>
      <c r="T191" s="2094"/>
      <c r="U191" s="2094"/>
      <c r="V191" s="2094"/>
      <c r="W191" s="2094"/>
      <c r="X191" s="2094"/>
      <c r="Y191" s="2094"/>
      <c r="Z191" s="2094"/>
      <c r="AA191" s="2094"/>
      <c r="AB191" s="2094"/>
      <c r="AC191" s="880"/>
      <c r="AD191" s="2084"/>
      <c r="AE191" s="2084"/>
      <c r="AF191" s="2084"/>
      <c r="AG191" s="2084"/>
      <c r="AH191" s="2084"/>
      <c r="AI191" s="2084"/>
      <c r="AJ191" s="2084"/>
      <c r="AK191" s="644"/>
    </row>
    <row r="192" spans="1:45">
      <c r="A192" s="639"/>
      <c r="B192" s="2094"/>
      <c r="C192" s="2094"/>
      <c r="D192" s="2094"/>
      <c r="E192" s="2094"/>
      <c r="F192" s="2094"/>
      <c r="G192" s="2094"/>
      <c r="H192" s="2094"/>
      <c r="I192" s="2094"/>
      <c r="J192" s="2094"/>
      <c r="K192" s="2094"/>
      <c r="L192" s="2094"/>
      <c r="M192" s="2094"/>
      <c r="N192" s="2094"/>
      <c r="O192" s="2094"/>
      <c r="P192" s="2094"/>
      <c r="Q192" s="2094"/>
      <c r="R192" s="2094"/>
      <c r="S192" s="2094"/>
      <c r="T192" s="2094"/>
      <c r="U192" s="2094"/>
      <c r="V192" s="2094"/>
      <c r="W192" s="2094"/>
      <c r="X192" s="2094"/>
      <c r="Y192" s="2094"/>
      <c r="Z192" s="2094"/>
      <c r="AA192" s="2094"/>
      <c r="AB192" s="2094"/>
      <c r="AC192" s="880"/>
      <c r="AD192" s="2084"/>
      <c r="AE192" s="2084"/>
      <c r="AF192" s="2084"/>
      <c r="AG192" s="2084"/>
      <c r="AH192" s="2084"/>
      <c r="AI192" s="2084"/>
      <c r="AJ192" s="2084"/>
      <c r="AK192" s="644"/>
    </row>
    <row r="193" spans="1:37">
      <c r="A193" s="639"/>
      <c r="B193" s="2094"/>
      <c r="C193" s="2094"/>
      <c r="D193" s="2094"/>
      <c r="E193" s="2094"/>
      <c r="F193" s="2094"/>
      <c r="G193" s="2094"/>
      <c r="H193" s="2094"/>
      <c r="I193" s="2094"/>
      <c r="J193" s="2094"/>
      <c r="K193" s="2094"/>
      <c r="L193" s="2094"/>
      <c r="M193" s="2094"/>
      <c r="N193" s="2094"/>
      <c r="O193" s="2094"/>
      <c r="P193" s="2094"/>
      <c r="Q193" s="2094"/>
      <c r="R193" s="2094"/>
      <c r="S193" s="2094"/>
      <c r="T193" s="2094"/>
      <c r="U193" s="2094"/>
      <c r="V193" s="2094"/>
      <c r="W193" s="2094"/>
      <c r="X193" s="2094"/>
      <c r="Y193" s="2094"/>
      <c r="Z193" s="2094"/>
      <c r="AA193" s="2094"/>
      <c r="AB193" s="2094"/>
      <c r="AC193" s="880"/>
      <c r="AD193" s="2084"/>
      <c r="AE193" s="2084"/>
      <c r="AF193" s="2084"/>
      <c r="AG193" s="2084"/>
      <c r="AH193" s="2084"/>
      <c r="AI193" s="2084"/>
      <c r="AJ193" s="2084"/>
      <c r="AK193" s="644"/>
    </row>
    <row r="194" spans="1:37">
      <c r="A194" s="639"/>
      <c r="B194" s="2094"/>
      <c r="C194" s="2094"/>
      <c r="D194" s="2094"/>
      <c r="E194" s="2094"/>
      <c r="F194" s="2094"/>
      <c r="G194" s="2094"/>
      <c r="H194" s="2094"/>
      <c r="I194" s="2094"/>
      <c r="J194" s="2094"/>
      <c r="K194" s="2094"/>
      <c r="L194" s="2094"/>
      <c r="M194" s="2094"/>
      <c r="N194" s="2094"/>
      <c r="O194" s="2094"/>
      <c r="P194" s="2094"/>
      <c r="Q194" s="2094"/>
      <c r="R194" s="2094"/>
      <c r="S194" s="2094"/>
      <c r="T194" s="2094"/>
      <c r="U194" s="2094"/>
      <c r="V194" s="2094"/>
      <c r="W194" s="2094"/>
      <c r="X194" s="2094"/>
      <c r="Y194" s="2094"/>
      <c r="Z194" s="2094"/>
      <c r="AA194" s="2094"/>
      <c r="AB194" s="2094"/>
      <c r="AC194" s="880"/>
      <c r="AD194" s="2084"/>
      <c r="AE194" s="2084"/>
      <c r="AF194" s="2084"/>
      <c r="AG194" s="2084"/>
      <c r="AH194" s="2084"/>
      <c r="AI194" s="2084"/>
      <c r="AJ194" s="2084"/>
      <c r="AK194" s="644"/>
    </row>
    <row r="195" spans="1:37">
      <c r="A195" s="639"/>
      <c r="B195" s="2094"/>
      <c r="C195" s="2094"/>
      <c r="D195" s="2094"/>
      <c r="E195" s="2094"/>
      <c r="F195" s="2094"/>
      <c r="G195" s="2094"/>
      <c r="H195" s="2094"/>
      <c r="I195" s="2094"/>
      <c r="J195" s="2094"/>
      <c r="K195" s="2094"/>
      <c r="L195" s="2094"/>
      <c r="M195" s="2094"/>
      <c r="N195" s="2094"/>
      <c r="O195" s="2094"/>
      <c r="P195" s="2094"/>
      <c r="Q195" s="2094"/>
      <c r="R195" s="2094"/>
      <c r="S195" s="2094"/>
      <c r="T195" s="2094"/>
      <c r="U195" s="2094"/>
      <c r="V195" s="2094"/>
      <c r="W195" s="2094"/>
      <c r="X195" s="2094"/>
      <c r="Y195" s="2094"/>
      <c r="Z195" s="2094"/>
      <c r="AA195" s="2094"/>
      <c r="AB195" s="2094"/>
      <c r="AC195" s="880"/>
      <c r="AD195" s="2084"/>
      <c r="AE195" s="2084"/>
      <c r="AF195" s="2084"/>
      <c r="AG195" s="2084"/>
      <c r="AH195" s="2084"/>
      <c r="AI195" s="2084"/>
      <c r="AJ195" s="2084"/>
      <c r="AK195" s="644"/>
    </row>
    <row r="196" spans="1:37">
      <c r="A196" s="639"/>
      <c r="B196" s="2094"/>
      <c r="C196" s="2094"/>
      <c r="D196" s="2094"/>
      <c r="E196" s="2094"/>
      <c r="F196" s="2094"/>
      <c r="G196" s="2094"/>
      <c r="H196" s="2094"/>
      <c r="I196" s="2094"/>
      <c r="J196" s="2094"/>
      <c r="K196" s="2094"/>
      <c r="L196" s="2094"/>
      <c r="M196" s="2094"/>
      <c r="N196" s="2094"/>
      <c r="O196" s="2094"/>
      <c r="P196" s="2094"/>
      <c r="Q196" s="2094"/>
      <c r="R196" s="2094"/>
      <c r="S196" s="2094"/>
      <c r="T196" s="2094"/>
      <c r="U196" s="2094"/>
      <c r="V196" s="2094"/>
      <c r="W196" s="2094"/>
      <c r="X196" s="2094"/>
      <c r="Y196" s="2094"/>
      <c r="Z196" s="2094"/>
      <c r="AA196" s="2094"/>
      <c r="AB196" s="2094"/>
      <c r="AC196" s="880"/>
      <c r="AD196" s="2084"/>
      <c r="AE196" s="2084"/>
      <c r="AF196" s="2084"/>
      <c r="AG196" s="2084"/>
      <c r="AH196" s="2084"/>
      <c r="AI196" s="2084"/>
      <c r="AJ196" s="2084"/>
      <c r="AK196" s="644"/>
    </row>
    <row r="197" spans="1:37">
      <c r="A197" s="639"/>
      <c r="B197" s="2094"/>
      <c r="C197" s="2094"/>
      <c r="D197" s="2094"/>
      <c r="E197" s="2094"/>
      <c r="F197" s="2094"/>
      <c r="G197" s="2094"/>
      <c r="H197" s="2094"/>
      <c r="I197" s="2094"/>
      <c r="J197" s="2094"/>
      <c r="K197" s="2094"/>
      <c r="L197" s="2094"/>
      <c r="M197" s="2094"/>
      <c r="N197" s="2094"/>
      <c r="O197" s="2094"/>
      <c r="P197" s="2094"/>
      <c r="Q197" s="2094"/>
      <c r="R197" s="2094"/>
      <c r="S197" s="2094"/>
      <c r="T197" s="2094"/>
      <c r="U197" s="2094"/>
      <c r="V197" s="2094"/>
      <c r="W197" s="2094"/>
      <c r="X197" s="2094"/>
      <c r="Y197" s="2094"/>
      <c r="Z197" s="2094"/>
      <c r="AA197" s="2094"/>
      <c r="AB197" s="2094"/>
      <c r="AC197" s="880"/>
      <c r="AD197" s="2084"/>
      <c r="AE197" s="2084"/>
      <c r="AF197" s="2084"/>
      <c r="AG197" s="2084"/>
      <c r="AH197" s="2084"/>
      <c r="AI197" s="2084"/>
      <c r="AJ197" s="2084"/>
      <c r="AK197" s="644"/>
    </row>
    <row r="198" spans="1:37">
      <c r="A198" s="639"/>
      <c r="B198" s="1955" t="s">
        <v>1734</v>
      </c>
      <c r="C198" s="1955"/>
      <c r="D198" s="1955"/>
      <c r="E198" s="1955"/>
      <c r="F198" s="1955"/>
      <c r="G198" s="1955"/>
      <c r="H198" s="1955"/>
      <c r="I198" s="1955"/>
      <c r="J198" s="1955"/>
      <c r="K198" s="1955"/>
      <c r="L198" s="1955"/>
      <c r="M198" s="1955"/>
      <c r="N198" s="1955"/>
      <c r="O198" s="1955"/>
      <c r="P198" s="1955"/>
      <c r="Q198" s="1955"/>
      <c r="R198" s="1955"/>
      <c r="S198" s="1955"/>
      <c r="T198" s="1955"/>
      <c r="U198" s="1955"/>
      <c r="V198" s="1955"/>
      <c r="W198" s="1955"/>
      <c r="X198" s="1955"/>
      <c r="Y198" s="1955"/>
      <c r="Z198" s="1955"/>
      <c r="AA198" s="1955"/>
      <c r="AB198" s="1955"/>
      <c r="AC198" s="570"/>
      <c r="AD198" s="2082">
        <f>AB249</f>
        <v>4231126.3103293506</v>
      </c>
      <c r="AE198" s="2082"/>
      <c r="AF198" s="2082"/>
      <c r="AG198" s="2082"/>
      <c r="AH198" s="2082"/>
      <c r="AI198" s="2082"/>
      <c r="AJ198" s="2082"/>
      <c r="AK198" s="644"/>
    </row>
    <row r="199" spans="1:37">
      <c r="A199" s="639"/>
      <c r="B199" s="1953" t="s">
        <v>1697</v>
      </c>
      <c r="C199" s="1953"/>
      <c r="D199" s="1953"/>
      <c r="E199" s="1953"/>
      <c r="F199" s="1953"/>
      <c r="G199" s="1953"/>
      <c r="H199" s="1953"/>
      <c r="I199" s="1953"/>
      <c r="J199" s="1953"/>
      <c r="K199" s="1953"/>
      <c r="L199" s="1953"/>
      <c r="M199" s="1953"/>
      <c r="N199" s="1953"/>
      <c r="O199" s="1953"/>
      <c r="P199" s="1953"/>
      <c r="Q199" s="1953"/>
      <c r="R199" s="1953"/>
      <c r="S199" s="1953"/>
      <c r="T199" s="1953"/>
      <c r="U199" s="1953"/>
      <c r="V199" s="1953"/>
      <c r="W199" s="1953"/>
      <c r="X199" s="1953"/>
      <c r="Y199" s="1953"/>
      <c r="Z199" s="1953"/>
      <c r="AA199" s="1953"/>
      <c r="AB199" s="1953"/>
      <c r="AC199" s="880"/>
      <c r="AD199" s="2083">
        <f>'Sources and Uses Budget'!B15</f>
        <v>0</v>
      </c>
      <c r="AE199" s="2083"/>
      <c r="AF199" s="2083"/>
      <c r="AG199" s="2083"/>
      <c r="AH199" s="2083"/>
      <c r="AI199" s="2083"/>
      <c r="AJ199" s="2083"/>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913</v>
      </c>
      <c r="AC200" s="570"/>
      <c r="AD200" s="2088">
        <f>SUM(AD188:AJ198)-AD199</f>
        <v>25041465.310329352</v>
      </c>
      <c r="AE200" s="2088"/>
      <c r="AF200" s="2088"/>
      <c r="AG200" s="2088"/>
      <c r="AH200" s="2088"/>
      <c r="AI200" s="2088"/>
      <c r="AJ200" s="2088"/>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1702</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1733</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1704</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1705</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2333</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1706</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1707</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1744</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108" t="s">
        <v>1714</v>
      </c>
      <c r="J211" s="2108"/>
      <c r="K211" s="2108"/>
      <c r="L211" s="570"/>
      <c r="M211" s="570"/>
      <c r="N211" s="570"/>
      <c r="O211" s="570"/>
      <c r="P211" s="570"/>
      <c r="Q211" s="570"/>
      <c r="R211" s="570"/>
      <c r="S211" s="570"/>
      <c r="T211" s="1919" t="s">
        <v>1708</v>
      </c>
      <c r="U211" s="1919"/>
      <c r="V211" s="1919"/>
      <c r="W211" s="1919"/>
      <c r="X211" s="1919"/>
      <c r="Y211" s="1919"/>
      <c r="Z211" s="883"/>
      <c r="AA211" s="523"/>
      <c r="AB211" s="2105" t="s">
        <v>1709</v>
      </c>
      <c r="AC211" s="2105"/>
      <c r="AD211" s="2105"/>
      <c r="AE211" s="2105"/>
      <c r="AF211" s="2105"/>
      <c r="AG211" s="2105"/>
      <c r="AH211" s="861"/>
      <c r="AI211" s="861"/>
      <c r="AJ211" s="861"/>
      <c r="AK211" s="644"/>
    </row>
    <row r="212" spans="1:37">
      <c r="A212" s="639"/>
      <c r="B212" s="2106" t="s">
        <v>1694</v>
      </c>
      <c r="C212" s="2106"/>
      <c r="D212" s="2106"/>
      <c r="E212" s="2106"/>
      <c r="F212" s="2106"/>
      <c r="G212" s="2106"/>
      <c r="I212" s="2107" t="s">
        <v>1715</v>
      </c>
      <c r="J212" s="2107"/>
      <c r="K212" s="2107"/>
      <c r="L212" s="1043"/>
      <c r="N212" s="1954" t="s">
        <v>1710</v>
      </c>
      <c r="O212" s="1954"/>
      <c r="P212" s="1954"/>
      <c r="Q212" s="1954"/>
      <c r="R212" s="1954"/>
      <c r="T212" s="1954" t="s">
        <v>1711</v>
      </c>
      <c r="U212" s="1954"/>
      <c r="V212" s="1954"/>
      <c r="W212" s="1954"/>
      <c r="X212" s="1954"/>
      <c r="Y212" s="1954"/>
      <c r="Z212" s="884"/>
      <c r="AA212" s="523"/>
      <c r="AB212" s="1957" t="s">
        <v>1712</v>
      </c>
      <c r="AC212" s="1957"/>
      <c r="AD212" s="1957"/>
      <c r="AE212" s="1957"/>
      <c r="AF212" s="1957"/>
      <c r="AG212" s="1957"/>
      <c r="AH212" s="861"/>
      <c r="AI212" s="861"/>
      <c r="AJ212" s="861"/>
      <c r="AK212" s="644"/>
    </row>
    <row r="213" spans="1:37">
      <c r="A213" s="639"/>
      <c r="B213" s="1956" t="s">
        <v>324</v>
      </c>
      <c r="C213" s="1956"/>
      <c r="D213" s="1956"/>
      <c r="E213" s="1956"/>
      <c r="F213" s="1956"/>
      <c r="G213" s="1956"/>
      <c r="H213" s="886"/>
      <c r="I213" s="1924">
        <v>14</v>
      </c>
      <c r="J213" s="1924"/>
      <c r="K213" s="1924"/>
      <c r="L213" s="1043"/>
      <c r="N213" s="1921">
        <v>1028</v>
      </c>
      <c r="O213" s="1921"/>
      <c r="P213" s="1921"/>
      <c r="Q213" s="1921"/>
      <c r="R213" s="1921"/>
      <c r="T213" s="1920">
        <f>'Subsidy Contract Calculation'!F4</f>
        <v>2407</v>
      </c>
      <c r="U213" s="1920"/>
      <c r="V213" s="1920"/>
      <c r="W213" s="1920"/>
      <c r="X213" s="1920"/>
      <c r="Y213" s="1920"/>
      <c r="Z213" s="885"/>
      <c r="AA213" s="885"/>
      <c r="AB213" s="1918">
        <f t="shared" ref="AB213:AB222" si="0">MAX(($T213-$N213)*$I213*12,0)</f>
        <v>231672</v>
      </c>
      <c r="AC213" s="1918"/>
      <c r="AD213" s="1918"/>
      <c r="AE213" s="1918"/>
      <c r="AF213" s="1918"/>
      <c r="AG213" s="1918"/>
      <c r="AH213" s="861"/>
      <c r="AI213" s="861"/>
      <c r="AJ213" s="861"/>
      <c r="AK213" s="644"/>
    </row>
    <row r="214" spans="1:37">
      <c r="A214" s="639"/>
      <c r="B214" s="1956" t="s">
        <v>2762</v>
      </c>
      <c r="C214" s="1956"/>
      <c r="D214" s="1956"/>
      <c r="E214" s="1956"/>
      <c r="F214" s="1956"/>
      <c r="G214" s="1956"/>
      <c r="I214" s="1924">
        <v>10</v>
      </c>
      <c r="J214" s="1924"/>
      <c r="K214" s="1924"/>
      <c r="L214" s="1043"/>
      <c r="N214" s="1921">
        <v>1101</v>
      </c>
      <c r="O214" s="1921"/>
      <c r="P214" s="1921"/>
      <c r="Q214" s="1921"/>
      <c r="R214" s="1921"/>
      <c r="T214" s="1920">
        <f>'Subsidy Contract Calculation'!F8</f>
        <v>2959</v>
      </c>
      <c r="U214" s="1920"/>
      <c r="V214" s="1920"/>
      <c r="W214" s="1920"/>
      <c r="X214" s="1920"/>
      <c r="Y214" s="1920"/>
      <c r="Z214" s="885"/>
      <c r="AA214" s="885"/>
      <c r="AB214" s="1918">
        <f t="shared" si="0"/>
        <v>222960</v>
      </c>
      <c r="AC214" s="1918"/>
      <c r="AD214" s="1918"/>
      <c r="AE214" s="1918"/>
      <c r="AF214" s="1918"/>
      <c r="AG214" s="1918"/>
      <c r="AH214" s="861"/>
      <c r="AI214" s="861"/>
      <c r="AJ214" s="861"/>
      <c r="AK214" s="644"/>
    </row>
    <row r="215" spans="1:37">
      <c r="A215" s="639"/>
      <c r="B215" s="1956" t="s">
        <v>1287</v>
      </c>
      <c r="C215" s="1956"/>
      <c r="D215" s="1956"/>
      <c r="E215" s="1956"/>
      <c r="F215" s="1956"/>
      <c r="G215" s="1956"/>
      <c r="I215" s="1924"/>
      <c r="J215" s="1924"/>
      <c r="K215" s="1924"/>
      <c r="L215" s="1043"/>
      <c r="N215" s="1921"/>
      <c r="O215" s="1921"/>
      <c r="P215" s="1921"/>
      <c r="Q215" s="1921"/>
      <c r="R215" s="1921"/>
      <c r="T215" s="1920"/>
      <c r="U215" s="1920"/>
      <c r="V215" s="1920"/>
      <c r="W215" s="1920"/>
      <c r="X215" s="1920"/>
      <c r="Y215" s="1920"/>
      <c r="Z215" s="885"/>
      <c r="AA215" s="885"/>
      <c r="AB215" s="1918">
        <f t="shared" si="0"/>
        <v>0</v>
      </c>
      <c r="AC215" s="1918"/>
      <c r="AD215" s="1918"/>
      <c r="AE215" s="1918"/>
      <c r="AF215" s="1918"/>
      <c r="AG215" s="1918"/>
      <c r="AH215" s="861"/>
      <c r="AI215" s="861"/>
      <c r="AJ215" s="861"/>
      <c r="AK215" s="644"/>
    </row>
    <row r="216" spans="1:37">
      <c r="A216" s="639"/>
      <c r="B216" s="1956" t="s">
        <v>1287</v>
      </c>
      <c r="C216" s="1956"/>
      <c r="D216" s="1956"/>
      <c r="E216" s="1956"/>
      <c r="F216" s="1956"/>
      <c r="G216" s="1956"/>
      <c r="I216" s="1924"/>
      <c r="J216" s="1924"/>
      <c r="K216" s="1924"/>
      <c r="L216" s="1043"/>
      <c r="N216" s="1921"/>
      <c r="O216" s="1921"/>
      <c r="P216" s="1921"/>
      <c r="Q216" s="1921"/>
      <c r="R216" s="1921"/>
      <c r="T216" s="1920"/>
      <c r="U216" s="1920"/>
      <c r="V216" s="1920"/>
      <c r="W216" s="1920"/>
      <c r="X216" s="1920"/>
      <c r="Y216" s="1920"/>
      <c r="Z216" s="885"/>
      <c r="AA216" s="885"/>
      <c r="AB216" s="1918">
        <f t="shared" si="0"/>
        <v>0</v>
      </c>
      <c r="AC216" s="1918"/>
      <c r="AD216" s="1918"/>
      <c r="AE216" s="1918"/>
      <c r="AF216" s="1918"/>
      <c r="AG216" s="1918"/>
      <c r="AH216" s="861"/>
      <c r="AI216" s="861"/>
      <c r="AJ216" s="861"/>
      <c r="AK216" s="644"/>
    </row>
    <row r="217" spans="1:37">
      <c r="A217" s="639"/>
      <c r="B217" s="1956" t="s">
        <v>1287</v>
      </c>
      <c r="C217" s="1956"/>
      <c r="D217" s="1956"/>
      <c r="E217" s="1956"/>
      <c r="F217" s="1956"/>
      <c r="G217" s="1956"/>
      <c r="I217" s="1924"/>
      <c r="J217" s="1924"/>
      <c r="K217" s="1924"/>
      <c r="L217" s="1050"/>
      <c r="N217" s="1921"/>
      <c r="O217" s="1921"/>
      <c r="P217" s="1921"/>
      <c r="Q217" s="1921"/>
      <c r="R217" s="1921"/>
      <c r="T217" s="1920"/>
      <c r="U217" s="1920"/>
      <c r="V217" s="1920"/>
      <c r="W217" s="1920"/>
      <c r="X217" s="1920"/>
      <c r="Y217" s="1920"/>
      <c r="Z217" s="885"/>
      <c r="AA217" s="885"/>
      <c r="AB217" s="1918">
        <f t="shared" si="0"/>
        <v>0</v>
      </c>
      <c r="AC217" s="1918"/>
      <c r="AD217" s="1918"/>
      <c r="AE217" s="1918"/>
      <c r="AF217" s="1918"/>
      <c r="AG217" s="1918"/>
      <c r="AH217" s="861"/>
      <c r="AI217" s="861"/>
      <c r="AJ217" s="861"/>
      <c r="AK217" s="644"/>
    </row>
    <row r="218" spans="1:37">
      <c r="A218" s="639"/>
      <c r="B218" s="1956" t="s">
        <v>1287</v>
      </c>
      <c r="C218" s="1956"/>
      <c r="D218" s="1956"/>
      <c r="E218" s="1956"/>
      <c r="F218" s="1956"/>
      <c r="G218" s="1956"/>
      <c r="I218" s="1924"/>
      <c r="J218" s="1924"/>
      <c r="K218" s="1924"/>
      <c r="L218" s="1050"/>
      <c r="N218" s="1921"/>
      <c r="O218" s="1921"/>
      <c r="P218" s="1921"/>
      <c r="Q218" s="1921"/>
      <c r="R218" s="1921"/>
      <c r="T218" s="1920"/>
      <c r="U218" s="1920"/>
      <c r="V218" s="1920"/>
      <c r="W218" s="1920"/>
      <c r="X218" s="1920"/>
      <c r="Y218" s="1920"/>
      <c r="Z218" s="885"/>
      <c r="AA218" s="885"/>
      <c r="AB218" s="1918">
        <f t="shared" si="0"/>
        <v>0</v>
      </c>
      <c r="AC218" s="1918"/>
      <c r="AD218" s="1918"/>
      <c r="AE218" s="1918"/>
      <c r="AF218" s="1918"/>
      <c r="AG218" s="1918"/>
      <c r="AH218" s="861"/>
      <c r="AI218" s="861"/>
      <c r="AJ218" s="861"/>
      <c r="AK218" s="644"/>
    </row>
    <row r="219" spans="1:37">
      <c r="A219" s="639"/>
      <c r="B219" s="1956" t="s">
        <v>1287</v>
      </c>
      <c r="C219" s="1956"/>
      <c r="D219" s="1956"/>
      <c r="E219" s="1956"/>
      <c r="F219" s="1956"/>
      <c r="G219" s="1956"/>
      <c r="I219" s="1924"/>
      <c r="J219" s="1924"/>
      <c r="K219" s="1924"/>
      <c r="L219" s="1050"/>
      <c r="N219" s="1921"/>
      <c r="O219" s="1921"/>
      <c r="P219" s="1921"/>
      <c r="Q219" s="1921"/>
      <c r="R219" s="1921"/>
      <c r="T219" s="1920"/>
      <c r="U219" s="1920"/>
      <c r="V219" s="1920"/>
      <c r="W219" s="1920"/>
      <c r="X219" s="1920"/>
      <c r="Y219" s="1920"/>
      <c r="Z219" s="885"/>
      <c r="AA219" s="885"/>
      <c r="AB219" s="1918">
        <f t="shared" si="0"/>
        <v>0</v>
      </c>
      <c r="AC219" s="1918"/>
      <c r="AD219" s="1918"/>
      <c r="AE219" s="1918"/>
      <c r="AF219" s="1918"/>
      <c r="AG219" s="1918"/>
      <c r="AH219" s="861"/>
      <c r="AI219" s="861"/>
      <c r="AJ219" s="861"/>
      <c r="AK219" s="644"/>
    </row>
    <row r="220" spans="1:37">
      <c r="A220" s="639"/>
      <c r="B220" s="1956" t="s">
        <v>1287</v>
      </c>
      <c r="C220" s="1956"/>
      <c r="D220" s="1956"/>
      <c r="E220" s="1956"/>
      <c r="F220" s="1956"/>
      <c r="G220" s="1956"/>
      <c r="I220" s="1924"/>
      <c r="J220" s="1924"/>
      <c r="K220" s="1924"/>
      <c r="L220" s="1050"/>
      <c r="N220" s="1921"/>
      <c r="O220" s="1921"/>
      <c r="P220" s="1921"/>
      <c r="Q220" s="1921"/>
      <c r="R220" s="1921"/>
      <c r="T220" s="1920"/>
      <c r="U220" s="1920"/>
      <c r="V220" s="1920"/>
      <c r="W220" s="1920"/>
      <c r="X220" s="1920"/>
      <c r="Y220" s="1920"/>
      <c r="Z220" s="885"/>
      <c r="AA220" s="885"/>
      <c r="AB220" s="1918">
        <f t="shared" si="0"/>
        <v>0</v>
      </c>
      <c r="AC220" s="1918"/>
      <c r="AD220" s="1918"/>
      <c r="AE220" s="1918"/>
      <c r="AF220" s="1918"/>
      <c r="AG220" s="1918"/>
      <c r="AH220" s="861"/>
      <c r="AI220" s="861"/>
      <c r="AJ220" s="861"/>
      <c r="AK220" s="644"/>
    </row>
    <row r="221" spans="1:37">
      <c r="A221" s="639"/>
      <c r="B221" s="1956" t="s">
        <v>1287</v>
      </c>
      <c r="C221" s="1956"/>
      <c r="D221" s="1956"/>
      <c r="E221" s="1956"/>
      <c r="F221" s="1956"/>
      <c r="G221" s="1956"/>
      <c r="I221" s="1924"/>
      <c r="J221" s="1924"/>
      <c r="K221" s="1924"/>
      <c r="L221" s="1050"/>
      <c r="N221" s="1921"/>
      <c r="O221" s="1921"/>
      <c r="P221" s="1921"/>
      <c r="Q221" s="1921"/>
      <c r="R221" s="1921"/>
      <c r="T221" s="1920"/>
      <c r="U221" s="1920"/>
      <c r="V221" s="1920"/>
      <c r="W221" s="1920"/>
      <c r="X221" s="1920"/>
      <c r="Y221" s="1920"/>
      <c r="Z221" s="885"/>
      <c r="AA221" s="885"/>
      <c r="AB221" s="1918">
        <f t="shared" si="0"/>
        <v>0</v>
      </c>
      <c r="AC221" s="1918"/>
      <c r="AD221" s="1918"/>
      <c r="AE221" s="1918"/>
      <c r="AF221" s="1918"/>
      <c r="AG221" s="1918"/>
      <c r="AH221" s="861"/>
      <c r="AI221" s="861"/>
      <c r="AJ221" s="861"/>
      <c r="AK221" s="644"/>
    </row>
    <row r="222" spans="1:37">
      <c r="A222" s="639"/>
      <c r="B222" s="1956" t="s">
        <v>1287</v>
      </c>
      <c r="C222" s="1956"/>
      <c r="D222" s="1956"/>
      <c r="E222" s="1956"/>
      <c r="F222" s="1956"/>
      <c r="G222" s="1956"/>
      <c r="I222" s="2109"/>
      <c r="J222" s="2109"/>
      <c r="K222" s="2109"/>
      <c r="L222" s="1050"/>
      <c r="N222" s="1921"/>
      <c r="O222" s="1921"/>
      <c r="P222" s="1921"/>
      <c r="Q222" s="1921"/>
      <c r="R222" s="1921"/>
      <c r="T222" s="1920"/>
      <c r="U222" s="1920"/>
      <c r="V222" s="1920"/>
      <c r="W222" s="1920"/>
      <c r="X222" s="1920"/>
      <c r="Y222" s="1920"/>
      <c r="Z222" s="885"/>
      <c r="AA222" s="885"/>
      <c r="AB222" s="1925">
        <f t="shared" si="0"/>
        <v>0</v>
      </c>
      <c r="AC222" s="1925"/>
      <c r="AD222" s="1925"/>
      <c r="AE222" s="1925"/>
      <c r="AF222" s="1925"/>
      <c r="AG222" s="1925"/>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1713</v>
      </c>
      <c r="AA223" s="887"/>
      <c r="AB223" s="1918">
        <f>SUM(AB213:AB222)</f>
        <v>454632</v>
      </c>
      <c r="AC223" s="1918"/>
      <c r="AD223" s="1918"/>
      <c r="AE223" s="1918"/>
      <c r="AF223" s="1918"/>
      <c r="AG223" s="1918"/>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1703</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1731</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1729</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1723</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58"/>
      <c r="AC229" s="1958"/>
      <c r="AD229" s="1958"/>
      <c r="AE229" s="1958"/>
      <c r="AF229" s="1958"/>
      <c r="AG229" s="1958"/>
      <c r="AH229" s="644"/>
      <c r="AI229" s="644"/>
      <c r="AJ229" s="644"/>
      <c r="AK229" s="644"/>
    </row>
    <row r="230" spans="1:37">
      <c r="A230" s="639"/>
      <c r="B230" s="871" t="s">
        <v>1728</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1730</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1724</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58"/>
      <c r="AC232" s="1958"/>
      <c r="AD232" s="1958"/>
      <c r="AE232" s="1958"/>
      <c r="AF232" s="1958"/>
      <c r="AG232" s="1958"/>
      <c r="AH232" s="644"/>
      <c r="AI232" s="644"/>
      <c r="AJ232" s="644"/>
      <c r="AK232" s="644"/>
    </row>
    <row r="233" spans="1:37">
      <c r="A233" s="639"/>
      <c r="B233" s="872" t="s">
        <v>1725</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917"/>
      <c r="AC233" s="1917"/>
      <c r="AD233" s="1917"/>
      <c r="AE233" s="1917"/>
      <c r="AF233" s="1917"/>
      <c r="AG233" s="1917"/>
      <c r="AH233" s="644"/>
      <c r="AI233" s="644"/>
      <c r="AJ233" s="644"/>
      <c r="AK233" s="644"/>
    </row>
    <row r="234" spans="1:37">
      <c r="A234" s="639"/>
      <c r="B234" s="872" t="s">
        <v>1726</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26">
        <f>IFERROR(AB232/AB233,0)</f>
        <v>0</v>
      </c>
      <c r="AC234" s="1926"/>
      <c r="AD234" s="1926"/>
      <c r="AE234" s="1926"/>
      <c r="AF234" s="1926"/>
      <c r="AG234" s="1926"/>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1727</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25">
        <f>MAX(AB229,AB234)</f>
        <v>0</v>
      </c>
      <c r="AC236" s="1925"/>
      <c r="AD236" s="1925"/>
      <c r="AE236" s="1925"/>
      <c r="AF236" s="1925"/>
      <c r="AG236" s="1925"/>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1716</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18">
        <f>AB223+AB236</f>
        <v>454632</v>
      </c>
      <c r="AC239" s="1918"/>
      <c r="AD239" s="1918"/>
      <c r="AE239" s="1918"/>
      <c r="AF239" s="1918"/>
      <c r="AG239" s="1918"/>
      <c r="AH239" s="644"/>
      <c r="AI239" s="644"/>
      <c r="AJ239" s="644"/>
      <c r="AK239" s="644"/>
    </row>
    <row r="240" spans="1:37">
      <c r="A240" s="639"/>
      <c r="B240" s="510" t="s">
        <v>848</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92">
        <v>0.05</v>
      </c>
      <c r="AC240" s="2092"/>
      <c r="AD240" s="2092"/>
      <c r="AE240" s="2092"/>
      <c r="AF240" s="2092"/>
      <c r="AG240" s="2092"/>
      <c r="AH240" s="644"/>
      <c r="AI240" s="644"/>
      <c r="AJ240" s="644"/>
      <c r="AK240" s="644"/>
    </row>
    <row r="241" spans="1:37">
      <c r="A241" s="639"/>
      <c r="B241" s="510" t="s">
        <v>1717</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93">
        <f>AB239-(AB239*AB240)</f>
        <v>431900.4</v>
      </c>
      <c r="AC241" s="2093"/>
      <c r="AD241" s="2093"/>
      <c r="AE241" s="2093"/>
      <c r="AF241" s="2093"/>
      <c r="AG241" s="2093"/>
      <c r="AH241" s="644"/>
      <c r="AI241" s="644"/>
      <c r="AJ241" s="644"/>
      <c r="AK241" s="644"/>
    </row>
    <row r="242" spans="1:37">
      <c r="A242" s="639"/>
      <c r="B242" s="510" t="s">
        <v>1718</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1719</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18">
        <f>AB241/AB247</f>
        <v>375565.56521739135</v>
      </c>
      <c r="AC243" s="1918"/>
      <c r="AD243" s="1918"/>
      <c r="AE243" s="1918"/>
      <c r="AF243" s="1918"/>
      <c r="AG243" s="1918"/>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1720</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105">
        <v>15</v>
      </c>
      <c r="AC245" s="2105"/>
      <c r="AD245" s="2105"/>
      <c r="AE245" s="2105"/>
      <c r="AF245" s="2105"/>
      <c r="AG245" s="2105"/>
      <c r="AH245" s="644"/>
      <c r="AI245" s="644"/>
      <c r="AJ245" s="644"/>
      <c r="AK245" s="644"/>
    </row>
    <row r="246" spans="1:37">
      <c r="A246" s="639"/>
      <c r="B246" s="510" t="s">
        <v>1721</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95">
        <v>0.04</v>
      </c>
      <c r="AC246" s="2095"/>
      <c r="AD246" s="2095"/>
      <c r="AE246" s="2095"/>
      <c r="AF246" s="2095"/>
      <c r="AG246" s="2095"/>
      <c r="AH246" s="644"/>
      <c r="AI246" s="644"/>
      <c r="AJ246" s="644"/>
      <c r="AK246" s="644"/>
    </row>
    <row r="247" spans="1:37">
      <c r="A247" s="639"/>
      <c r="B247" s="510" t="s">
        <v>860</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96">
        <v>1.1499999999999999</v>
      </c>
      <c r="AC247" s="2096"/>
      <c r="AD247" s="2096"/>
      <c r="AE247" s="2096"/>
      <c r="AF247" s="2096"/>
      <c r="AG247" s="2096"/>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1722</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85">
        <f>PV(AB246/12,AB245*12,-AB243/12, ,0)</f>
        <v>4231126.3103293506</v>
      </c>
      <c r="AC249" s="2086"/>
      <c r="AD249" s="2086"/>
      <c r="AE249" s="2086"/>
      <c r="AF249" s="2086"/>
      <c r="AG249" s="2087"/>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1698</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1701</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1700</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1699</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89">
        <f>IFERROR(('Sources and Uses Budget'!D105/'Sources and Uses Budget'!B105),0)</f>
        <v>0</v>
      </c>
      <c r="AC255" s="2090"/>
      <c r="AD255" s="2090"/>
      <c r="AE255" s="2090"/>
      <c r="AF255" s="2090"/>
      <c r="AG255" s="2091"/>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1479</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32">
        <f>AD200*(1-AB255)</f>
        <v>25041465.310329352</v>
      </c>
      <c r="AH257" s="1932"/>
      <c r="AI257" s="1932"/>
      <c r="AJ257" s="1932"/>
      <c r="AK257" s="1932"/>
    </row>
    <row r="258" spans="1:52">
      <c r="A258" s="656"/>
      <c r="B258" s="659" t="s">
        <v>1480</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32">
        <f>'Sources and Uses Budget'!C105</f>
        <v>68632776</v>
      </c>
      <c r="AH258" s="1932"/>
      <c r="AI258" s="1932"/>
      <c r="AJ258" s="1932"/>
      <c r="AK258" s="1932"/>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81">
        <f>ROUNDDOWN(IF(AND(C281="Yes",AK78=10),((AG257*2)/AG258),AG257/AG258),2)</f>
        <v>0.36</v>
      </c>
      <c r="AH259" s="2081"/>
      <c r="AI259" s="2081"/>
      <c r="AJ259" s="2081"/>
      <c r="AK259" s="2081"/>
    </row>
    <row r="260" spans="1:52">
      <c r="A260" s="656"/>
      <c r="B260" s="1013" t="s">
        <v>1926</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1481</v>
      </c>
      <c r="AK262" s="2070">
        <f>IFERROR(IF(AG259=0,0,IF((AG259*100)&gt;8,8,(AG259*100))),0)</f>
        <v>8</v>
      </c>
      <c r="AL262" s="2070"/>
      <c r="AM262" s="2071"/>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1482</v>
      </c>
      <c r="B265" s="572" t="s">
        <v>1483</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1420</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50" t="s">
        <v>552</v>
      </c>
      <c r="D267" s="1950"/>
      <c r="E267" s="581"/>
      <c r="F267" s="1901" t="s">
        <v>2334</v>
      </c>
      <c r="G267" s="1902"/>
      <c r="H267" s="1902"/>
      <c r="I267" s="1902"/>
      <c r="J267" s="1902"/>
      <c r="K267" s="1902"/>
      <c r="L267" s="1902"/>
      <c r="M267" s="1902"/>
      <c r="N267" s="1902"/>
      <c r="O267" s="1902"/>
      <c r="P267" s="1902"/>
      <c r="Q267" s="1902"/>
      <c r="R267" s="1902"/>
      <c r="S267" s="1902"/>
      <c r="T267" s="1902"/>
      <c r="U267" s="1902"/>
      <c r="V267" s="1902"/>
      <c r="W267" s="1902"/>
      <c r="X267" s="1902"/>
      <c r="Y267" s="1902"/>
      <c r="Z267" s="1902"/>
      <c r="AA267" s="1902"/>
      <c r="AB267" s="1902"/>
      <c r="AC267" s="1902"/>
      <c r="AD267" s="1903"/>
      <c r="AE267" s="584"/>
      <c r="AF267" s="669"/>
      <c r="AG267" s="2079" t="s">
        <v>1469</v>
      </c>
      <c r="AH267" s="2079"/>
      <c r="AI267" s="2079"/>
      <c r="AJ267" s="2079"/>
      <c r="AK267" s="584"/>
      <c r="AL267" s="584"/>
      <c r="AM267" s="584"/>
      <c r="AO267" s="584"/>
    </row>
    <row r="268" spans="1:52" ht="13.7" customHeight="1">
      <c r="A268" s="584"/>
      <c r="B268" s="630"/>
      <c r="C268" s="670"/>
      <c r="D268" s="584"/>
      <c r="E268" s="581"/>
      <c r="F268" s="1904"/>
      <c r="G268" s="1905"/>
      <c r="H268" s="1905"/>
      <c r="I268" s="1905"/>
      <c r="J268" s="1905"/>
      <c r="K268" s="1905"/>
      <c r="L268" s="1905"/>
      <c r="M268" s="1905"/>
      <c r="N268" s="1905"/>
      <c r="O268" s="1905"/>
      <c r="P268" s="1905"/>
      <c r="Q268" s="1905"/>
      <c r="R268" s="1905"/>
      <c r="S268" s="1905"/>
      <c r="T268" s="1905"/>
      <c r="U268" s="1905"/>
      <c r="V268" s="1905"/>
      <c r="W268" s="1905"/>
      <c r="X268" s="1905"/>
      <c r="Y268" s="1905"/>
      <c r="Z268" s="1905"/>
      <c r="AA268" s="1905"/>
      <c r="AB268" s="1905"/>
      <c r="AC268" s="1905"/>
      <c r="AD268" s="1906"/>
      <c r="AE268" s="584"/>
      <c r="AF268" s="669"/>
      <c r="AG268" s="669"/>
      <c r="AH268" s="669"/>
      <c r="AI268" s="669"/>
      <c r="AJ268" s="584"/>
      <c r="AK268" s="584"/>
      <c r="AL268" s="584"/>
      <c r="AM268" s="584"/>
      <c r="AO268" s="584"/>
    </row>
    <row r="269" spans="1:52">
      <c r="A269" s="584"/>
      <c r="B269" s="630"/>
      <c r="C269" s="670"/>
      <c r="D269" s="584"/>
      <c r="E269" s="581"/>
      <c r="F269" s="1904"/>
      <c r="G269" s="1905"/>
      <c r="H269" s="1905"/>
      <c r="I269" s="1905"/>
      <c r="J269" s="1905"/>
      <c r="K269" s="1905"/>
      <c r="L269" s="1905"/>
      <c r="M269" s="1905"/>
      <c r="N269" s="1905"/>
      <c r="O269" s="1905"/>
      <c r="P269" s="1905"/>
      <c r="Q269" s="1905"/>
      <c r="R269" s="1905"/>
      <c r="S269" s="1905"/>
      <c r="T269" s="1905"/>
      <c r="U269" s="1905"/>
      <c r="V269" s="1905"/>
      <c r="W269" s="1905"/>
      <c r="X269" s="1905"/>
      <c r="Y269" s="1905"/>
      <c r="Z269" s="1905"/>
      <c r="AA269" s="1905"/>
      <c r="AB269" s="1905"/>
      <c r="AC269" s="1905"/>
      <c r="AD269" s="1906"/>
      <c r="AE269" s="584"/>
      <c r="AF269" s="669"/>
      <c r="AG269" s="669"/>
      <c r="AH269" s="669"/>
      <c r="AI269" s="669"/>
      <c r="AJ269" s="584"/>
      <c r="AK269" s="584"/>
      <c r="AL269" s="584"/>
      <c r="AM269" s="584"/>
      <c r="AO269" s="584"/>
      <c r="AP269" s="671"/>
    </row>
    <row r="270" spans="1:52">
      <c r="A270" s="584"/>
      <c r="B270" s="630"/>
      <c r="C270" s="670"/>
      <c r="D270" s="584"/>
      <c r="E270" s="581"/>
      <c r="F270" s="1904"/>
      <c r="G270" s="1905"/>
      <c r="H270" s="1905"/>
      <c r="I270" s="1905"/>
      <c r="J270" s="1905"/>
      <c r="K270" s="1905"/>
      <c r="L270" s="1905"/>
      <c r="M270" s="1905"/>
      <c r="N270" s="1905"/>
      <c r="O270" s="1905"/>
      <c r="P270" s="1905"/>
      <c r="Q270" s="1905"/>
      <c r="R270" s="1905"/>
      <c r="S270" s="1905"/>
      <c r="T270" s="1905"/>
      <c r="U270" s="1905"/>
      <c r="V270" s="1905"/>
      <c r="W270" s="1905"/>
      <c r="X270" s="1905"/>
      <c r="Y270" s="1905"/>
      <c r="Z270" s="1905"/>
      <c r="AA270" s="1905"/>
      <c r="AB270" s="1905"/>
      <c r="AC270" s="1905"/>
      <c r="AD270" s="1906"/>
      <c r="AE270" s="584"/>
      <c r="AF270" s="669"/>
      <c r="AG270" s="669"/>
      <c r="AH270" s="669"/>
      <c r="AI270" s="669"/>
      <c r="AJ270" s="584"/>
      <c r="AK270" s="584"/>
      <c r="AL270" s="584"/>
      <c r="AM270" s="584"/>
      <c r="AO270" s="584"/>
      <c r="AP270" s="671"/>
    </row>
    <row r="271" spans="1:52" ht="13.7" customHeight="1">
      <c r="A271" s="584"/>
      <c r="B271" s="630"/>
      <c r="C271" s="2080"/>
      <c r="D271" s="2080"/>
      <c r="E271" s="581"/>
      <c r="F271" s="1907"/>
      <c r="G271" s="1908"/>
      <c r="H271" s="1908"/>
      <c r="I271" s="1908"/>
      <c r="J271" s="1908"/>
      <c r="K271" s="1908"/>
      <c r="L271" s="1908"/>
      <c r="M271" s="1908"/>
      <c r="N271" s="1908"/>
      <c r="O271" s="1908"/>
      <c r="P271" s="1908"/>
      <c r="Q271" s="1908"/>
      <c r="R271" s="1908"/>
      <c r="S271" s="1908"/>
      <c r="T271" s="1908"/>
      <c r="U271" s="1908"/>
      <c r="V271" s="1908"/>
      <c r="W271" s="1908"/>
      <c r="X271" s="1908"/>
      <c r="Y271" s="1908"/>
      <c r="Z271" s="1908"/>
      <c r="AA271" s="1908"/>
      <c r="AB271" s="1908"/>
      <c r="AC271" s="1908"/>
      <c r="AD271" s="1909"/>
      <c r="AE271" s="584"/>
      <c r="AF271" s="669"/>
      <c r="AG271" s="2079"/>
      <c r="AH271" s="2079"/>
      <c r="AI271" s="2079"/>
      <c r="AJ271" s="2079"/>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1485</v>
      </c>
      <c r="AK274" s="2070">
        <f>IF($C$267="yes",10,0)</f>
        <v>10</v>
      </c>
      <c r="AL274" s="2070"/>
      <c r="AM274" s="2071"/>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1486</v>
      </c>
      <c r="B277" s="572" t="s">
        <v>2040</v>
      </c>
      <c r="AH277" s="625" t="s">
        <v>1420</v>
      </c>
    </row>
    <row r="278" spans="1:49" ht="15" customHeight="1">
      <c r="B278" s="573"/>
    </row>
    <row r="279" spans="1:49" ht="15" customHeight="1">
      <c r="B279" s="573" t="s">
        <v>1913</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56" t="s">
        <v>1488</v>
      </c>
      <c r="B281" s="1656"/>
      <c r="C281" s="2044" t="s">
        <v>598</v>
      </c>
      <c r="D281" s="1950"/>
      <c r="E281" s="581"/>
      <c r="F281" s="2072" t="s">
        <v>1489</v>
      </c>
      <c r="G281" s="2073"/>
      <c r="H281" s="2073"/>
      <c r="I281" s="2073"/>
      <c r="J281" s="2073"/>
      <c r="K281" s="2073"/>
      <c r="L281" s="2073"/>
      <c r="M281" s="2073"/>
      <c r="N281" s="2073"/>
      <c r="O281" s="2073"/>
      <c r="P281" s="2073"/>
      <c r="Q281" s="2073"/>
      <c r="R281" s="2073"/>
      <c r="S281" s="2073"/>
      <c r="T281" s="2073"/>
      <c r="U281" s="2073"/>
      <c r="V281" s="2073"/>
      <c r="W281" s="2073"/>
      <c r="X281" s="2073"/>
      <c r="Y281" s="2073"/>
      <c r="Z281" s="2073"/>
      <c r="AA281" s="2073"/>
      <c r="AB281" s="2073"/>
      <c r="AC281" s="2073"/>
      <c r="AD281" s="2074"/>
      <c r="AE281" s="676"/>
      <c r="AF281" s="584"/>
      <c r="AG281" s="2075" t="s">
        <v>2327</v>
      </c>
      <c r="AH281" s="2075"/>
      <c r="AI281" s="2075"/>
      <c r="AJ281" s="2075"/>
      <c r="AK281" s="2075"/>
      <c r="AL281" s="584"/>
      <c r="AM281" s="584"/>
      <c r="AN281" s="73"/>
      <c r="AO281" s="14"/>
      <c r="AP281" s="30"/>
      <c r="AS281" s="604"/>
      <c r="AT281" s="604"/>
      <c r="AU281" s="604"/>
      <c r="AV281" s="32"/>
      <c r="AW281" s="32"/>
    </row>
    <row r="282" spans="1:49">
      <c r="A282" s="674"/>
      <c r="B282" s="630"/>
      <c r="F282" s="1927"/>
      <c r="G282" s="1928"/>
      <c r="H282" s="1928"/>
      <c r="I282" s="1928"/>
      <c r="J282" s="1928"/>
      <c r="K282" s="1928"/>
      <c r="L282" s="1928"/>
      <c r="M282" s="1928"/>
      <c r="N282" s="1928"/>
      <c r="O282" s="1928"/>
      <c r="P282" s="1928"/>
      <c r="Q282" s="1928"/>
      <c r="R282" s="1928"/>
      <c r="S282" s="1928"/>
      <c r="T282" s="1928"/>
      <c r="U282" s="1928"/>
      <c r="V282" s="1928"/>
      <c r="W282" s="1928"/>
      <c r="X282" s="1928"/>
      <c r="Y282" s="1928"/>
      <c r="Z282" s="1928"/>
      <c r="AA282" s="1928"/>
      <c r="AB282" s="1928"/>
      <c r="AC282" s="1928"/>
      <c r="AD282" s="1929"/>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27"/>
      <c r="G283" s="1928"/>
      <c r="H283" s="1928"/>
      <c r="I283" s="1928"/>
      <c r="J283" s="1928"/>
      <c r="K283" s="1928"/>
      <c r="L283" s="1928"/>
      <c r="M283" s="1928"/>
      <c r="N283" s="1928"/>
      <c r="O283" s="1928"/>
      <c r="P283" s="1928"/>
      <c r="Q283" s="1928"/>
      <c r="R283" s="1928"/>
      <c r="S283" s="1928"/>
      <c r="T283" s="1928"/>
      <c r="U283" s="1928"/>
      <c r="V283" s="1928"/>
      <c r="W283" s="1928"/>
      <c r="X283" s="1928"/>
      <c r="Y283" s="1928"/>
      <c r="Z283" s="1928"/>
      <c r="AA283" s="1928"/>
      <c r="AB283" s="1928"/>
      <c r="AC283" s="1928"/>
      <c r="AD283" s="1929"/>
      <c r="AE283" s="676"/>
      <c r="AF283" s="585"/>
      <c r="AH283" s="585"/>
      <c r="AI283" s="585"/>
      <c r="AJ283" s="584"/>
      <c r="AK283" s="584"/>
      <c r="AL283" s="584"/>
      <c r="AM283" s="584"/>
      <c r="AN283" s="73"/>
      <c r="AO283" s="14"/>
      <c r="AP283" s="584">
        <f>IF($C$291="yes",9,0)</f>
        <v>9</v>
      </c>
      <c r="AS283" s="604"/>
      <c r="AT283" s="604"/>
      <c r="AU283" s="604"/>
      <c r="AV283" s="32"/>
      <c r="AW283" s="32"/>
    </row>
    <row r="284" spans="1:49" ht="12.75" customHeight="1">
      <c r="A284" s="674"/>
      <c r="B284" s="630"/>
      <c r="F284" s="1927" t="s">
        <v>2335</v>
      </c>
      <c r="G284" s="1928"/>
      <c r="H284" s="1928"/>
      <c r="I284" s="1928"/>
      <c r="J284" s="1928"/>
      <c r="K284" s="1928"/>
      <c r="L284" s="1928"/>
      <c r="M284" s="1928"/>
      <c r="N284" s="1928"/>
      <c r="O284" s="1928"/>
      <c r="P284" s="1928"/>
      <c r="Q284" s="1928"/>
      <c r="R284" s="1928"/>
      <c r="S284" s="1928"/>
      <c r="T284" s="1928"/>
      <c r="U284" s="1928"/>
      <c r="V284" s="1928"/>
      <c r="W284" s="1928"/>
      <c r="X284" s="1928"/>
      <c r="Y284" s="1928"/>
      <c r="Z284" s="1928"/>
      <c r="AA284" s="1928"/>
      <c r="AB284" s="1928"/>
      <c r="AC284" s="1928"/>
      <c r="AD284" s="1929"/>
      <c r="AE284" s="676"/>
      <c r="AF284" s="585"/>
      <c r="AH284" s="585"/>
      <c r="AI284" s="585"/>
      <c r="AJ284" s="584"/>
      <c r="AK284" s="584"/>
      <c r="AL284" s="584"/>
      <c r="AM284" s="584"/>
      <c r="AN284" s="73"/>
      <c r="AO284" s="14"/>
      <c r="AP284" s="645">
        <f>MAX(AP282,AP283)</f>
        <v>9</v>
      </c>
      <c r="AQ284" s="608" t="s">
        <v>1422</v>
      </c>
      <c r="AS284" s="604"/>
      <c r="AT284" s="604"/>
      <c r="AU284" s="604"/>
      <c r="AV284" s="32"/>
      <c r="AW284" s="32"/>
    </row>
    <row r="285" spans="1:49">
      <c r="A285" s="674"/>
      <c r="B285" s="630"/>
      <c r="F285" s="1927"/>
      <c r="G285" s="1928"/>
      <c r="H285" s="1928"/>
      <c r="I285" s="1928"/>
      <c r="J285" s="1928"/>
      <c r="K285" s="1928"/>
      <c r="L285" s="1928"/>
      <c r="M285" s="1928"/>
      <c r="N285" s="1928"/>
      <c r="O285" s="1928"/>
      <c r="P285" s="1928"/>
      <c r="Q285" s="1928"/>
      <c r="R285" s="1928"/>
      <c r="S285" s="1928"/>
      <c r="T285" s="1928"/>
      <c r="U285" s="1928"/>
      <c r="V285" s="1928"/>
      <c r="W285" s="1928"/>
      <c r="X285" s="1928"/>
      <c r="Y285" s="1928"/>
      <c r="Z285" s="1928"/>
      <c r="AA285" s="1928"/>
      <c r="AB285" s="1928"/>
      <c r="AC285" s="1928"/>
      <c r="AD285" s="1929"/>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27" t="s">
        <v>1490</v>
      </c>
      <c r="G286" s="1928"/>
      <c r="H286" s="1928"/>
      <c r="I286" s="1928"/>
      <c r="J286" s="1928"/>
      <c r="K286" s="1928"/>
      <c r="L286" s="1928"/>
      <c r="M286" s="1928"/>
      <c r="N286" s="1928"/>
      <c r="O286" s="1928"/>
      <c r="P286" s="1928"/>
      <c r="Q286" s="1928"/>
      <c r="R286" s="1928"/>
      <c r="S286" s="1928"/>
      <c r="T286" s="1928"/>
      <c r="U286" s="1928"/>
      <c r="V286" s="1928"/>
      <c r="W286" s="1928"/>
      <c r="X286" s="1928"/>
      <c r="Y286" s="1928"/>
      <c r="Z286" s="1928"/>
      <c r="AA286" s="1928"/>
      <c r="AB286" s="1928"/>
      <c r="AC286" s="1928"/>
      <c r="AD286" s="1929"/>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27"/>
      <c r="G287" s="1928"/>
      <c r="H287" s="1928"/>
      <c r="I287" s="1928"/>
      <c r="J287" s="1928"/>
      <c r="K287" s="1928"/>
      <c r="L287" s="1928"/>
      <c r="M287" s="1928"/>
      <c r="N287" s="1928"/>
      <c r="O287" s="1928"/>
      <c r="P287" s="1928"/>
      <c r="Q287" s="1928"/>
      <c r="R287" s="1928"/>
      <c r="S287" s="1928"/>
      <c r="T287" s="1928"/>
      <c r="U287" s="1928"/>
      <c r="V287" s="1928"/>
      <c r="W287" s="1928"/>
      <c r="X287" s="1928"/>
      <c r="Y287" s="1928"/>
      <c r="Z287" s="1928"/>
      <c r="AA287" s="1928"/>
      <c r="AB287" s="1928"/>
      <c r="AC287" s="1928"/>
      <c r="AD287" s="1929"/>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27" t="s">
        <v>1491</v>
      </c>
      <c r="G288" s="1928"/>
      <c r="H288" s="1928"/>
      <c r="I288" s="1928"/>
      <c r="J288" s="1928"/>
      <c r="K288" s="1928"/>
      <c r="L288" s="1928"/>
      <c r="M288" s="1928"/>
      <c r="N288" s="1928"/>
      <c r="O288" s="1928"/>
      <c r="P288" s="1928"/>
      <c r="Q288" s="1928"/>
      <c r="R288" s="1928"/>
      <c r="S288" s="1928"/>
      <c r="T288" s="1928"/>
      <c r="U288" s="1928"/>
      <c r="V288" s="1928"/>
      <c r="W288" s="1928"/>
      <c r="X288" s="1928"/>
      <c r="Y288" s="1928"/>
      <c r="Z288" s="1928"/>
      <c r="AA288" s="1928"/>
      <c r="AB288" s="1928"/>
      <c r="AC288" s="1928"/>
      <c r="AD288" s="1929"/>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30"/>
      <c r="G289" s="1931"/>
      <c r="H289" s="1931"/>
      <c r="I289" s="1931"/>
      <c r="J289" s="1931"/>
      <c r="K289" s="1931"/>
      <c r="L289" s="1931"/>
      <c r="M289" s="1931"/>
      <c r="N289" s="1931"/>
      <c r="O289" s="1931"/>
      <c r="P289" s="1931"/>
      <c r="Q289" s="1931"/>
      <c r="R289" s="1931"/>
      <c r="S289" s="1931"/>
      <c r="T289" s="1931"/>
      <c r="U289" s="1931"/>
      <c r="V289" s="1931"/>
      <c r="W289" s="1931"/>
      <c r="X289" s="1931"/>
      <c r="Y289" s="1931"/>
      <c r="Z289" s="1931"/>
      <c r="AA289" s="1931"/>
      <c r="AB289" s="1931"/>
      <c r="AC289" s="1931"/>
      <c r="AD289" s="2069"/>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56" t="s">
        <v>1492</v>
      </c>
      <c r="B291" s="1656"/>
      <c r="C291" s="1950" t="s">
        <v>552</v>
      </c>
      <c r="D291" s="1950"/>
      <c r="E291" s="581"/>
      <c r="F291" s="678" t="s">
        <v>2328</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1494</v>
      </c>
      <c r="AH291" s="585"/>
      <c r="AI291" s="585"/>
      <c r="AJ291" s="584"/>
      <c r="AK291" s="584"/>
      <c r="AL291" s="584"/>
      <c r="AM291" s="584"/>
      <c r="AN291" s="681"/>
      <c r="AO291" s="14"/>
    </row>
    <row r="292" spans="1:49">
      <c r="A292" s="584"/>
      <c r="B292" s="585"/>
      <c r="C292" s="584"/>
      <c r="D292" s="585"/>
      <c r="E292" s="584"/>
      <c r="F292" s="2054" t="s">
        <v>2329</v>
      </c>
      <c r="G292" s="2055"/>
      <c r="H292" s="2055"/>
      <c r="I292" s="2055"/>
      <c r="J292" s="2055"/>
      <c r="K292" s="2055"/>
      <c r="L292" s="2055"/>
      <c r="M292" s="2055"/>
      <c r="N292" s="2055"/>
      <c r="O292" s="2055"/>
      <c r="P292" s="2055"/>
      <c r="Q292" s="2055"/>
      <c r="R292" s="2055"/>
      <c r="S292" s="2055"/>
      <c r="T292" s="2055"/>
      <c r="U292" s="2055"/>
      <c r="V292" s="2055"/>
      <c r="W292" s="2055"/>
      <c r="X292" s="2055"/>
      <c r="Y292" s="2055"/>
      <c r="Z292" s="2055"/>
      <c r="AA292" s="2055"/>
      <c r="AB292" s="2055"/>
      <c r="AC292" s="2055"/>
      <c r="AD292" s="2056"/>
      <c r="AE292" s="585"/>
      <c r="AF292" s="585"/>
      <c r="AG292" s="585"/>
      <c r="AH292" s="585"/>
      <c r="AI292" s="585"/>
      <c r="AJ292" s="584"/>
      <c r="AK292" s="584"/>
      <c r="AL292" s="584"/>
      <c r="AM292" s="584"/>
      <c r="AR292" s="682"/>
    </row>
    <row r="293" spans="1:49" ht="15" customHeight="1">
      <c r="A293" s="584"/>
      <c r="B293" s="585"/>
      <c r="C293" s="584"/>
      <c r="D293" s="585"/>
      <c r="E293" s="584"/>
      <c r="F293" s="2054"/>
      <c r="G293" s="2055"/>
      <c r="H293" s="2055"/>
      <c r="I293" s="2055"/>
      <c r="J293" s="2055"/>
      <c r="K293" s="2055"/>
      <c r="L293" s="2055"/>
      <c r="M293" s="2055"/>
      <c r="N293" s="2055"/>
      <c r="O293" s="2055"/>
      <c r="P293" s="2055"/>
      <c r="Q293" s="2055"/>
      <c r="R293" s="2055"/>
      <c r="S293" s="2055"/>
      <c r="T293" s="2055"/>
      <c r="U293" s="2055"/>
      <c r="V293" s="2055"/>
      <c r="W293" s="2055"/>
      <c r="X293" s="2055"/>
      <c r="Y293" s="2055"/>
      <c r="Z293" s="2055"/>
      <c r="AA293" s="2055"/>
      <c r="AB293" s="2055"/>
      <c r="AC293" s="2055"/>
      <c r="AD293" s="2056"/>
      <c r="AE293" s="585"/>
      <c r="AF293" s="585"/>
      <c r="AG293" s="585"/>
      <c r="AH293" s="585"/>
      <c r="AI293" s="585"/>
      <c r="AJ293" s="584"/>
      <c r="AK293" s="584"/>
      <c r="AL293" s="584"/>
      <c r="AM293" s="584"/>
      <c r="AR293" s="682"/>
    </row>
    <row r="294" spans="1:49">
      <c r="A294" s="584"/>
      <c r="B294" s="585"/>
      <c r="C294" s="584"/>
      <c r="D294" s="585"/>
      <c r="E294" s="584"/>
      <c r="F294" s="2054"/>
      <c r="G294" s="2055"/>
      <c r="H294" s="2055"/>
      <c r="I294" s="2055"/>
      <c r="J294" s="2055"/>
      <c r="K294" s="2055"/>
      <c r="L294" s="2055"/>
      <c r="M294" s="2055"/>
      <c r="N294" s="2055"/>
      <c r="O294" s="2055"/>
      <c r="P294" s="2055"/>
      <c r="Q294" s="2055"/>
      <c r="R294" s="2055"/>
      <c r="S294" s="2055"/>
      <c r="T294" s="2055"/>
      <c r="U294" s="2055"/>
      <c r="V294" s="2055"/>
      <c r="W294" s="2055"/>
      <c r="X294" s="2055"/>
      <c r="Y294" s="2055"/>
      <c r="Z294" s="2055"/>
      <c r="AA294" s="2055"/>
      <c r="AB294" s="2055"/>
      <c r="AC294" s="2055"/>
      <c r="AD294" s="2056"/>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76"/>
      <c r="G295" s="2077"/>
      <c r="H295" s="2077"/>
      <c r="I295" s="2077"/>
      <c r="J295" s="2077"/>
      <c r="K295" s="2077"/>
      <c r="L295" s="2077"/>
      <c r="M295" s="2077"/>
      <c r="N295" s="2077"/>
      <c r="O295" s="2077"/>
      <c r="P295" s="2077"/>
      <c r="Q295" s="2077"/>
      <c r="R295" s="2077"/>
      <c r="S295" s="2077"/>
      <c r="T295" s="2077"/>
      <c r="U295" s="2077"/>
      <c r="V295" s="2077"/>
      <c r="W295" s="2077"/>
      <c r="X295" s="2077"/>
      <c r="Y295" s="2077"/>
      <c r="Z295" s="2077"/>
      <c r="AA295" s="2077"/>
      <c r="AB295" s="2077"/>
      <c r="AC295" s="2077"/>
      <c r="AD295" s="2078"/>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56" t="s">
        <v>1495</v>
      </c>
      <c r="B299" s="1656"/>
      <c r="C299" s="1950" t="s">
        <v>598</v>
      </c>
      <c r="D299" s="1950"/>
      <c r="E299" s="581"/>
      <c r="F299" s="678" t="s">
        <v>1493</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1494</v>
      </c>
      <c r="AH299" s="585"/>
      <c r="AI299" s="585"/>
      <c r="AJ299" s="584"/>
      <c r="AK299" s="584"/>
      <c r="AL299" s="584"/>
      <c r="AM299" s="584"/>
      <c r="AN299" s="73"/>
      <c r="AO299" s="14"/>
    </row>
    <row r="300" spans="1:49" hidden="1">
      <c r="A300" s="89"/>
      <c r="B300" s="89"/>
      <c r="C300" s="764"/>
      <c r="D300" s="764"/>
      <c r="E300" s="581"/>
      <c r="F300" s="1927" t="s">
        <v>2336</v>
      </c>
      <c r="G300" s="1928"/>
      <c r="H300" s="1928"/>
      <c r="I300" s="1928"/>
      <c r="J300" s="1928"/>
      <c r="K300" s="1928"/>
      <c r="L300" s="1928"/>
      <c r="M300" s="1928"/>
      <c r="N300" s="1928"/>
      <c r="O300" s="1928"/>
      <c r="P300" s="1928"/>
      <c r="Q300" s="1928"/>
      <c r="R300" s="1928"/>
      <c r="S300" s="1928"/>
      <c r="T300" s="1928"/>
      <c r="U300" s="1928"/>
      <c r="V300" s="1928"/>
      <c r="W300" s="1928"/>
      <c r="X300" s="1928"/>
      <c r="Y300" s="1928"/>
      <c r="Z300" s="1928"/>
      <c r="AA300" s="1928"/>
      <c r="AB300" s="1928"/>
      <c r="AC300" s="1928"/>
      <c r="AD300" s="1929"/>
      <c r="AE300" s="585"/>
      <c r="AF300" s="585"/>
      <c r="AG300" s="573"/>
      <c r="AH300" s="585"/>
      <c r="AI300" s="585"/>
      <c r="AJ300" s="584"/>
      <c r="AK300" s="584"/>
      <c r="AL300" s="584"/>
      <c r="AM300" s="584"/>
      <c r="AN300" s="73"/>
      <c r="AO300" s="14"/>
      <c r="AP300" s="591" t="s">
        <v>1287</v>
      </c>
    </row>
    <row r="301" spans="1:49" hidden="1">
      <c r="F301" s="1927"/>
      <c r="G301" s="1928"/>
      <c r="H301" s="1928"/>
      <c r="I301" s="1928"/>
      <c r="J301" s="1928"/>
      <c r="K301" s="1928"/>
      <c r="L301" s="1928"/>
      <c r="M301" s="1928"/>
      <c r="N301" s="1928"/>
      <c r="O301" s="1928"/>
      <c r="P301" s="1928"/>
      <c r="Q301" s="1928"/>
      <c r="R301" s="1928"/>
      <c r="S301" s="1928"/>
      <c r="T301" s="1928"/>
      <c r="U301" s="1928"/>
      <c r="V301" s="1928"/>
      <c r="W301" s="1928"/>
      <c r="X301" s="1928"/>
      <c r="Y301" s="1928"/>
      <c r="Z301" s="1928"/>
      <c r="AA301" s="1928"/>
      <c r="AB301" s="1928"/>
      <c r="AC301" s="1928"/>
      <c r="AD301" s="1929"/>
      <c r="AE301" s="585"/>
      <c r="AF301" s="585"/>
      <c r="AH301" s="585"/>
      <c r="AI301" s="585"/>
      <c r="AJ301" s="584"/>
      <c r="AK301" s="584"/>
      <c r="AL301" s="584"/>
      <c r="AM301" s="584"/>
      <c r="AN301" s="73"/>
      <c r="AO301" s="14"/>
      <c r="AP301" s="591" t="s">
        <v>1915</v>
      </c>
    </row>
    <row r="302" spans="1:49" hidden="1">
      <c r="A302" s="584"/>
      <c r="B302" s="585"/>
      <c r="C302" s="764"/>
      <c r="D302" s="764"/>
      <c r="E302" s="581"/>
      <c r="F302" s="686" t="s">
        <v>1496</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1917</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2042</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57" t="s">
        <v>1287</v>
      </c>
      <c r="G305" s="2058"/>
      <c r="H305" s="2058"/>
      <c r="I305" s="2058"/>
      <c r="J305" s="2058"/>
      <c r="K305" s="2058"/>
      <c r="L305" s="2058"/>
      <c r="M305" s="2058"/>
      <c r="N305" s="2058"/>
      <c r="O305" s="2058"/>
      <c r="P305" s="2058"/>
      <c r="Q305" s="2058"/>
      <c r="R305" s="2058"/>
      <c r="S305" s="2058"/>
      <c r="T305" s="2058"/>
      <c r="U305" s="2058"/>
      <c r="V305" s="2058"/>
      <c r="W305" s="2058"/>
      <c r="X305" s="2058"/>
      <c r="Y305" s="2058"/>
      <c r="Z305" s="2058"/>
      <c r="AA305" s="2058"/>
      <c r="AB305" s="2058"/>
      <c r="AC305" s="2058"/>
      <c r="AD305" s="2059"/>
      <c r="AE305" s="676"/>
      <c r="AF305" s="676"/>
      <c r="AG305" s="676"/>
      <c r="AH305" s="676"/>
      <c r="AI305" s="676"/>
      <c r="AJ305" s="676"/>
      <c r="AK305" s="676"/>
      <c r="AL305" s="584"/>
      <c r="AM305" s="584"/>
      <c r="AN305" s="73"/>
      <c r="AO305" s="14"/>
      <c r="AP305" s="30"/>
    </row>
    <row r="306" spans="1:42" hidden="1">
      <c r="A306" s="584"/>
      <c r="B306" s="585"/>
      <c r="C306" s="764"/>
      <c r="D306" s="764"/>
      <c r="E306" s="581"/>
      <c r="F306" s="2057"/>
      <c r="G306" s="2058"/>
      <c r="H306" s="2058"/>
      <c r="I306" s="2058"/>
      <c r="J306" s="2058"/>
      <c r="K306" s="2058"/>
      <c r="L306" s="2058"/>
      <c r="M306" s="2058"/>
      <c r="N306" s="2058"/>
      <c r="O306" s="2058"/>
      <c r="P306" s="2058"/>
      <c r="Q306" s="2058"/>
      <c r="R306" s="2058"/>
      <c r="S306" s="2058"/>
      <c r="T306" s="2058"/>
      <c r="U306" s="2058"/>
      <c r="V306" s="2058"/>
      <c r="W306" s="2058"/>
      <c r="X306" s="2058"/>
      <c r="Y306" s="2058"/>
      <c r="Z306" s="2058"/>
      <c r="AA306" s="2058"/>
      <c r="AB306" s="2058"/>
      <c r="AC306" s="2058"/>
      <c r="AD306" s="2059"/>
      <c r="AE306" s="585"/>
      <c r="AF306" s="585"/>
      <c r="AG306" s="573"/>
      <c r="AH306" s="585"/>
      <c r="AI306" s="585"/>
      <c r="AJ306" s="584"/>
      <c r="AK306" s="584"/>
      <c r="AL306" s="584"/>
      <c r="AM306" s="584"/>
      <c r="AN306" s="73"/>
      <c r="AO306" s="14"/>
      <c r="AP306" s="30"/>
    </row>
    <row r="307" spans="1:42" hidden="1">
      <c r="A307" s="584"/>
      <c r="B307" s="585"/>
      <c r="C307" s="764"/>
      <c r="D307" s="764"/>
      <c r="E307" s="581"/>
      <c r="F307" s="2057"/>
      <c r="G307" s="2058"/>
      <c r="H307" s="2058"/>
      <c r="I307" s="2058"/>
      <c r="J307" s="2058"/>
      <c r="K307" s="2058"/>
      <c r="L307" s="2058"/>
      <c r="M307" s="2058"/>
      <c r="N307" s="2058"/>
      <c r="O307" s="2058"/>
      <c r="P307" s="2058"/>
      <c r="Q307" s="2058"/>
      <c r="R307" s="2058"/>
      <c r="S307" s="2058"/>
      <c r="T307" s="2058"/>
      <c r="U307" s="2058"/>
      <c r="V307" s="2058"/>
      <c r="W307" s="2058"/>
      <c r="X307" s="2058"/>
      <c r="Y307" s="2058"/>
      <c r="Z307" s="2058"/>
      <c r="AA307" s="2058"/>
      <c r="AB307" s="2058"/>
      <c r="AC307" s="2058"/>
      <c r="AD307" s="2059"/>
      <c r="AE307" s="585"/>
      <c r="AF307" s="585"/>
      <c r="AG307" s="573"/>
      <c r="AH307" s="585"/>
      <c r="AI307" s="585"/>
      <c r="AJ307" s="584"/>
      <c r="AK307" s="584"/>
      <c r="AL307" s="584"/>
      <c r="AM307" s="584"/>
      <c r="AN307" s="73"/>
      <c r="AO307" s="14"/>
      <c r="AP307" s="30"/>
    </row>
    <row r="308" spans="1:42" hidden="1">
      <c r="A308" s="584"/>
      <c r="B308" s="585"/>
      <c r="C308" s="764"/>
      <c r="D308" s="764"/>
      <c r="E308" s="581"/>
      <c r="F308" s="2057"/>
      <c r="G308" s="2058"/>
      <c r="H308" s="2058"/>
      <c r="I308" s="2058"/>
      <c r="J308" s="2058"/>
      <c r="K308" s="2058"/>
      <c r="L308" s="2058"/>
      <c r="M308" s="2058"/>
      <c r="N308" s="2058"/>
      <c r="O308" s="2058"/>
      <c r="P308" s="2058"/>
      <c r="Q308" s="2058"/>
      <c r="R308" s="2058"/>
      <c r="S308" s="2058"/>
      <c r="T308" s="2058"/>
      <c r="U308" s="2058"/>
      <c r="V308" s="2058"/>
      <c r="W308" s="2058"/>
      <c r="X308" s="2058"/>
      <c r="Y308" s="2058"/>
      <c r="Z308" s="2058"/>
      <c r="AA308" s="2058"/>
      <c r="AB308" s="2058"/>
      <c r="AC308" s="2058"/>
      <c r="AD308" s="2059"/>
      <c r="AE308" s="585"/>
      <c r="AF308" s="585"/>
      <c r="AG308" s="573"/>
      <c r="AH308" s="585"/>
      <c r="AI308" s="585"/>
      <c r="AJ308" s="584"/>
      <c r="AK308" s="584"/>
      <c r="AL308" s="584"/>
      <c r="AM308" s="584"/>
      <c r="AN308" s="73"/>
      <c r="AO308" s="14"/>
      <c r="AP308" s="30"/>
    </row>
    <row r="309" spans="1:42" hidden="1">
      <c r="A309" s="584"/>
      <c r="B309" s="585"/>
      <c r="C309" s="764"/>
      <c r="D309" s="764"/>
      <c r="E309" s="581"/>
      <c r="F309" s="2060"/>
      <c r="G309" s="2061"/>
      <c r="H309" s="2061"/>
      <c r="I309" s="2061"/>
      <c r="J309" s="2061"/>
      <c r="K309" s="2061"/>
      <c r="L309" s="2061"/>
      <c r="M309" s="2061"/>
      <c r="N309" s="2061"/>
      <c r="O309" s="2061"/>
      <c r="P309" s="2061"/>
      <c r="Q309" s="2061"/>
      <c r="R309" s="2061"/>
      <c r="S309" s="2061"/>
      <c r="T309" s="2061"/>
      <c r="U309" s="2061"/>
      <c r="V309" s="2061"/>
      <c r="W309" s="2061"/>
      <c r="X309" s="2061"/>
      <c r="Y309" s="2061"/>
      <c r="Z309" s="2061"/>
      <c r="AA309" s="2061"/>
      <c r="AB309" s="2061"/>
      <c r="AC309" s="2061"/>
      <c r="AD309" s="2062"/>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1916</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1287</v>
      </c>
    </row>
    <row r="313" spans="1:42" ht="12.75" hidden="1" customHeight="1">
      <c r="A313" s="584"/>
      <c r="B313" s="585"/>
      <c r="C313" s="764"/>
      <c r="D313" s="764"/>
      <c r="E313" s="581"/>
      <c r="F313" s="690"/>
      <c r="G313" s="609" t="s">
        <v>695</v>
      </c>
      <c r="H313" s="609"/>
      <c r="I313" s="2063" t="s">
        <v>1287</v>
      </c>
      <c r="J313" s="2063"/>
      <c r="K313" s="2063"/>
      <c r="L313" s="2063"/>
      <c r="M313" s="2063"/>
      <c r="N313" s="2063"/>
      <c r="O313" s="2063"/>
      <c r="P313" s="2063"/>
      <c r="Q313" s="2063"/>
      <c r="R313" s="2063"/>
      <c r="S313" s="2063"/>
      <c r="T313" s="2063"/>
      <c r="U313" s="2063"/>
      <c r="V313" s="2063"/>
      <c r="W313" s="2063"/>
      <c r="X313" s="2063"/>
      <c r="Y313" s="2063"/>
      <c r="Z313" s="2063"/>
      <c r="AA313" s="2063"/>
      <c r="AB313" s="2063"/>
      <c r="AC313" s="2063"/>
      <c r="AD313" s="2064"/>
      <c r="AE313" s="585"/>
      <c r="AF313" s="585"/>
      <c r="AG313" s="573"/>
      <c r="AH313" s="585"/>
      <c r="AI313" s="585"/>
      <c r="AJ313" s="584"/>
      <c r="AK313" s="584"/>
      <c r="AL313" s="584"/>
      <c r="AM313" s="584"/>
      <c r="AN313" s="73"/>
      <c r="AO313" s="14"/>
      <c r="AP313" s="591" t="s">
        <v>1745</v>
      </c>
    </row>
    <row r="314" spans="1:42" hidden="1">
      <c r="A314" s="584"/>
      <c r="B314" s="585"/>
      <c r="C314" s="764"/>
      <c r="D314" s="764"/>
      <c r="E314" s="581"/>
      <c r="F314" s="690"/>
      <c r="G314" s="609"/>
      <c r="H314" s="609"/>
      <c r="I314" s="2063"/>
      <c r="J314" s="2063"/>
      <c r="K314" s="2063"/>
      <c r="L314" s="2063"/>
      <c r="M314" s="2063"/>
      <c r="N314" s="2063"/>
      <c r="O314" s="2063"/>
      <c r="P314" s="2063"/>
      <c r="Q314" s="2063"/>
      <c r="R314" s="2063"/>
      <c r="S314" s="2063"/>
      <c r="T314" s="2063"/>
      <c r="U314" s="2063"/>
      <c r="V314" s="2063"/>
      <c r="W314" s="2063"/>
      <c r="X314" s="2063"/>
      <c r="Y314" s="2063"/>
      <c r="Z314" s="2063"/>
      <c r="AA314" s="2063"/>
      <c r="AB314" s="2063"/>
      <c r="AC314" s="2063"/>
      <c r="AD314" s="2064"/>
      <c r="AE314" s="585"/>
      <c r="AF314" s="585"/>
      <c r="AG314" s="573"/>
      <c r="AH314" s="585"/>
      <c r="AI314" s="585"/>
      <c r="AJ314" s="584"/>
      <c r="AK314" s="584"/>
      <c r="AL314" s="584"/>
      <c r="AM314" s="584"/>
      <c r="AN314" s="73"/>
      <c r="AO314" s="14"/>
      <c r="AP314" s="591" t="s">
        <v>1918</v>
      </c>
    </row>
    <row r="315" spans="1:42" hidden="1">
      <c r="A315" s="584"/>
      <c r="B315" s="585"/>
      <c r="C315" s="685"/>
      <c r="D315" s="685"/>
      <c r="E315" s="581"/>
      <c r="F315" s="690"/>
      <c r="G315" s="609"/>
      <c r="H315" s="609"/>
      <c r="I315" s="2063"/>
      <c r="J315" s="2063"/>
      <c r="K315" s="2063"/>
      <c r="L315" s="2063"/>
      <c r="M315" s="2063"/>
      <c r="N315" s="2063"/>
      <c r="O315" s="2063"/>
      <c r="P315" s="2063"/>
      <c r="Q315" s="2063"/>
      <c r="R315" s="2063"/>
      <c r="S315" s="2063"/>
      <c r="T315" s="2063"/>
      <c r="U315" s="2063"/>
      <c r="V315" s="2063"/>
      <c r="W315" s="2063"/>
      <c r="X315" s="2063"/>
      <c r="Y315" s="2063"/>
      <c r="Z315" s="2063"/>
      <c r="AA315" s="2063"/>
      <c r="AB315" s="2063"/>
      <c r="AC315" s="2063"/>
      <c r="AD315" s="2064"/>
      <c r="AE315" s="585"/>
      <c r="AF315" s="585"/>
      <c r="AG315" s="573"/>
      <c r="AH315" s="585"/>
      <c r="AI315" s="585"/>
      <c r="AJ315" s="584"/>
      <c r="AK315" s="584"/>
      <c r="AL315" s="584"/>
      <c r="AM315" s="584"/>
      <c r="AN315" s="73"/>
      <c r="AO315" s="14"/>
      <c r="AP315" s="591" t="s">
        <v>1920</v>
      </c>
    </row>
    <row r="316" spans="1:42" hidden="1">
      <c r="A316" s="584"/>
      <c r="B316" s="585"/>
      <c r="C316" s="685"/>
      <c r="D316" s="685"/>
      <c r="E316" s="581"/>
      <c r="F316" s="688"/>
      <c r="G316" s="585"/>
      <c r="H316" s="585"/>
      <c r="I316" s="2065"/>
      <c r="J316" s="2065"/>
      <c r="K316" s="2065"/>
      <c r="L316" s="2065"/>
      <c r="M316" s="2065"/>
      <c r="N316" s="2065"/>
      <c r="O316" s="2065"/>
      <c r="P316" s="2065"/>
      <c r="Q316" s="2065"/>
      <c r="R316" s="2065"/>
      <c r="S316" s="2065"/>
      <c r="T316" s="2065"/>
      <c r="U316" s="2065"/>
      <c r="V316" s="2065"/>
      <c r="W316" s="2065"/>
      <c r="X316" s="2065"/>
      <c r="Y316" s="2065"/>
      <c r="Z316" s="2065"/>
      <c r="AA316" s="2065"/>
      <c r="AB316" s="2065"/>
      <c r="AC316" s="2065"/>
      <c r="AD316" s="2066"/>
      <c r="AE316" s="585"/>
      <c r="AF316" s="585"/>
      <c r="AG316" s="573"/>
      <c r="AH316" s="585"/>
      <c r="AI316" s="585"/>
      <c r="AJ316" s="584"/>
      <c r="AK316" s="584"/>
      <c r="AL316" s="584"/>
      <c r="AM316" s="584"/>
      <c r="AN316" s="73"/>
      <c r="AO316" s="14"/>
      <c r="AP316" s="591" t="s">
        <v>1919</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516</v>
      </c>
      <c r="H318" s="585"/>
      <c r="I318" s="2063" t="s">
        <v>1287</v>
      </c>
      <c r="J318" s="2063"/>
      <c r="K318" s="2063"/>
      <c r="L318" s="2063"/>
      <c r="M318" s="2063"/>
      <c r="N318" s="2063"/>
      <c r="O318" s="2063"/>
      <c r="P318" s="2063"/>
      <c r="Q318" s="2063"/>
      <c r="R318" s="2063"/>
      <c r="S318" s="2063"/>
      <c r="T318" s="2063"/>
      <c r="U318" s="2063"/>
      <c r="V318" s="2063"/>
      <c r="W318" s="2063"/>
      <c r="X318" s="2063"/>
      <c r="Y318" s="2063"/>
      <c r="Z318" s="2063"/>
      <c r="AA318" s="2063"/>
      <c r="AB318" s="2063"/>
      <c r="AC318" s="2063"/>
      <c r="AD318" s="2064"/>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63"/>
      <c r="J319" s="2063"/>
      <c r="K319" s="2063"/>
      <c r="L319" s="2063"/>
      <c r="M319" s="2063"/>
      <c r="N319" s="2063"/>
      <c r="O319" s="2063"/>
      <c r="P319" s="2063"/>
      <c r="Q319" s="2063"/>
      <c r="R319" s="2063"/>
      <c r="S319" s="2063"/>
      <c r="T319" s="2063"/>
      <c r="U319" s="2063"/>
      <c r="V319" s="2063"/>
      <c r="W319" s="2063"/>
      <c r="X319" s="2063"/>
      <c r="Y319" s="2063"/>
      <c r="Z319" s="2063"/>
      <c r="AA319" s="2063"/>
      <c r="AB319" s="2063"/>
      <c r="AC319" s="2063"/>
      <c r="AD319" s="2064"/>
      <c r="AE319" s="585"/>
      <c r="AF319" s="585"/>
      <c r="AG319" s="573"/>
      <c r="AH319" s="585"/>
      <c r="AI319" s="585"/>
      <c r="AJ319" s="584"/>
      <c r="AK319" s="584"/>
      <c r="AL319" s="584"/>
      <c r="AM319" s="584"/>
      <c r="AN319" s="73"/>
      <c r="AO319" s="14"/>
      <c r="AP319" s="591" t="s">
        <v>1287</v>
      </c>
    </row>
    <row r="320" spans="1:42" hidden="1">
      <c r="A320" s="584"/>
      <c r="B320" s="585"/>
      <c r="C320" s="685"/>
      <c r="D320" s="685"/>
      <c r="E320" s="581"/>
      <c r="F320" s="691"/>
      <c r="G320" s="692"/>
      <c r="H320" s="692"/>
      <c r="I320" s="2065"/>
      <c r="J320" s="2065"/>
      <c r="K320" s="2065"/>
      <c r="L320" s="2065"/>
      <c r="M320" s="2065"/>
      <c r="N320" s="2065"/>
      <c r="O320" s="2065"/>
      <c r="P320" s="2065"/>
      <c r="Q320" s="2065"/>
      <c r="R320" s="2065"/>
      <c r="S320" s="2065"/>
      <c r="T320" s="2065"/>
      <c r="U320" s="2065"/>
      <c r="V320" s="2065"/>
      <c r="W320" s="2065"/>
      <c r="X320" s="2065"/>
      <c r="Y320" s="2065"/>
      <c r="Z320" s="2065"/>
      <c r="AA320" s="2065"/>
      <c r="AB320" s="2065"/>
      <c r="AC320" s="2065"/>
      <c r="AD320" s="2066"/>
      <c r="AE320" s="585"/>
      <c r="AF320" s="585"/>
      <c r="AG320" s="573"/>
      <c r="AH320" s="585"/>
      <c r="AI320" s="585"/>
      <c r="AJ320" s="584"/>
      <c r="AK320" s="584"/>
      <c r="AL320" s="584"/>
      <c r="AM320" s="584"/>
      <c r="AN320" s="73"/>
      <c r="AO320" s="14"/>
      <c r="AP320" s="591" t="s">
        <v>1497</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1746</v>
      </c>
    </row>
    <row r="322" spans="1:44" ht="12.75" hidden="1" customHeight="1">
      <c r="A322" s="1656" t="s">
        <v>1498</v>
      </c>
      <c r="B322" s="1656"/>
      <c r="C322" s="1950" t="s">
        <v>598</v>
      </c>
      <c r="D322" s="1950"/>
      <c r="E322" s="581"/>
      <c r="F322" s="2051" t="s">
        <v>2337</v>
      </c>
      <c r="G322" s="2052"/>
      <c r="H322" s="2052"/>
      <c r="I322" s="2052"/>
      <c r="J322" s="2052"/>
      <c r="K322" s="2052"/>
      <c r="L322" s="2052"/>
      <c r="M322" s="2052"/>
      <c r="N322" s="2052"/>
      <c r="O322" s="2052"/>
      <c r="P322" s="2052"/>
      <c r="Q322" s="2052"/>
      <c r="R322" s="2052"/>
      <c r="S322" s="2052"/>
      <c r="T322" s="2052"/>
      <c r="U322" s="2052"/>
      <c r="V322" s="2052"/>
      <c r="W322" s="2052"/>
      <c r="X322" s="2052"/>
      <c r="Y322" s="2052"/>
      <c r="Z322" s="2052"/>
      <c r="AA322" s="2052"/>
      <c r="AB322" s="2052"/>
      <c r="AC322" s="2052"/>
      <c r="AD322" s="2053"/>
      <c r="AE322" s="585"/>
      <c r="AF322" s="585"/>
      <c r="AG322" s="573" t="s">
        <v>1494</v>
      </c>
      <c r="AH322" s="585"/>
      <c r="AI322" s="585"/>
      <c r="AJ322" s="584"/>
      <c r="AK322" s="584"/>
      <c r="AL322" s="584"/>
      <c r="AM322" s="584"/>
      <c r="AN322" s="73"/>
      <c r="AO322" s="14"/>
    </row>
    <row r="323" spans="1:44" ht="15" hidden="1" customHeight="1">
      <c r="A323" s="584"/>
      <c r="B323" s="585"/>
      <c r="C323" s="585"/>
      <c r="D323" s="585"/>
      <c r="E323" s="585"/>
      <c r="F323" s="2054"/>
      <c r="G323" s="2055"/>
      <c r="H323" s="2055"/>
      <c r="I323" s="2055"/>
      <c r="J323" s="2055"/>
      <c r="K323" s="2055"/>
      <c r="L323" s="2055"/>
      <c r="M323" s="2055"/>
      <c r="N323" s="2055"/>
      <c r="O323" s="2055"/>
      <c r="P323" s="2055"/>
      <c r="Q323" s="2055"/>
      <c r="R323" s="2055"/>
      <c r="S323" s="2055"/>
      <c r="T323" s="2055"/>
      <c r="U323" s="2055"/>
      <c r="V323" s="2055"/>
      <c r="W323" s="2055"/>
      <c r="X323" s="2055"/>
      <c r="Y323" s="2055"/>
      <c r="Z323" s="2055"/>
      <c r="AA323" s="2055"/>
      <c r="AB323" s="2055"/>
      <c r="AC323" s="2055"/>
      <c r="AD323" s="2056"/>
      <c r="AE323" s="585"/>
      <c r="AF323" s="585"/>
      <c r="AG323" s="585"/>
      <c r="AH323" s="585"/>
      <c r="AI323" s="585"/>
      <c r="AJ323" s="584"/>
      <c r="AK323" s="584"/>
      <c r="AL323" s="584"/>
      <c r="AM323" s="584"/>
      <c r="AN323" s="73"/>
      <c r="AO323" s="14"/>
    </row>
    <row r="324" spans="1:44" ht="15" hidden="1" customHeight="1">
      <c r="A324" s="584"/>
      <c r="B324" s="585"/>
      <c r="C324" s="585"/>
      <c r="D324" s="585"/>
      <c r="E324" s="585"/>
      <c r="F324" s="2054"/>
      <c r="G324" s="2055"/>
      <c r="H324" s="2055"/>
      <c r="I324" s="2055"/>
      <c r="J324" s="2055"/>
      <c r="K324" s="2055"/>
      <c r="L324" s="2055"/>
      <c r="M324" s="2055"/>
      <c r="N324" s="2055"/>
      <c r="O324" s="2055"/>
      <c r="P324" s="2055"/>
      <c r="Q324" s="2055"/>
      <c r="R324" s="2055"/>
      <c r="S324" s="2055"/>
      <c r="T324" s="2055"/>
      <c r="U324" s="2055"/>
      <c r="V324" s="2055"/>
      <c r="W324" s="2055"/>
      <c r="X324" s="2055"/>
      <c r="Y324" s="2055"/>
      <c r="Z324" s="2055"/>
      <c r="AA324" s="2055"/>
      <c r="AB324" s="2055"/>
      <c r="AC324" s="2055"/>
      <c r="AD324" s="2056"/>
      <c r="AE324" s="585"/>
      <c r="AF324" s="585"/>
      <c r="AG324" s="585"/>
      <c r="AH324" s="585"/>
      <c r="AI324" s="585"/>
      <c r="AJ324" s="584"/>
      <c r="AK324" s="584"/>
      <c r="AL324" s="584"/>
      <c r="AM324" s="693"/>
      <c r="AN324" s="14"/>
      <c r="AO324" s="14"/>
    </row>
    <row r="325" spans="1:44" hidden="1">
      <c r="A325" s="584"/>
      <c r="B325" s="585"/>
      <c r="C325" s="584"/>
      <c r="D325" s="585"/>
      <c r="E325" s="584"/>
      <c r="F325" s="694" t="s">
        <v>1499</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1558</v>
      </c>
      <c r="AK327" s="1935">
        <f>IF(NOT(OR(Application!M355="Yes",Application!M356="Yes")),0,AP284)</f>
        <v>9</v>
      </c>
      <c r="AL327" s="1936"/>
      <c r="AM327" s="1937"/>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1559</v>
      </c>
      <c r="B330" s="573" t="s">
        <v>855</v>
      </c>
      <c r="C330" s="570"/>
      <c r="AC330" s="573"/>
      <c r="AE330" s="1941" t="s">
        <v>1420</v>
      </c>
      <c r="AF330" s="1941"/>
      <c r="AG330" s="1941"/>
      <c r="AH330" s="1941"/>
      <c r="AI330" s="1941"/>
      <c r="AJ330" s="1941"/>
      <c r="AK330" s="1941"/>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45" t="s">
        <v>1560</v>
      </c>
      <c r="D332" s="1945"/>
      <c r="E332" s="1945"/>
      <c r="F332" s="1945"/>
      <c r="G332" s="1945"/>
      <c r="H332" s="1945"/>
      <c r="I332" s="1945"/>
      <c r="J332" s="1945"/>
      <c r="K332" s="1945"/>
      <c r="L332" s="1945"/>
      <c r="M332" s="1945"/>
      <c r="N332" s="1945"/>
      <c r="O332" s="1945"/>
      <c r="P332" s="1945"/>
      <c r="Q332" s="1945"/>
      <c r="R332" s="1945"/>
      <c r="S332" s="1945"/>
      <c r="T332" s="1945"/>
      <c r="U332" s="1945"/>
      <c r="V332" s="1945"/>
      <c r="W332" s="1945"/>
      <c r="X332" s="1945"/>
      <c r="Y332" s="1945"/>
      <c r="Z332" s="1945"/>
      <c r="AA332" s="1945"/>
      <c r="AB332" s="1945"/>
      <c r="AC332" s="1945"/>
      <c r="AD332" s="1945"/>
      <c r="AE332" s="1945"/>
      <c r="AF332" s="1945"/>
      <c r="AG332" s="1945"/>
      <c r="AH332" s="1945"/>
      <c r="AI332" s="1945"/>
      <c r="AJ332" s="1945"/>
      <c r="AK332" s="637"/>
      <c r="AL332" s="637"/>
      <c r="AM332" s="637"/>
      <c r="AN332" s="631"/>
    </row>
    <row r="333" spans="1:44" s="584" customFormat="1" ht="12.75" customHeight="1">
      <c r="A333" s="637"/>
      <c r="B333" s="645"/>
      <c r="C333" s="1945"/>
      <c r="D333" s="1945"/>
      <c r="E333" s="1945"/>
      <c r="F333" s="1945"/>
      <c r="G333" s="1945"/>
      <c r="H333" s="1945"/>
      <c r="I333" s="1945"/>
      <c r="J333" s="1945"/>
      <c r="K333" s="1945"/>
      <c r="L333" s="1945"/>
      <c r="M333" s="1945"/>
      <c r="N333" s="1945"/>
      <c r="O333" s="1945"/>
      <c r="P333" s="1945"/>
      <c r="Q333" s="1945"/>
      <c r="R333" s="1945"/>
      <c r="S333" s="1945"/>
      <c r="T333" s="1945"/>
      <c r="U333" s="1945"/>
      <c r="V333" s="1945"/>
      <c r="W333" s="1945"/>
      <c r="X333" s="1945"/>
      <c r="Y333" s="1945"/>
      <c r="Z333" s="1945"/>
      <c r="AA333" s="1945"/>
      <c r="AB333" s="1945"/>
      <c r="AC333" s="1945"/>
      <c r="AD333" s="1945"/>
      <c r="AE333" s="1945"/>
      <c r="AF333" s="1945"/>
      <c r="AG333" s="1945"/>
      <c r="AH333" s="1945"/>
      <c r="AI333" s="1945"/>
      <c r="AJ333" s="1945"/>
      <c r="AK333" s="637"/>
      <c r="AL333" s="637"/>
      <c r="AM333" s="637"/>
      <c r="AN333" s="631"/>
    </row>
    <row r="334" spans="1:44" s="584" customFormat="1" ht="12.75" customHeight="1">
      <c r="A334" s="637"/>
      <c r="B334" s="645"/>
      <c r="C334" s="1945"/>
      <c r="D334" s="1945"/>
      <c r="E334" s="1945"/>
      <c r="F334" s="1945"/>
      <c r="G334" s="1945"/>
      <c r="H334" s="1945"/>
      <c r="I334" s="1945"/>
      <c r="J334" s="1945"/>
      <c r="K334" s="1945"/>
      <c r="L334" s="1945"/>
      <c r="M334" s="1945"/>
      <c r="N334" s="1945"/>
      <c r="O334" s="1945"/>
      <c r="P334" s="1945"/>
      <c r="Q334" s="1945"/>
      <c r="R334" s="1945"/>
      <c r="S334" s="1945"/>
      <c r="T334" s="1945"/>
      <c r="U334" s="1945"/>
      <c r="V334" s="1945"/>
      <c r="W334" s="1945"/>
      <c r="X334" s="1945"/>
      <c r="Y334" s="1945"/>
      <c r="Z334" s="1945"/>
      <c r="AA334" s="1945"/>
      <c r="AB334" s="1945"/>
      <c r="AC334" s="1945"/>
      <c r="AD334" s="1945"/>
      <c r="AE334" s="1945"/>
      <c r="AF334" s="1945"/>
      <c r="AG334" s="1945"/>
      <c r="AH334" s="1945"/>
      <c r="AI334" s="1945"/>
      <c r="AJ334" s="1945"/>
      <c r="AK334" s="637"/>
      <c r="AL334" s="637"/>
      <c r="AM334" s="637"/>
      <c r="AN334" s="631"/>
      <c r="AQ334" s="604"/>
    </row>
    <row r="335" spans="1:44" s="584" customFormat="1" ht="12.75" customHeight="1">
      <c r="A335" s="637"/>
      <c r="B335" s="645"/>
      <c r="C335" s="1945"/>
      <c r="D335" s="1945"/>
      <c r="E335" s="1945"/>
      <c r="F335" s="1945"/>
      <c r="G335" s="1945"/>
      <c r="H335" s="1945"/>
      <c r="I335" s="1945"/>
      <c r="J335" s="1945"/>
      <c r="K335" s="1945"/>
      <c r="L335" s="1945"/>
      <c r="M335" s="1945"/>
      <c r="N335" s="1945"/>
      <c r="O335" s="1945"/>
      <c r="P335" s="1945"/>
      <c r="Q335" s="1945"/>
      <c r="R335" s="1945"/>
      <c r="S335" s="1945"/>
      <c r="T335" s="1945"/>
      <c r="U335" s="1945"/>
      <c r="V335" s="1945"/>
      <c r="W335" s="1945"/>
      <c r="X335" s="1945"/>
      <c r="Y335" s="1945"/>
      <c r="Z335" s="1945"/>
      <c r="AA335" s="1945"/>
      <c r="AB335" s="1945"/>
      <c r="AC335" s="1945"/>
      <c r="AD335" s="1945"/>
      <c r="AE335" s="1945"/>
      <c r="AF335" s="1945"/>
      <c r="AG335" s="1945"/>
      <c r="AH335" s="1945"/>
      <c r="AI335" s="1945"/>
      <c r="AJ335" s="1945"/>
      <c r="AK335" s="637"/>
      <c r="AL335" s="637"/>
      <c r="AM335" s="637"/>
      <c r="AN335" s="631"/>
      <c r="AQ335" s="604"/>
    </row>
    <row r="336" spans="1:44" s="584" customFormat="1" ht="12.4" customHeight="1">
      <c r="A336" s="637"/>
      <c r="B336" s="645"/>
      <c r="C336" s="1945"/>
      <c r="D336" s="1945"/>
      <c r="E336" s="1945"/>
      <c r="F336" s="1945"/>
      <c r="G336" s="1945"/>
      <c r="H336" s="1945"/>
      <c r="I336" s="1945"/>
      <c r="J336" s="1945"/>
      <c r="K336" s="1945"/>
      <c r="L336" s="1945"/>
      <c r="M336" s="1945"/>
      <c r="N336" s="1945"/>
      <c r="O336" s="1945"/>
      <c r="P336" s="1945"/>
      <c r="Q336" s="1945"/>
      <c r="R336" s="1945"/>
      <c r="S336" s="1945"/>
      <c r="T336" s="1945"/>
      <c r="U336" s="1945"/>
      <c r="V336" s="1945"/>
      <c r="W336" s="1945"/>
      <c r="X336" s="1945"/>
      <c r="Y336" s="1945"/>
      <c r="Z336" s="1945"/>
      <c r="AA336" s="1945"/>
      <c r="AB336" s="1945"/>
      <c r="AC336" s="1945"/>
      <c r="AD336" s="1945"/>
      <c r="AE336" s="1945"/>
      <c r="AF336" s="1945"/>
      <c r="AG336" s="1945"/>
      <c r="AH336" s="1945"/>
      <c r="AI336" s="1945"/>
      <c r="AJ336" s="1945"/>
      <c r="AK336" s="637"/>
      <c r="AL336" s="637"/>
      <c r="AM336" s="637"/>
      <c r="AN336" s="631"/>
      <c r="AQ336" s="604"/>
      <c r="AR336" s="604"/>
    </row>
    <row r="337" spans="1:46" s="584" customFormat="1" ht="45.75" customHeight="1">
      <c r="A337" s="637"/>
      <c r="B337" s="645"/>
      <c r="C337" s="1945" t="s">
        <v>2404</v>
      </c>
      <c r="D337" s="1945"/>
      <c r="E337" s="1945"/>
      <c r="F337" s="1945"/>
      <c r="G337" s="1945"/>
      <c r="H337" s="1945"/>
      <c r="I337" s="1945"/>
      <c r="J337" s="1945"/>
      <c r="K337" s="1945"/>
      <c r="L337" s="1945"/>
      <c r="M337" s="1945"/>
      <c r="N337" s="1945"/>
      <c r="O337" s="1945"/>
      <c r="P337" s="1945"/>
      <c r="Q337" s="1945"/>
      <c r="R337" s="1945"/>
      <c r="S337" s="1945"/>
      <c r="T337" s="1945"/>
      <c r="U337" s="1945"/>
      <c r="V337" s="1945"/>
      <c r="W337" s="1945"/>
      <c r="X337" s="1945"/>
      <c r="Y337" s="1945"/>
      <c r="Z337" s="1945"/>
      <c r="AA337" s="1945"/>
      <c r="AB337" s="1945"/>
      <c r="AC337" s="1945"/>
      <c r="AD337" s="1945"/>
      <c r="AE337" s="1945"/>
      <c r="AF337" s="1945"/>
      <c r="AG337" s="1945"/>
      <c r="AH337" s="1945"/>
      <c r="AI337" s="1945"/>
      <c r="AJ337" s="1945"/>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45" t="s">
        <v>2566</v>
      </c>
      <c r="D339" s="1945"/>
      <c r="E339" s="1945"/>
      <c r="F339" s="1945"/>
      <c r="G339" s="1945"/>
      <c r="H339" s="1945"/>
      <c r="I339" s="1945"/>
      <c r="J339" s="1945"/>
      <c r="K339" s="1945"/>
      <c r="L339" s="1945"/>
      <c r="M339" s="1945"/>
      <c r="N339" s="1945"/>
      <c r="O339" s="1945"/>
      <c r="P339" s="1945"/>
      <c r="Q339" s="1945"/>
      <c r="R339" s="1945"/>
      <c r="S339" s="1945"/>
      <c r="T339" s="1945"/>
      <c r="U339" s="1945"/>
      <c r="V339" s="1945"/>
      <c r="W339" s="1945"/>
      <c r="X339" s="1945"/>
      <c r="Y339" s="1945"/>
      <c r="Z339" s="1945"/>
      <c r="AA339" s="1945"/>
      <c r="AB339" s="1945"/>
      <c r="AC339" s="1945"/>
      <c r="AD339" s="1945"/>
      <c r="AE339" s="1945"/>
      <c r="AF339" s="1945"/>
      <c r="AG339" s="1945"/>
      <c r="AH339" s="1945"/>
      <c r="AI339" s="1945"/>
      <c r="AJ339" s="1945"/>
      <c r="AK339" s="637"/>
      <c r="AL339" s="637"/>
      <c r="AM339" s="637"/>
      <c r="AN339" s="631"/>
      <c r="AQ339" s="604"/>
      <c r="AR339" s="604"/>
    </row>
    <row r="340" spans="1:46" s="584" customFormat="1" ht="30" customHeight="1">
      <c r="A340" s="637"/>
      <c r="B340" s="645"/>
      <c r="C340" s="1945"/>
      <c r="D340" s="1945"/>
      <c r="E340" s="1945"/>
      <c r="F340" s="1945"/>
      <c r="G340" s="1945"/>
      <c r="H340" s="1945"/>
      <c r="I340" s="1945"/>
      <c r="J340" s="1945"/>
      <c r="K340" s="1945"/>
      <c r="L340" s="1945"/>
      <c r="M340" s="1945"/>
      <c r="N340" s="1945"/>
      <c r="O340" s="1945"/>
      <c r="P340" s="1945"/>
      <c r="Q340" s="1945"/>
      <c r="R340" s="1945"/>
      <c r="S340" s="1945"/>
      <c r="T340" s="1945"/>
      <c r="U340" s="1945"/>
      <c r="V340" s="1945"/>
      <c r="W340" s="1945"/>
      <c r="X340" s="1945"/>
      <c r="Y340" s="1945"/>
      <c r="Z340" s="1945"/>
      <c r="AA340" s="1945"/>
      <c r="AB340" s="1945"/>
      <c r="AC340" s="1945"/>
      <c r="AD340" s="1945"/>
      <c r="AE340" s="1945"/>
      <c r="AF340" s="1945"/>
      <c r="AG340" s="1945"/>
      <c r="AH340" s="1945"/>
      <c r="AI340" s="1945"/>
      <c r="AJ340" s="1945"/>
      <c r="AK340" s="637"/>
      <c r="AL340" s="637"/>
      <c r="AM340" s="637"/>
      <c r="AN340" s="631"/>
      <c r="AR340" s="604"/>
    </row>
    <row r="341" spans="1:46" s="584" customFormat="1" ht="12.75" customHeight="1">
      <c r="A341" s="637"/>
      <c r="B341" s="645"/>
      <c r="C341" s="1945"/>
      <c r="D341" s="1945"/>
      <c r="E341" s="1945"/>
      <c r="F341" s="1945"/>
      <c r="G341" s="1945"/>
      <c r="H341" s="1945"/>
      <c r="I341" s="1945"/>
      <c r="J341" s="1945"/>
      <c r="K341" s="1945"/>
      <c r="L341" s="1945"/>
      <c r="M341" s="1945"/>
      <c r="N341" s="1945"/>
      <c r="O341" s="1945"/>
      <c r="P341" s="1945"/>
      <c r="Q341" s="1945"/>
      <c r="R341" s="1945"/>
      <c r="S341" s="1945"/>
      <c r="T341" s="1945"/>
      <c r="U341" s="1945"/>
      <c r="V341" s="1945"/>
      <c r="W341" s="1945"/>
      <c r="X341" s="1945"/>
      <c r="Y341" s="1945"/>
      <c r="Z341" s="1945"/>
      <c r="AA341" s="1945"/>
      <c r="AB341" s="1945"/>
      <c r="AC341" s="1945"/>
      <c r="AD341" s="1945"/>
      <c r="AE341" s="1945"/>
      <c r="AF341" s="1945"/>
      <c r="AG341" s="1945"/>
      <c r="AH341" s="1945"/>
      <c r="AI341" s="1945"/>
      <c r="AJ341" s="1945"/>
      <c r="AK341" s="637"/>
      <c r="AL341" s="637"/>
      <c r="AM341" s="637"/>
      <c r="AN341" s="631"/>
      <c r="AR341" s="604"/>
    </row>
    <row r="342" spans="1:46" s="584" customFormat="1" ht="12.75" customHeight="1">
      <c r="A342" s="637"/>
      <c r="B342" s="645"/>
      <c r="C342" s="1945" t="s">
        <v>1561</v>
      </c>
      <c r="D342" s="1945"/>
      <c r="E342" s="1945"/>
      <c r="F342" s="1945"/>
      <c r="G342" s="1945"/>
      <c r="H342" s="1945"/>
      <c r="I342" s="1945"/>
      <c r="J342" s="1945"/>
      <c r="K342" s="1945"/>
      <c r="L342" s="1945"/>
      <c r="M342" s="1945"/>
      <c r="N342" s="1945"/>
      <c r="O342" s="1945"/>
      <c r="P342" s="1945"/>
      <c r="Q342" s="1945"/>
      <c r="R342" s="1945"/>
      <c r="S342" s="1945"/>
      <c r="T342" s="1945"/>
      <c r="U342" s="1945"/>
      <c r="V342" s="1945"/>
      <c r="W342" s="1945"/>
      <c r="X342" s="1945"/>
      <c r="Y342" s="1945"/>
      <c r="Z342" s="1945"/>
      <c r="AA342" s="1945"/>
      <c r="AB342" s="1945"/>
      <c r="AC342" s="1945"/>
      <c r="AD342" s="1945"/>
      <c r="AE342" s="1945"/>
      <c r="AF342" s="1945"/>
      <c r="AG342" s="1945"/>
      <c r="AH342" s="1945"/>
      <c r="AI342" s="1945"/>
      <c r="AJ342" s="1945"/>
      <c r="AK342" s="637"/>
      <c r="AL342" s="637"/>
      <c r="AM342" s="637"/>
      <c r="AN342" s="631"/>
      <c r="AQ342" s="604"/>
      <c r="AR342" s="604"/>
    </row>
    <row r="343" spans="1:46" s="584" customFormat="1" ht="12.75" customHeight="1">
      <c r="A343" s="637"/>
      <c r="B343" s="645"/>
      <c r="C343" s="1945"/>
      <c r="D343" s="1945"/>
      <c r="E343" s="1945"/>
      <c r="F343" s="1945"/>
      <c r="G343" s="1945"/>
      <c r="H343" s="1945"/>
      <c r="I343" s="1945"/>
      <c r="J343" s="1945"/>
      <c r="K343" s="1945"/>
      <c r="L343" s="1945"/>
      <c r="M343" s="1945"/>
      <c r="N343" s="1945"/>
      <c r="O343" s="1945"/>
      <c r="P343" s="1945"/>
      <c r="Q343" s="1945"/>
      <c r="R343" s="1945"/>
      <c r="S343" s="1945"/>
      <c r="T343" s="1945"/>
      <c r="U343" s="1945"/>
      <c r="V343" s="1945"/>
      <c r="W343" s="1945"/>
      <c r="X343" s="1945"/>
      <c r="Y343" s="1945"/>
      <c r="Z343" s="1945"/>
      <c r="AA343" s="1945"/>
      <c r="AB343" s="1945"/>
      <c r="AC343" s="1945"/>
      <c r="AD343" s="1945"/>
      <c r="AE343" s="1945"/>
      <c r="AF343" s="1945"/>
      <c r="AG343" s="1945"/>
      <c r="AH343" s="1945"/>
      <c r="AI343" s="1945"/>
      <c r="AJ343" s="1945"/>
      <c r="AK343" s="637"/>
      <c r="AL343" s="637"/>
      <c r="AM343" s="637"/>
      <c r="AN343" s="631"/>
      <c r="AQ343" s="604"/>
      <c r="AR343" s="604"/>
    </row>
    <row r="344" spans="1:46" s="584" customFormat="1" ht="13.15" customHeight="1">
      <c r="A344" s="637"/>
      <c r="B344" s="645"/>
      <c r="C344" s="1945"/>
      <c r="D344" s="1945"/>
      <c r="E344" s="1945"/>
      <c r="F344" s="1945"/>
      <c r="G344" s="1945"/>
      <c r="H344" s="1945"/>
      <c r="I344" s="1945"/>
      <c r="J344" s="1945"/>
      <c r="K344" s="1945"/>
      <c r="L344" s="1945"/>
      <c r="M344" s="1945"/>
      <c r="N344" s="1945"/>
      <c r="O344" s="1945"/>
      <c r="P344" s="1945"/>
      <c r="Q344" s="1945"/>
      <c r="R344" s="1945"/>
      <c r="S344" s="1945"/>
      <c r="T344" s="1945"/>
      <c r="U344" s="1945"/>
      <c r="V344" s="1945"/>
      <c r="W344" s="1945"/>
      <c r="X344" s="1945"/>
      <c r="Y344" s="1945"/>
      <c r="Z344" s="1945"/>
      <c r="AA344" s="1945"/>
      <c r="AB344" s="1945"/>
      <c r="AC344" s="1945"/>
      <c r="AD344" s="1945"/>
      <c r="AE344" s="1945"/>
      <c r="AF344" s="1945"/>
      <c r="AG344" s="1945"/>
      <c r="AH344" s="1945"/>
      <c r="AI344" s="1945"/>
      <c r="AJ344" s="1945"/>
      <c r="AK344" s="637"/>
      <c r="AL344" s="637"/>
      <c r="AM344" s="637"/>
      <c r="AN344" s="631"/>
      <c r="AQ344" s="604"/>
      <c r="AR344" s="604"/>
    </row>
    <row r="345" spans="1:46" s="584" customFormat="1" ht="12.75" customHeight="1">
      <c r="A345" s="637"/>
      <c r="B345" s="645"/>
      <c r="C345" s="1945"/>
      <c r="D345" s="1945"/>
      <c r="E345" s="1945"/>
      <c r="F345" s="1945"/>
      <c r="G345" s="1945"/>
      <c r="H345" s="1945"/>
      <c r="I345" s="1945"/>
      <c r="J345" s="1945"/>
      <c r="K345" s="1945"/>
      <c r="L345" s="1945"/>
      <c r="M345" s="1945"/>
      <c r="N345" s="1945"/>
      <c r="O345" s="1945"/>
      <c r="P345" s="1945"/>
      <c r="Q345" s="1945"/>
      <c r="R345" s="1945"/>
      <c r="S345" s="1945"/>
      <c r="T345" s="1945"/>
      <c r="U345" s="1945"/>
      <c r="V345" s="1945"/>
      <c r="W345" s="1945"/>
      <c r="X345" s="1945"/>
      <c r="Y345" s="1945"/>
      <c r="Z345" s="1945"/>
      <c r="AA345" s="1945"/>
      <c r="AB345" s="1945"/>
      <c r="AC345" s="1945"/>
      <c r="AD345" s="1945"/>
      <c r="AE345" s="1945"/>
      <c r="AF345" s="1945"/>
      <c r="AG345" s="1945"/>
      <c r="AH345" s="1945"/>
      <c r="AI345" s="1945"/>
      <c r="AJ345" s="1945"/>
      <c r="AK345" s="637"/>
      <c r="AL345" s="637"/>
      <c r="AM345" s="637"/>
      <c r="AN345" s="631"/>
      <c r="AO345" s="728"/>
      <c r="AP345" s="728"/>
      <c r="AQ345" s="604"/>
    </row>
    <row r="346" spans="1:46" s="584" customFormat="1" ht="11.85" customHeight="1">
      <c r="A346" s="637"/>
      <c r="B346" s="645"/>
      <c r="C346" s="1945"/>
      <c r="D346" s="1945"/>
      <c r="E346" s="1945"/>
      <c r="F346" s="1945"/>
      <c r="G346" s="1945"/>
      <c r="H346" s="1945"/>
      <c r="I346" s="1945"/>
      <c r="J346" s="1945"/>
      <c r="K346" s="1945"/>
      <c r="L346" s="1945"/>
      <c r="M346" s="1945"/>
      <c r="N346" s="1945"/>
      <c r="O346" s="1945"/>
      <c r="P346" s="1945"/>
      <c r="Q346" s="1945"/>
      <c r="R346" s="1945"/>
      <c r="S346" s="1945"/>
      <c r="T346" s="1945"/>
      <c r="U346" s="1945"/>
      <c r="V346" s="1945"/>
      <c r="W346" s="1945"/>
      <c r="X346" s="1945"/>
      <c r="Y346" s="1945"/>
      <c r="Z346" s="1945"/>
      <c r="AA346" s="1945"/>
      <c r="AB346" s="1945"/>
      <c r="AC346" s="1945"/>
      <c r="AD346" s="1945"/>
      <c r="AE346" s="1945"/>
      <c r="AF346" s="1945"/>
      <c r="AG346" s="1945"/>
      <c r="AH346" s="1945"/>
      <c r="AI346" s="1945"/>
      <c r="AJ346" s="1945"/>
      <c r="AK346" s="637"/>
      <c r="AL346" s="637"/>
      <c r="AM346" s="637"/>
      <c r="AN346" s="631"/>
      <c r="AO346" s="729" t="s">
        <v>112</v>
      </c>
      <c r="AP346" s="730">
        <f>IF(C370="Yes",5,0)</f>
        <v>5</v>
      </c>
      <c r="AS346" s="573" t="s">
        <v>1562</v>
      </c>
    </row>
    <row r="347" spans="1:46" s="584" customFormat="1" ht="12.75" customHeight="1">
      <c r="A347" s="637"/>
      <c r="B347" s="645"/>
      <c r="C347" s="1945"/>
      <c r="D347" s="1945"/>
      <c r="E347" s="1945"/>
      <c r="F347" s="1945"/>
      <c r="G347" s="1945"/>
      <c r="H347" s="1945"/>
      <c r="I347" s="1945"/>
      <c r="J347" s="1945"/>
      <c r="K347" s="1945"/>
      <c r="L347" s="1945"/>
      <c r="M347" s="1945"/>
      <c r="N347" s="1945"/>
      <c r="O347" s="1945"/>
      <c r="P347" s="1945"/>
      <c r="Q347" s="1945"/>
      <c r="R347" s="1945"/>
      <c r="S347" s="1945"/>
      <c r="T347" s="1945"/>
      <c r="U347" s="1945"/>
      <c r="V347" s="1945"/>
      <c r="W347" s="1945"/>
      <c r="X347" s="1945"/>
      <c r="Y347" s="1945"/>
      <c r="Z347" s="1945"/>
      <c r="AA347" s="1945"/>
      <c r="AB347" s="1945"/>
      <c r="AC347" s="1945"/>
      <c r="AD347" s="1945"/>
      <c r="AE347" s="1945"/>
      <c r="AF347" s="1945"/>
      <c r="AG347" s="1945"/>
      <c r="AH347" s="1945"/>
      <c r="AI347" s="1945"/>
      <c r="AJ347" s="1945"/>
      <c r="AK347" s="637"/>
      <c r="AL347" s="637"/>
      <c r="AM347" s="637"/>
      <c r="AN347" s="631"/>
      <c r="AO347" s="729" t="s">
        <v>113</v>
      </c>
      <c r="AP347" s="730">
        <f>IF(C378="Yes",5,0)</f>
        <v>0</v>
      </c>
      <c r="AS347" s="1910">
        <f>IF(Application!D211="Non-Targeted",(SUM(AQ355+AQ364)),AS351)</f>
        <v>10</v>
      </c>
      <c r="AT347" s="1910"/>
    </row>
    <row r="348" spans="1:46" s="584" customFormat="1" ht="12.75" customHeight="1">
      <c r="A348" s="637"/>
      <c r="B348" s="645"/>
      <c r="C348" s="1945"/>
      <c r="D348" s="1945"/>
      <c r="E348" s="1945"/>
      <c r="F348" s="1945"/>
      <c r="G348" s="1945"/>
      <c r="H348" s="1945"/>
      <c r="I348" s="1945"/>
      <c r="J348" s="1945"/>
      <c r="K348" s="1945"/>
      <c r="L348" s="1945"/>
      <c r="M348" s="1945"/>
      <c r="N348" s="1945"/>
      <c r="O348" s="1945"/>
      <c r="P348" s="1945"/>
      <c r="Q348" s="1945"/>
      <c r="R348" s="1945"/>
      <c r="S348" s="1945"/>
      <c r="T348" s="1945"/>
      <c r="U348" s="1945"/>
      <c r="V348" s="1945"/>
      <c r="W348" s="1945"/>
      <c r="X348" s="1945"/>
      <c r="Y348" s="1945"/>
      <c r="Z348" s="1945"/>
      <c r="AA348" s="1945"/>
      <c r="AB348" s="1945"/>
      <c r="AC348" s="1945"/>
      <c r="AD348" s="1945"/>
      <c r="AE348" s="1945"/>
      <c r="AF348" s="1945"/>
      <c r="AG348" s="1945"/>
      <c r="AH348" s="1945"/>
      <c r="AI348" s="1945"/>
      <c r="AJ348" s="1945"/>
      <c r="AK348" s="637"/>
      <c r="AL348" s="637"/>
      <c r="AM348" s="637"/>
      <c r="AN348" s="631"/>
      <c r="AO348" s="729" t="s">
        <v>119</v>
      </c>
      <c r="AP348" s="730">
        <f>IF(C386="Yes",7,0)</f>
        <v>0</v>
      </c>
      <c r="AS348" s="573" t="s">
        <v>1563</v>
      </c>
    </row>
    <row r="349" spans="1:46" s="584" customFormat="1" ht="12.75" customHeight="1">
      <c r="A349" s="637"/>
      <c r="B349" s="645"/>
      <c r="C349" s="1945"/>
      <c r="D349" s="1945"/>
      <c r="E349" s="1945"/>
      <c r="F349" s="1945"/>
      <c r="G349" s="1945"/>
      <c r="H349" s="1945"/>
      <c r="I349" s="1945"/>
      <c r="J349" s="1945"/>
      <c r="K349" s="1945"/>
      <c r="L349" s="1945"/>
      <c r="M349" s="1945"/>
      <c r="N349" s="1945"/>
      <c r="O349" s="1945"/>
      <c r="P349" s="1945"/>
      <c r="Q349" s="1945"/>
      <c r="R349" s="1945"/>
      <c r="S349" s="1945"/>
      <c r="T349" s="1945"/>
      <c r="U349" s="1945"/>
      <c r="V349" s="1945"/>
      <c r="W349" s="1945"/>
      <c r="X349" s="1945"/>
      <c r="Y349" s="1945"/>
      <c r="Z349" s="1945"/>
      <c r="AA349" s="1945"/>
      <c r="AB349" s="1945"/>
      <c r="AC349" s="1945"/>
      <c r="AD349" s="1945"/>
      <c r="AE349" s="1945"/>
      <c r="AF349" s="1945"/>
      <c r="AG349" s="1945"/>
      <c r="AH349" s="1945"/>
      <c r="AI349" s="1945"/>
      <c r="AJ349" s="1945"/>
      <c r="AK349" s="637"/>
      <c r="AL349" s="637"/>
      <c r="AM349" s="637"/>
      <c r="AN349" s="631"/>
      <c r="AO349" s="631"/>
      <c r="AP349" s="730">
        <f>IF(C388="Yes",5,0)</f>
        <v>5</v>
      </c>
      <c r="AS349" s="1910">
        <f>IF(AND(AQ355&gt;0,AQ364&gt;0),(AQ355+AQ364)/2,0)</f>
        <v>10</v>
      </c>
      <c r="AT349" s="1910"/>
    </row>
    <row r="350" spans="1:46" s="584" customFormat="1" ht="12.75" customHeight="1">
      <c r="A350" s="637"/>
      <c r="B350" s="645"/>
      <c r="C350" s="1945"/>
      <c r="D350" s="1945"/>
      <c r="E350" s="1945"/>
      <c r="F350" s="1945"/>
      <c r="G350" s="1945"/>
      <c r="H350" s="1945"/>
      <c r="I350" s="1945"/>
      <c r="J350" s="1945"/>
      <c r="K350" s="1945"/>
      <c r="L350" s="1945"/>
      <c r="M350" s="1945"/>
      <c r="N350" s="1945"/>
      <c r="O350" s="1945"/>
      <c r="P350" s="1945"/>
      <c r="Q350" s="1945"/>
      <c r="R350" s="1945"/>
      <c r="S350" s="1945"/>
      <c r="T350" s="1945"/>
      <c r="U350" s="1945"/>
      <c r="V350" s="1945"/>
      <c r="W350" s="1945"/>
      <c r="X350" s="1945"/>
      <c r="Y350" s="1945"/>
      <c r="Z350" s="1945"/>
      <c r="AA350" s="1945"/>
      <c r="AB350" s="1945"/>
      <c r="AC350" s="1945"/>
      <c r="AD350" s="1945"/>
      <c r="AE350" s="1945"/>
      <c r="AF350" s="1945"/>
      <c r="AG350" s="1945"/>
      <c r="AH350" s="1945"/>
      <c r="AI350" s="1945"/>
      <c r="AJ350" s="1945"/>
      <c r="AK350" s="637"/>
      <c r="AL350" s="637"/>
      <c r="AM350" s="637"/>
      <c r="AN350" s="631"/>
      <c r="AO350" s="729" t="s">
        <v>588</v>
      </c>
      <c r="AP350" s="730">
        <f>IF(C396="Yes",5,0)</f>
        <v>0</v>
      </c>
      <c r="AS350" s="573" t="s">
        <v>2065</v>
      </c>
    </row>
    <row r="351" spans="1:46" s="584" customFormat="1" ht="12.75" customHeight="1">
      <c r="A351" s="637"/>
      <c r="B351" s="645"/>
      <c r="C351" s="2039" t="s">
        <v>1564</v>
      </c>
      <c r="D351" s="2039"/>
      <c r="E351" s="2039"/>
      <c r="F351" s="2039"/>
      <c r="G351" s="2039"/>
      <c r="H351" s="2039"/>
      <c r="I351" s="2039"/>
      <c r="J351" s="2039"/>
      <c r="K351" s="2039"/>
      <c r="L351" s="2039"/>
      <c r="M351" s="2039"/>
      <c r="N351" s="2039"/>
      <c r="O351" s="2039"/>
      <c r="P351" s="2039"/>
      <c r="Q351" s="2039"/>
      <c r="R351" s="2039"/>
      <c r="S351" s="2039"/>
      <c r="T351" s="2039"/>
      <c r="U351" s="2039"/>
      <c r="V351" s="2039"/>
      <c r="W351" s="2039"/>
      <c r="X351" s="2039"/>
      <c r="Y351" s="2039"/>
      <c r="Z351" s="2039"/>
      <c r="AA351" s="2039"/>
      <c r="AB351" s="2039"/>
      <c r="AC351" s="2039"/>
      <c r="AD351" s="2039"/>
      <c r="AE351" s="2039"/>
      <c r="AF351" s="2039"/>
      <c r="AG351" s="2039"/>
      <c r="AH351" s="2039"/>
      <c r="AI351" s="2039"/>
      <c r="AJ351" s="2039"/>
      <c r="AK351" s="637"/>
      <c r="AL351" s="637"/>
      <c r="AM351" s="637"/>
      <c r="AN351" s="631"/>
      <c r="AO351" s="631"/>
      <c r="AP351" s="730">
        <f>IF(C398="Yes",3,0)</f>
        <v>0</v>
      </c>
      <c r="AS351" s="1910">
        <f>IF(AQ355=0,AQ364,AQ355)</f>
        <v>10</v>
      </c>
      <c r="AT351" s="1910"/>
    </row>
    <row r="352" spans="1:46" s="584" customFormat="1" ht="12.75" customHeight="1">
      <c r="A352" s="637"/>
      <c r="B352" s="645"/>
      <c r="C352" s="2039"/>
      <c r="D352" s="2039"/>
      <c r="E352" s="2039"/>
      <c r="F352" s="2039"/>
      <c r="G352" s="2039"/>
      <c r="H352" s="2039"/>
      <c r="I352" s="2039"/>
      <c r="J352" s="2039"/>
      <c r="K352" s="2039"/>
      <c r="L352" s="2039"/>
      <c r="M352" s="2039"/>
      <c r="N352" s="2039"/>
      <c r="O352" s="2039"/>
      <c r="P352" s="2039"/>
      <c r="Q352" s="2039"/>
      <c r="R352" s="2039"/>
      <c r="S352" s="2039"/>
      <c r="T352" s="2039"/>
      <c r="U352" s="2039"/>
      <c r="V352" s="2039"/>
      <c r="W352" s="2039"/>
      <c r="X352" s="2039"/>
      <c r="Y352" s="2039"/>
      <c r="Z352" s="2039"/>
      <c r="AA352" s="2039"/>
      <c r="AB352" s="2039"/>
      <c r="AC352" s="2039"/>
      <c r="AD352" s="2039"/>
      <c r="AE352" s="2039"/>
      <c r="AF352" s="2039"/>
      <c r="AG352" s="2039"/>
      <c r="AH352" s="2039"/>
      <c r="AI352" s="2039"/>
      <c r="AJ352" s="2039"/>
      <c r="AK352" s="637"/>
      <c r="AL352" s="637"/>
      <c r="AM352" s="637"/>
      <c r="AN352" s="631"/>
      <c r="AO352" s="729" t="s">
        <v>771</v>
      </c>
      <c r="AP352" s="730">
        <f>IF(C401="Yes",5,0)</f>
        <v>0</v>
      </c>
    </row>
    <row r="353" spans="1:81" s="584" customFormat="1" ht="12.75" customHeight="1">
      <c r="A353" s="637"/>
      <c r="B353" s="645"/>
      <c r="C353" s="2039"/>
      <c r="D353" s="2039"/>
      <c r="E353" s="2039"/>
      <c r="F353" s="2039"/>
      <c r="G353" s="2039"/>
      <c r="H353" s="2039"/>
      <c r="I353" s="2039"/>
      <c r="J353" s="2039"/>
      <c r="K353" s="2039"/>
      <c r="L353" s="2039"/>
      <c r="M353" s="2039"/>
      <c r="N353" s="2039"/>
      <c r="O353" s="2039"/>
      <c r="P353" s="2039"/>
      <c r="Q353" s="2039"/>
      <c r="R353" s="2039"/>
      <c r="S353" s="2039"/>
      <c r="T353" s="2039"/>
      <c r="U353" s="2039"/>
      <c r="V353" s="2039"/>
      <c r="W353" s="2039"/>
      <c r="X353" s="2039"/>
      <c r="Y353" s="2039"/>
      <c r="Z353" s="2039"/>
      <c r="AA353" s="2039"/>
      <c r="AB353" s="2039"/>
      <c r="AC353" s="2039"/>
      <c r="AD353" s="2039"/>
      <c r="AE353" s="2039"/>
      <c r="AF353" s="2039"/>
      <c r="AG353" s="2039"/>
      <c r="AH353" s="2039"/>
      <c r="AI353" s="2039"/>
      <c r="AJ353" s="2039"/>
      <c r="AK353" s="637"/>
      <c r="AL353" s="637"/>
      <c r="AM353" s="637"/>
      <c r="AN353" s="631"/>
      <c r="AO353" s="729" t="s">
        <v>591</v>
      </c>
      <c r="AP353" s="730">
        <f>IF(C410="Yes",5,0)</f>
        <v>0</v>
      </c>
    </row>
    <row r="354" spans="1:81" s="584" customFormat="1" ht="11.85" customHeight="1">
      <c r="A354" s="637"/>
      <c r="B354" s="645"/>
      <c r="C354" s="2039"/>
      <c r="D354" s="2039"/>
      <c r="E354" s="2039"/>
      <c r="F354" s="2039"/>
      <c r="G354" s="2039"/>
      <c r="H354" s="2039"/>
      <c r="I354" s="2039"/>
      <c r="J354" s="2039"/>
      <c r="K354" s="2039"/>
      <c r="L354" s="2039"/>
      <c r="M354" s="2039"/>
      <c r="N354" s="2039"/>
      <c r="O354" s="2039"/>
      <c r="P354" s="2039"/>
      <c r="Q354" s="2039"/>
      <c r="R354" s="2039"/>
      <c r="S354" s="2039"/>
      <c r="T354" s="2039"/>
      <c r="U354" s="2039"/>
      <c r="V354" s="2039"/>
      <c r="W354" s="2039"/>
      <c r="X354" s="2039"/>
      <c r="Y354" s="2039"/>
      <c r="Z354" s="2039"/>
      <c r="AA354" s="2039"/>
      <c r="AB354" s="2039"/>
      <c r="AC354" s="2039"/>
      <c r="AD354" s="2039"/>
      <c r="AE354" s="2039"/>
      <c r="AF354" s="2039"/>
      <c r="AG354" s="2039"/>
      <c r="AH354" s="2039"/>
      <c r="AI354" s="2039"/>
      <c r="AJ354" s="2039"/>
      <c r="AK354" s="637"/>
      <c r="AL354" s="637"/>
      <c r="AM354" s="637"/>
      <c r="AN354" s="631"/>
      <c r="AO354" s="731"/>
      <c r="AP354" s="732">
        <f>IF(C412="Yes",3,0)</f>
        <v>0</v>
      </c>
    </row>
    <row r="355" spans="1:81" s="584" customFormat="1" ht="12.4" customHeight="1">
      <c r="A355" s="637"/>
      <c r="B355" s="645"/>
      <c r="C355" s="2039"/>
      <c r="D355" s="2039"/>
      <c r="E355" s="2039"/>
      <c r="F355" s="2039"/>
      <c r="G355" s="2039"/>
      <c r="H355" s="2039"/>
      <c r="I355" s="2039"/>
      <c r="J355" s="2039"/>
      <c r="K355" s="2039"/>
      <c r="L355" s="2039"/>
      <c r="M355" s="2039"/>
      <c r="N355" s="2039"/>
      <c r="O355" s="2039"/>
      <c r="P355" s="2039"/>
      <c r="Q355" s="2039"/>
      <c r="R355" s="2039"/>
      <c r="S355" s="2039"/>
      <c r="T355" s="2039"/>
      <c r="U355" s="2039"/>
      <c r="V355" s="2039"/>
      <c r="W355" s="2039"/>
      <c r="X355" s="2039"/>
      <c r="Y355" s="2039"/>
      <c r="Z355" s="2039"/>
      <c r="AA355" s="2039"/>
      <c r="AB355" s="2039"/>
      <c r="AC355" s="2039"/>
      <c r="AD355" s="2039"/>
      <c r="AE355" s="2039"/>
      <c r="AF355" s="2039"/>
      <c r="AG355" s="2039"/>
      <c r="AH355" s="2039"/>
      <c r="AI355" s="2039"/>
      <c r="AJ355" s="2039"/>
      <c r="AK355" s="637"/>
      <c r="AL355" s="637"/>
      <c r="AM355" s="637"/>
      <c r="AN355" s="631"/>
      <c r="AO355" s="733" t="s">
        <v>227</v>
      </c>
      <c r="AP355" s="734">
        <f>SUM(AP346:AP354)</f>
        <v>10</v>
      </c>
      <c r="AQ355" s="1948">
        <f>IF(AP355&gt;0,AP355,0)</f>
        <v>10</v>
      </c>
      <c r="AR355" s="1948"/>
    </row>
    <row r="356" spans="1:81" s="584" customFormat="1" ht="12.75" customHeight="1">
      <c r="A356" s="637"/>
      <c r="B356" s="645"/>
      <c r="C356" s="2039"/>
      <c r="D356" s="2039"/>
      <c r="E356" s="2039"/>
      <c r="F356" s="2039"/>
      <c r="G356" s="2039"/>
      <c r="H356" s="2039"/>
      <c r="I356" s="2039"/>
      <c r="J356" s="2039"/>
      <c r="K356" s="2039"/>
      <c r="L356" s="2039"/>
      <c r="M356" s="2039"/>
      <c r="N356" s="2039"/>
      <c r="O356" s="2039"/>
      <c r="P356" s="2039"/>
      <c r="Q356" s="2039"/>
      <c r="R356" s="2039"/>
      <c r="S356" s="2039"/>
      <c r="T356" s="2039"/>
      <c r="U356" s="2039"/>
      <c r="V356" s="2039"/>
      <c r="W356" s="2039"/>
      <c r="X356" s="2039"/>
      <c r="Y356" s="2039"/>
      <c r="Z356" s="2039"/>
      <c r="AA356" s="2039"/>
      <c r="AB356" s="2039"/>
      <c r="AC356" s="2039"/>
      <c r="AD356" s="2039"/>
      <c r="AE356" s="2039"/>
      <c r="AF356" s="2039"/>
      <c r="AG356" s="2039"/>
      <c r="AH356" s="2039"/>
      <c r="AI356" s="2039"/>
      <c r="AJ356" s="2039"/>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462</v>
      </c>
      <c r="AP357" s="730">
        <f>IF(C419="Yes",5,0)</f>
        <v>5</v>
      </c>
    </row>
    <row r="358" spans="1:81" s="584" customFormat="1" ht="12.75" customHeight="1">
      <c r="A358" s="637"/>
      <c r="B358" s="645"/>
      <c r="C358" s="1945" t="s">
        <v>1565</v>
      </c>
      <c r="D358" s="1945"/>
      <c r="E358" s="1945"/>
      <c r="F358" s="1945"/>
      <c r="G358" s="1945"/>
      <c r="H358" s="1945"/>
      <c r="I358" s="1945"/>
      <c r="J358" s="1945"/>
      <c r="K358" s="1945"/>
      <c r="L358" s="1945"/>
      <c r="M358" s="1945"/>
      <c r="N358" s="1945"/>
      <c r="O358" s="1945"/>
      <c r="P358" s="1945"/>
      <c r="Q358" s="1945"/>
      <c r="R358" s="1945"/>
      <c r="S358" s="1945"/>
      <c r="T358" s="1945"/>
      <c r="U358" s="1945"/>
      <c r="V358" s="1945"/>
      <c r="W358" s="1945"/>
      <c r="X358" s="1945"/>
      <c r="Y358" s="1945"/>
      <c r="Z358" s="1945"/>
      <c r="AA358" s="1945"/>
      <c r="AB358" s="1945"/>
      <c r="AC358" s="1945"/>
      <c r="AD358" s="1945"/>
      <c r="AE358" s="1945"/>
      <c r="AF358" s="1945"/>
      <c r="AG358" s="1945"/>
      <c r="AH358" s="1945"/>
      <c r="AI358" s="1945"/>
      <c r="AJ358" s="1945"/>
      <c r="AK358" s="637"/>
      <c r="AL358" s="637"/>
      <c r="AM358" s="637"/>
      <c r="AN358" s="631"/>
      <c r="AO358" s="729" t="s">
        <v>463</v>
      </c>
      <c r="AP358" s="730">
        <f>IF(C431="Yes",5,0)</f>
        <v>0</v>
      </c>
    </row>
    <row r="359" spans="1:81" s="584" customFormat="1" ht="12.75" customHeight="1">
      <c r="A359" s="637"/>
      <c r="B359" s="645"/>
      <c r="C359" s="1945"/>
      <c r="D359" s="1945"/>
      <c r="E359" s="1945"/>
      <c r="F359" s="1945"/>
      <c r="G359" s="1945"/>
      <c r="H359" s="1945"/>
      <c r="I359" s="1945"/>
      <c r="J359" s="1945"/>
      <c r="K359" s="1945"/>
      <c r="L359" s="1945"/>
      <c r="M359" s="1945"/>
      <c r="N359" s="1945"/>
      <c r="O359" s="1945"/>
      <c r="P359" s="1945"/>
      <c r="Q359" s="1945"/>
      <c r="R359" s="1945"/>
      <c r="S359" s="1945"/>
      <c r="T359" s="1945"/>
      <c r="U359" s="1945"/>
      <c r="V359" s="1945"/>
      <c r="W359" s="1945"/>
      <c r="X359" s="1945"/>
      <c r="Y359" s="1945"/>
      <c r="Z359" s="1945"/>
      <c r="AA359" s="1945"/>
      <c r="AB359" s="1945"/>
      <c r="AC359" s="1945"/>
      <c r="AD359" s="1945"/>
      <c r="AE359" s="1945"/>
      <c r="AF359" s="1945"/>
      <c r="AG359" s="1945"/>
      <c r="AH359" s="1945"/>
      <c r="AI359" s="1945"/>
      <c r="AJ359" s="1945"/>
      <c r="AK359" s="637"/>
      <c r="AL359" s="637"/>
      <c r="AM359" s="637"/>
      <c r="AN359" s="631"/>
      <c r="AO359" s="729" t="s">
        <v>468</v>
      </c>
      <c r="AP359" s="730">
        <f>IF(C438="Yes",5,0)</f>
        <v>5</v>
      </c>
    </row>
    <row r="360" spans="1:81" s="584" customFormat="1" ht="68.099999999999994" customHeight="1">
      <c r="A360" s="637"/>
      <c r="B360" s="645"/>
      <c r="C360" s="1945"/>
      <c r="D360" s="1945"/>
      <c r="E360" s="1945"/>
      <c r="F360" s="1945"/>
      <c r="G360" s="1945"/>
      <c r="H360" s="1945"/>
      <c r="I360" s="1945"/>
      <c r="J360" s="1945"/>
      <c r="K360" s="1945"/>
      <c r="L360" s="1945"/>
      <c r="M360" s="1945"/>
      <c r="N360" s="1945"/>
      <c r="O360" s="1945"/>
      <c r="P360" s="1945"/>
      <c r="Q360" s="1945"/>
      <c r="R360" s="1945"/>
      <c r="S360" s="1945"/>
      <c r="T360" s="1945"/>
      <c r="U360" s="1945"/>
      <c r="V360" s="1945"/>
      <c r="W360" s="1945"/>
      <c r="X360" s="1945"/>
      <c r="Y360" s="1945"/>
      <c r="Z360" s="1945"/>
      <c r="AA360" s="1945"/>
      <c r="AB360" s="1945"/>
      <c r="AC360" s="1945"/>
      <c r="AD360" s="1945"/>
      <c r="AE360" s="1945"/>
      <c r="AF360" s="1945"/>
      <c r="AG360" s="1945"/>
      <c r="AH360" s="1945"/>
      <c r="AI360" s="1945"/>
      <c r="AJ360" s="1945"/>
      <c r="AK360" s="637"/>
      <c r="AL360" s="637"/>
      <c r="AM360" s="637"/>
      <c r="AN360" s="631"/>
      <c r="AO360" s="729" t="s">
        <v>653</v>
      </c>
      <c r="AP360" s="735">
        <f>IF(C442="Yes",5,0)</f>
        <v>0</v>
      </c>
    </row>
    <row r="361" spans="1:81" s="584" customFormat="1" ht="12.4" customHeight="1">
      <c r="A361" s="637"/>
      <c r="B361" s="645"/>
      <c r="C361" s="584" t="s">
        <v>1566</v>
      </c>
      <c r="AF361" s="637"/>
      <c r="AG361" s="637"/>
      <c r="AH361" s="637"/>
      <c r="AI361" s="637"/>
      <c r="AJ361" s="637"/>
      <c r="AK361" s="637"/>
      <c r="AL361" s="637"/>
      <c r="AM361" s="637"/>
      <c r="AN361" s="631"/>
      <c r="AO361" s="729" t="s">
        <v>362</v>
      </c>
      <c r="AP361" s="730">
        <f>IF(C446="Yes",5,0)</f>
        <v>0</v>
      </c>
    </row>
    <row r="362" spans="1:81" s="584" customFormat="1" ht="12.75" customHeight="1">
      <c r="A362" s="637"/>
      <c r="B362" s="645"/>
      <c r="C362" s="736" t="s">
        <v>2569</v>
      </c>
      <c r="D362" s="737"/>
      <c r="E362" s="737"/>
      <c r="F362" s="737"/>
      <c r="G362" s="737"/>
      <c r="H362" s="737"/>
      <c r="I362" s="737"/>
      <c r="J362" s="737"/>
      <c r="K362" s="737"/>
      <c r="L362" s="737"/>
      <c r="M362" s="701"/>
      <c r="N362" s="701"/>
      <c r="O362" s="738"/>
      <c r="P362" s="737"/>
      <c r="Q362" s="737"/>
      <c r="R362" s="701"/>
      <c r="S362" s="701"/>
      <c r="T362" s="737"/>
      <c r="U362" s="1946">
        <f>Application!CS660-U363</f>
        <v>60</v>
      </c>
      <c r="V362" s="1946"/>
      <c r="W362" s="1946"/>
      <c r="X362" s="737"/>
      <c r="Y362" s="737"/>
      <c r="Z362" s="737"/>
      <c r="AA362" s="739"/>
      <c r="AB362" s="740"/>
      <c r="AC362" s="740"/>
      <c r="AD362" s="740"/>
      <c r="AE362" s="637"/>
      <c r="AF362" s="637"/>
      <c r="AG362" s="637"/>
      <c r="AH362" s="637"/>
      <c r="AI362" s="637"/>
      <c r="AJ362" s="637"/>
      <c r="AK362" s="637"/>
      <c r="AL362" s="637"/>
      <c r="AM362" s="637"/>
      <c r="AN362" s="631"/>
      <c r="AO362" s="729" t="s">
        <v>363</v>
      </c>
      <c r="AP362" s="730">
        <f>IF(C455="Yes",5,0)</f>
        <v>0</v>
      </c>
    </row>
    <row r="363" spans="1:81" s="584" customFormat="1" ht="12.75" customHeight="1">
      <c r="A363" s="637"/>
      <c r="B363" s="645"/>
      <c r="C363" s="741" t="s">
        <v>2570</v>
      </c>
      <c r="D363" s="728"/>
      <c r="E363" s="728"/>
      <c r="F363" s="728"/>
      <c r="G363" s="728"/>
      <c r="H363" s="728"/>
      <c r="I363" s="728"/>
      <c r="J363" s="728"/>
      <c r="K363" s="728"/>
      <c r="L363" s="728"/>
      <c r="M363" s="728"/>
      <c r="N363" s="728"/>
      <c r="O363" s="728"/>
      <c r="P363" s="728"/>
      <c r="Q363" s="728"/>
      <c r="R363" s="728"/>
      <c r="S363" s="728"/>
      <c r="T363" s="728"/>
      <c r="U363" s="1947">
        <f>IF(Application!D211="SRO",Application!CS634,Application!AG756)</f>
        <v>39</v>
      </c>
      <c r="V363" s="1947"/>
      <c r="W363" s="1947"/>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227</v>
      </c>
      <c r="AP364" s="745">
        <f>SUM(AP357:AP362)</f>
        <v>10</v>
      </c>
      <c r="AQ364" s="1948">
        <f>IF(AP364&gt;0,AP364,0)</f>
        <v>10</v>
      </c>
      <c r="AR364" s="1948"/>
    </row>
    <row r="365" spans="1:81" s="584" customFormat="1" ht="12.75" customHeight="1">
      <c r="A365" s="637"/>
      <c r="B365" s="14"/>
      <c r="C365" s="746" t="s">
        <v>2567</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1421</v>
      </c>
      <c r="F366" s="1939" t="s">
        <v>1567</v>
      </c>
      <c r="G366" s="1939"/>
      <c r="H366" s="1939"/>
      <c r="I366" s="1939"/>
      <c r="J366" s="1939"/>
      <c r="K366" s="1939"/>
      <c r="L366" s="1939"/>
      <c r="M366" s="1939"/>
      <c r="N366" s="1939"/>
      <c r="O366" s="1939"/>
      <c r="P366" s="1939"/>
      <c r="Q366" s="1939"/>
      <c r="R366" s="1939"/>
      <c r="S366" s="1939"/>
      <c r="T366" s="1939"/>
      <c r="U366" s="1939"/>
      <c r="V366" s="1939"/>
      <c r="W366" s="1939"/>
      <c r="X366" s="1939"/>
      <c r="Y366" s="1939"/>
      <c r="Z366" s="1939"/>
      <c r="AA366" s="1939"/>
      <c r="AB366" s="1939"/>
      <c r="AC366" s="1939"/>
      <c r="AD366" s="1939"/>
      <c r="AE366" s="1939"/>
      <c r="AF366" s="1939"/>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40"/>
      <c r="G367" s="1940"/>
      <c r="H367" s="1940"/>
      <c r="I367" s="1940"/>
      <c r="J367" s="1940"/>
      <c r="K367" s="1940"/>
      <c r="L367" s="1940"/>
      <c r="M367" s="1940"/>
      <c r="N367" s="1940"/>
      <c r="O367" s="1940"/>
      <c r="P367" s="1940"/>
      <c r="Q367" s="1940"/>
      <c r="R367" s="1940"/>
      <c r="S367" s="1940"/>
      <c r="T367" s="1940"/>
      <c r="U367" s="1940"/>
      <c r="V367" s="1940"/>
      <c r="W367" s="1940"/>
      <c r="X367" s="1940"/>
      <c r="Y367" s="1940"/>
      <c r="Z367" s="1940"/>
      <c r="AA367" s="1940"/>
      <c r="AB367" s="1940"/>
      <c r="AC367" s="1940"/>
      <c r="AD367" s="1940"/>
      <c r="AE367" s="1940"/>
      <c r="AF367" s="1940"/>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40"/>
      <c r="G368" s="1940"/>
      <c r="H368" s="1940"/>
      <c r="I368" s="1940"/>
      <c r="J368" s="1940"/>
      <c r="K368" s="1940"/>
      <c r="L368" s="1940"/>
      <c r="M368" s="1940"/>
      <c r="N368" s="1940"/>
      <c r="O368" s="1940"/>
      <c r="P368" s="1940"/>
      <c r="Q368" s="1940"/>
      <c r="R368" s="1940"/>
      <c r="S368" s="1940"/>
      <c r="T368" s="1940"/>
      <c r="U368" s="1940"/>
      <c r="V368" s="1940"/>
      <c r="W368" s="1940"/>
      <c r="X368" s="1940"/>
      <c r="Y368" s="1940"/>
      <c r="Z368" s="1940"/>
      <c r="AA368" s="1940"/>
      <c r="AB368" s="1940"/>
      <c r="AC368" s="1940"/>
      <c r="AD368" s="1940"/>
      <c r="AE368" s="1940"/>
      <c r="AF368" s="1940"/>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40"/>
      <c r="G369" s="1940"/>
      <c r="H369" s="1940"/>
      <c r="I369" s="1940"/>
      <c r="J369" s="1940"/>
      <c r="K369" s="1940"/>
      <c r="L369" s="1940"/>
      <c r="M369" s="1940"/>
      <c r="N369" s="1940"/>
      <c r="O369" s="1940"/>
      <c r="P369" s="1940"/>
      <c r="Q369" s="1940"/>
      <c r="R369" s="1940"/>
      <c r="S369" s="1940"/>
      <c r="T369" s="1940"/>
      <c r="U369" s="1940"/>
      <c r="V369" s="1940"/>
      <c r="W369" s="1940"/>
      <c r="X369" s="1940"/>
      <c r="Y369" s="1940"/>
      <c r="Z369" s="1940"/>
      <c r="AA369" s="1940"/>
      <c r="AB369" s="1940"/>
      <c r="AC369" s="1940"/>
      <c r="AD369" s="1940"/>
      <c r="AE369" s="1940"/>
      <c r="AF369" s="1940"/>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49" t="s">
        <v>552</v>
      </c>
      <c r="D370" s="1950"/>
      <c r="E370" s="753"/>
      <c r="F370" s="755" t="s">
        <v>1568</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38" t="s">
        <v>1569</v>
      </c>
      <c r="AG370" s="1938"/>
      <c r="AH370" s="1938"/>
      <c r="AI370" s="1938"/>
      <c r="AJ370" s="1938"/>
      <c r="AK370" s="1938"/>
      <c r="AL370" s="1951"/>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1423</v>
      </c>
      <c r="F373" s="1939" t="s">
        <v>1570</v>
      </c>
      <c r="G373" s="1939"/>
      <c r="H373" s="1939"/>
      <c r="I373" s="1939"/>
      <c r="J373" s="1939"/>
      <c r="K373" s="1939"/>
      <c r="L373" s="1939"/>
      <c r="M373" s="1939"/>
      <c r="N373" s="1939"/>
      <c r="O373" s="1939"/>
      <c r="P373" s="1939"/>
      <c r="Q373" s="1939"/>
      <c r="R373" s="1939"/>
      <c r="S373" s="1939"/>
      <c r="T373" s="1939"/>
      <c r="U373" s="1939"/>
      <c r="V373" s="1939"/>
      <c r="W373" s="1939"/>
      <c r="X373" s="1939"/>
      <c r="Y373" s="1939"/>
      <c r="Z373" s="1939"/>
      <c r="AA373" s="1939"/>
      <c r="AB373" s="1939"/>
      <c r="AC373" s="1939"/>
      <c r="AD373" s="1939"/>
      <c r="AE373" s="1939"/>
      <c r="AF373" s="1939"/>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40"/>
      <c r="G374" s="1940"/>
      <c r="H374" s="1940"/>
      <c r="I374" s="1940"/>
      <c r="J374" s="1940"/>
      <c r="K374" s="1940"/>
      <c r="L374" s="1940"/>
      <c r="M374" s="1940"/>
      <c r="N374" s="1940"/>
      <c r="O374" s="1940"/>
      <c r="P374" s="1940"/>
      <c r="Q374" s="1940"/>
      <c r="R374" s="1940"/>
      <c r="S374" s="1940"/>
      <c r="T374" s="1940"/>
      <c r="U374" s="1940"/>
      <c r="V374" s="1940"/>
      <c r="W374" s="1940"/>
      <c r="X374" s="1940"/>
      <c r="Y374" s="1940"/>
      <c r="Z374" s="1940"/>
      <c r="AA374" s="1940"/>
      <c r="AB374" s="1940"/>
      <c r="AC374" s="1940"/>
      <c r="AD374" s="1940"/>
      <c r="AE374" s="1940"/>
      <c r="AF374" s="1940"/>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40"/>
      <c r="G375" s="1940"/>
      <c r="H375" s="1940"/>
      <c r="I375" s="1940"/>
      <c r="J375" s="1940"/>
      <c r="K375" s="1940"/>
      <c r="L375" s="1940"/>
      <c r="M375" s="1940"/>
      <c r="N375" s="1940"/>
      <c r="O375" s="1940"/>
      <c r="P375" s="1940"/>
      <c r="Q375" s="1940"/>
      <c r="R375" s="1940"/>
      <c r="S375" s="1940"/>
      <c r="T375" s="1940"/>
      <c r="U375" s="1940"/>
      <c r="V375" s="1940"/>
      <c r="W375" s="1940"/>
      <c r="X375" s="1940"/>
      <c r="Y375" s="1940"/>
      <c r="Z375" s="1940"/>
      <c r="AA375" s="1940"/>
      <c r="AB375" s="1940"/>
      <c r="AC375" s="1940"/>
      <c r="AD375" s="1940"/>
      <c r="AE375" s="1940"/>
      <c r="AF375" s="1940"/>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40"/>
      <c r="G376" s="1940"/>
      <c r="H376" s="1940"/>
      <c r="I376" s="1940"/>
      <c r="J376" s="1940"/>
      <c r="K376" s="1940"/>
      <c r="L376" s="1940"/>
      <c r="M376" s="1940"/>
      <c r="N376" s="1940"/>
      <c r="O376" s="1940"/>
      <c r="P376" s="1940"/>
      <c r="Q376" s="1940"/>
      <c r="R376" s="1940"/>
      <c r="S376" s="1940"/>
      <c r="T376" s="1940"/>
      <c r="U376" s="1940"/>
      <c r="V376" s="1940"/>
      <c r="W376" s="1940"/>
      <c r="X376" s="1940"/>
      <c r="Y376" s="1940"/>
      <c r="Z376" s="1940"/>
      <c r="AA376" s="1940"/>
      <c r="AB376" s="1940"/>
      <c r="AC376" s="1940"/>
      <c r="AD376" s="1940"/>
      <c r="AE376" s="1940"/>
      <c r="AF376" s="1940"/>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40"/>
      <c r="G377" s="1940"/>
      <c r="H377" s="1940"/>
      <c r="I377" s="1940"/>
      <c r="J377" s="1940"/>
      <c r="K377" s="1940"/>
      <c r="L377" s="1940"/>
      <c r="M377" s="1940"/>
      <c r="N377" s="1940"/>
      <c r="O377" s="1940"/>
      <c r="P377" s="1940"/>
      <c r="Q377" s="1940"/>
      <c r="R377" s="1940"/>
      <c r="S377" s="1940"/>
      <c r="T377" s="1940"/>
      <c r="U377" s="1940"/>
      <c r="V377" s="1940"/>
      <c r="W377" s="1940"/>
      <c r="X377" s="1940"/>
      <c r="Y377" s="1940"/>
      <c r="Z377" s="1940"/>
      <c r="AA377" s="1940"/>
      <c r="AB377" s="1940"/>
      <c r="AC377" s="1940"/>
      <c r="AD377" s="1940"/>
      <c r="AE377" s="1940"/>
      <c r="AF377" s="1940"/>
      <c r="AL377" s="766"/>
      <c r="AN377" s="631"/>
      <c r="BS377" s="30"/>
      <c r="BT377" s="30"/>
      <c r="BU377" s="14"/>
      <c r="BV377" s="14"/>
      <c r="BW377" s="14"/>
      <c r="BX377" s="14"/>
      <c r="BY377" s="14"/>
      <c r="BZ377" s="14"/>
      <c r="CA377" s="14"/>
      <c r="CB377" s="14"/>
      <c r="CC377" s="14"/>
    </row>
    <row r="378" spans="1:81" s="584" customFormat="1" ht="12.75" customHeight="1">
      <c r="A378" s="570"/>
      <c r="B378" s="14"/>
      <c r="C378" s="1949" t="s">
        <v>598</v>
      </c>
      <c r="D378" s="1950"/>
      <c r="E378" s="725"/>
      <c r="F378" s="755" t="s">
        <v>1571</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38" t="s">
        <v>1569</v>
      </c>
      <c r="AG378" s="1938"/>
      <c r="AH378" s="1938"/>
      <c r="AI378" s="1938"/>
      <c r="AJ378" s="1938"/>
      <c r="AK378" s="1938"/>
      <c r="AL378" s="1951"/>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1426</v>
      </c>
      <c r="F381" s="1939" t="s">
        <v>1572</v>
      </c>
      <c r="G381" s="1939"/>
      <c r="H381" s="1939"/>
      <c r="I381" s="1939"/>
      <c r="J381" s="1939"/>
      <c r="K381" s="1939"/>
      <c r="L381" s="1939"/>
      <c r="M381" s="1939"/>
      <c r="N381" s="1939"/>
      <c r="O381" s="1939"/>
      <c r="P381" s="1939"/>
      <c r="Q381" s="1939"/>
      <c r="R381" s="1939"/>
      <c r="S381" s="1939"/>
      <c r="T381" s="1939"/>
      <c r="U381" s="1939"/>
      <c r="V381" s="1939"/>
      <c r="W381" s="1939"/>
      <c r="X381" s="1939"/>
      <c r="Y381" s="1939"/>
      <c r="Z381" s="1939"/>
      <c r="AA381" s="1939"/>
      <c r="AB381" s="1939"/>
      <c r="AC381" s="1939"/>
      <c r="AD381" s="1939"/>
      <c r="AE381" s="1939"/>
      <c r="AF381" s="1939"/>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40"/>
      <c r="G382" s="1940"/>
      <c r="H382" s="1940"/>
      <c r="I382" s="1940"/>
      <c r="J382" s="1940"/>
      <c r="K382" s="1940"/>
      <c r="L382" s="1940"/>
      <c r="M382" s="1940"/>
      <c r="N382" s="1940"/>
      <c r="O382" s="1940"/>
      <c r="P382" s="1940"/>
      <c r="Q382" s="1940"/>
      <c r="R382" s="1940"/>
      <c r="S382" s="1940"/>
      <c r="T382" s="1940"/>
      <c r="U382" s="1940"/>
      <c r="V382" s="1940"/>
      <c r="W382" s="1940"/>
      <c r="X382" s="1940"/>
      <c r="Y382" s="1940"/>
      <c r="Z382" s="1940"/>
      <c r="AA382" s="1940"/>
      <c r="AB382" s="1940"/>
      <c r="AC382" s="1940"/>
      <c r="AD382" s="1940"/>
      <c r="AE382" s="1940"/>
      <c r="AF382" s="1940"/>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40"/>
      <c r="G383" s="1940"/>
      <c r="H383" s="1940"/>
      <c r="I383" s="1940"/>
      <c r="J383" s="1940"/>
      <c r="K383" s="1940"/>
      <c r="L383" s="1940"/>
      <c r="M383" s="1940"/>
      <c r="N383" s="1940"/>
      <c r="O383" s="1940"/>
      <c r="P383" s="1940"/>
      <c r="Q383" s="1940"/>
      <c r="R383" s="1940"/>
      <c r="S383" s="1940"/>
      <c r="T383" s="1940"/>
      <c r="U383" s="1940"/>
      <c r="V383" s="1940"/>
      <c r="W383" s="1940"/>
      <c r="X383" s="1940"/>
      <c r="Y383" s="1940"/>
      <c r="Z383" s="1940"/>
      <c r="AA383" s="1940"/>
      <c r="AB383" s="1940"/>
      <c r="AC383" s="1940"/>
      <c r="AD383" s="1940"/>
      <c r="AE383" s="1940"/>
      <c r="AF383" s="1940"/>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40"/>
      <c r="G384" s="1940"/>
      <c r="H384" s="1940"/>
      <c r="I384" s="1940"/>
      <c r="J384" s="1940"/>
      <c r="K384" s="1940"/>
      <c r="L384" s="1940"/>
      <c r="M384" s="1940"/>
      <c r="N384" s="1940"/>
      <c r="O384" s="1940"/>
      <c r="P384" s="1940"/>
      <c r="Q384" s="1940"/>
      <c r="R384" s="1940"/>
      <c r="S384" s="1940"/>
      <c r="T384" s="1940"/>
      <c r="U384" s="1940"/>
      <c r="V384" s="1940"/>
      <c r="W384" s="1940"/>
      <c r="X384" s="1940"/>
      <c r="Y384" s="1940"/>
      <c r="Z384" s="1940"/>
      <c r="AA384" s="1940"/>
      <c r="AB384" s="1940"/>
      <c r="AC384" s="1940"/>
      <c r="AD384" s="1940"/>
      <c r="AE384" s="1940"/>
      <c r="AF384" s="1940"/>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40"/>
      <c r="G385" s="1940"/>
      <c r="H385" s="1940"/>
      <c r="I385" s="1940"/>
      <c r="J385" s="1940"/>
      <c r="K385" s="1940"/>
      <c r="L385" s="1940"/>
      <c r="M385" s="1940"/>
      <c r="N385" s="1940"/>
      <c r="O385" s="1940"/>
      <c r="P385" s="1940"/>
      <c r="Q385" s="1940"/>
      <c r="R385" s="1940"/>
      <c r="S385" s="1940"/>
      <c r="T385" s="1940"/>
      <c r="U385" s="1940"/>
      <c r="V385" s="1940"/>
      <c r="W385" s="1940"/>
      <c r="X385" s="1940"/>
      <c r="Y385" s="1940"/>
      <c r="Z385" s="1940"/>
      <c r="AA385" s="1940"/>
      <c r="AB385" s="1940"/>
      <c r="AC385" s="1940"/>
      <c r="AD385" s="1940"/>
      <c r="AE385" s="1940"/>
      <c r="AF385" s="1940"/>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49" t="s">
        <v>598</v>
      </c>
      <c r="D386" s="1950"/>
      <c r="E386" s="725"/>
      <c r="F386" s="755" t="s">
        <v>1573</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38" t="s">
        <v>1574</v>
      </c>
      <c r="AG386" s="1938"/>
      <c r="AH386" s="1938"/>
      <c r="AI386" s="1938"/>
      <c r="AJ386" s="1938"/>
      <c r="AK386" s="1938"/>
      <c r="AL386" s="1951"/>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49" t="s">
        <v>552</v>
      </c>
      <c r="D388" s="1950"/>
      <c r="E388" s="725"/>
      <c r="F388" s="772" t="s">
        <v>1575</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38" t="s">
        <v>1569</v>
      </c>
      <c r="AG388" s="1938"/>
      <c r="AH388" s="1938"/>
      <c r="AI388" s="1938"/>
      <c r="AJ388" s="1938"/>
      <c r="AK388" s="1938"/>
      <c r="AL388" s="1951"/>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1576</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1577</v>
      </c>
      <c r="F392" s="1939" t="s">
        <v>1578</v>
      </c>
      <c r="G392" s="1939"/>
      <c r="H392" s="1939"/>
      <c r="I392" s="1939"/>
      <c r="J392" s="1939"/>
      <c r="K392" s="1939"/>
      <c r="L392" s="1939"/>
      <c r="M392" s="1939"/>
      <c r="N392" s="1939"/>
      <c r="O392" s="1939"/>
      <c r="P392" s="1939"/>
      <c r="Q392" s="1939"/>
      <c r="R392" s="1939"/>
      <c r="S392" s="1939"/>
      <c r="T392" s="1939"/>
      <c r="U392" s="1939"/>
      <c r="V392" s="1939"/>
      <c r="W392" s="1939"/>
      <c r="X392" s="1939"/>
      <c r="Y392" s="1939"/>
      <c r="Z392" s="1939"/>
      <c r="AA392" s="1939"/>
      <c r="AB392" s="1939"/>
      <c r="AC392" s="1939"/>
      <c r="AD392" s="1939"/>
      <c r="AE392" s="1939"/>
      <c r="AF392" s="1939"/>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40"/>
      <c r="G393" s="1940"/>
      <c r="H393" s="1940"/>
      <c r="I393" s="1940"/>
      <c r="J393" s="1940"/>
      <c r="K393" s="1940"/>
      <c r="L393" s="1940"/>
      <c r="M393" s="1940"/>
      <c r="N393" s="1940"/>
      <c r="O393" s="1940"/>
      <c r="P393" s="1940"/>
      <c r="Q393" s="1940"/>
      <c r="R393" s="1940"/>
      <c r="S393" s="1940"/>
      <c r="T393" s="1940"/>
      <c r="U393" s="1940"/>
      <c r="V393" s="1940"/>
      <c r="W393" s="1940"/>
      <c r="X393" s="1940"/>
      <c r="Y393" s="1940"/>
      <c r="Z393" s="1940"/>
      <c r="AA393" s="1940"/>
      <c r="AB393" s="1940"/>
      <c r="AC393" s="1940"/>
      <c r="AD393" s="1940"/>
      <c r="AE393" s="1940"/>
      <c r="AF393" s="1940"/>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40"/>
      <c r="G394" s="1940"/>
      <c r="H394" s="1940"/>
      <c r="I394" s="1940"/>
      <c r="J394" s="1940"/>
      <c r="K394" s="1940"/>
      <c r="L394" s="1940"/>
      <c r="M394" s="1940"/>
      <c r="N394" s="1940"/>
      <c r="O394" s="1940"/>
      <c r="P394" s="1940"/>
      <c r="Q394" s="1940"/>
      <c r="R394" s="1940"/>
      <c r="S394" s="1940"/>
      <c r="T394" s="1940"/>
      <c r="U394" s="1940"/>
      <c r="V394" s="1940"/>
      <c r="W394" s="1940"/>
      <c r="X394" s="1940"/>
      <c r="Y394" s="1940"/>
      <c r="Z394" s="1940"/>
      <c r="AA394" s="1940"/>
      <c r="AB394" s="1940"/>
      <c r="AC394" s="1940"/>
      <c r="AD394" s="1940"/>
      <c r="AE394" s="1940"/>
      <c r="AF394" s="1940"/>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40"/>
      <c r="G395" s="1940"/>
      <c r="H395" s="1940"/>
      <c r="I395" s="1940"/>
      <c r="J395" s="1940"/>
      <c r="K395" s="1940"/>
      <c r="L395" s="1940"/>
      <c r="M395" s="1940"/>
      <c r="N395" s="1940"/>
      <c r="O395" s="1940"/>
      <c r="P395" s="1940"/>
      <c r="Q395" s="1940"/>
      <c r="R395" s="1940"/>
      <c r="S395" s="1940"/>
      <c r="T395" s="1940"/>
      <c r="U395" s="1940"/>
      <c r="V395" s="1940"/>
      <c r="W395" s="1940"/>
      <c r="X395" s="1940"/>
      <c r="Y395" s="1940"/>
      <c r="Z395" s="1940"/>
      <c r="AA395" s="1940"/>
      <c r="AB395" s="1940"/>
      <c r="AC395" s="1940"/>
      <c r="AD395" s="1940"/>
      <c r="AE395" s="1940"/>
      <c r="AF395" s="1940"/>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49" t="s">
        <v>598</v>
      </c>
      <c r="D396" s="1950"/>
      <c r="E396" s="725"/>
      <c r="F396" s="755" t="s">
        <v>1579</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38" t="s">
        <v>1569</v>
      </c>
      <c r="AG396" s="1938"/>
      <c r="AH396" s="1938"/>
      <c r="AI396" s="1938"/>
      <c r="AJ396" s="1938"/>
      <c r="AK396" s="1938"/>
      <c r="AL396" s="1951"/>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49" t="s">
        <v>598</v>
      </c>
      <c r="D398" s="1950"/>
      <c r="E398" s="753"/>
      <c r="F398" s="755" t="s">
        <v>1580</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38" t="s">
        <v>1581</v>
      </c>
      <c r="AG398" s="1938"/>
      <c r="AH398" s="1938"/>
      <c r="AI398" s="1938"/>
      <c r="AJ398" s="1938"/>
      <c r="AK398" s="1938"/>
      <c r="AL398" s="1951"/>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49" t="s">
        <v>598</v>
      </c>
      <c r="D401" s="1950"/>
      <c r="E401" s="749" t="s">
        <v>1582</v>
      </c>
      <c r="F401" s="1939" t="s">
        <v>1583</v>
      </c>
      <c r="G401" s="1939"/>
      <c r="H401" s="1939"/>
      <c r="I401" s="1939"/>
      <c r="J401" s="1939"/>
      <c r="K401" s="1939"/>
      <c r="L401" s="1939"/>
      <c r="M401" s="1939"/>
      <c r="N401" s="1939"/>
      <c r="O401" s="1939"/>
      <c r="P401" s="1939"/>
      <c r="Q401" s="1939"/>
      <c r="R401" s="1939"/>
      <c r="S401" s="1939"/>
      <c r="T401" s="1939"/>
      <c r="U401" s="1939"/>
      <c r="V401" s="1939"/>
      <c r="W401" s="1939"/>
      <c r="X401" s="1939"/>
      <c r="Y401" s="1939"/>
      <c r="Z401" s="1939"/>
      <c r="AA401" s="1939"/>
      <c r="AB401" s="1939"/>
      <c r="AC401" s="1939"/>
      <c r="AD401" s="1939"/>
      <c r="AE401" s="1939"/>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40"/>
      <c r="G402" s="1940"/>
      <c r="H402" s="1940"/>
      <c r="I402" s="1940"/>
      <c r="J402" s="1940"/>
      <c r="K402" s="1940"/>
      <c r="L402" s="1940"/>
      <c r="M402" s="1940"/>
      <c r="N402" s="1940"/>
      <c r="O402" s="1940"/>
      <c r="P402" s="1940"/>
      <c r="Q402" s="1940"/>
      <c r="R402" s="1940"/>
      <c r="S402" s="1940"/>
      <c r="T402" s="1940"/>
      <c r="U402" s="1940"/>
      <c r="V402" s="1940"/>
      <c r="W402" s="1940"/>
      <c r="X402" s="1940"/>
      <c r="Y402" s="1940"/>
      <c r="Z402" s="1940"/>
      <c r="AA402" s="1940"/>
      <c r="AB402" s="1940"/>
      <c r="AC402" s="1940"/>
      <c r="AD402" s="1940"/>
      <c r="AE402" s="1940"/>
      <c r="AF402" s="2008" t="s">
        <v>1569</v>
      </c>
      <c r="AG402" s="2008"/>
      <c r="AH402" s="2008"/>
      <c r="AI402" s="2008"/>
      <c r="AJ402" s="2008"/>
      <c r="AK402" s="2008"/>
      <c r="AL402" s="2038"/>
      <c r="AM402" s="604"/>
      <c r="AN402" s="631"/>
      <c r="BS402" s="604"/>
      <c r="BT402" s="604"/>
      <c r="BY402" s="604"/>
      <c r="BZ402" s="604"/>
      <c r="CA402" s="604"/>
      <c r="CB402" s="604"/>
      <c r="CC402" s="604"/>
    </row>
    <row r="403" spans="1:81" s="584" customFormat="1" ht="12.75" customHeight="1">
      <c r="A403" s="570"/>
      <c r="B403" s="14"/>
      <c r="C403" s="765"/>
      <c r="D403" s="14"/>
      <c r="E403" s="725"/>
      <c r="F403" s="1940"/>
      <c r="G403" s="1940"/>
      <c r="H403" s="1940"/>
      <c r="I403" s="1940"/>
      <c r="J403" s="1940"/>
      <c r="K403" s="1940"/>
      <c r="L403" s="1940"/>
      <c r="M403" s="1940"/>
      <c r="N403" s="1940"/>
      <c r="O403" s="1940"/>
      <c r="P403" s="1940"/>
      <c r="Q403" s="1940"/>
      <c r="R403" s="1940"/>
      <c r="S403" s="1940"/>
      <c r="T403" s="1940"/>
      <c r="U403" s="1940"/>
      <c r="V403" s="1940"/>
      <c r="W403" s="1940"/>
      <c r="X403" s="1940"/>
      <c r="Y403" s="1940"/>
      <c r="Z403" s="1940"/>
      <c r="AA403" s="1940"/>
      <c r="AB403" s="1940"/>
      <c r="AC403" s="1940"/>
      <c r="AD403" s="1940"/>
      <c r="AE403" s="1940"/>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22"/>
      <c r="G404" s="2022"/>
      <c r="H404" s="2022"/>
      <c r="I404" s="2022"/>
      <c r="J404" s="2022"/>
      <c r="K404" s="2022"/>
      <c r="L404" s="2022"/>
      <c r="M404" s="2022"/>
      <c r="N404" s="2022"/>
      <c r="O404" s="2022"/>
      <c r="P404" s="2022"/>
      <c r="Q404" s="2022"/>
      <c r="R404" s="2022"/>
      <c r="S404" s="2022"/>
      <c r="T404" s="2022"/>
      <c r="U404" s="2022"/>
      <c r="V404" s="2022"/>
      <c r="W404" s="2022"/>
      <c r="X404" s="2022"/>
      <c r="Y404" s="2022"/>
      <c r="Z404" s="2022"/>
      <c r="AA404" s="2022"/>
      <c r="AB404" s="2022"/>
      <c r="AC404" s="2022"/>
      <c r="AD404" s="2022"/>
      <c r="AE404" s="2022"/>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1584</v>
      </c>
      <c r="F406" s="1939" t="s">
        <v>1585</v>
      </c>
      <c r="G406" s="1939"/>
      <c r="H406" s="1939"/>
      <c r="I406" s="1939"/>
      <c r="J406" s="1939"/>
      <c r="K406" s="1939"/>
      <c r="L406" s="1939"/>
      <c r="M406" s="1939"/>
      <c r="N406" s="1939"/>
      <c r="O406" s="1939"/>
      <c r="P406" s="1939"/>
      <c r="Q406" s="1939"/>
      <c r="R406" s="1939"/>
      <c r="S406" s="1939"/>
      <c r="T406" s="1939"/>
      <c r="U406" s="1939"/>
      <c r="V406" s="1939"/>
      <c r="W406" s="1939"/>
      <c r="X406" s="1939"/>
      <c r="Y406" s="1939"/>
      <c r="Z406" s="1939"/>
      <c r="AA406" s="1939"/>
      <c r="AB406" s="1939"/>
      <c r="AC406" s="1939"/>
      <c r="AD406" s="1939"/>
      <c r="AE406" s="1939"/>
      <c r="AF406" s="781"/>
      <c r="AG406" s="781"/>
      <c r="AH406" s="781"/>
      <c r="AI406" s="781"/>
      <c r="AJ406" s="781"/>
      <c r="AK406" s="781"/>
      <c r="AL406" s="782"/>
      <c r="AM406" s="604"/>
    </row>
    <row r="407" spans="1:81">
      <c r="A407" s="570"/>
      <c r="C407" s="765"/>
      <c r="E407" s="725"/>
      <c r="F407" s="1940"/>
      <c r="G407" s="1940"/>
      <c r="H407" s="1940"/>
      <c r="I407" s="1940"/>
      <c r="J407" s="1940"/>
      <c r="K407" s="1940"/>
      <c r="L407" s="1940"/>
      <c r="M407" s="1940"/>
      <c r="N407" s="1940"/>
      <c r="O407" s="1940"/>
      <c r="P407" s="1940"/>
      <c r="Q407" s="1940"/>
      <c r="R407" s="1940"/>
      <c r="S407" s="1940"/>
      <c r="T407" s="1940"/>
      <c r="U407" s="1940"/>
      <c r="V407" s="1940"/>
      <c r="W407" s="1940"/>
      <c r="X407" s="1940"/>
      <c r="Y407" s="1940"/>
      <c r="Z407" s="1940"/>
      <c r="AA407" s="1940"/>
      <c r="AB407" s="1940"/>
      <c r="AC407" s="1940"/>
      <c r="AD407" s="1940"/>
      <c r="AE407" s="1940"/>
      <c r="AF407" s="573"/>
      <c r="AG407" s="570"/>
      <c r="AH407" s="584"/>
      <c r="AI407" s="584"/>
      <c r="AJ407" s="584"/>
      <c r="AK407" s="584"/>
      <c r="AL407" s="766"/>
      <c r="AM407" s="604"/>
    </row>
    <row r="408" spans="1:81" s="584" customFormat="1" ht="12.75" customHeight="1">
      <c r="A408" s="570"/>
      <c r="B408" s="14"/>
      <c r="C408" s="765"/>
      <c r="D408" s="14"/>
      <c r="E408" s="725"/>
      <c r="F408" s="1940"/>
      <c r="G408" s="1940"/>
      <c r="H408" s="1940"/>
      <c r="I408" s="1940"/>
      <c r="J408" s="1940"/>
      <c r="K408" s="1940"/>
      <c r="L408" s="1940"/>
      <c r="M408" s="1940"/>
      <c r="N408" s="1940"/>
      <c r="O408" s="1940"/>
      <c r="P408" s="1940"/>
      <c r="Q408" s="1940"/>
      <c r="R408" s="1940"/>
      <c r="S408" s="1940"/>
      <c r="T408" s="1940"/>
      <c r="U408" s="1940"/>
      <c r="V408" s="1940"/>
      <c r="W408" s="1940"/>
      <c r="X408" s="1940"/>
      <c r="Y408" s="1940"/>
      <c r="Z408" s="1940"/>
      <c r="AA408" s="1940"/>
      <c r="AB408" s="1940"/>
      <c r="AC408" s="1940"/>
      <c r="AD408" s="1940"/>
      <c r="AE408" s="1940"/>
      <c r="AL408" s="766"/>
      <c r="AM408" s="604"/>
      <c r="AN408" s="631"/>
    </row>
    <row r="409" spans="1:81" s="584" customFormat="1" ht="12.75" customHeight="1">
      <c r="A409" s="570"/>
      <c r="B409" s="14"/>
      <c r="C409" s="773"/>
      <c r="F409" s="1940"/>
      <c r="G409" s="1940"/>
      <c r="H409" s="1940"/>
      <c r="I409" s="1940"/>
      <c r="J409" s="1940"/>
      <c r="K409" s="1940"/>
      <c r="L409" s="1940"/>
      <c r="M409" s="1940"/>
      <c r="N409" s="1940"/>
      <c r="O409" s="1940"/>
      <c r="P409" s="1940"/>
      <c r="Q409" s="1940"/>
      <c r="R409" s="1940"/>
      <c r="S409" s="1940"/>
      <c r="T409" s="1940"/>
      <c r="U409" s="1940"/>
      <c r="V409" s="1940"/>
      <c r="W409" s="1940"/>
      <c r="X409" s="1940"/>
      <c r="Y409" s="1940"/>
      <c r="Z409" s="1940"/>
      <c r="AA409" s="1940"/>
      <c r="AB409" s="1940"/>
      <c r="AC409" s="1940"/>
      <c r="AD409" s="1940"/>
      <c r="AE409" s="1940"/>
      <c r="AL409" s="766"/>
      <c r="AM409" s="604"/>
      <c r="AN409" s="631"/>
    </row>
    <row r="410" spans="1:81" s="584" customFormat="1" ht="12.75" customHeight="1">
      <c r="A410" s="570"/>
      <c r="B410" s="14"/>
      <c r="C410" s="1949" t="s">
        <v>598</v>
      </c>
      <c r="D410" s="1950"/>
      <c r="E410" s="725"/>
      <c r="F410" s="755" t="s">
        <v>1586</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2008" t="s">
        <v>1569</v>
      </c>
      <c r="AG410" s="2008"/>
      <c r="AH410" s="2008"/>
      <c r="AI410" s="2008"/>
      <c r="AJ410" s="2008"/>
      <c r="AK410" s="2008"/>
      <c r="AL410" s="2038"/>
      <c r="AM410" s="604"/>
      <c r="AN410" s="631"/>
    </row>
    <row r="411" spans="1:81" s="584" customFormat="1" ht="12.75" customHeight="1">
      <c r="A411" s="570"/>
      <c r="B411" s="14"/>
      <c r="C411" s="773"/>
      <c r="AL411" s="766"/>
      <c r="AM411" s="604"/>
      <c r="AN411" s="631"/>
    </row>
    <row r="412" spans="1:81" s="584" customFormat="1" ht="12.75" customHeight="1">
      <c r="A412" s="570"/>
      <c r="B412" s="14"/>
      <c r="C412" s="1949" t="s">
        <v>598</v>
      </c>
      <c r="D412" s="1950"/>
      <c r="E412" s="753"/>
      <c r="F412" s="755" t="s">
        <v>1587</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2008" t="s">
        <v>1581</v>
      </c>
      <c r="AG412" s="2008"/>
      <c r="AH412" s="2008"/>
      <c r="AI412" s="2008"/>
      <c r="AJ412" s="2008"/>
      <c r="AK412" s="2008"/>
      <c r="AL412" s="2038"/>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2568</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1588</v>
      </c>
      <c r="F416" s="1939" t="s">
        <v>1589</v>
      </c>
      <c r="G416" s="1939"/>
      <c r="H416" s="1939"/>
      <c r="I416" s="1939"/>
      <c r="J416" s="1939"/>
      <c r="K416" s="1939"/>
      <c r="L416" s="1939"/>
      <c r="M416" s="1939"/>
      <c r="N416" s="1939"/>
      <c r="O416" s="1939"/>
      <c r="P416" s="1939"/>
      <c r="Q416" s="1939"/>
      <c r="R416" s="1939"/>
      <c r="S416" s="1939"/>
      <c r="T416" s="1939"/>
      <c r="U416" s="1939"/>
      <c r="V416" s="1939"/>
      <c r="W416" s="1939"/>
      <c r="X416" s="1939"/>
      <c r="Y416" s="1939"/>
      <c r="Z416" s="1939"/>
      <c r="AA416" s="1939"/>
      <c r="AB416" s="1939"/>
      <c r="AC416" s="1939"/>
      <c r="AD416" s="1939"/>
      <c r="AE416" s="1939"/>
      <c r="AF416" s="748"/>
      <c r="AG416" s="748"/>
      <c r="AH416" s="748"/>
      <c r="AI416" s="748"/>
      <c r="AJ416" s="748"/>
      <c r="AK416" s="748"/>
      <c r="AL416" s="779"/>
      <c r="AM416" s="604"/>
      <c r="AN416" s="631"/>
    </row>
    <row r="417" spans="1:60" s="584" customFormat="1" ht="12.75" customHeight="1">
      <c r="A417" s="570"/>
      <c r="B417" s="14"/>
      <c r="C417" s="765"/>
      <c r="D417" s="14"/>
      <c r="E417" s="725"/>
      <c r="F417" s="1940"/>
      <c r="G417" s="1940"/>
      <c r="H417" s="1940"/>
      <c r="I417" s="1940"/>
      <c r="J417" s="1940"/>
      <c r="K417" s="1940"/>
      <c r="L417" s="1940"/>
      <c r="M417" s="1940"/>
      <c r="N417" s="1940"/>
      <c r="O417" s="1940"/>
      <c r="P417" s="1940"/>
      <c r="Q417" s="1940"/>
      <c r="R417" s="1940"/>
      <c r="S417" s="1940"/>
      <c r="T417" s="1940"/>
      <c r="U417" s="1940"/>
      <c r="V417" s="1940"/>
      <c r="W417" s="1940"/>
      <c r="X417" s="1940"/>
      <c r="Y417" s="1940"/>
      <c r="Z417" s="1940"/>
      <c r="AA417" s="1940"/>
      <c r="AB417" s="1940"/>
      <c r="AC417" s="1940"/>
      <c r="AD417" s="1940"/>
      <c r="AE417" s="1940"/>
      <c r="AF417" s="573"/>
      <c r="AG417" s="570"/>
      <c r="AL417" s="766"/>
      <c r="AM417" s="604"/>
      <c r="AN417" s="631"/>
    </row>
    <row r="418" spans="1:60" s="584" customFormat="1" ht="12.4" customHeight="1">
      <c r="A418" s="570"/>
      <c r="B418" s="14"/>
      <c r="C418" s="765"/>
      <c r="D418" s="14"/>
      <c r="E418" s="725"/>
      <c r="F418" s="1940"/>
      <c r="G418" s="1940"/>
      <c r="H418" s="1940"/>
      <c r="I418" s="1940"/>
      <c r="J418" s="1940"/>
      <c r="K418" s="1940"/>
      <c r="L418" s="1940"/>
      <c r="M418" s="1940"/>
      <c r="N418" s="1940"/>
      <c r="O418" s="1940"/>
      <c r="P418" s="1940"/>
      <c r="Q418" s="1940"/>
      <c r="R418" s="1940"/>
      <c r="S418" s="1940"/>
      <c r="T418" s="1940"/>
      <c r="U418" s="1940"/>
      <c r="V418" s="1940"/>
      <c r="W418" s="1940"/>
      <c r="X418" s="1940"/>
      <c r="Y418" s="1940"/>
      <c r="Z418" s="1940"/>
      <c r="AA418" s="1940"/>
      <c r="AB418" s="1940"/>
      <c r="AC418" s="1940"/>
      <c r="AD418" s="1940"/>
      <c r="AE418" s="1940"/>
      <c r="AL418" s="766"/>
      <c r="AM418" s="604"/>
      <c r="AN418" s="631"/>
    </row>
    <row r="419" spans="1:60" s="584" customFormat="1" ht="12.75" customHeight="1">
      <c r="A419" s="570"/>
      <c r="B419" s="14"/>
      <c r="C419" s="1949" t="s">
        <v>552</v>
      </c>
      <c r="D419" s="1950"/>
      <c r="E419" s="725"/>
      <c r="F419" s="755" t="s">
        <v>1590</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2008" t="s">
        <v>1569</v>
      </c>
      <c r="AG419" s="2008"/>
      <c r="AH419" s="2008"/>
      <c r="AI419" s="2008"/>
      <c r="AJ419" s="2008"/>
      <c r="AK419" s="2008"/>
      <c r="AL419" s="2038"/>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1591</v>
      </c>
      <c r="F422" s="1939" t="s">
        <v>1592</v>
      </c>
      <c r="G422" s="1939"/>
      <c r="H422" s="1939"/>
      <c r="I422" s="1939"/>
      <c r="J422" s="1939"/>
      <c r="K422" s="1939"/>
      <c r="L422" s="1939"/>
      <c r="M422" s="1939"/>
      <c r="N422" s="1939"/>
      <c r="O422" s="1939"/>
      <c r="P422" s="1939"/>
      <c r="Q422" s="1939"/>
      <c r="R422" s="1939"/>
      <c r="S422" s="1939"/>
      <c r="T422" s="1939"/>
      <c r="U422" s="1939"/>
      <c r="V422" s="1939"/>
      <c r="W422" s="1939"/>
      <c r="X422" s="1939"/>
      <c r="Y422" s="1939"/>
      <c r="Z422" s="1939"/>
      <c r="AA422" s="1939"/>
      <c r="AB422" s="1939"/>
      <c r="AC422" s="1939"/>
      <c r="AD422" s="1939"/>
      <c r="AE422" s="1939"/>
      <c r="AF422" s="781"/>
      <c r="AG422" s="781"/>
      <c r="AH422" s="781"/>
      <c r="AI422" s="781"/>
      <c r="AJ422" s="781"/>
      <c r="AK422" s="781"/>
      <c r="AL422" s="782"/>
      <c r="AM422" s="604"/>
      <c r="AO422" s="584"/>
      <c r="AP422" s="584"/>
      <c r="BD422" s="14"/>
      <c r="BE422" s="14"/>
      <c r="BF422" s="14"/>
      <c r="BG422" s="14"/>
      <c r="BH422" s="14"/>
    </row>
    <row r="423" spans="1:60">
      <c r="A423" s="570"/>
      <c r="C423" s="765"/>
      <c r="E423" s="725"/>
      <c r="F423" s="1940"/>
      <c r="G423" s="1940"/>
      <c r="H423" s="1940"/>
      <c r="I423" s="1940"/>
      <c r="J423" s="1940"/>
      <c r="K423" s="1940"/>
      <c r="L423" s="1940"/>
      <c r="M423" s="1940"/>
      <c r="N423" s="1940"/>
      <c r="O423" s="1940"/>
      <c r="P423" s="1940"/>
      <c r="Q423" s="1940"/>
      <c r="R423" s="1940"/>
      <c r="S423" s="1940"/>
      <c r="T423" s="1940"/>
      <c r="U423" s="1940"/>
      <c r="V423" s="1940"/>
      <c r="W423" s="1940"/>
      <c r="X423" s="1940"/>
      <c r="Y423" s="1940"/>
      <c r="Z423" s="1940"/>
      <c r="AA423" s="1940"/>
      <c r="AB423" s="1940"/>
      <c r="AC423" s="1940"/>
      <c r="AD423" s="1940"/>
      <c r="AE423" s="1940"/>
      <c r="AF423" s="628"/>
      <c r="AG423" s="628"/>
      <c r="AH423" s="628"/>
      <c r="AI423" s="628"/>
      <c r="AJ423" s="628"/>
      <c r="AK423" s="628"/>
      <c r="AL423" s="784"/>
      <c r="AM423" s="604"/>
      <c r="AO423" s="584"/>
      <c r="AP423" s="584"/>
    </row>
    <row r="424" spans="1:60" s="584" customFormat="1" ht="12.75" customHeight="1">
      <c r="A424" s="570"/>
      <c r="B424" s="14"/>
      <c r="C424" s="765"/>
      <c r="D424" s="14"/>
      <c r="E424" s="725"/>
      <c r="F424" s="1940"/>
      <c r="G424" s="1940"/>
      <c r="H424" s="1940"/>
      <c r="I424" s="1940"/>
      <c r="J424" s="1940"/>
      <c r="K424" s="1940"/>
      <c r="L424" s="1940"/>
      <c r="M424" s="1940"/>
      <c r="N424" s="1940"/>
      <c r="O424" s="1940"/>
      <c r="P424" s="1940"/>
      <c r="Q424" s="1940"/>
      <c r="R424" s="1940"/>
      <c r="S424" s="1940"/>
      <c r="T424" s="1940"/>
      <c r="U424" s="1940"/>
      <c r="V424" s="1940"/>
      <c r="W424" s="1940"/>
      <c r="X424" s="1940"/>
      <c r="Y424" s="1940"/>
      <c r="Z424" s="1940"/>
      <c r="AA424" s="1940"/>
      <c r="AB424" s="1940"/>
      <c r="AC424" s="1940"/>
      <c r="AD424" s="1940"/>
      <c r="AE424" s="1940"/>
      <c r="AF424" s="628"/>
      <c r="AG424" s="628"/>
      <c r="AH424" s="628"/>
      <c r="AI424" s="628"/>
      <c r="AJ424" s="628"/>
      <c r="AK424" s="628"/>
      <c r="AL424" s="784"/>
      <c r="AM424" s="604"/>
      <c r="AN424" s="631"/>
    </row>
    <row r="425" spans="1:60" s="584" customFormat="1" ht="12.75" customHeight="1">
      <c r="A425" s="570"/>
      <c r="B425" s="14"/>
      <c r="C425" s="785"/>
      <c r="D425" s="764"/>
      <c r="E425" s="753"/>
      <c r="F425" s="1940"/>
      <c r="G425" s="1940"/>
      <c r="H425" s="1940"/>
      <c r="I425" s="1940"/>
      <c r="J425" s="1940"/>
      <c r="K425" s="1940"/>
      <c r="L425" s="1940"/>
      <c r="M425" s="1940"/>
      <c r="N425" s="1940"/>
      <c r="O425" s="1940"/>
      <c r="P425" s="1940"/>
      <c r="Q425" s="1940"/>
      <c r="R425" s="1940"/>
      <c r="S425" s="1940"/>
      <c r="T425" s="1940"/>
      <c r="U425" s="1940"/>
      <c r="V425" s="1940"/>
      <c r="W425" s="1940"/>
      <c r="X425" s="1940"/>
      <c r="Y425" s="1940"/>
      <c r="Z425" s="1940"/>
      <c r="AA425" s="1940"/>
      <c r="AB425" s="1940"/>
      <c r="AC425" s="1940"/>
      <c r="AD425" s="1940"/>
      <c r="AE425" s="1940"/>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40"/>
      <c r="G426" s="1940"/>
      <c r="H426" s="1940"/>
      <c r="I426" s="1940"/>
      <c r="J426" s="1940"/>
      <c r="K426" s="1940"/>
      <c r="L426" s="1940"/>
      <c r="M426" s="1940"/>
      <c r="N426" s="1940"/>
      <c r="O426" s="1940"/>
      <c r="P426" s="1940"/>
      <c r="Q426" s="1940"/>
      <c r="R426" s="1940"/>
      <c r="S426" s="1940"/>
      <c r="T426" s="1940"/>
      <c r="U426" s="1940"/>
      <c r="V426" s="1940"/>
      <c r="W426" s="1940"/>
      <c r="X426" s="1940"/>
      <c r="Y426" s="1940"/>
      <c r="Z426" s="1940"/>
      <c r="AA426" s="1940"/>
      <c r="AB426" s="1940"/>
      <c r="AC426" s="1940"/>
      <c r="AD426" s="1940"/>
      <c r="AE426" s="1940"/>
      <c r="AF426" s="628"/>
      <c r="AG426" s="628"/>
      <c r="AH426" s="628"/>
      <c r="AI426" s="628"/>
      <c r="AJ426" s="628"/>
      <c r="AK426" s="628"/>
      <c r="AL426" s="784"/>
      <c r="AM426" s="604"/>
      <c r="AN426" s="631"/>
    </row>
    <row r="427" spans="1:60" s="584" customFormat="1" ht="12.75" customHeight="1">
      <c r="A427" s="570"/>
      <c r="B427" s="14"/>
      <c r="C427" s="785"/>
      <c r="D427" s="764"/>
      <c r="E427" s="753"/>
      <c r="F427" s="1940"/>
      <c r="G427" s="1940"/>
      <c r="H427" s="1940"/>
      <c r="I427" s="1940"/>
      <c r="J427" s="1940"/>
      <c r="K427" s="1940"/>
      <c r="L427" s="1940"/>
      <c r="M427" s="1940"/>
      <c r="N427" s="1940"/>
      <c r="O427" s="1940"/>
      <c r="P427" s="1940"/>
      <c r="Q427" s="1940"/>
      <c r="R427" s="1940"/>
      <c r="S427" s="1940"/>
      <c r="T427" s="1940"/>
      <c r="U427" s="1940"/>
      <c r="V427" s="1940"/>
      <c r="W427" s="1940"/>
      <c r="X427" s="1940"/>
      <c r="Y427" s="1940"/>
      <c r="Z427" s="1940"/>
      <c r="AA427" s="1940"/>
      <c r="AB427" s="1940"/>
      <c r="AC427" s="1940"/>
      <c r="AD427" s="1940"/>
      <c r="AE427" s="1940"/>
      <c r="AF427" s="628"/>
      <c r="AG427" s="628"/>
      <c r="AH427" s="628"/>
      <c r="AI427" s="628"/>
      <c r="AJ427" s="628"/>
      <c r="AK427" s="628"/>
      <c r="AL427" s="784"/>
      <c r="AM427" s="604"/>
      <c r="AN427" s="631"/>
    </row>
    <row r="428" spans="1:60" s="584" customFormat="1" ht="12.75" customHeight="1">
      <c r="A428" s="570"/>
      <c r="B428" s="14"/>
      <c r="C428" s="785"/>
      <c r="D428" s="764"/>
      <c r="E428" s="753"/>
      <c r="F428" s="1940"/>
      <c r="G428" s="1940"/>
      <c r="H428" s="1940"/>
      <c r="I428" s="1940"/>
      <c r="J428" s="1940"/>
      <c r="K428" s="1940"/>
      <c r="L428" s="1940"/>
      <c r="M428" s="1940"/>
      <c r="N428" s="1940"/>
      <c r="O428" s="1940"/>
      <c r="P428" s="1940"/>
      <c r="Q428" s="1940"/>
      <c r="R428" s="1940"/>
      <c r="S428" s="1940"/>
      <c r="T428" s="1940"/>
      <c r="U428" s="1940"/>
      <c r="V428" s="1940"/>
      <c r="W428" s="1940"/>
      <c r="X428" s="1940"/>
      <c r="Y428" s="1940"/>
      <c r="Z428" s="1940"/>
      <c r="AA428" s="1940"/>
      <c r="AB428" s="1940"/>
      <c r="AC428" s="1940"/>
      <c r="AD428" s="1940"/>
      <c r="AE428" s="1940"/>
      <c r="AF428" s="628"/>
      <c r="AG428" s="628"/>
      <c r="AH428" s="628"/>
      <c r="AI428" s="628"/>
      <c r="AJ428" s="628"/>
      <c r="AK428" s="628"/>
      <c r="AL428" s="784"/>
      <c r="AM428" s="604"/>
      <c r="AN428" s="631"/>
    </row>
    <row r="429" spans="1:60" s="584" customFormat="1" ht="12.75" customHeight="1">
      <c r="A429" s="570"/>
      <c r="B429" s="14"/>
      <c r="C429" s="785"/>
      <c r="D429" s="764"/>
      <c r="E429" s="753"/>
      <c r="F429" s="1940"/>
      <c r="G429" s="1940"/>
      <c r="H429" s="1940"/>
      <c r="I429" s="1940"/>
      <c r="J429" s="1940"/>
      <c r="K429" s="1940"/>
      <c r="L429" s="1940"/>
      <c r="M429" s="1940"/>
      <c r="N429" s="1940"/>
      <c r="O429" s="1940"/>
      <c r="P429" s="1940"/>
      <c r="Q429" s="1940"/>
      <c r="R429" s="1940"/>
      <c r="S429" s="1940"/>
      <c r="T429" s="1940"/>
      <c r="U429" s="1940"/>
      <c r="V429" s="1940"/>
      <c r="W429" s="1940"/>
      <c r="X429" s="1940"/>
      <c r="Y429" s="1940"/>
      <c r="Z429" s="1940"/>
      <c r="AA429" s="1940"/>
      <c r="AB429" s="1940"/>
      <c r="AC429" s="1940"/>
      <c r="AD429" s="1940"/>
      <c r="AE429" s="1940"/>
      <c r="AF429" s="628"/>
      <c r="AG429" s="628"/>
      <c r="AH429" s="628"/>
      <c r="AI429" s="628"/>
      <c r="AJ429" s="628"/>
      <c r="AK429" s="628"/>
      <c r="AL429" s="784"/>
      <c r="AM429" s="604"/>
      <c r="AN429" s="631"/>
    </row>
    <row r="430" spans="1:60" s="584" customFormat="1" ht="17.25" customHeight="1">
      <c r="A430" s="570"/>
      <c r="B430" s="14"/>
      <c r="C430" s="785"/>
      <c r="D430" s="764"/>
      <c r="E430" s="753"/>
      <c r="F430" s="1940"/>
      <c r="G430" s="1940"/>
      <c r="H430" s="1940"/>
      <c r="I430" s="1940"/>
      <c r="J430" s="1940"/>
      <c r="K430" s="1940"/>
      <c r="L430" s="1940"/>
      <c r="M430" s="1940"/>
      <c r="N430" s="1940"/>
      <c r="O430" s="1940"/>
      <c r="P430" s="1940"/>
      <c r="Q430" s="1940"/>
      <c r="R430" s="1940"/>
      <c r="S430" s="1940"/>
      <c r="T430" s="1940"/>
      <c r="U430" s="1940"/>
      <c r="V430" s="1940"/>
      <c r="W430" s="1940"/>
      <c r="X430" s="1940"/>
      <c r="Y430" s="1940"/>
      <c r="Z430" s="1940"/>
      <c r="AA430" s="1940"/>
      <c r="AB430" s="1940"/>
      <c r="AC430" s="1940"/>
      <c r="AD430" s="1940"/>
      <c r="AE430" s="1940"/>
      <c r="AL430" s="766"/>
      <c r="AM430" s="604"/>
      <c r="AN430" s="631"/>
    </row>
    <row r="431" spans="1:60" s="584" customFormat="1" ht="12.75" customHeight="1">
      <c r="A431" s="570"/>
      <c r="B431" s="14"/>
      <c r="C431" s="1949" t="s">
        <v>598</v>
      </c>
      <c r="D431" s="1950"/>
      <c r="E431" s="753"/>
      <c r="F431" s="630" t="s">
        <v>1593</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2008" t="s">
        <v>1569</v>
      </c>
      <c r="AG431" s="2008"/>
      <c r="AH431" s="2008"/>
      <c r="AI431" s="2008"/>
      <c r="AJ431" s="2008"/>
      <c r="AK431" s="2008"/>
      <c r="AL431" s="2038"/>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1594</v>
      </c>
      <c r="F434" s="1939" t="s">
        <v>1595</v>
      </c>
      <c r="G434" s="1939"/>
      <c r="H434" s="1939"/>
      <c r="I434" s="1939"/>
      <c r="J434" s="1939"/>
      <c r="K434" s="1939"/>
      <c r="L434" s="1939"/>
      <c r="M434" s="1939"/>
      <c r="N434" s="1939"/>
      <c r="O434" s="1939"/>
      <c r="P434" s="1939"/>
      <c r="Q434" s="1939"/>
      <c r="R434" s="1939"/>
      <c r="S434" s="1939"/>
      <c r="T434" s="1939"/>
      <c r="U434" s="1939"/>
      <c r="V434" s="1939"/>
      <c r="W434" s="1939"/>
      <c r="X434" s="1939"/>
      <c r="Y434" s="1939"/>
      <c r="Z434" s="1939"/>
      <c r="AA434" s="1939"/>
      <c r="AB434" s="1939"/>
      <c r="AC434" s="1939"/>
      <c r="AD434" s="1939"/>
      <c r="AE434" s="1939"/>
      <c r="AF434" s="748"/>
      <c r="AG434" s="748"/>
      <c r="AH434" s="748"/>
      <c r="AI434" s="748"/>
      <c r="AJ434" s="748"/>
      <c r="AK434" s="748"/>
      <c r="AL434" s="779"/>
      <c r="AM434" s="604"/>
      <c r="AN434" s="631"/>
    </row>
    <row r="435" spans="1:40" s="584" customFormat="1" ht="12.75" customHeight="1">
      <c r="A435" s="570"/>
      <c r="B435" s="14"/>
      <c r="C435" s="785"/>
      <c r="D435" s="764"/>
      <c r="E435" s="753"/>
      <c r="F435" s="1940"/>
      <c r="G435" s="1940"/>
      <c r="H435" s="1940"/>
      <c r="I435" s="1940"/>
      <c r="J435" s="1940"/>
      <c r="K435" s="1940"/>
      <c r="L435" s="1940"/>
      <c r="M435" s="1940"/>
      <c r="N435" s="1940"/>
      <c r="O435" s="1940"/>
      <c r="P435" s="1940"/>
      <c r="Q435" s="1940"/>
      <c r="R435" s="1940"/>
      <c r="S435" s="1940"/>
      <c r="T435" s="1940"/>
      <c r="U435" s="1940"/>
      <c r="V435" s="1940"/>
      <c r="W435" s="1940"/>
      <c r="X435" s="1940"/>
      <c r="Y435" s="1940"/>
      <c r="Z435" s="1940"/>
      <c r="AA435" s="1940"/>
      <c r="AB435" s="1940"/>
      <c r="AC435" s="1940"/>
      <c r="AD435" s="1940"/>
      <c r="AE435" s="1940"/>
      <c r="AF435" s="625"/>
      <c r="AG435" s="625"/>
      <c r="AH435" s="625"/>
      <c r="AI435" s="625"/>
      <c r="AJ435" s="625"/>
      <c r="AK435" s="625"/>
      <c r="AL435" s="754"/>
      <c r="AM435" s="604"/>
      <c r="AN435" s="631"/>
    </row>
    <row r="436" spans="1:40" s="584" customFormat="1" ht="12.75" customHeight="1">
      <c r="A436" s="570"/>
      <c r="B436" s="14"/>
      <c r="C436" s="785"/>
      <c r="D436" s="764"/>
      <c r="E436" s="753"/>
      <c r="F436" s="1940"/>
      <c r="G436" s="1940"/>
      <c r="H436" s="1940"/>
      <c r="I436" s="1940"/>
      <c r="J436" s="1940"/>
      <c r="K436" s="1940"/>
      <c r="L436" s="1940"/>
      <c r="M436" s="1940"/>
      <c r="N436" s="1940"/>
      <c r="O436" s="1940"/>
      <c r="P436" s="1940"/>
      <c r="Q436" s="1940"/>
      <c r="R436" s="1940"/>
      <c r="S436" s="1940"/>
      <c r="T436" s="1940"/>
      <c r="U436" s="1940"/>
      <c r="V436" s="1940"/>
      <c r="W436" s="1940"/>
      <c r="X436" s="1940"/>
      <c r="Y436" s="1940"/>
      <c r="Z436" s="1940"/>
      <c r="AA436" s="1940"/>
      <c r="AB436" s="1940"/>
      <c r="AC436" s="1940"/>
      <c r="AD436" s="1940"/>
      <c r="AE436" s="1940"/>
      <c r="AF436" s="625"/>
      <c r="AG436" s="625"/>
      <c r="AH436" s="625"/>
      <c r="AI436" s="625"/>
      <c r="AJ436" s="625"/>
      <c r="AK436" s="625"/>
      <c r="AL436" s="754"/>
      <c r="AM436" s="604"/>
      <c r="AN436" s="631"/>
    </row>
    <row r="437" spans="1:40" s="584" customFormat="1" ht="12.75" customHeight="1">
      <c r="A437" s="570"/>
      <c r="B437" s="14"/>
      <c r="C437" s="785"/>
      <c r="D437" s="764"/>
      <c r="E437" s="753"/>
      <c r="F437" s="1940"/>
      <c r="G437" s="1940"/>
      <c r="H437" s="1940"/>
      <c r="I437" s="1940"/>
      <c r="J437" s="1940"/>
      <c r="K437" s="1940"/>
      <c r="L437" s="1940"/>
      <c r="M437" s="1940"/>
      <c r="N437" s="1940"/>
      <c r="O437" s="1940"/>
      <c r="P437" s="1940"/>
      <c r="Q437" s="1940"/>
      <c r="R437" s="1940"/>
      <c r="S437" s="1940"/>
      <c r="T437" s="1940"/>
      <c r="U437" s="1940"/>
      <c r="V437" s="1940"/>
      <c r="W437" s="1940"/>
      <c r="X437" s="1940"/>
      <c r="Y437" s="1940"/>
      <c r="Z437" s="1940"/>
      <c r="AA437" s="1940"/>
      <c r="AB437" s="1940"/>
      <c r="AC437" s="1940"/>
      <c r="AD437" s="1940"/>
      <c r="AE437" s="1940"/>
      <c r="AL437" s="766"/>
      <c r="AM437" s="604"/>
      <c r="AN437" s="631"/>
    </row>
    <row r="438" spans="1:40" s="584" customFormat="1" ht="12.75" customHeight="1">
      <c r="A438" s="570"/>
      <c r="B438" s="14"/>
      <c r="C438" s="1949" t="s">
        <v>552</v>
      </c>
      <c r="D438" s="1950"/>
      <c r="E438" s="753"/>
      <c r="F438" s="755" t="s">
        <v>1599</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2008" t="s">
        <v>1569</v>
      </c>
      <c r="AG438" s="2008"/>
      <c r="AH438" s="2008"/>
      <c r="AI438" s="2008"/>
      <c r="AJ438" s="2008"/>
      <c r="AK438" s="2008"/>
      <c r="AL438" s="2038"/>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1576</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67" t="s">
        <v>598</v>
      </c>
      <c r="D442" s="2068"/>
      <c r="E442" s="749" t="s">
        <v>1604</v>
      </c>
      <c r="F442" s="1939" t="s">
        <v>1605</v>
      </c>
      <c r="G442" s="1939"/>
      <c r="H442" s="1939"/>
      <c r="I442" s="1939"/>
      <c r="J442" s="1939"/>
      <c r="K442" s="1939"/>
      <c r="L442" s="1939"/>
      <c r="M442" s="1939"/>
      <c r="N442" s="1939"/>
      <c r="O442" s="1939"/>
      <c r="P442" s="1939"/>
      <c r="Q442" s="1939"/>
      <c r="R442" s="1939"/>
      <c r="S442" s="1939"/>
      <c r="T442" s="1939"/>
      <c r="U442" s="1939"/>
      <c r="V442" s="1939"/>
      <c r="W442" s="1939"/>
      <c r="X442" s="1939"/>
      <c r="Y442" s="1939"/>
      <c r="Z442" s="1939"/>
      <c r="AA442" s="1939"/>
      <c r="AB442" s="1939"/>
      <c r="AC442" s="1939"/>
      <c r="AD442" s="1939"/>
      <c r="AE442" s="1939"/>
      <c r="AF442" s="2034" t="s">
        <v>1569</v>
      </c>
      <c r="AG442" s="2034"/>
      <c r="AH442" s="2034"/>
      <c r="AI442" s="2034"/>
      <c r="AJ442" s="2034"/>
      <c r="AK442" s="2034"/>
      <c r="AL442" s="2035"/>
      <c r="AM442" s="604"/>
      <c r="AN442" s="787"/>
    </row>
    <row r="443" spans="1:40" s="584" customFormat="1" ht="12.75" customHeight="1">
      <c r="A443" s="570"/>
      <c r="B443" s="14"/>
      <c r="C443" s="785"/>
      <c r="D443" s="764"/>
      <c r="E443" s="753"/>
      <c r="F443" s="1940"/>
      <c r="G443" s="1940"/>
      <c r="H443" s="1940"/>
      <c r="I443" s="1940"/>
      <c r="J443" s="1940"/>
      <c r="K443" s="1940"/>
      <c r="L443" s="1940"/>
      <c r="M443" s="1940"/>
      <c r="N443" s="1940"/>
      <c r="O443" s="1940"/>
      <c r="P443" s="1940"/>
      <c r="Q443" s="1940"/>
      <c r="R443" s="1940"/>
      <c r="S443" s="1940"/>
      <c r="T443" s="1940"/>
      <c r="U443" s="1940"/>
      <c r="V443" s="1940"/>
      <c r="W443" s="1940"/>
      <c r="X443" s="1940"/>
      <c r="Y443" s="1940"/>
      <c r="Z443" s="1940"/>
      <c r="AA443" s="1940"/>
      <c r="AB443" s="1940"/>
      <c r="AC443" s="1940"/>
      <c r="AD443" s="1940"/>
      <c r="AE443" s="1940"/>
      <c r="AF443" s="625"/>
      <c r="AG443" s="625"/>
      <c r="AH443" s="625"/>
      <c r="AI443" s="625"/>
      <c r="AJ443" s="625"/>
      <c r="AK443" s="625"/>
      <c r="AL443" s="754"/>
      <c r="AM443" s="604"/>
      <c r="AN443" s="788"/>
    </row>
    <row r="444" spans="1:40" s="584" customFormat="1" ht="17.649999999999999" customHeight="1">
      <c r="A444" s="570"/>
      <c r="B444" s="14"/>
      <c r="C444" s="790"/>
      <c r="D444" s="757"/>
      <c r="E444" s="758"/>
      <c r="F444" s="2022"/>
      <c r="G444" s="2022"/>
      <c r="H444" s="2022"/>
      <c r="I444" s="2022"/>
      <c r="J444" s="2022"/>
      <c r="K444" s="2022"/>
      <c r="L444" s="2022"/>
      <c r="M444" s="2022"/>
      <c r="N444" s="2022"/>
      <c r="O444" s="2022"/>
      <c r="P444" s="2022"/>
      <c r="Q444" s="2022"/>
      <c r="R444" s="2022"/>
      <c r="S444" s="2022"/>
      <c r="T444" s="2022"/>
      <c r="U444" s="2022"/>
      <c r="V444" s="2022"/>
      <c r="W444" s="2022"/>
      <c r="X444" s="2022"/>
      <c r="Y444" s="2022"/>
      <c r="Z444" s="2022"/>
      <c r="AA444" s="2022"/>
      <c r="AB444" s="2022"/>
      <c r="AC444" s="2022"/>
      <c r="AD444" s="2022"/>
      <c r="AE444" s="2022"/>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49" t="s">
        <v>598</v>
      </c>
      <c r="D446" s="1950"/>
      <c r="E446" s="749" t="s">
        <v>1610</v>
      </c>
      <c r="F446" s="1939" t="s">
        <v>1611</v>
      </c>
      <c r="G446" s="1939"/>
      <c r="H446" s="1939"/>
      <c r="I446" s="1939"/>
      <c r="J446" s="1939"/>
      <c r="K446" s="1939"/>
      <c r="L446" s="1939"/>
      <c r="M446" s="1939"/>
      <c r="N446" s="1939"/>
      <c r="O446" s="1939"/>
      <c r="P446" s="1939"/>
      <c r="Q446" s="1939"/>
      <c r="R446" s="1939"/>
      <c r="S446" s="1939"/>
      <c r="T446" s="1939"/>
      <c r="U446" s="1939"/>
      <c r="V446" s="1939"/>
      <c r="W446" s="1939"/>
      <c r="X446" s="1939"/>
      <c r="Y446" s="1939"/>
      <c r="Z446" s="1939"/>
      <c r="AA446" s="1939"/>
      <c r="AB446" s="1939"/>
      <c r="AC446" s="1939"/>
      <c r="AD446" s="1939"/>
      <c r="AE446" s="1939"/>
      <c r="AF446" s="2034" t="s">
        <v>1569</v>
      </c>
      <c r="AG446" s="2034"/>
      <c r="AH446" s="2034"/>
      <c r="AI446" s="2034"/>
      <c r="AJ446" s="2034"/>
      <c r="AK446" s="2034"/>
      <c r="AL446" s="2035"/>
      <c r="AM446" s="604"/>
      <c r="AN446" s="569"/>
    </row>
    <row r="447" spans="1:40" s="584" customFormat="1" ht="12.75" customHeight="1">
      <c r="A447" s="570"/>
      <c r="B447" s="14"/>
      <c r="C447" s="765"/>
      <c r="D447" s="14"/>
      <c r="E447" s="725"/>
      <c r="F447" s="1940"/>
      <c r="G447" s="1940"/>
      <c r="H447" s="1940"/>
      <c r="I447" s="1940"/>
      <c r="J447" s="1940"/>
      <c r="K447" s="1940"/>
      <c r="L447" s="1940"/>
      <c r="M447" s="1940"/>
      <c r="N447" s="1940"/>
      <c r="O447" s="1940"/>
      <c r="P447" s="1940"/>
      <c r="Q447" s="1940"/>
      <c r="R447" s="1940"/>
      <c r="S447" s="1940"/>
      <c r="T447" s="1940"/>
      <c r="U447" s="1940"/>
      <c r="V447" s="1940"/>
      <c r="W447" s="1940"/>
      <c r="X447" s="1940"/>
      <c r="Y447" s="1940"/>
      <c r="Z447" s="1940"/>
      <c r="AA447" s="1940"/>
      <c r="AB447" s="1940"/>
      <c r="AC447" s="1940"/>
      <c r="AD447" s="1940"/>
      <c r="AE447" s="1940"/>
      <c r="AF447" s="573"/>
      <c r="AG447" s="570"/>
      <c r="AL447" s="766"/>
      <c r="AM447" s="604"/>
      <c r="AN447" s="569"/>
    </row>
    <row r="448" spans="1:40" s="584" customFormat="1" ht="12.75" customHeight="1">
      <c r="A448" s="570"/>
      <c r="B448" s="14"/>
      <c r="C448" s="765"/>
      <c r="D448" s="14"/>
      <c r="E448" s="725"/>
      <c r="F448" s="1940"/>
      <c r="G448" s="1940"/>
      <c r="H448" s="1940"/>
      <c r="I448" s="1940"/>
      <c r="J448" s="1940"/>
      <c r="K448" s="1940"/>
      <c r="L448" s="1940"/>
      <c r="M448" s="1940"/>
      <c r="N448" s="1940"/>
      <c r="O448" s="1940"/>
      <c r="P448" s="1940"/>
      <c r="Q448" s="1940"/>
      <c r="R448" s="1940"/>
      <c r="S448" s="1940"/>
      <c r="T448" s="1940"/>
      <c r="U448" s="1940"/>
      <c r="V448" s="1940"/>
      <c r="W448" s="1940"/>
      <c r="X448" s="1940"/>
      <c r="Y448" s="1940"/>
      <c r="Z448" s="1940"/>
      <c r="AA448" s="1940"/>
      <c r="AB448" s="1940"/>
      <c r="AC448" s="1940"/>
      <c r="AD448" s="1940"/>
      <c r="AE448" s="1940"/>
      <c r="AF448" s="573"/>
      <c r="AG448" s="570"/>
      <c r="AL448" s="766"/>
      <c r="AM448" s="604"/>
      <c r="AN448" s="569"/>
    </row>
    <row r="449" spans="1:48" s="584" customFormat="1" ht="12.75" customHeight="1">
      <c r="A449" s="570"/>
      <c r="B449" s="14"/>
      <c r="C449" s="790"/>
      <c r="D449" s="757"/>
      <c r="E449" s="758"/>
      <c r="F449" s="2022"/>
      <c r="G449" s="2022"/>
      <c r="H449" s="2022"/>
      <c r="I449" s="2022"/>
      <c r="J449" s="2022"/>
      <c r="K449" s="2022"/>
      <c r="L449" s="2022"/>
      <c r="M449" s="2022"/>
      <c r="N449" s="2022"/>
      <c r="O449" s="2022"/>
      <c r="P449" s="2022"/>
      <c r="Q449" s="2022"/>
      <c r="R449" s="2022"/>
      <c r="S449" s="2022"/>
      <c r="T449" s="2022"/>
      <c r="U449" s="2022"/>
      <c r="V449" s="2022"/>
      <c r="W449" s="2022"/>
      <c r="X449" s="2022"/>
      <c r="Y449" s="2022"/>
      <c r="Z449" s="2022"/>
      <c r="AA449" s="2022"/>
      <c r="AB449" s="2022"/>
      <c r="AC449" s="2022"/>
      <c r="AD449" s="2022"/>
      <c r="AE449" s="2022"/>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1613</v>
      </c>
      <c r="F451" s="1939" t="s">
        <v>1614</v>
      </c>
      <c r="G451" s="1939"/>
      <c r="H451" s="1939"/>
      <c r="I451" s="1939"/>
      <c r="J451" s="1939"/>
      <c r="K451" s="1939"/>
      <c r="L451" s="1939"/>
      <c r="M451" s="1939"/>
      <c r="N451" s="1939"/>
      <c r="O451" s="1939"/>
      <c r="P451" s="1939"/>
      <c r="Q451" s="1939"/>
      <c r="R451" s="1939"/>
      <c r="S451" s="1939"/>
      <c r="T451" s="1939"/>
      <c r="U451" s="1939"/>
      <c r="V451" s="1939"/>
      <c r="W451" s="1939"/>
      <c r="X451" s="1939"/>
      <c r="Y451" s="1939"/>
      <c r="Z451" s="1939"/>
      <c r="AA451" s="1939"/>
      <c r="AB451" s="1939"/>
      <c r="AC451" s="1939"/>
      <c r="AD451" s="1939"/>
      <c r="AE451" s="1939"/>
      <c r="AF451" s="1939"/>
      <c r="AG451" s="778"/>
      <c r="AH451" s="748"/>
      <c r="AI451" s="748"/>
      <c r="AJ451" s="748"/>
      <c r="AK451" s="748"/>
      <c r="AL451" s="779"/>
      <c r="AM451" s="604"/>
      <c r="AN451" s="631"/>
    </row>
    <row r="452" spans="1:48" s="584" customFormat="1" ht="12.75" customHeight="1">
      <c r="A452" s="570"/>
      <c r="B452" s="14"/>
      <c r="C452" s="765"/>
      <c r="D452" s="14"/>
      <c r="E452" s="725"/>
      <c r="F452" s="1940"/>
      <c r="G452" s="1940"/>
      <c r="H452" s="1940"/>
      <c r="I452" s="1940"/>
      <c r="J452" s="1940"/>
      <c r="K452" s="1940"/>
      <c r="L452" s="1940"/>
      <c r="M452" s="1940"/>
      <c r="N452" s="1940"/>
      <c r="O452" s="1940"/>
      <c r="P452" s="1940"/>
      <c r="Q452" s="1940"/>
      <c r="R452" s="1940"/>
      <c r="S452" s="1940"/>
      <c r="T452" s="1940"/>
      <c r="U452" s="1940"/>
      <c r="V452" s="1940"/>
      <c r="W452" s="1940"/>
      <c r="X452" s="1940"/>
      <c r="Y452" s="1940"/>
      <c r="Z452" s="1940"/>
      <c r="AA452" s="1940"/>
      <c r="AB452" s="1940"/>
      <c r="AC452" s="1940"/>
      <c r="AD452" s="1940"/>
      <c r="AE452" s="1940"/>
      <c r="AF452" s="1940"/>
      <c r="AL452" s="766"/>
      <c r="AM452" s="604"/>
      <c r="AN452" s="631"/>
    </row>
    <row r="453" spans="1:48" s="584" customFormat="1" ht="12.75" customHeight="1">
      <c r="A453" s="570"/>
      <c r="B453" s="14"/>
      <c r="C453" s="773"/>
      <c r="F453" s="1940"/>
      <c r="G453" s="1940"/>
      <c r="H453" s="1940"/>
      <c r="I453" s="1940"/>
      <c r="J453" s="1940"/>
      <c r="K453" s="1940"/>
      <c r="L453" s="1940"/>
      <c r="M453" s="1940"/>
      <c r="N453" s="1940"/>
      <c r="O453" s="1940"/>
      <c r="P453" s="1940"/>
      <c r="Q453" s="1940"/>
      <c r="R453" s="1940"/>
      <c r="S453" s="1940"/>
      <c r="T453" s="1940"/>
      <c r="U453" s="1940"/>
      <c r="V453" s="1940"/>
      <c r="W453" s="1940"/>
      <c r="X453" s="1940"/>
      <c r="Y453" s="1940"/>
      <c r="Z453" s="1940"/>
      <c r="AA453" s="1940"/>
      <c r="AB453" s="1940"/>
      <c r="AC453" s="1940"/>
      <c r="AD453" s="1940"/>
      <c r="AE453" s="1940"/>
      <c r="AF453" s="1940"/>
      <c r="AL453" s="766"/>
      <c r="AM453" s="604"/>
      <c r="AN453" s="631"/>
    </row>
    <row r="454" spans="1:48" s="584" customFormat="1" ht="12.75" customHeight="1">
      <c r="A454" s="570"/>
      <c r="B454" s="14"/>
      <c r="C454" s="773"/>
      <c r="F454" s="1940"/>
      <c r="G454" s="1940"/>
      <c r="H454" s="1940"/>
      <c r="I454" s="1940"/>
      <c r="J454" s="1940"/>
      <c r="K454" s="1940"/>
      <c r="L454" s="1940"/>
      <c r="M454" s="1940"/>
      <c r="N454" s="1940"/>
      <c r="O454" s="1940"/>
      <c r="P454" s="1940"/>
      <c r="Q454" s="1940"/>
      <c r="R454" s="1940"/>
      <c r="S454" s="1940"/>
      <c r="T454" s="1940"/>
      <c r="U454" s="1940"/>
      <c r="V454" s="1940"/>
      <c r="W454" s="1940"/>
      <c r="X454" s="1940"/>
      <c r="Y454" s="1940"/>
      <c r="Z454" s="1940"/>
      <c r="AA454" s="1940"/>
      <c r="AB454" s="1940"/>
      <c r="AC454" s="1940"/>
      <c r="AD454" s="1940"/>
      <c r="AE454" s="1940"/>
      <c r="AF454" s="1940"/>
      <c r="AL454" s="766"/>
      <c r="AM454" s="604"/>
      <c r="AN454" s="631"/>
    </row>
    <row r="455" spans="1:48" s="584" customFormat="1" ht="12.75" customHeight="1">
      <c r="A455" s="570"/>
      <c r="B455" s="14"/>
      <c r="C455" s="1949" t="s">
        <v>598</v>
      </c>
      <c r="D455" s="1950"/>
      <c r="E455" s="753"/>
      <c r="F455" s="755" t="s">
        <v>1586</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38" t="s">
        <v>1569</v>
      </c>
      <c r="AG455" s="1938"/>
      <c r="AH455" s="1938"/>
      <c r="AI455" s="1938"/>
      <c r="AJ455" s="1938"/>
      <c r="AK455" s="1938"/>
      <c r="AL455" s="1951"/>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1615</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1616</v>
      </c>
      <c r="AK458" s="1935">
        <f>IF(Application!D214="N/A",AS347,AS349)</f>
        <v>10</v>
      </c>
      <c r="AL458" s="1936"/>
      <c r="AM458" s="1937"/>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598</v>
      </c>
      <c r="AP460" s="584">
        <v>0</v>
      </c>
      <c r="AT460" s="584" t="s">
        <v>598</v>
      </c>
      <c r="AU460" s="584">
        <v>0</v>
      </c>
      <c r="AV460" s="786"/>
    </row>
    <row r="461" spans="1:48" s="584" customFormat="1" ht="12.75" hidden="1" customHeight="1">
      <c r="A461" s="573" t="s">
        <v>1617</v>
      </c>
      <c r="C461" s="573"/>
      <c r="E461" s="630"/>
      <c r="AE461" s="1938" t="s">
        <v>1618</v>
      </c>
      <c r="AF461" s="1938"/>
      <c r="AG461" s="1938"/>
      <c r="AH461" s="1938"/>
      <c r="AI461" s="1938"/>
      <c r="AJ461" s="1938"/>
      <c r="AK461" s="1938"/>
      <c r="AL461" s="625"/>
      <c r="AN461" s="631"/>
      <c r="AO461" s="584" t="s">
        <v>1596</v>
      </c>
      <c r="AP461" s="584">
        <v>5</v>
      </c>
      <c r="AT461" s="584" t="s">
        <v>1596</v>
      </c>
      <c r="AU461" s="584">
        <v>5</v>
      </c>
      <c r="AV461" s="786"/>
    </row>
    <row r="462" spans="1:48" s="584" customFormat="1" ht="12.75" hidden="1" customHeight="1">
      <c r="A462" s="573"/>
      <c r="B462" s="570" t="s">
        <v>1619</v>
      </c>
      <c r="C462" s="573"/>
      <c r="E462" s="630"/>
      <c r="AE462" s="625"/>
      <c r="AF462" s="625"/>
      <c r="AG462" s="625"/>
      <c r="AH462" s="625"/>
      <c r="AI462" s="625"/>
      <c r="AJ462" s="625"/>
      <c r="AK462" s="625"/>
      <c r="AL462" s="625"/>
      <c r="AN462" s="631"/>
      <c r="AO462" s="584" t="s">
        <v>1620</v>
      </c>
      <c r="AP462" s="584">
        <v>5</v>
      </c>
      <c r="AT462" s="584" t="s">
        <v>1597</v>
      </c>
      <c r="AU462" s="584">
        <v>5</v>
      </c>
      <c r="AV462" s="786"/>
    </row>
    <row r="463" spans="1:48" s="584" customFormat="1" ht="12.75" hidden="1" customHeight="1">
      <c r="A463" s="573"/>
      <c r="B463" s="573" t="s">
        <v>1621</v>
      </c>
      <c r="C463" s="573"/>
      <c r="E463" s="630"/>
      <c r="AE463" s="625"/>
      <c r="AF463" s="625"/>
      <c r="AG463" s="625"/>
      <c r="AH463" s="625"/>
      <c r="AI463" s="625"/>
      <c r="AJ463" s="625"/>
      <c r="AK463" s="625"/>
      <c r="AL463" s="625"/>
      <c r="AN463" s="631"/>
      <c r="AO463" s="584" t="s">
        <v>1598</v>
      </c>
      <c r="AP463" s="584">
        <v>5</v>
      </c>
      <c r="AQ463" s="573"/>
      <c r="AR463" s="573"/>
      <c r="AS463" s="789"/>
      <c r="AT463" s="584" t="s">
        <v>1598</v>
      </c>
      <c r="AU463" s="584">
        <v>5</v>
      </c>
      <c r="AV463" s="570"/>
    </row>
    <row r="464" spans="1:48" s="584" customFormat="1" ht="12.75" hidden="1" customHeight="1">
      <c r="A464" s="573"/>
      <c r="B464" s="573" t="s">
        <v>1622</v>
      </c>
      <c r="C464" s="573"/>
      <c r="E464" s="630"/>
      <c r="AE464" s="625"/>
      <c r="AF464" s="625"/>
      <c r="AG464" s="625"/>
      <c r="AH464" s="625"/>
      <c r="AI464" s="625"/>
      <c r="AJ464" s="625"/>
      <c r="AK464" s="625"/>
      <c r="AL464" s="625"/>
      <c r="AN464" s="631"/>
      <c r="AO464" s="584" t="s">
        <v>1600</v>
      </c>
      <c r="AP464" s="584">
        <v>5</v>
      </c>
      <c r="AQ464" s="573"/>
      <c r="AR464" s="573"/>
      <c r="AT464" s="584" t="s">
        <v>1600</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1601</v>
      </c>
      <c r="AP465" s="584">
        <v>5</v>
      </c>
      <c r="AQ465" s="573"/>
      <c r="AR465" s="573"/>
      <c r="AT465" s="584" t="s">
        <v>1601</v>
      </c>
      <c r="AU465" s="584">
        <v>5</v>
      </c>
    </row>
    <row r="466" spans="1:59" s="584" customFormat="1" ht="12.75" hidden="1" customHeight="1">
      <c r="A466" s="573"/>
      <c r="C466" s="746" t="s">
        <v>1623</v>
      </c>
      <c r="D466" s="604"/>
      <c r="AE466" s="625"/>
      <c r="AF466" s="625"/>
      <c r="AG466" s="630"/>
      <c r="AH466" s="630"/>
      <c r="AI466" s="630"/>
      <c r="AJ466" s="630"/>
      <c r="AK466" s="630"/>
      <c r="AL466" s="630"/>
      <c r="AN466" s="631"/>
      <c r="AO466" s="584" t="s">
        <v>1602</v>
      </c>
      <c r="AP466" s="584">
        <v>5</v>
      </c>
      <c r="AT466" s="584" t="s">
        <v>1602</v>
      </c>
      <c r="AU466" s="584">
        <v>5</v>
      </c>
    </row>
    <row r="467" spans="1:59" s="584" customFormat="1" ht="12.75" hidden="1" customHeight="1">
      <c r="A467" s="573"/>
      <c r="C467" s="2015" t="s">
        <v>598</v>
      </c>
      <c r="D467" s="2016"/>
      <c r="E467" s="795" t="s">
        <v>514</v>
      </c>
      <c r="F467" s="2036" t="s">
        <v>1624</v>
      </c>
      <c r="G467" s="2036"/>
      <c r="H467" s="2036"/>
      <c r="I467" s="2036"/>
      <c r="J467" s="2036"/>
      <c r="K467" s="2036"/>
      <c r="L467" s="2036"/>
      <c r="M467" s="2036"/>
      <c r="N467" s="2036"/>
      <c r="O467" s="2036"/>
      <c r="P467" s="2036"/>
      <c r="Q467" s="2036"/>
      <c r="R467" s="2036"/>
      <c r="S467" s="2036"/>
      <c r="T467" s="2036"/>
      <c r="U467" s="2036"/>
      <c r="V467" s="2036"/>
      <c r="W467" s="2036"/>
      <c r="X467" s="2036"/>
      <c r="Y467" s="2036"/>
      <c r="Z467" s="2036"/>
      <c r="AA467" s="2036"/>
      <c r="AB467" s="2036"/>
      <c r="AC467" s="2036"/>
      <c r="AD467" s="2036"/>
      <c r="AE467" s="2036"/>
      <c r="AF467" s="748"/>
      <c r="AG467" s="748"/>
      <c r="AH467" s="748"/>
      <c r="AI467" s="748"/>
      <c r="AJ467" s="748"/>
      <c r="AK467" s="779"/>
      <c r="AN467" s="631"/>
      <c r="AO467" s="584" t="s">
        <v>1625</v>
      </c>
      <c r="AP467" s="584">
        <v>5</v>
      </c>
      <c r="AS467" s="792"/>
      <c r="AT467" s="584" t="s">
        <v>1603</v>
      </c>
      <c r="AU467" s="584">
        <v>5</v>
      </c>
    </row>
    <row r="468" spans="1:59" s="584" customFormat="1" ht="12.75" hidden="1" customHeight="1">
      <c r="C468" s="796"/>
      <c r="E468" s="797"/>
      <c r="F468" s="2037"/>
      <c r="G468" s="2037"/>
      <c r="H468" s="2037"/>
      <c r="I468" s="2037"/>
      <c r="J468" s="2037"/>
      <c r="K468" s="2037"/>
      <c r="L468" s="2037"/>
      <c r="M468" s="2037"/>
      <c r="N468" s="2037"/>
      <c r="O468" s="2037"/>
      <c r="P468" s="2037"/>
      <c r="Q468" s="2037"/>
      <c r="R468" s="2037"/>
      <c r="S468" s="2037"/>
      <c r="T468" s="2037"/>
      <c r="U468" s="2037"/>
      <c r="V468" s="2037"/>
      <c r="W468" s="2037"/>
      <c r="X468" s="2037"/>
      <c r="Y468" s="2037"/>
      <c r="Z468" s="2037"/>
      <c r="AA468" s="2037"/>
      <c r="AB468" s="2037"/>
      <c r="AC468" s="2037"/>
      <c r="AD468" s="2037"/>
      <c r="AE468" s="2037"/>
      <c r="AG468" s="585"/>
      <c r="AH468" s="585"/>
      <c r="AI468" s="585"/>
      <c r="AJ468" s="585"/>
      <c r="AK468" s="766"/>
      <c r="AN468" s="631"/>
      <c r="AO468" s="584" t="s">
        <v>1606</v>
      </c>
      <c r="AP468" s="584">
        <v>1</v>
      </c>
      <c r="AT468" s="584" t="s">
        <v>1606</v>
      </c>
      <c r="AU468" s="584">
        <v>1</v>
      </c>
    </row>
    <row r="469" spans="1:59" s="584" customFormat="1" ht="12.75" hidden="1" customHeight="1">
      <c r="C469" s="798"/>
      <c r="D469" s="761"/>
      <c r="E469" s="799"/>
      <c r="F469" s="2031" t="s">
        <v>598</v>
      </c>
      <c r="G469" s="2031"/>
      <c r="H469" s="2031"/>
      <c r="I469" s="2031"/>
      <c r="J469" s="2031"/>
      <c r="K469" s="2031"/>
      <c r="L469" s="2031"/>
      <c r="M469" s="2031"/>
      <c r="N469" s="2031"/>
      <c r="O469" s="2031"/>
      <c r="P469" s="2031"/>
      <c r="Q469" s="2031"/>
      <c r="R469" s="2031"/>
      <c r="S469" s="2031"/>
      <c r="T469" s="2031"/>
      <c r="U469" s="2031"/>
      <c r="V469" s="2031"/>
      <c r="W469" s="2031"/>
      <c r="X469" s="2031"/>
      <c r="Y469" s="2031"/>
      <c r="Z469" s="2031"/>
      <c r="AA469" s="800"/>
      <c r="AB469" s="692"/>
      <c r="AC469" s="692"/>
      <c r="AD469" s="761"/>
      <c r="AE469" s="761"/>
      <c r="AF469" s="761"/>
      <c r="AG469" s="801">
        <f>IF($C$467="Yes",(VLOOKUP($F$469,$AT$460:$AU$468,2,FALSE)),0)</f>
        <v>0</v>
      </c>
      <c r="AH469" s="802" t="s">
        <v>1434</v>
      </c>
      <c r="AI469" s="801"/>
      <c r="AJ469" s="801"/>
      <c r="AK469" s="776"/>
      <c r="AN469" s="631"/>
      <c r="AS469" s="789"/>
      <c r="AX469" s="789"/>
      <c r="BB469" s="789" t="s">
        <v>1607</v>
      </c>
      <c r="BF469" s="789" t="s">
        <v>1608</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598</v>
      </c>
      <c r="AP470" s="671">
        <v>0</v>
      </c>
      <c r="AT470" s="584" t="s">
        <v>598</v>
      </c>
      <c r="AU470" s="671">
        <v>0</v>
      </c>
      <c r="AW470" s="584" t="s">
        <v>598</v>
      </c>
      <c r="AX470" s="671">
        <v>0</v>
      </c>
      <c r="AY470" s="627"/>
      <c r="BB470" s="584" t="s">
        <v>598</v>
      </c>
      <c r="BC470" s="627">
        <v>0</v>
      </c>
      <c r="BF470" s="584" t="s">
        <v>598</v>
      </c>
      <c r="BG470" s="627">
        <v>0</v>
      </c>
    </row>
    <row r="471" spans="1:59" s="584" customFormat="1" ht="12.75" hidden="1" customHeight="1">
      <c r="C471" s="2032" t="s">
        <v>552</v>
      </c>
      <c r="D471" s="2033"/>
      <c r="E471" s="795" t="s">
        <v>765</v>
      </c>
      <c r="F471" s="803" t="s">
        <v>1626</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1609</v>
      </c>
      <c r="AX471" s="671">
        <v>3</v>
      </c>
      <c r="AY471" s="627"/>
      <c r="BB471" s="792">
        <v>0.4</v>
      </c>
      <c r="BC471" s="627">
        <v>3</v>
      </c>
      <c r="BF471" s="792">
        <v>0.4</v>
      </c>
      <c r="BG471" s="627">
        <v>4</v>
      </c>
    </row>
    <row r="472" spans="1:59" s="584" customFormat="1" ht="12.75" hidden="1" customHeight="1">
      <c r="C472" s="804" t="s">
        <v>1627</v>
      </c>
      <c r="F472" s="805" t="s">
        <v>1628</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1612</v>
      </c>
      <c r="AX472" s="671">
        <v>5</v>
      </c>
      <c r="AY472" s="627"/>
      <c r="BB472" s="792">
        <v>0.6</v>
      </c>
      <c r="BC472" s="627">
        <v>4</v>
      </c>
      <c r="BF472" s="792">
        <v>0.6</v>
      </c>
      <c r="BG472" s="627">
        <v>5</v>
      </c>
    </row>
    <row r="473" spans="1:59" s="584" customFormat="1" ht="12.75" hidden="1" customHeight="1">
      <c r="C473" s="785"/>
      <c r="D473" s="764"/>
      <c r="E473" s="806"/>
      <c r="F473" s="805" t="s">
        <v>1629</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1630</v>
      </c>
      <c r="G474" s="584"/>
      <c r="H474" s="584"/>
      <c r="I474" s="805"/>
      <c r="J474" s="805"/>
      <c r="K474" s="805"/>
      <c r="L474" s="805"/>
      <c r="M474" s="805"/>
      <c r="N474" s="805"/>
      <c r="O474" s="805"/>
      <c r="P474" s="805"/>
      <c r="Q474" s="805"/>
      <c r="R474" s="805"/>
      <c r="S474" s="805"/>
      <c r="T474" s="805"/>
      <c r="U474" s="805"/>
      <c r="V474" s="1944" t="s">
        <v>598</v>
      </c>
      <c r="W474" s="1944"/>
      <c r="X474" s="1944"/>
      <c r="Y474" s="805"/>
      <c r="Z474" s="805"/>
      <c r="AA474" s="805"/>
      <c r="AB474" s="805"/>
      <c r="AC474" s="805"/>
      <c r="AD474" s="643"/>
      <c r="AE474" s="643"/>
      <c r="AF474" s="643"/>
      <c r="AG474" s="647">
        <f>IF(AND($C$471="Yes",$V$476="N/A",$V$481="N/A",$V$485="N/A",$V$487="N/A"),(VLOOKUP(V474,$AW$470:$AX$472,2,FALSE)),0)</f>
        <v>0</v>
      </c>
      <c r="AH474" s="674" t="s">
        <v>1434</v>
      </c>
      <c r="AI474" s="585"/>
      <c r="AJ474" s="585"/>
      <c r="AK474" s="766"/>
      <c r="AL474" s="584"/>
      <c r="AM474" s="584"/>
      <c r="AN474" s="631"/>
      <c r="AT474" s="584" t="s">
        <v>598</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1631</v>
      </c>
      <c r="G476" s="584"/>
      <c r="H476" s="584"/>
      <c r="I476" s="805"/>
      <c r="J476" s="805"/>
      <c r="K476" s="805"/>
      <c r="L476" s="805"/>
      <c r="M476" s="805"/>
      <c r="N476" s="805"/>
      <c r="O476" s="805"/>
      <c r="P476" s="805"/>
      <c r="Q476" s="805"/>
      <c r="R476" s="805"/>
      <c r="S476" s="805"/>
      <c r="T476" s="805"/>
      <c r="U476" s="805"/>
      <c r="V476" s="1944" t="s">
        <v>598</v>
      </c>
      <c r="W476" s="1944"/>
      <c r="X476" s="1944"/>
      <c r="Y476" s="805"/>
      <c r="Z476" s="805"/>
      <c r="AA476" s="805"/>
      <c r="AB476" s="805"/>
      <c r="AC476" s="805"/>
      <c r="AD476" s="643"/>
      <c r="AE476" s="643"/>
      <c r="AF476" s="643"/>
      <c r="AG476" s="647">
        <f>IF(AND($C$471="Yes",$V$474="N/A", $V$481="N/A",$V$485="N/A",$V$487="N/A"),(VLOOKUP(V476,$AT$470:$AU$472,2,FALSE)),0)</f>
        <v>0</v>
      </c>
      <c r="AH476" s="674" t="s">
        <v>1434</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598</v>
      </c>
      <c r="AP477" s="584">
        <v>0</v>
      </c>
    </row>
    <row r="478" spans="1:59" s="584" customFormat="1" ht="12.75" hidden="1" customHeight="1">
      <c r="C478" s="796"/>
      <c r="E478" s="797"/>
      <c r="F478" s="810" t="s">
        <v>1632</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1633</v>
      </c>
      <c r="AP478" s="671">
        <v>2</v>
      </c>
    </row>
    <row r="479" spans="1:59" s="584" customFormat="1" ht="12.75" hidden="1" customHeight="1">
      <c r="C479" s="796"/>
      <c r="F479" s="643" t="s">
        <v>1634</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1635</v>
      </c>
      <c r="AP479" s="584">
        <v>2</v>
      </c>
    </row>
    <row r="480" spans="1:59" s="630" customFormat="1" ht="12.75" hidden="1" customHeight="1">
      <c r="A480" s="584"/>
      <c r="B480" s="584"/>
      <c r="C480" s="773"/>
      <c r="D480" s="604"/>
      <c r="E480" s="604"/>
      <c r="F480" s="643" t="s">
        <v>1636</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1637</v>
      </c>
      <c r="AP480" s="584">
        <v>2</v>
      </c>
    </row>
    <row r="481" spans="1:81" s="584" customFormat="1" ht="12.75" hidden="1" customHeight="1">
      <c r="C481" s="811"/>
      <c r="F481" s="809" t="s">
        <v>1638</v>
      </c>
      <c r="M481" s="797"/>
      <c r="N481" s="797"/>
      <c r="O481" s="797"/>
      <c r="P481" s="797"/>
      <c r="Q481" s="585"/>
      <c r="R481" s="585"/>
      <c r="S481" s="585"/>
      <c r="T481" s="585"/>
      <c r="U481" s="585"/>
      <c r="V481" s="1944" t="s">
        <v>598</v>
      </c>
      <c r="W481" s="1944"/>
      <c r="X481" s="1944"/>
      <c r="Y481" s="585"/>
      <c r="Z481" s="585"/>
      <c r="AA481" s="585"/>
      <c r="AB481" s="585"/>
      <c r="AC481" s="585"/>
      <c r="AG481" s="647">
        <f>IF(AND($C$471="Yes",$V$474="N/A",$V$476="N/A", $V$485="N/A",$V$487="N/A"),(VLOOKUP($V$481,$AT$474:$AU$476,2,FALSE)),0)</f>
        <v>0</v>
      </c>
      <c r="AH481" s="674" t="s">
        <v>1434</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1639</v>
      </c>
      <c r="D483" s="748"/>
      <c r="E483" s="748"/>
      <c r="F483" s="814" t="s">
        <v>1640</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598</v>
      </c>
      <c r="AP483" s="584">
        <v>0</v>
      </c>
      <c r="AQ483" s="573"/>
    </row>
    <row r="484" spans="1:81" s="630" customFormat="1" ht="12.75" hidden="1" customHeight="1">
      <c r="A484" s="584"/>
      <c r="B484" s="584"/>
      <c r="C484" s="815"/>
      <c r="D484" s="2018"/>
      <c r="E484" s="2018"/>
      <c r="F484" s="805" t="s">
        <v>1641</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1642</v>
      </c>
      <c r="AP484" s="671">
        <v>5</v>
      </c>
      <c r="AQ484" s="573"/>
    </row>
    <row r="485" spans="1:81" s="604" customFormat="1" ht="12.75" hidden="1" customHeight="1">
      <c r="A485" s="713"/>
      <c r="B485" s="584"/>
      <c r="C485" s="796"/>
      <c r="D485" s="584"/>
      <c r="E485" s="584"/>
      <c r="F485" s="816" t="s">
        <v>1630</v>
      </c>
      <c r="G485" s="584"/>
      <c r="H485" s="584"/>
      <c r="I485" s="584"/>
      <c r="J485" s="584"/>
      <c r="K485" s="584"/>
      <c r="L485" s="584"/>
      <c r="M485" s="584"/>
      <c r="N485" s="584"/>
      <c r="O485" s="584"/>
      <c r="P485" s="584"/>
      <c r="Q485" s="584"/>
      <c r="R485" s="584"/>
      <c r="S485" s="584"/>
      <c r="T485" s="584"/>
      <c r="U485" s="584"/>
      <c r="V485" s="1944" t="s">
        <v>598</v>
      </c>
      <c r="W485" s="1944"/>
      <c r="X485" s="1944"/>
      <c r="Y485" s="584"/>
      <c r="Z485" s="584"/>
      <c r="AA485" s="584"/>
      <c r="AB485" s="584"/>
      <c r="AC485" s="584"/>
      <c r="AD485" s="584"/>
      <c r="AE485" s="584"/>
      <c r="AF485" s="584"/>
      <c r="AG485" s="647">
        <f>IF(AND($C$471="Yes",$V$474="N/A",V476="N/A",$V$481="N/A",$V$487="N/A"),(VLOOKUP($V$485,$BB$470:$BC$473,2,FALSE)),0)</f>
        <v>0</v>
      </c>
      <c r="AH485" s="674" t="s">
        <v>1434</v>
      </c>
      <c r="AI485" s="585"/>
      <c r="AJ485" s="584"/>
      <c r="AK485" s="766"/>
      <c r="AL485" s="584"/>
      <c r="AM485" s="584"/>
      <c r="AN485" s="718"/>
      <c r="AO485" s="584" t="s">
        <v>1643</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1644</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1631</v>
      </c>
      <c r="G487" s="800"/>
      <c r="H487" s="800"/>
      <c r="I487" s="761"/>
      <c r="J487" s="761"/>
      <c r="K487" s="761"/>
      <c r="L487" s="761"/>
      <c r="M487" s="761"/>
      <c r="N487" s="761"/>
      <c r="O487" s="761"/>
      <c r="P487" s="761"/>
      <c r="Q487" s="761"/>
      <c r="R487" s="761"/>
      <c r="S487" s="761"/>
      <c r="T487" s="761"/>
      <c r="U487" s="761"/>
      <c r="V487" s="1944" t="s">
        <v>598</v>
      </c>
      <c r="W487" s="1944"/>
      <c r="X487" s="1944"/>
      <c r="Y487" s="761"/>
      <c r="Z487" s="761"/>
      <c r="AA487" s="761"/>
      <c r="AB487" s="761"/>
      <c r="AC487" s="761"/>
      <c r="AD487" s="761"/>
      <c r="AE487" s="761"/>
      <c r="AF487" s="761"/>
      <c r="AG487" s="817">
        <f>IF(AND($C$471="Yes",$V$474="N/A",$V$476="N/A",$V$481="N/A",$V$485="N/A"),(VLOOKUP($V$487,$BF$470:$BG$472,2,FALSE)),0)</f>
        <v>0</v>
      </c>
      <c r="AH487" s="802" t="s">
        <v>1434</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1645</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15" t="s">
        <v>598</v>
      </c>
      <c r="D490" s="2016"/>
      <c r="E490" s="795" t="s">
        <v>514</v>
      </c>
      <c r="F490" s="2036" t="s">
        <v>1624</v>
      </c>
      <c r="G490" s="2036"/>
      <c r="H490" s="2036"/>
      <c r="I490" s="2036"/>
      <c r="J490" s="2036"/>
      <c r="K490" s="2036"/>
      <c r="L490" s="2036"/>
      <c r="M490" s="2036"/>
      <c r="N490" s="2036"/>
      <c r="O490" s="2036"/>
      <c r="P490" s="2036"/>
      <c r="Q490" s="2036"/>
      <c r="R490" s="2036"/>
      <c r="S490" s="2036"/>
      <c r="T490" s="2036"/>
      <c r="U490" s="2036"/>
      <c r="V490" s="2036"/>
      <c r="W490" s="2036"/>
      <c r="X490" s="2036"/>
      <c r="Y490" s="2036"/>
      <c r="Z490" s="2036"/>
      <c r="AA490" s="2036"/>
      <c r="AB490" s="2036"/>
      <c r="AC490" s="2036"/>
      <c r="AD490" s="2036"/>
      <c r="AE490" s="2036"/>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37"/>
      <c r="G491" s="2037"/>
      <c r="H491" s="2037"/>
      <c r="I491" s="2037"/>
      <c r="J491" s="2037"/>
      <c r="K491" s="2037"/>
      <c r="L491" s="2037"/>
      <c r="M491" s="2037"/>
      <c r="N491" s="2037"/>
      <c r="O491" s="2037"/>
      <c r="P491" s="2037"/>
      <c r="Q491" s="2037"/>
      <c r="R491" s="2037"/>
      <c r="S491" s="2037"/>
      <c r="T491" s="2037"/>
      <c r="U491" s="2037"/>
      <c r="V491" s="2037"/>
      <c r="W491" s="2037"/>
      <c r="X491" s="2037"/>
      <c r="Y491" s="2037"/>
      <c r="Z491" s="2037"/>
      <c r="AA491" s="2037"/>
      <c r="AB491" s="2037"/>
      <c r="AC491" s="2037"/>
      <c r="AD491" s="2037"/>
      <c r="AE491" s="2037"/>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23" t="s">
        <v>598</v>
      </c>
      <c r="G492" s="2023"/>
      <c r="H492" s="2023"/>
      <c r="I492" s="2023"/>
      <c r="J492" s="2023"/>
      <c r="K492" s="2023"/>
      <c r="L492" s="2023"/>
      <c r="M492" s="2023"/>
      <c r="N492" s="2023"/>
      <c r="O492" s="2023"/>
      <c r="P492" s="2023"/>
      <c r="Q492" s="2023"/>
      <c r="R492" s="2023"/>
      <c r="S492" s="2023"/>
      <c r="T492" s="2023"/>
      <c r="U492" s="2023"/>
      <c r="V492" s="2023"/>
      <c r="W492" s="2023"/>
      <c r="X492" s="2023"/>
      <c r="Y492" s="2023"/>
      <c r="Z492" s="2023"/>
      <c r="AA492" s="800"/>
      <c r="AB492" s="692"/>
      <c r="AC492" s="692"/>
      <c r="AD492" s="761"/>
      <c r="AE492" s="761"/>
      <c r="AF492" s="761"/>
      <c r="AG492" s="801">
        <f>IF($C$490="Yes",(VLOOKUP($F$492,$AO$460:$AP$468,2,FALSE)),0)</f>
        <v>0</v>
      </c>
      <c r="AH492" s="802" t="s">
        <v>1434</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15" t="s">
        <v>598</v>
      </c>
      <c r="D494" s="2016"/>
      <c r="E494" s="795" t="s">
        <v>765</v>
      </c>
      <c r="F494" s="2024" t="s">
        <v>1646</v>
      </c>
      <c r="G494" s="2024"/>
      <c r="H494" s="2024"/>
      <c r="I494" s="2024"/>
      <c r="J494" s="2024"/>
      <c r="K494" s="2024"/>
      <c r="L494" s="2024"/>
      <c r="M494" s="2024"/>
      <c r="N494" s="2024"/>
      <c r="O494" s="2024"/>
      <c r="P494" s="2024"/>
      <c r="Q494" s="2024"/>
      <c r="R494" s="2024"/>
      <c r="S494" s="2024"/>
      <c r="T494" s="2024"/>
      <c r="U494" s="2024"/>
      <c r="V494" s="2024"/>
      <c r="W494" s="2024"/>
      <c r="X494" s="2024"/>
      <c r="Y494" s="2024"/>
      <c r="Z494" s="2024"/>
      <c r="AA494" s="2024"/>
      <c r="AB494" s="2024"/>
      <c r="AC494" s="2024"/>
      <c r="AD494" s="2024"/>
      <c r="AE494" s="2024"/>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25"/>
      <c r="G495" s="2025"/>
      <c r="H495" s="2025"/>
      <c r="I495" s="2025"/>
      <c r="J495" s="2025"/>
      <c r="K495" s="2025"/>
      <c r="L495" s="2025"/>
      <c r="M495" s="2025"/>
      <c r="N495" s="2025"/>
      <c r="O495" s="2025"/>
      <c r="P495" s="2025"/>
      <c r="Q495" s="2025"/>
      <c r="R495" s="2025"/>
      <c r="S495" s="2025"/>
      <c r="T495" s="2025"/>
      <c r="U495" s="2025"/>
      <c r="V495" s="2025"/>
      <c r="W495" s="2025"/>
      <c r="X495" s="2025"/>
      <c r="Y495" s="2025"/>
      <c r="Z495" s="2025"/>
      <c r="AA495" s="2025"/>
      <c r="AB495" s="2025"/>
      <c r="AC495" s="2025"/>
      <c r="AD495" s="2025"/>
      <c r="AE495" s="2025"/>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1647</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26" t="s">
        <v>598</v>
      </c>
      <c r="G497" s="2026"/>
      <c r="H497" s="2026"/>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1434</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15" t="s">
        <v>598</v>
      </c>
      <c r="D499" s="2016"/>
      <c r="E499" s="795" t="s">
        <v>1648</v>
      </c>
      <c r="F499" s="814" t="s">
        <v>1649</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17"/>
      <c r="D501" s="2018"/>
      <c r="E501" s="806"/>
      <c r="F501" s="585" t="s">
        <v>1650</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1434</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19" t="s">
        <v>598</v>
      </c>
      <c r="H502" s="2019"/>
      <c r="I502" s="2019"/>
      <c r="J502" s="2019"/>
      <c r="K502" s="2019"/>
      <c r="L502" s="2019"/>
      <c r="M502" s="2019"/>
      <c r="N502" s="2019"/>
      <c r="O502" s="2019"/>
      <c r="P502" s="2019"/>
      <c r="Q502" s="2019"/>
      <c r="R502" s="2019"/>
      <c r="S502" s="2019"/>
      <c r="T502" s="2019"/>
      <c r="U502" s="2019"/>
      <c r="V502" s="2019"/>
      <c r="W502" s="2019"/>
      <c r="X502" s="2019"/>
      <c r="Y502" s="2019"/>
      <c r="Z502" s="2019"/>
      <c r="AA502" s="2019"/>
      <c r="AB502" s="2019"/>
      <c r="AC502" s="2019"/>
      <c r="AD502" s="2019"/>
      <c r="AE502" s="2019"/>
      <c r="AF502" s="2019"/>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20" t="s">
        <v>598</v>
      </c>
      <c r="D504" s="2021"/>
      <c r="F504" s="585" t="s">
        <v>1651</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1434</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1652</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1653</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20" t="s">
        <v>598</v>
      </c>
      <c r="D508" s="2021"/>
      <c r="F508" s="829" t="s">
        <v>1654</v>
      </c>
      <c r="G508" s="1940" t="s">
        <v>1655</v>
      </c>
      <c r="H508" s="1940"/>
      <c r="I508" s="1940"/>
      <c r="J508" s="1940"/>
      <c r="K508" s="1940"/>
      <c r="L508" s="1940"/>
      <c r="M508" s="1940"/>
      <c r="N508" s="1940"/>
      <c r="O508" s="1940"/>
      <c r="P508" s="1940"/>
      <c r="Q508" s="1940"/>
      <c r="R508" s="1940"/>
      <c r="S508" s="1940"/>
      <c r="T508" s="1940"/>
      <c r="U508" s="1940"/>
      <c r="V508" s="1940"/>
      <c r="W508" s="1940"/>
      <c r="X508" s="1940"/>
      <c r="Y508" s="1940"/>
      <c r="Z508" s="1940"/>
      <c r="AA508" s="1940"/>
      <c r="AB508" s="1940"/>
      <c r="AC508" s="1940"/>
      <c r="AD508" s="1940"/>
      <c r="AE508" s="1940"/>
      <c r="AF508" s="1940"/>
      <c r="AG508" s="647">
        <f>IF(AND($C$508="Yes",$C$499="Yes"),2,0)</f>
        <v>0</v>
      </c>
      <c r="AH508" s="674" t="s">
        <v>1434</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22"/>
      <c r="H509" s="2022"/>
      <c r="I509" s="2022"/>
      <c r="J509" s="2022"/>
      <c r="K509" s="2022"/>
      <c r="L509" s="2022"/>
      <c r="M509" s="2022"/>
      <c r="N509" s="2022"/>
      <c r="O509" s="2022"/>
      <c r="P509" s="2022"/>
      <c r="Q509" s="2022"/>
      <c r="R509" s="2022"/>
      <c r="S509" s="2022"/>
      <c r="T509" s="2022"/>
      <c r="U509" s="2022"/>
      <c r="V509" s="2022"/>
      <c r="W509" s="2022"/>
      <c r="X509" s="2022"/>
      <c r="Y509" s="2022"/>
      <c r="Z509" s="2022"/>
      <c r="AA509" s="2022"/>
      <c r="AB509" s="2022"/>
      <c r="AC509" s="2022"/>
      <c r="AD509" s="2022"/>
      <c r="AE509" s="2022"/>
      <c r="AF509" s="2022"/>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1656</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27" t="s">
        <v>598</v>
      </c>
      <c r="D512" s="2028"/>
      <c r="E512" s="836" t="s">
        <v>1657</v>
      </c>
      <c r="F512" s="805" t="s">
        <v>1658</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1434</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29" t="s">
        <v>598</v>
      </c>
      <c r="G513" s="2029"/>
      <c r="H513" s="2029"/>
      <c r="I513" s="2029"/>
      <c r="J513" s="2029"/>
      <c r="K513" s="2029"/>
      <c r="L513" s="2029"/>
      <c r="M513" s="2029"/>
      <c r="N513" s="2029"/>
      <c r="O513" s="2029"/>
      <c r="P513" s="2029"/>
      <c r="Q513" s="2029"/>
      <c r="R513" s="2029"/>
      <c r="S513" s="2029"/>
      <c r="T513" s="2029"/>
      <c r="U513" s="2029"/>
      <c r="V513" s="2029"/>
      <c r="W513" s="2029"/>
      <c r="X513" s="2029"/>
      <c r="Y513" s="2029"/>
      <c r="Z513" s="2029"/>
      <c r="AA513" s="2029"/>
      <c r="AB513" s="2029"/>
      <c r="AC513" s="2029"/>
      <c r="AD513" s="2029"/>
      <c r="AE513" s="2029"/>
      <c r="AF513" s="2029"/>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30"/>
      <c r="G514" s="2030"/>
      <c r="H514" s="2030"/>
      <c r="I514" s="2030"/>
      <c r="J514" s="2030"/>
      <c r="K514" s="2030"/>
      <c r="L514" s="2030"/>
      <c r="M514" s="2030"/>
      <c r="N514" s="2030"/>
      <c r="O514" s="2030"/>
      <c r="P514" s="2030"/>
      <c r="Q514" s="2030"/>
      <c r="R514" s="2030"/>
      <c r="S514" s="2030"/>
      <c r="T514" s="2030"/>
      <c r="U514" s="2030"/>
      <c r="V514" s="2030"/>
      <c r="W514" s="2030"/>
      <c r="X514" s="2030"/>
      <c r="Y514" s="2030"/>
      <c r="Z514" s="2030"/>
      <c r="AA514" s="2030"/>
      <c r="AB514" s="2030"/>
      <c r="AC514" s="2030"/>
      <c r="AD514" s="2030"/>
      <c r="AE514" s="2030"/>
      <c r="AF514" s="2030"/>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1659</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1660</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2338</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1661</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2339</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1662</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1663</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1664</v>
      </c>
      <c r="AK524" s="1935">
        <f>SUM(AG468:AG513)</f>
        <v>0</v>
      </c>
      <c r="AL524" s="1936"/>
      <c r="AM524" s="1937"/>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1665</v>
      </c>
      <c r="B527" s="573" t="s">
        <v>1666</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41" t="s">
        <v>1667</v>
      </c>
      <c r="AF527" s="1941"/>
      <c r="AG527" s="1941"/>
      <c r="AH527" s="1941"/>
      <c r="AI527" s="1941"/>
      <c r="AJ527" s="1941"/>
      <c r="AK527" s="1941"/>
      <c r="AL527" s="629"/>
      <c r="AM527" s="629"/>
      <c r="AN527" s="631"/>
    </row>
    <row r="528" spans="1:81" s="584" customFormat="1" ht="12.75" customHeight="1">
      <c r="A528" s="573"/>
      <c r="B528" s="573" t="s">
        <v>1430</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50" t="s">
        <v>552</v>
      </c>
      <c r="D530" s="1950"/>
      <c r="E530" s="585"/>
      <c r="F530" s="2009" t="s">
        <v>1668</v>
      </c>
      <c r="G530" s="2010"/>
      <c r="H530" s="2010"/>
      <c r="I530" s="2010"/>
      <c r="J530" s="2010"/>
      <c r="K530" s="2010"/>
      <c r="L530" s="2010"/>
      <c r="M530" s="2010"/>
      <c r="N530" s="2010"/>
      <c r="O530" s="2010"/>
      <c r="P530" s="2010"/>
      <c r="Q530" s="2010"/>
      <c r="R530" s="2010"/>
      <c r="S530" s="2010"/>
      <c r="T530" s="2010"/>
      <c r="U530" s="2010"/>
      <c r="V530" s="2010"/>
      <c r="W530" s="2010"/>
      <c r="X530" s="2010"/>
      <c r="Y530" s="2010"/>
      <c r="Z530" s="2010"/>
      <c r="AA530" s="2010"/>
      <c r="AB530" s="2010"/>
      <c r="AC530" s="2010"/>
      <c r="AD530" s="2010"/>
      <c r="AE530" s="2010"/>
      <c r="AF530" s="2010"/>
      <c r="AG530" s="2010"/>
      <c r="AH530" s="2010"/>
      <c r="AI530" s="2010"/>
      <c r="AJ530" s="2010"/>
      <c r="AK530" s="2010"/>
      <c r="AL530" s="2011"/>
      <c r="AM530" s="629"/>
      <c r="AN530" s="631"/>
    </row>
    <row r="531" spans="1:49" s="584" customFormat="1" ht="12.75" customHeight="1">
      <c r="A531" s="573"/>
      <c r="B531" s="573"/>
      <c r="C531" s="585"/>
      <c r="D531" s="585"/>
      <c r="E531" s="585"/>
      <c r="F531" s="2012"/>
      <c r="G531" s="2013"/>
      <c r="H531" s="2013"/>
      <c r="I531" s="2013"/>
      <c r="J531" s="2013"/>
      <c r="K531" s="2013"/>
      <c r="L531" s="2013"/>
      <c r="M531" s="2013"/>
      <c r="N531" s="2013"/>
      <c r="O531" s="2013"/>
      <c r="P531" s="2013"/>
      <c r="Q531" s="2013"/>
      <c r="R531" s="2013"/>
      <c r="S531" s="2013"/>
      <c r="T531" s="2013"/>
      <c r="U531" s="2013"/>
      <c r="V531" s="2013"/>
      <c r="W531" s="2013"/>
      <c r="X531" s="2013"/>
      <c r="Y531" s="2013"/>
      <c r="Z531" s="2013"/>
      <c r="AA531" s="2013"/>
      <c r="AB531" s="2013"/>
      <c r="AC531" s="2013"/>
      <c r="AD531" s="2013"/>
      <c r="AE531" s="2013"/>
      <c r="AF531" s="2013"/>
      <c r="AG531" s="2013"/>
      <c r="AH531" s="2013"/>
      <c r="AI531" s="2013"/>
      <c r="AJ531" s="2013"/>
      <c r="AK531" s="2013"/>
      <c r="AL531" s="2014"/>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50" t="s">
        <v>598</v>
      </c>
      <c r="D533" s="1950"/>
      <c r="E533" s="840"/>
      <c r="F533" s="678" t="s">
        <v>1669</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27" t="s">
        <v>1670</v>
      </c>
      <c r="G534" s="1928"/>
      <c r="H534" s="1928"/>
      <c r="I534" s="1928"/>
      <c r="J534" s="1928"/>
      <c r="K534" s="1928"/>
      <c r="L534" s="1928"/>
      <c r="M534" s="1928"/>
      <c r="N534" s="1928"/>
      <c r="O534" s="1928"/>
      <c r="P534" s="1928"/>
      <c r="Q534" s="1928"/>
      <c r="R534" s="1928"/>
      <c r="S534" s="1928"/>
      <c r="T534" s="1928"/>
      <c r="U534" s="1928"/>
      <c r="V534" s="1928"/>
      <c r="W534" s="1928"/>
      <c r="X534" s="1928"/>
      <c r="Y534" s="1928"/>
      <c r="Z534" s="1928"/>
      <c r="AA534" s="1928"/>
      <c r="AB534" s="1928"/>
      <c r="AC534" s="1928"/>
      <c r="AD534" s="1928"/>
      <c r="AE534" s="1928"/>
      <c r="AF534" s="1928"/>
      <c r="AG534" s="1928"/>
      <c r="AH534" s="1928"/>
      <c r="AI534" s="1928"/>
      <c r="AJ534" s="1928"/>
      <c r="AK534" s="1928"/>
      <c r="AL534" s="1929"/>
      <c r="AM534" s="629"/>
      <c r="AN534" s="631"/>
      <c r="AS534" s="904"/>
      <c r="AT534" s="904"/>
      <c r="AU534" s="904"/>
      <c r="AV534" s="904"/>
      <c r="AW534" s="904"/>
    </row>
    <row r="535" spans="1:49" s="584" customFormat="1" ht="12.75" customHeight="1">
      <c r="B535" s="840"/>
      <c r="C535" s="840"/>
      <c r="D535" s="840"/>
      <c r="E535" s="840"/>
      <c r="F535" s="1927"/>
      <c r="G535" s="1928"/>
      <c r="H535" s="1928"/>
      <c r="I535" s="1928"/>
      <c r="J535" s="1928"/>
      <c r="K535" s="1928"/>
      <c r="L535" s="1928"/>
      <c r="M535" s="1928"/>
      <c r="N535" s="1928"/>
      <c r="O535" s="1928"/>
      <c r="P535" s="1928"/>
      <c r="Q535" s="1928"/>
      <c r="R535" s="1928"/>
      <c r="S535" s="1928"/>
      <c r="T535" s="1928"/>
      <c r="U535" s="1928"/>
      <c r="V535" s="1928"/>
      <c r="W535" s="1928"/>
      <c r="X535" s="1928"/>
      <c r="Y535" s="1928"/>
      <c r="Z535" s="1928"/>
      <c r="AA535" s="1928"/>
      <c r="AB535" s="1928"/>
      <c r="AC535" s="1928"/>
      <c r="AD535" s="1928"/>
      <c r="AE535" s="1928"/>
      <c r="AF535" s="1928"/>
      <c r="AG535" s="1928"/>
      <c r="AH535" s="1928"/>
      <c r="AI535" s="1928"/>
      <c r="AJ535" s="1928"/>
      <c r="AK535" s="1928"/>
      <c r="AL535" s="1929"/>
      <c r="AM535" s="629"/>
      <c r="AN535" s="631"/>
    </row>
    <row r="536" spans="1:49" s="584" customFormat="1" ht="12.75" customHeight="1">
      <c r="B536" s="840"/>
      <c r="C536" s="840"/>
      <c r="D536" s="840"/>
      <c r="E536" s="840"/>
      <c r="F536" s="845" t="s">
        <v>2340</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27" t="s">
        <v>1671</v>
      </c>
      <c r="G537" s="1928"/>
      <c r="H537" s="1928"/>
      <c r="I537" s="1928"/>
      <c r="J537" s="1928"/>
      <c r="K537" s="1928"/>
      <c r="L537" s="1928"/>
      <c r="M537" s="1928"/>
      <c r="N537" s="1928"/>
      <c r="O537" s="1928"/>
      <c r="P537" s="1928"/>
      <c r="Q537" s="1928"/>
      <c r="R537" s="1928"/>
      <c r="S537" s="1928"/>
      <c r="T537" s="1928"/>
      <c r="U537" s="1928"/>
      <c r="V537" s="1928"/>
      <c r="W537" s="1928"/>
      <c r="X537" s="1928"/>
      <c r="Y537" s="1928"/>
      <c r="Z537" s="1928"/>
      <c r="AA537" s="1928"/>
      <c r="AB537" s="1928"/>
      <c r="AC537" s="1928"/>
      <c r="AD537" s="1928"/>
      <c r="AE537" s="1928"/>
      <c r="AF537" s="1928"/>
      <c r="AG537" s="1928"/>
      <c r="AH537" s="1928"/>
      <c r="AI537" s="1928"/>
      <c r="AJ537" s="1928"/>
      <c r="AK537" s="1928"/>
      <c r="AL537" s="847"/>
      <c r="AM537" s="629"/>
      <c r="AN537" s="631"/>
    </row>
    <row r="538" spans="1:49" s="584" customFormat="1" ht="12.75" customHeight="1">
      <c r="B538" s="840"/>
      <c r="C538" s="840"/>
      <c r="D538" s="840"/>
      <c r="E538" s="840"/>
      <c r="F538" s="1930"/>
      <c r="G538" s="1931"/>
      <c r="H538" s="1931"/>
      <c r="I538" s="1931"/>
      <c r="J538" s="1931"/>
      <c r="K538" s="1931"/>
      <c r="L538" s="1931"/>
      <c r="M538" s="1931"/>
      <c r="N538" s="1931"/>
      <c r="O538" s="1931"/>
      <c r="P538" s="1931"/>
      <c r="Q538" s="1931"/>
      <c r="R538" s="1931"/>
      <c r="S538" s="1931"/>
      <c r="T538" s="1931"/>
      <c r="U538" s="1931"/>
      <c r="V538" s="1931"/>
      <c r="W538" s="1931"/>
      <c r="X538" s="1931"/>
      <c r="Y538" s="1931"/>
      <c r="Z538" s="1931"/>
      <c r="AA538" s="1931"/>
      <c r="AB538" s="1931"/>
      <c r="AC538" s="1931"/>
      <c r="AD538" s="1931"/>
      <c r="AE538" s="1931"/>
      <c r="AF538" s="1931"/>
      <c r="AG538" s="1931"/>
      <c r="AH538" s="1931"/>
      <c r="AI538" s="1931"/>
      <c r="AJ538" s="1931"/>
      <c r="AK538" s="1931"/>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22">
        <f>Application!AJ991</f>
        <v>51233160</v>
      </c>
      <c r="AQ539" s="1922"/>
      <c r="AR539" s="1922"/>
      <c r="AS539" s="584" t="s">
        <v>2527</v>
      </c>
    </row>
    <row r="540" spans="1:49" s="584" customFormat="1" ht="12.75" customHeight="1">
      <c r="A540" s="532"/>
      <c r="B540" s="481" t="s">
        <v>1672</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32">
        <f>'Sources and Uses Budget'!S107+'Sources and Uses Budget'!T107</f>
        <v>57643208</v>
      </c>
      <c r="AG540" s="1932"/>
      <c r="AH540" s="1932"/>
      <c r="AI540" s="1932"/>
      <c r="AJ540" s="1932"/>
      <c r="AK540" s="629"/>
      <c r="AL540" s="629"/>
      <c r="AM540" s="629"/>
      <c r="AN540" s="631"/>
    </row>
    <row r="541" spans="1:49" s="584" customFormat="1" ht="12.75" customHeight="1">
      <c r="A541" s="659"/>
      <c r="B541" s="659" t="s">
        <v>1673</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33">
        <f>IFERROR(AP548,0)</f>
        <v>113264174</v>
      </c>
      <c r="AG541" s="1933"/>
      <c r="AH541" s="1933"/>
      <c r="AI541" s="1933"/>
      <c r="AJ541" s="1933"/>
      <c r="AK541" s="629"/>
      <c r="AL541" s="629"/>
      <c r="AM541" s="629"/>
      <c r="AN541" s="631"/>
      <c r="AP541" s="1922">
        <f>Application!AJ1044</f>
        <v>0</v>
      </c>
      <c r="AQ541" s="1922"/>
      <c r="AR541" s="1922"/>
      <c r="AS541" s="584" t="s">
        <v>2051</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34">
        <f>IFERROR(ROUNDDOWN(IF(C533="YES",((1-(AF540/AF541))*2),(1-(AF540/AF541))),2),0)</f>
        <v>0.49</v>
      </c>
      <c r="AG542" s="1934"/>
      <c r="AH542" s="1934"/>
      <c r="AI542" s="1934"/>
      <c r="AJ542" s="1934"/>
      <c r="AK542" s="629"/>
      <c r="AL542" s="629"/>
      <c r="AM542" s="629"/>
      <c r="AN542" s="631"/>
      <c r="AP542" s="1923">
        <f>Application!AJ1048</f>
        <v>46109844</v>
      </c>
      <c r="AQ542" s="1923"/>
      <c r="AR542" s="1923"/>
      <c r="AS542" s="584" t="s">
        <v>2528</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42">
        <f>IF(((AP541+AP542)/AP539)&gt;0.8,0.8,((AP541+AP542)/AP539))</f>
        <v>0.8</v>
      </c>
      <c r="AQ543" s="1942"/>
      <c r="AR543" s="1942"/>
      <c r="AS543" s="584" t="s">
        <v>2529</v>
      </c>
    </row>
    <row r="544" spans="1:49" s="584" customFormat="1" ht="12.75" customHeight="1">
      <c r="A544" s="658"/>
      <c r="B544" s="1988" t="s">
        <v>2341</v>
      </c>
      <c r="C544" s="1989"/>
      <c r="D544" s="1989"/>
      <c r="E544" s="1989"/>
      <c r="F544" s="1989"/>
      <c r="G544" s="1989"/>
      <c r="H544" s="1989"/>
      <c r="I544" s="1989"/>
      <c r="J544" s="1989"/>
      <c r="K544" s="1989"/>
      <c r="L544" s="1989"/>
      <c r="M544" s="1989"/>
      <c r="N544" s="1989"/>
      <c r="O544" s="1989"/>
      <c r="P544" s="1989"/>
      <c r="Q544" s="1989"/>
      <c r="R544" s="1989"/>
      <c r="S544" s="1989"/>
      <c r="T544" s="1989"/>
      <c r="U544" s="1989"/>
      <c r="V544" s="1989"/>
      <c r="W544" s="1989"/>
      <c r="X544" s="1989"/>
      <c r="Y544" s="1989"/>
      <c r="Z544" s="1989"/>
      <c r="AA544" s="1989"/>
      <c r="AB544" s="1989"/>
      <c r="AC544" s="1989"/>
      <c r="AD544" s="1989"/>
      <c r="AE544" s="1989"/>
      <c r="AF544" s="1989"/>
      <c r="AG544" s="1989"/>
      <c r="AH544" s="1989"/>
      <c r="AI544" s="1989"/>
      <c r="AJ544" s="1990"/>
      <c r="AK544" s="629"/>
      <c r="AL544" s="629"/>
      <c r="AM544" s="629"/>
      <c r="AN544" s="631"/>
    </row>
    <row r="545" spans="1:45" s="584" customFormat="1" ht="12.75" customHeight="1">
      <c r="A545" s="658"/>
      <c r="B545" s="1991"/>
      <c r="C545" s="1992"/>
      <c r="D545" s="1992"/>
      <c r="E545" s="1992"/>
      <c r="F545" s="1992"/>
      <c r="G545" s="1992"/>
      <c r="H545" s="1992"/>
      <c r="I545" s="1992"/>
      <c r="J545" s="1992"/>
      <c r="K545" s="1992"/>
      <c r="L545" s="1992"/>
      <c r="M545" s="1992"/>
      <c r="N545" s="1992"/>
      <c r="O545" s="1992"/>
      <c r="P545" s="1992"/>
      <c r="Q545" s="1992"/>
      <c r="R545" s="1992"/>
      <c r="S545" s="1992"/>
      <c r="T545" s="1992"/>
      <c r="U545" s="1992"/>
      <c r="V545" s="1992"/>
      <c r="W545" s="1992"/>
      <c r="X545" s="1992"/>
      <c r="Y545" s="1992"/>
      <c r="Z545" s="1992"/>
      <c r="AA545" s="1992"/>
      <c r="AB545" s="1992"/>
      <c r="AC545" s="1992"/>
      <c r="AD545" s="1992"/>
      <c r="AE545" s="1992"/>
      <c r="AF545" s="1992"/>
      <c r="AG545" s="1992"/>
      <c r="AH545" s="1992"/>
      <c r="AI545" s="1992"/>
      <c r="AJ545" s="1993"/>
      <c r="AK545" s="629"/>
      <c r="AL545" s="629"/>
      <c r="AM545" s="629"/>
      <c r="AN545" s="631"/>
      <c r="AP545" s="1922">
        <f>AP546-AP541-AP542</f>
        <v>72277646</v>
      </c>
      <c r="AQ545" s="1943"/>
      <c r="AR545" s="1943"/>
      <c r="AS545" s="584" t="s">
        <v>2531</v>
      </c>
    </row>
    <row r="546" spans="1:45" s="584" customFormat="1" ht="12.75" customHeight="1">
      <c r="A546" s="658"/>
      <c r="B546" s="1994"/>
      <c r="C546" s="1995"/>
      <c r="D546" s="1995"/>
      <c r="E546" s="1995"/>
      <c r="F546" s="1995"/>
      <c r="G546" s="1995"/>
      <c r="H546" s="1995"/>
      <c r="I546" s="1995"/>
      <c r="J546" s="1995"/>
      <c r="K546" s="1995"/>
      <c r="L546" s="1995"/>
      <c r="M546" s="1995"/>
      <c r="N546" s="1995"/>
      <c r="O546" s="1995"/>
      <c r="P546" s="1995"/>
      <c r="Q546" s="1995"/>
      <c r="R546" s="1995"/>
      <c r="S546" s="1995"/>
      <c r="T546" s="1995"/>
      <c r="U546" s="1995"/>
      <c r="V546" s="1995"/>
      <c r="W546" s="1995"/>
      <c r="X546" s="1995"/>
      <c r="Y546" s="1995"/>
      <c r="Z546" s="1995"/>
      <c r="AA546" s="1995"/>
      <c r="AB546" s="1995"/>
      <c r="AC546" s="1995"/>
      <c r="AD546" s="1995"/>
      <c r="AE546" s="1995"/>
      <c r="AF546" s="1995"/>
      <c r="AG546" s="1995"/>
      <c r="AH546" s="1995"/>
      <c r="AI546" s="1995"/>
      <c r="AJ546" s="1996"/>
      <c r="AK546" s="629"/>
      <c r="AL546" s="629"/>
      <c r="AM546" s="629"/>
      <c r="AN546" s="631"/>
      <c r="AP546" s="1922">
        <f>Application!AJ1052</f>
        <v>118387490</v>
      </c>
      <c r="AQ546" s="1922"/>
      <c r="AR546" s="1922"/>
      <c r="AS546" s="584" t="s">
        <v>2530</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1674</v>
      </c>
      <c r="AK548" s="1997">
        <f>IFERROR(IF(AND(C530="N/A",C533="N/A"),0,IF(AF542=0,0,IF((AF542*100)&gt;12,12,(AF542*100)))),0)</f>
        <v>12</v>
      </c>
      <c r="AL548" s="1997"/>
      <c r="AM548" s="1998"/>
      <c r="AN548" s="631"/>
      <c r="AP548" s="1911">
        <f>AP545+(AP539*AP543)</f>
        <v>113264174</v>
      </c>
      <c r="AQ548" s="1912"/>
      <c r="AR548" s="1913"/>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2331</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41" t="s">
        <v>1420</v>
      </c>
      <c r="AF551" s="1941"/>
      <c r="AG551" s="1941"/>
      <c r="AH551" s="1941"/>
      <c r="AI551" s="1941"/>
      <c r="AJ551" s="1941"/>
      <c r="AK551" s="1941"/>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28" t="s">
        <v>2332</v>
      </c>
      <c r="C553" s="1928"/>
      <c r="D553" s="1928"/>
      <c r="E553" s="1928"/>
      <c r="F553" s="1928"/>
      <c r="G553" s="1928"/>
      <c r="H553" s="1928"/>
      <c r="I553" s="1928"/>
      <c r="J553" s="1928"/>
      <c r="K553" s="1928"/>
      <c r="L553" s="1928"/>
      <c r="M553" s="1928"/>
      <c r="N553" s="1928"/>
      <c r="O553" s="1928"/>
      <c r="P553" s="1928"/>
      <c r="Q553" s="1928"/>
      <c r="R553" s="1928"/>
      <c r="S553" s="1928"/>
      <c r="T553" s="1928"/>
      <c r="U553" s="1928"/>
      <c r="V553" s="1928"/>
      <c r="W553" s="1928"/>
      <c r="X553" s="1928"/>
      <c r="Y553" s="1928"/>
      <c r="Z553" s="1928"/>
      <c r="AA553" s="1928"/>
      <c r="AB553" s="1928"/>
      <c r="AC553" s="1928"/>
      <c r="AD553" s="1928"/>
      <c r="AE553" s="1928"/>
      <c r="AF553" s="1928"/>
      <c r="AG553" s="1928"/>
      <c r="AH553" s="1928"/>
      <c r="AI553" s="1928"/>
      <c r="AJ553" s="1928"/>
      <c r="AK553" s="676"/>
      <c r="AL553" s="607"/>
      <c r="AM553" s="637"/>
      <c r="AN553" s="631"/>
    </row>
    <row r="554" spans="1:45" s="584" customFormat="1" ht="12.75" customHeight="1">
      <c r="A554" s="637"/>
      <c r="B554" s="1928"/>
      <c r="C554" s="1928"/>
      <c r="D554" s="1928"/>
      <c r="E554" s="1928"/>
      <c r="F554" s="1928"/>
      <c r="G554" s="1928"/>
      <c r="H554" s="1928"/>
      <c r="I554" s="1928"/>
      <c r="J554" s="1928"/>
      <c r="K554" s="1928"/>
      <c r="L554" s="1928"/>
      <c r="M554" s="1928"/>
      <c r="N554" s="1928"/>
      <c r="O554" s="1928"/>
      <c r="P554" s="1928"/>
      <c r="Q554" s="1928"/>
      <c r="R554" s="1928"/>
      <c r="S554" s="1928"/>
      <c r="T554" s="1928"/>
      <c r="U554" s="1928"/>
      <c r="V554" s="1928"/>
      <c r="W554" s="1928"/>
      <c r="X554" s="1928"/>
      <c r="Y554" s="1928"/>
      <c r="Z554" s="1928"/>
      <c r="AA554" s="1928"/>
      <c r="AB554" s="1928"/>
      <c r="AC554" s="1928"/>
      <c r="AD554" s="1928"/>
      <c r="AE554" s="1928"/>
      <c r="AF554" s="1928"/>
      <c r="AG554" s="1928"/>
      <c r="AH554" s="1928"/>
      <c r="AI554" s="1928"/>
      <c r="AJ554" s="1928"/>
      <c r="AK554" s="676"/>
      <c r="AL554" s="607"/>
      <c r="AM554" s="637"/>
      <c r="AN554" s="631"/>
    </row>
    <row r="555" spans="1:45" s="584" customFormat="1" ht="12.75" customHeight="1">
      <c r="A555" s="637"/>
      <c r="B555" s="1928"/>
      <c r="C555" s="1928"/>
      <c r="D555" s="1928"/>
      <c r="E555" s="1928"/>
      <c r="F555" s="1928"/>
      <c r="G555" s="1928"/>
      <c r="H555" s="1928"/>
      <c r="I555" s="1928"/>
      <c r="J555" s="1928"/>
      <c r="K555" s="1928"/>
      <c r="L555" s="1928"/>
      <c r="M555" s="1928"/>
      <c r="N555" s="1928"/>
      <c r="O555" s="1928"/>
      <c r="P555" s="1928"/>
      <c r="Q555" s="1928"/>
      <c r="R555" s="1928"/>
      <c r="S555" s="1928"/>
      <c r="T555" s="1928"/>
      <c r="U555" s="1928"/>
      <c r="V555" s="1928"/>
      <c r="W555" s="1928"/>
      <c r="X555" s="1928"/>
      <c r="Y555" s="1928"/>
      <c r="Z555" s="1928"/>
      <c r="AA555" s="1928"/>
      <c r="AB555" s="1928"/>
      <c r="AC555" s="1928"/>
      <c r="AD555" s="1928"/>
      <c r="AE555" s="1928"/>
      <c r="AF555" s="1928"/>
      <c r="AG555" s="1928"/>
      <c r="AH555" s="1928"/>
      <c r="AI555" s="1928"/>
      <c r="AJ555" s="1928"/>
      <c r="AK555" s="676"/>
      <c r="AL555" s="607"/>
      <c r="AM555" s="637"/>
      <c r="AN555" s="631"/>
    </row>
    <row r="556" spans="1:45" s="584" customFormat="1" ht="12.75" customHeight="1">
      <c r="A556" s="637"/>
      <c r="B556" s="1928"/>
      <c r="C556" s="1928"/>
      <c r="D556" s="1928"/>
      <c r="E556" s="1928"/>
      <c r="F556" s="1928"/>
      <c r="G556" s="1928"/>
      <c r="H556" s="1928"/>
      <c r="I556" s="1928"/>
      <c r="J556" s="1928"/>
      <c r="K556" s="1928"/>
      <c r="L556" s="1928"/>
      <c r="M556" s="1928"/>
      <c r="N556" s="1928"/>
      <c r="O556" s="1928"/>
      <c r="P556" s="1928"/>
      <c r="Q556" s="1928"/>
      <c r="R556" s="1928"/>
      <c r="S556" s="1928"/>
      <c r="T556" s="1928"/>
      <c r="U556" s="1928"/>
      <c r="V556" s="1928"/>
      <c r="W556" s="1928"/>
      <c r="X556" s="1928"/>
      <c r="Y556" s="1928"/>
      <c r="Z556" s="1928"/>
      <c r="AA556" s="1928"/>
      <c r="AB556" s="1928"/>
      <c r="AC556" s="1928"/>
      <c r="AD556" s="1928"/>
      <c r="AE556" s="1928"/>
      <c r="AF556" s="1928"/>
      <c r="AG556" s="1928"/>
      <c r="AH556" s="1928"/>
      <c r="AI556" s="1928"/>
      <c r="AJ556" s="1928"/>
      <c r="AK556" s="676"/>
      <c r="AL556" s="607"/>
      <c r="AM556" s="637"/>
      <c r="AN556" s="631"/>
    </row>
    <row r="557" spans="1:45" s="584" customFormat="1" ht="12.75" customHeight="1">
      <c r="A557" s="637"/>
      <c r="B557" s="1928"/>
      <c r="C557" s="1928"/>
      <c r="D557" s="1928"/>
      <c r="E557" s="1928"/>
      <c r="F557" s="1928"/>
      <c r="G557" s="1928"/>
      <c r="H557" s="1928"/>
      <c r="I557" s="1928"/>
      <c r="J557" s="1928"/>
      <c r="K557" s="1928"/>
      <c r="L557" s="1928"/>
      <c r="M557" s="1928"/>
      <c r="N557" s="1928"/>
      <c r="O557" s="1928"/>
      <c r="P557" s="1928"/>
      <c r="Q557" s="1928"/>
      <c r="R557" s="1928"/>
      <c r="S557" s="1928"/>
      <c r="T557" s="1928"/>
      <c r="U557" s="1928"/>
      <c r="V557" s="1928"/>
      <c r="W557" s="1928"/>
      <c r="X557" s="1928"/>
      <c r="Y557" s="1928"/>
      <c r="Z557" s="1928"/>
      <c r="AA557" s="1928"/>
      <c r="AB557" s="1928"/>
      <c r="AC557" s="1928"/>
      <c r="AD557" s="1928"/>
      <c r="AE557" s="1928"/>
      <c r="AF557" s="1928"/>
      <c r="AG557" s="1928"/>
      <c r="AH557" s="1928"/>
      <c r="AI557" s="1928"/>
      <c r="AJ557" s="1928"/>
      <c r="AK557" s="676"/>
      <c r="AL557" s="607"/>
      <c r="AM557" s="637"/>
      <c r="AN557" s="631"/>
    </row>
    <row r="558" spans="1:45" s="584" customFormat="1" ht="12.75" customHeight="1">
      <c r="A558" s="637"/>
      <c r="B558" s="1928"/>
      <c r="C558" s="1928"/>
      <c r="D558" s="1928"/>
      <c r="E558" s="1928"/>
      <c r="F558" s="1928"/>
      <c r="G558" s="1928"/>
      <c r="H558" s="1928"/>
      <c r="I558" s="1928"/>
      <c r="J558" s="1928"/>
      <c r="K558" s="1928"/>
      <c r="L558" s="1928"/>
      <c r="M558" s="1928"/>
      <c r="N558" s="1928"/>
      <c r="O558" s="1928"/>
      <c r="P558" s="1928"/>
      <c r="Q558" s="1928"/>
      <c r="R558" s="1928"/>
      <c r="S558" s="1928"/>
      <c r="T558" s="1928"/>
      <c r="U558" s="1928"/>
      <c r="V558" s="1928"/>
      <c r="W558" s="1928"/>
      <c r="X558" s="1928"/>
      <c r="Y558" s="1928"/>
      <c r="Z558" s="1928"/>
      <c r="AA558" s="1928"/>
      <c r="AB558" s="1928"/>
      <c r="AC558" s="1928"/>
      <c r="AD558" s="1928"/>
      <c r="AE558" s="1928"/>
      <c r="AF558" s="1928"/>
      <c r="AG558" s="1928"/>
      <c r="AH558" s="1928"/>
      <c r="AI558" s="1928"/>
      <c r="AJ558" s="1928"/>
      <c r="AK558" s="676"/>
      <c r="AL558" s="607"/>
      <c r="AM558" s="637"/>
      <c r="AN558" s="631"/>
    </row>
    <row r="559" spans="1:45" s="584" customFormat="1" ht="12.75" customHeight="1">
      <c r="A559" s="637"/>
      <c r="B559" s="1928"/>
      <c r="C559" s="1928"/>
      <c r="D559" s="1928"/>
      <c r="E559" s="1928"/>
      <c r="F559" s="1928"/>
      <c r="G559" s="1928"/>
      <c r="H559" s="1928"/>
      <c r="I559" s="1928"/>
      <c r="J559" s="1928"/>
      <c r="K559" s="1928"/>
      <c r="L559" s="1928"/>
      <c r="M559" s="1928"/>
      <c r="N559" s="1928"/>
      <c r="O559" s="1928"/>
      <c r="P559" s="1928"/>
      <c r="Q559" s="1928"/>
      <c r="R559" s="1928"/>
      <c r="S559" s="1928"/>
      <c r="T559" s="1928"/>
      <c r="U559" s="1928"/>
      <c r="V559" s="1928"/>
      <c r="W559" s="1928"/>
      <c r="X559" s="1928"/>
      <c r="Y559" s="1928"/>
      <c r="Z559" s="1928"/>
      <c r="AA559" s="1928"/>
      <c r="AB559" s="1928"/>
      <c r="AC559" s="1928"/>
      <c r="AD559" s="1928"/>
      <c r="AE559" s="1928"/>
      <c r="AF559" s="1928"/>
      <c r="AG559" s="1928"/>
      <c r="AH559" s="1928"/>
      <c r="AI559" s="1928"/>
      <c r="AJ559" s="1928"/>
      <c r="AK559" s="676"/>
      <c r="AL559" s="607"/>
      <c r="AM559" s="637"/>
      <c r="AN559" s="631"/>
    </row>
    <row r="560" spans="1:45" ht="12.75" customHeight="1">
      <c r="A560" s="637"/>
      <c r="B560" s="1928"/>
      <c r="C560" s="1928"/>
      <c r="D560" s="1928"/>
      <c r="E560" s="1928"/>
      <c r="F560" s="1928"/>
      <c r="G560" s="1928"/>
      <c r="H560" s="1928"/>
      <c r="I560" s="1928"/>
      <c r="J560" s="1928"/>
      <c r="K560" s="1928"/>
      <c r="L560" s="1928"/>
      <c r="M560" s="1928"/>
      <c r="N560" s="1928"/>
      <c r="O560" s="1928"/>
      <c r="P560" s="1928"/>
      <c r="Q560" s="1928"/>
      <c r="R560" s="1928"/>
      <c r="S560" s="1928"/>
      <c r="T560" s="1928"/>
      <c r="U560" s="1928"/>
      <c r="V560" s="1928"/>
      <c r="W560" s="1928"/>
      <c r="X560" s="1928"/>
      <c r="Y560" s="1928"/>
      <c r="Z560" s="1928"/>
      <c r="AA560" s="1928"/>
      <c r="AB560" s="1928"/>
      <c r="AC560" s="1928"/>
      <c r="AD560" s="1928"/>
      <c r="AE560" s="1928"/>
      <c r="AF560" s="1928"/>
      <c r="AG560" s="1928"/>
      <c r="AH560" s="1928"/>
      <c r="AI560" s="1928"/>
      <c r="AJ560" s="1928"/>
      <c r="AK560" s="676"/>
      <c r="AL560" s="607"/>
      <c r="AM560" s="637"/>
    </row>
    <row r="561" spans="1:42" s="584" customFormat="1" ht="12.75" customHeight="1">
      <c r="B561" s="1928"/>
      <c r="C561" s="1928"/>
      <c r="D561" s="1928"/>
      <c r="E561" s="1928"/>
      <c r="F561" s="1928"/>
      <c r="G561" s="1928"/>
      <c r="H561" s="1928"/>
      <c r="I561" s="1928"/>
      <c r="J561" s="1928"/>
      <c r="K561" s="1928"/>
      <c r="L561" s="1928"/>
      <c r="M561" s="1928"/>
      <c r="N561" s="1928"/>
      <c r="O561" s="1928"/>
      <c r="P561" s="1928"/>
      <c r="Q561" s="1928"/>
      <c r="R561" s="1928"/>
      <c r="S561" s="1928"/>
      <c r="T561" s="1928"/>
      <c r="U561" s="1928"/>
      <c r="V561" s="1928"/>
      <c r="W561" s="1928"/>
      <c r="X561" s="1928"/>
      <c r="Y561" s="1928"/>
      <c r="Z561" s="1928"/>
      <c r="AA561" s="1928"/>
      <c r="AB561" s="1928"/>
      <c r="AC561" s="1928"/>
      <c r="AD561" s="1928"/>
      <c r="AE561" s="1928"/>
      <c r="AF561" s="1928"/>
      <c r="AG561" s="1928"/>
      <c r="AH561" s="1928"/>
      <c r="AI561" s="1928"/>
      <c r="AJ561" s="1928"/>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1500</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598</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552</v>
      </c>
    </row>
    <row r="565" spans="1:42" s="584" customFormat="1" ht="12.75" customHeight="1">
      <c r="C565" s="573" t="s">
        <v>1501</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695</v>
      </c>
      <c r="E567" s="872" t="s">
        <v>1883</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2008" t="s">
        <v>1444</v>
      </c>
      <c r="AG567" s="2008"/>
      <c r="AH567" s="2008"/>
      <c r="AI567" s="2008"/>
      <c r="AJ567" s="2008"/>
      <c r="AK567" s="2008"/>
      <c r="AL567" s="2008"/>
      <c r="AN567" s="631"/>
    </row>
    <row r="568" spans="1:42" s="584" customFormat="1" ht="12.75" customHeight="1">
      <c r="B568" s="570"/>
      <c r="C568" s="650"/>
      <c r="D568" s="697"/>
      <c r="E568" s="872" t="s">
        <v>1884</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1885</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1886</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1887</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2532</v>
      </c>
      <c r="AP571" s="584" t="b">
        <f>IF(Application!AF418&gt;=25,TRUE,FALSE)</f>
        <v>1</v>
      </c>
    </row>
    <row r="572" spans="1:42" s="584" customFormat="1" ht="12.75" customHeight="1">
      <c r="B572" s="570"/>
      <c r="C572" s="650"/>
      <c r="D572" s="697"/>
      <c r="E572" s="872" t="s">
        <v>1888</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2533</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516</v>
      </c>
      <c r="E574" s="872" t="s">
        <v>1889</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2008" t="s">
        <v>1502</v>
      </c>
      <c r="AG574" s="2008"/>
      <c r="AH574" s="2008"/>
      <c r="AI574" s="2008"/>
      <c r="AJ574" s="2008"/>
      <c r="AK574" s="2008"/>
      <c r="AL574" s="2008"/>
      <c r="AN574" s="631"/>
    </row>
    <row r="575" spans="1:42" s="584" customFormat="1" ht="12.75" customHeight="1">
      <c r="B575" s="570"/>
      <c r="C575" s="968"/>
      <c r="D575" s="697"/>
      <c r="E575" s="872" t="s">
        <v>1890</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598</v>
      </c>
      <c r="AP575" s="707">
        <v>0</v>
      </c>
    </row>
    <row r="576" spans="1:42" s="584" customFormat="1" ht="12.75" customHeight="1">
      <c r="B576" s="644"/>
      <c r="C576" s="966"/>
      <c r="D576" s="697"/>
      <c r="E576" s="872" t="s">
        <v>1891</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695</v>
      </c>
      <c r="AP576" s="584">
        <f>7*AP571</f>
        <v>7</v>
      </c>
    </row>
    <row r="577" spans="1:53" s="584" customFormat="1" ht="12.75" customHeight="1">
      <c r="B577" s="644"/>
      <c r="C577" s="966"/>
      <c r="D577" s="697"/>
      <c r="E577" s="872" t="s">
        <v>1893</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516</v>
      </c>
      <c r="AP577" s="584">
        <v>6</v>
      </c>
    </row>
    <row r="578" spans="1:53" s="584" customFormat="1" ht="12.75" customHeight="1">
      <c r="B578" s="644"/>
      <c r="C578" s="966"/>
      <c r="D578" s="697"/>
      <c r="E578" s="872" t="s">
        <v>1892</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278</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1503</v>
      </c>
      <c r="AP579" s="584">
        <v>4</v>
      </c>
    </row>
    <row r="580" spans="1:53" s="584" customFormat="1" ht="12.75" customHeight="1">
      <c r="B580" s="570"/>
      <c r="C580" s="966"/>
      <c r="D580" s="697" t="s">
        <v>278</v>
      </c>
      <c r="E580" s="872" t="s">
        <v>1894</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2008" t="s">
        <v>1484</v>
      </c>
      <c r="AG580" s="2008"/>
      <c r="AH580" s="2008"/>
      <c r="AI580" s="2008"/>
      <c r="AJ580" s="2008"/>
      <c r="AK580" s="2008"/>
      <c r="AL580" s="2008"/>
      <c r="AN580" s="631"/>
      <c r="AO580" s="645" t="s">
        <v>1504</v>
      </c>
      <c r="AP580" s="584">
        <v>3</v>
      </c>
    </row>
    <row r="581" spans="1:53" s="584" customFormat="1" ht="12.75" customHeight="1">
      <c r="B581" s="570"/>
      <c r="C581" s="968"/>
      <c r="D581" s="697"/>
      <c r="E581" s="872" t="s">
        <v>1890</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1891</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2535</v>
      </c>
    </row>
    <row r="583" spans="1:53" s="584" customFormat="1" ht="12.75" customHeight="1">
      <c r="B583" s="570"/>
      <c r="C583" s="968"/>
      <c r="D583" s="697"/>
      <c r="E583" s="872" t="s">
        <v>1893</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2536</v>
      </c>
    </row>
    <row r="584" spans="1:53" s="584" customFormat="1" ht="12.75" customHeight="1">
      <c r="B584" s="570"/>
      <c r="C584" s="968"/>
      <c r="D584" s="697"/>
      <c r="E584" s="872" t="s">
        <v>1892</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2537</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1503</v>
      </c>
      <c r="E586" s="872" t="s">
        <v>1895</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2008" t="s">
        <v>1505</v>
      </c>
      <c r="AG586" s="2008"/>
      <c r="AH586" s="2008"/>
      <c r="AI586" s="2008"/>
      <c r="AJ586" s="2008"/>
      <c r="AK586" s="2008"/>
      <c r="AL586" s="2008"/>
      <c r="AN586" s="631"/>
      <c r="AO586" s="584" t="str">
        <f>X623</f>
        <v>N/A</v>
      </c>
    </row>
    <row r="587" spans="1:53" s="584" customFormat="1" ht="12.75" customHeight="1">
      <c r="B587" s="570"/>
      <c r="C587" s="968"/>
      <c r="D587" s="697"/>
      <c r="E587" s="872" t="s">
        <v>1896</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1897</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2538</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2539</v>
      </c>
    </row>
    <row r="590" spans="1:53" s="584" customFormat="1" ht="12.75" customHeight="1">
      <c r="B590" s="644"/>
      <c r="C590" s="966"/>
      <c r="D590" s="697"/>
      <c r="E590" s="570" t="s">
        <v>2052</v>
      </c>
      <c r="O590" s="2047" t="s">
        <v>1287</v>
      </c>
      <c r="P590" s="2047"/>
      <c r="Q590" s="2047"/>
      <c r="R590" s="2047"/>
      <c r="S590" s="2047"/>
      <c r="T590" s="2047"/>
      <c r="U590" s="2047"/>
      <c r="V590" s="2047"/>
      <c r="W590" s="2047"/>
      <c r="X590" s="2047"/>
      <c r="Y590" s="2047"/>
      <c r="Z590" s="2047"/>
      <c r="AA590" s="2047"/>
      <c r="AB590" s="2047"/>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1504</v>
      </c>
      <c r="E592" s="872" t="s">
        <v>1899</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2008" t="s">
        <v>1458</v>
      </c>
      <c r="AG592" s="2008"/>
      <c r="AH592" s="2008"/>
      <c r="AI592" s="2008"/>
      <c r="AJ592" s="2008"/>
      <c r="AK592" s="2008"/>
      <c r="AL592" s="2008"/>
      <c r="AN592" s="631"/>
    </row>
    <row r="593" spans="2:47" s="584" customFormat="1" ht="12.75" customHeight="1">
      <c r="B593" s="570"/>
      <c r="C593" s="966"/>
      <c r="D593" s="697"/>
      <c r="E593" s="872" t="s">
        <v>1898</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598</v>
      </c>
      <c r="AP594" s="707">
        <v>0</v>
      </c>
      <c r="AT594" s="584" t="s">
        <v>598</v>
      </c>
      <c r="AU594" s="707">
        <v>0</v>
      </c>
    </row>
    <row r="595" spans="2:47" s="584" customFormat="1" ht="12.75" customHeight="1">
      <c r="B595" s="570"/>
      <c r="C595" s="968"/>
      <c r="D595" s="570" t="s">
        <v>1506</v>
      </c>
      <c r="E595" s="971"/>
      <c r="F595" s="971"/>
      <c r="G595" s="971"/>
      <c r="H595" s="1952" t="s">
        <v>695</v>
      </c>
      <c r="I595" s="1952"/>
      <c r="J595" s="971"/>
      <c r="K595" s="971"/>
      <c r="L595" s="971"/>
      <c r="N595" s="22"/>
      <c r="O595" s="22"/>
      <c r="P595" s="22"/>
      <c r="Q595" s="1195" t="s">
        <v>2534</v>
      </c>
      <c r="R595" s="2048"/>
      <c r="S595" s="2048"/>
      <c r="T595" s="2048"/>
      <c r="U595" s="2048"/>
      <c r="V595" s="2048"/>
      <c r="W595" s="2048"/>
      <c r="X595" s="570"/>
      <c r="Y595" s="570"/>
      <c r="Z595" s="570"/>
      <c r="AA595" s="570"/>
      <c r="AB595" s="570"/>
      <c r="AC595" s="570"/>
      <c r="AD595" s="570"/>
      <c r="AE595" s="570"/>
      <c r="AF595" s="570"/>
      <c r="AG595" s="570"/>
      <c r="AH595" s="570"/>
      <c r="AI595" s="570"/>
      <c r="AJ595" s="570"/>
      <c r="AK595" s="570"/>
      <c r="AL595" s="570"/>
      <c r="AN595" s="631"/>
      <c r="AO595" s="645" t="s">
        <v>695</v>
      </c>
      <c r="AP595" s="584">
        <v>3</v>
      </c>
      <c r="AT595" s="645" t="s">
        <v>695</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49" t="str">
        <f>IF(AND(H595="(i)",NOT(AP571)),AO588,IF(AND(H595="(iv)",OR(R595=AO584,R595=AO583),NOT(AP572)),AO589,""))</f>
        <v/>
      </c>
      <c r="Z596" s="2049"/>
      <c r="AA596" s="2049"/>
      <c r="AB596" s="2049"/>
      <c r="AC596" s="2049"/>
      <c r="AD596" s="2049"/>
      <c r="AE596" s="2049"/>
      <c r="AF596" s="2049"/>
      <c r="AG596" s="2049"/>
      <c r="AH596" s="2049"/>
      <c r="AI596" s="2049"/>
      <c r="AJ596" s="2049"/>
      <c r="AK596" s="2049"/>
      <c r="AL596" s="2049"/>
      <c r="AM596" s="2050"/>
      <c r="AN596" s="631"/>
      <c r="AO596" s="645" t="s">
        <v>516</v>
      </c>
      <c r="AP596" s="584">
        <v>2</v>
      </c>
      <c r="AT596" s="645" t="s">
        <v>516</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49"/>
      <c r="Z597" s="2049"/>
      <c r="AA597" s="2049"/>
      <c r="AB597" s="2049"/>
      <c r="AC597" s="2049"/>
      <c r="AD597" s="2049"/>
      <c r="AE597" s="2049"/>
      <c r="AF597" s="2049"/>
      <c r="AG597" s="2049"/>
      <c r="AH597" s="2049"/>
      <c r="AI597" s="2049"/>
      <c r="AJ597" s="2049"/>
      <c r="AK597" s="2049"/>
      <c r="AL597" s="2049"/>
      <c r="AM597" s="2050"/>
      <c r="AN597" s="631"/>
      <c r="AO597" s="645"/>
      <c r="AT597" s="645"/>
    </row>
    <row r="598" spans="2:47" s="584" customFormat="1" ht="12.75" customHeight="1">
      <c r="B598" s="570"/>
      <c r="C598" s="968"/>
      <c r="D598" s="570" t="s">
        <v>1900</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1901</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1902</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1903</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598</v>
      </c>
      <c r="AP602" s="707">
        <v>0</v>
      </c>
    </row>
    <row r="603" spans="2:47" s="584" customFormat="1" ht="12.75" customHeight="1">
      <c r="B603" s="570"/>
      <c r="C603" s="968"/>
      <c r="D603" s="570"/>
      <c r="E603" s="570" t="s">
        <v>1506</v>
      </c>
      <c r="F603" s="971"/>
      <c r="G603" s="971"/>
      <c r="I603" s="2046" t="s">
        <v>598</v>
      </c>
      <c r="J603" s="2046"/>
      <c r="K603" s="2046"/>
      <c r="L603" s="2046"/>
      <c r="M603" s="2046"/>
      <c r="N603" s="2046"/>
      <c r="O603" s="2046"/>
      <c r="P603" s="2046"/>
      <c r="Q603" s="2046"/>
      <c r="R603" s="2046"/>
      <c r="S603" s="2046"/>
      <c r="T603" s="2046"/>
      <c r="U603" s="2046"/>
      <c r="V603" s="2046"/>
      <c r="W603" s="2046"/>
      <c r="X603" s="2046"/>
      <c r="Y603" s="2046"/>
      <c r="Z603" s="2046"/>
      <c r="AA603" s="2046"/>
      <c r="AB603" s="2046"/>
      <c r="AC603" s="2046"/>
      <c r="AD603" s="2046"/>
      <c r="AE603" s="2046"/>
      <c r="AF603" s="570"/>
      <c r="AG603" s="570"/>
      <c r="AH603" s="570"/>
      <c r="AI603" s="570"/>
      <c r="AJ603" s="570"/>
      <c r="AK603" s="570"/>
      <c r="AL603" s="570"/>
      <c r="AN603" s="631"/>
      <c r="AO603" s="584" t="s">
        <v>1507</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1508</v>
      </c>
      <c r="AP604" s="584">
        <v>2</v>
      </c>
    </row>
    <row r="605" spans="2:47" s="584" customFormat="1" ht="12.75" customHeight="1">
      <c r="B605" s="2044" t="s">
        <v>598</v>
      </c>
      <c r="C605" s="2044"/>
      <c r="D605" s="676"/>
      <c r="E605" s="1928" t="s">
        <v>1509</v>
      </c>
      <c r="F605" s="1928"/>
      <c r="G605" s="1928"/>
      <c r="H605" s="1928"/>
      <c r="I605" s="1928"/>
      <c r="J605" s="1928"/>
      <c r="K605" s="1928"/>
      <c r="L605" s="1928"/>
      <c r="M605" s="1928"/>
      <c r="N605" s="1928"/>
      <c r="O605" s="1928"/>
      <c r="P605" s="1928"/>
      <c r="Q605" s="1928"/>
      <c r="R605" s="1928"/>
      <c r="S605" s="1928"/>
      <c r="T605" s="1928"/>
      <c r="U605" s="1928"/>
      <c r="V605" s="1928"/>
      <c r="W605" s="1928"/>
      <c r="X605" s="1928"/>
      <c r="Y605" s="1928"/>
      <c r="Z605" s="1928"/>
      <c r="AA605" s="1928"/>
      <c r="AB605" s="1928"/>
      <c r="AC605" s="1928"/>
      <c r="AD605" s="1928"/>
      <c r="AE605" s="1928"/>
      <c r="AF605" s="1928"/>
      <c r="AG605" s="1928"/>
      <c r="AH605" s="676"/>
      <c r="AI605" s="676"/>
      <c r="AJ605" s="676"/>
      <c r="AK605" s="676"/>
      <c r="AL605" s="676"/>
      <c r="AN605" s="631"/>
    </row>
    <row r="606" spans="2:47" s="584" customFormat="1" ht="12.75" customHeight="1">
      <c r="B606" s="570"/>
      <c r="C606" s="968"/>
      <c r="D606" s="676"/>
      <c r="E606" s="1928"/>
      <c r="F606" s="1928"/>
      <c r="G606" s="1928"/>
      <c r="H606" s="1928"/>
      <c r="I606" s="1928"/>
      <c r="J606" s="1928"/>
      <c r="K606" s="1928"/>
      <c r="L606" s="1928"/>
      <c r="M606" s="1928"/>
      <c r="N606" s="1928"/>
      <c r="O606" s="1928"/>
      <c r="P606" s="1928"/>
      <c r="Q606" s="1928"/>
      <c r="R606" s="1928"/>
      <c r="S606" s="1928"/>
      <c r="T606" s="1928"/>
      <c r="U606" s="1928"/>
      <c r="V606" s="1928"/>
      <c r="W606" s="1928"/>
      <c r="X606" s="1928"/>
      <c r="Y606" s="1928"/>
      <c r="Z606" s="1928"/>
      <c r="AA606" s="1928"/>
      <c r="AB606" s="1928"/>
      <c r="AC606" s="1928"/>
      <c r="AD606" s="1928"/>
      <c r="AE606" s="1928"/>
      <c r="AF606" s="1928"/>
      <c r="AG606" s="1928"/>
      <c r="AH606" s="676"/>
      <c r="AI606" s="676"/>
      <c r="AJ606" s="676"/>
      <c r="AK606" s="676"/>
      <c r="AL606" s="676"/>
      <c r="AN606" s="631"/>
    </row>
    <row r="607" spans="2:47" s="584" customFormat="1" ht="12.75" customHeight="1">
      <c r="B607" s="570"/>
      <c r="C607" s="968"/>
      <c r="D607" s="676"/>
      <c r="E607" s="1928"/>
      <c r="F607" s="1928"/>
      <c r="G607" s="1928"/>
      <c r="H607" s="1928"/>
      <c r="I607" s="1928"/>
      <c r="J607" s="1928"/>
      <c r="K607" s="1928"/>
      <c r="L607" s="1928"/>
      <c r="M607" s="1928"/>
      <c r="N607" s="1928"/>
      <c r="O607" s="1928"/>
      <c r="P607" s="1928"/>
      <c r="Q607" s="1928"/>
      <c r="R607" s="1928"/>
      <c r="S607" s="1928"/>
      <c r="T607" s="1928"/>
      <c r="U607" s="1928"/>
      <c r="V607" s="1928"/>
      <c r="W607" s="1928"/>
      <c r="X607" s="1928"/>
      <c r="Y607" s="1928"/>
      <c r="Z607" s="1928"/>
      <c r="AA607" s="1928"/>
      <c r="AB607" s="1928"/>
      <c r="AC607" s="1928"/>
      <c r="AD607" s="1928"/>
      <c r="AE607" s="1928"/>
      <c r="AF607" s="1928"/>
      <c r="AG607" s="1928"/>
      <c r="AH607" s="676"/>
      <c r="AI607" s="676"/>
      <c r="AJ607" s="676"/>
      <c r="AK607" s="676"/>
      <c r="AL607" s="676"/>
      <c r="AN607" s="631"/>
    </row>
    <row r="608" spans="2:47" s="584" customFormat="1" ht="12.75" customHeight="1">
      <c r="B608" s="570"/>
      <c r="C608" s="968"/>
      <c r="D608" s="676"/>
      <c r="E608" s="1928"/>
      <c r="F608" s="1928"/>
      <c r="G608" s="1928"/>
      <c r="H608" s="1928"/>
      <c r="I608" s="1928"/>
      <c r="J608" s="1928"/>
      <c r="K608" s="1928"/>
      <c r="L608" s="1928"/>
      <c r="M608" s="1928"/>
      <c r="N608" s="1928"/>
      <c r="O608" s="1928"/>
      <c r="P608" s="1928"/>
      <c r="Q608" s="1928"/>
      <c r="R608" s="1928"/>
      <c r="S608" s="1928"/>
      <c r="T608" s="1928"/>
      <c r="U608" s="1928"/>
      <c r="V608" s="1928"/>
      <c r="W608" s="1928"/>
      <c r="X608" s="1928"/>
      <c r="Y608" s="1928"/>
      <c r="Z608" s="1928"/>
      <c r="AA608" s="1928"/>
      <c r="AB608" s="1928"/>
      <c r="AC608" s="1928"/>
      <c r="AD608" s="1928"/>
      <c r="AE608" s="1928"/>
      <c r="AF608" s="1928"/>
      <c r="AG608" s="1928"/>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1510</v>
      </c>
      <c r="AJ610" s="1935">
        <f>VLOOKUP($H$595,$AO$575:$AP$580,2,FALSE)+IF(R595=AO583,0,VLOOKUP($I$603,$AO$602:$AP$604,2,FALSE))</f>
        <v>7</v>
      </c>
      <c r="AK610" s="1937"/>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1511</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695</v>
      </c>
      <c r="E614" s="2045" t="s">
        <v>1879</v>
      </c>
      <c r="F614" s="2045"/>
      <c r="G614" s="2045"/>
      <c r="H614" s="2045"/>
      <c r="I614" s="2045"/>
      <c r="J614" s="2045"/>
      <c r="K614" s="2045"/>
      <c r="L614" s="2045"/>
      <c r="M614" s="2045"/>
      <c r="N614" s="2045"/>
      <c r="O614" s="2045"/>
      <c r="P614" s="2045"/>
      <c r="Q614" s="2045"/>
      <c r="R614" s="2045"/>
      <c r="S614" s="2045"/>
      <c r="T614" s="2045"/>
      <c r="U614" s="2045"/>
      <c r="V614" s="2045"/>
      <c r="W614" s="2045"/>
      <c r="X614" s="2045"/>
      <c r="Y614" s="2045"/>
      <c r="Z614" s="2045"/>
      <c r="AA614" s="2045"/>
      <c r="AB614" s="2045"/>
      <c r="AC614" s="2045"/>
      <c r="AD614" s="2045"/>
      <c r="AE614" s="573"/>
      <c r="AF614" s="2008" t="s">
        <v>1458</v>
      </c>
      <c r="AG614" s="2008"/>
      <c r="AH614" s="2008"/>
      <c r="AI614" s="2008"/>
      <c r="AJ614" s="2008"/>
      <c r="AK614" s="2008"/>
      <c r="AL614" s="2008"/>
      <c r="AM614" s="584"/>
      <c r="AN614" s="712"/>
    </row>
    <row r="615" spans="1:42" s="584" customFormat="1" ht="12.75" customHeight="1">
      <c r="A615" s="713"/>
      <c r="B615" s="570"/>
      <c r="C615" s="968"/>
      <c r="D615" s="697"/>
      <c r="E615" s="2045"/>
      <c r="F615" s="2045"/>
      <c r="G615" s="2045"/>
      <c r="H615" s="2045"/>
      <c r="I615" s="2045"/>
      <c r="J615" s="2045"/>
      <c r="K615" s="2045"/>
      <c r="L615" s="2045"/>
      <c r="M615" s="2045"/>
      <c r="N615" s="2045"/>
      <c r="O615" s="2045"/>
      <c r="P615" s="2045"/>
      <c r="Q615" s="2045"/>
      <c r="R615" s="2045"/>
      <c r="S615" s="2045"/>
      <c r="T615" s="2045"/>
      <c r="U615" s="2045"/>
      <c r="V615" s="2045"/>
      <c r="W615" s="2045"/>
      <c r="X615" s="2045"/>
      <c r="Y615" s="2045"/>
      <c r="Z615" s="2045"/>
      <c r="AA615" s="2045"/>
      <c r="AB615" s="2045"/>
      <c r="AC615" s="2045"/>
      <c r="AD615" s="2045"/>
      <c r="AE615" s="570"/>
      <c r="AF615" s="570"/>
      <c r="AG615" s="570"/>
      <c r="AH615" s="570"/>
      <c r="AI615" s="570"/>
      <c r="AJ615" s="570"/>
      <c r="AK615" s="570"/>
      <c r="AL615" s="570"/>
      <c r="AN615" s="631"/>
    </row>
    <row r="616" spans="1:42" s="584" customFormat="1" ht="12.75" customHeight="1">
      <c r="B616" s="570"/>
      <c r="C616" s="966"/>
      <c r="D616" s="697"/>
      <c r="E616" s="2045"/>
      <c r="F616" s="2045"/>
      <c r="G616" s="2045"/>
      <c r="H616" s="2045"/>
      <c r="I616" s="2045"/>
      <c r="J616" s="2045"/>
      <c r="K616" s="2045"/>
      <c r="L616" s="2045"/>
      <c r="M616" s="2045"/>
      <c r="N616" s="2045"/>
      <c r="O616" s="2045"/>
      <c r="P616" s="2045"/>
      <c r="Q616" s="2045"/>
      <c r="R616" s="2045"/>
      <c r="S616" s="2045"/>
      <c r="T616" s="2045"/>
      <c r="U616" s="2045"/>
      <c r="V616" s="2045"/>
      <c r="W616" s="2045"/>
      <c r="X616" s="2045"/>
      <c r="Y616" s="2045"/>
      <c r="Z616" s="2045"/>
      <c r="AA616" s="2045"/>
      <c r="AB616" s="2045"/>
      <c r="AC616" s="2045"/>
      <c r="AD616" s="2045"/>
      <c r="AE616" s="570"/>
      <c r="AF616" s="570"/>
      <c r="AG616" s="570"/>
      <c r="AH616" s="570"/>
      <c r="AI616" s="570"/>
      <c r="AJ616" s="570"/>
      <c r="AK616" s="570"/>
      <c r="AL616" s="570"/>
      <c r="AN616" s="631"/>
    </row>
    <row r="617" spans="1:42" s="584" customFormat="1" ht="12.75" customHeight="1">
      <c r="B617" s="570"/>
      <c r="C617" s="966"/>
      <c r="D617" s="697"/>
      <c r="E617" s="2045"/>
      <c r="F617" s="2045"/>
      <c r="G617" s="2045"/>
      <c r="H617" s="2045"/>
      <c r="I617" s="2045"/>
      <c r="J617" s="2045"/>
      <c r="K617" s="2045"/>
      <c r="L617" s="2045"/>
      <c r="M617" s="2045"/>
      <c r="N617" s="2045"/>
      <c r="O617" s="2045"/>
      <c r="P617" s="2045"/>
      <c r="Q617" s="2045"/>
      <c r="R617" s="2045"/>
      <c r="S617" s="2045"/>
      <c r="T617" s="2045"/>
      <c r="U617" s="2045"/>
      <c r="V617" s="2045"/>
      <c r="W617" s="2045"/>
      <c r="X617" s="2045"/>
      <c r="Y617" s="2045"/>
      <c r="Z617" s="2045"/>
      <c r="AA617" s="2045"/>
      <c r="AB617" s="2045"/>
      <c r="AC617" s="2045"/>
      <c r="AD617" s="2045"/>
      <c r="AE617" s="570"/>
      <c r="AF617" s="570"/>
      <c r="AG617" s="570"/>
      <c r="AH617" s="570"/>
      <c r="AI617" s="570"/>
      <c r="AJ617" s="570"/>
      <c r="AK617" s="570"/>
      <c r="AL617" s="570"/>
      <c r="AN617" s="631"/>
    </row>
    <row r="618" spans="1:42" s="584" customFormat="1" ht="12.75" customHeight="1">
      <c r="B618" s="570"/>
      <c r="C618" s="966"/>
      <c r="D618" s="697"/>
      <c r="E618" s="2045"/>
      <c r="F618" s="2045"/>
      <c r="G618" s="2045"/>
      <c r="H618" s="2045"/>
      <c r="I618" s="2045"/>
      <c r="J618" s="2045"/>
      <c r="K618" s="2045"/>
      <c r="L618" s="2045"/>
      <c r="M618" s="2045"/>
      <c r="N618" s="2045"/>
      <c r="O618" s="2045"/>
      <c r="P618" s="2045"/>
      <c r="Q618" s="2045"/>
      <c r="R618" s="2045"/>
      <c r="S618" s="2045"/>
      <c r="T618" s="2045"/>
      <c r="U618" s="2045"/>
      <c r="V618" s="2045"/>
      <c r="W618" s="2045"/>
      <c r="X618" s="2045"/>
      <c r="Y618" s="2045"/>
      <c r="Z618" s="2045"/>
      <c r="AA618" s="2045"/>
      <c r="AB618" s="2045"/>
      <c r="AC618" s="2045"/>
      <c r="AD618" s="2045"/>
      <c r="AE618" s="570"/>
      <c r="AF618" s="570"/>
      <c r="AG618" s="570"/>
      <c r="AH618" s="570"/>
      <c r="AI618" s="570"/>
      <c r="AJ618" s="570"/>
      <c r="AK618" s="570"/>
      <c r="AL618" s="570"/>
      <c r="AN618" s="631"/>
    </row>
    <row r="619" spans="1:42" s="584" customFormat="1" ht="12.75" customHeight="1">
      <c r="B619" s="570"/>
      <c r="C619" s="966"/>
      <c r="D619" s="697"/>
      <c r="E619" s="2045"/>
      <c r="F619" s="2045"/>
      <c r="G619" s="2045"/>
      <c r="H619" s="2045"/>
      <c r="I619" s="2045"/>
      <c r="J619" s="2045"/>
      <c r="K619" s="2045"/>
      <c r="L619" s="2045"/>
      <c r="M619" s="2045"/>
      <c r="N619" s="2045"/>
      <c r="O619" s="2045"/>
      <c r="P619" s="2045"/>
      <c r="Q619" s="2045"/>
      <c r="R619" s="2045"/>
      <c r="S619" s="2045"/>
      <c r="T619" s="2045"/>
      <c r="U619" s="2045"/>
      <c r="V619" s="2045"/>
      <c r="W619" s="2045"/>
      <c r="X619" s="2045"/>
      <c r="Y619" s="2045"/>
      <c r="Z619" s="2045"/>
      <c r="AA619" s="2045"/>
      <c r="AB619" s="2045"/>
      <c r="AC619" s="2045"/>
      <c r="AD619" s="2045"/>
      <c r="AE619" s="570"/>
      <c r="AF619" s="570"/>
      <c r="AG619" s="570"/>
      <c r="AH619" s="570"/>
      <c r="AI619" s="570"/>
      <c r="AJ619" s="570"/>
      <c r="AK619" s="570"/>
      <c r="AL619" s="570"/>
      <c r="AN619" s="631"/>
    </row>
    <row r="620" spans="1:42" s="584" customFormat="1" ht="12.75" customHeight="1">
      <c r="A620" s="671"/>
      <c r="B620" s="650"/>
      <c r="C620" s="975"/>
      <c r="D620" s="697"/>
      <c r="E620" s="2045"/>
      <c r="F620" s="2045"/>
      <c r="G620" s="2045"/>
      <c r="H620" s="2045"/>
      <c r="I620" s="2045"/>
      <c r="J620" s="2045"/>
      <c r="K620" s="2045"/>
      <c r="L620" s="2045"/>
      <c r="M620" s="2045"/>
      <c r="N620" s="2045"/>
      <c r="O620" s="2045"/>
      <c r="P620" s="2045"/>
      <c r="Q620" s="2045"/>
      <c r="R620" s="2045"/>
      <c r="S620" s="2045"/>
      <c r="T620" s="2045"/>
      <c r="U620" s="2045"/>
      <c r="V620" s="2045"/>
      <c r="W620" s="2045"/>
      <c r="X620" s="2045"/>
      <c r="Y620" s="2045"/>
      <c r="Z620" s="2045"/>
      <c r="AA620" s="2045"/>
      <c r="AB620" s="2045"/>
      <c r="AC620" s="2045"/>
      <c r="AD620" s="2045"/>
      <c r="AE620" s="650"/>
      <c r="AF620" s="650"/>
      <c r="AG620" s="650"/>
      <c r="AH620" s="650"/>
      <c r="AI620" s="650"/>
      <c r="AJ620" s="650"/>
      <c r="AK620" s="570"/>
      <c r="AL620" s="570"/>
      <c r="AN620" s="631"/>
    </row>
    <row r="621" spans="1:42" s="584" customFormat="1" ht="12.75" customHeight="1">
      <c r="B621" s="650"/>
      <c r="C621" s="975"/>
      <c r="D621" s="697"/>
      <c r="E621" s="2045"/>
      <c r="F621" s="2045"/>
      <c r="G621" s="2045"/>
      <c r="H621" s="2045"/>
      <c r="I621" s="2045"/>
      <c r="J621" s="2045"/>
      <c r="K621" s="2045"/>
      <c r="L621" s="2045"/>
      <c r="M621" s="2045"/>
      <c r="N621" s="2045"/>
      <c r="O621" s="2045"/>
      <c r="P621" s="2045"/>
      <c r="Q621" s="2045"/>
      <c r="R621" s="2045"/>
      <c r="S621" s="2045"/>
      <c r="T621" s="2045"/>
      <c r="U621" s="2045"/>
      <c r="V621" s="2045"/>
      <c r="W621" s="2045"/>
      <c r="X621" s="2045"/>
      <c r="Y621" s="2045"/>
      <c r="Z621" s="2045"/>
      <c r="AA621" s="2045"/>
      <c r="AB621" s="2045"/>
      <c r="AC621" s="2045"/>
      <c r="AD621" s="2045"/>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598</v>
      </c>
      <c r="AP622" s="707">
        <v>0</v>
      </c>
    </row>
    <row r="623" spans="1:42" s="584" customFormat="1" ht="12.75" customHeight="1">
      <c r="B623" s="650"/>
      <c r="C623" s="966"/>
      <c r="D623" s="697"/>
      <c r="E623" s="650" t="s">
        <v>1512</v>
      </c>
      <c r="F623" s="976"/>
      <c r="G623" s="976"/>
      <c r="H623" s="976"/>
      <c r="I623" s="976"/>
      <c r="J623" s="976"/>
      <c r="K623" s="976"/>
      <c r="L623" s="976"/>
      <c r="M623" s="976"/>
      <c r="N623" s="976"/>
      <c r="O623" s="976"/>
      <c r="P623" s="976"/>
      <c r="Q623" s="976"/>
      <c r="R623" s="976"/>
      <c r="U623" s="976"/>
      <c r="V623" s="976"/>
      <c r="W623" s="976"/>
      <c r="X623" s="2044" t="s">
        <v>598</v>
      </c>
      <c r="Y623" s="2044"/>
      <c r="Z623" s="976"/>
      <c r="AA623" s="976"/>
      <c r="AB623" s="976"/>
      <c r="AC623" s="976"/>
      <c r="AD623" s="976"/>
      <c r="AE623" s="570"/>
      <c r="AF623" s="650"/>
      <c r="AG623" s="650"/>
      <c r="AH623" s="650"/>
      <c r="AI623" s="650"/>
      <c r="AJ623" s="650"/>
      <c r="AK623" s="570"/>
      <c r="AL623" s="570"/>
      <c r="AN623" s="631"/>
      <c r="AO623" s="645" t="s">
        <v>695</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516</v>
      </c>
      <c r="AP624" s="714">
        <v>4</v>
      </c>
    </row>
    <row r="625" spans="1:42" s="584" customFormat="1" ht="12.75" customHeight="1">
      <c r="B625" s="570"/>
      <c r="C625" s="966"/>
      <c r="D625" s="697" t="s">
        <v>516</v>
      </c>
      <c r="E625" s="589" t="s">
        <v>1513</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2008" t="s">
        <v>1514</v>
      </c>
      <c r="AG625" s="2008"/>
      <c r="AH625" s="2008"/>
      <c r="AI625" s="2008"/>
      <c r="AJ625" s="2008"/>
      <c r="AK625" s="2008"/>
      <c r="AL625" s="2008"/>
      <c r="AN625" s="631"/>
      <c r="AO625" s="645" t="s">
        <v>278</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1503</v>
      </c>
      <c r="AP626" s="714">
        <v>4</v>
      </c>
    </row>
    <row r="627" spans="1:42" s="584" customFormat="1" ht="12.75" customHeight="1">
      <c r="B627" s="570"/>
      <c r="C627" s="966"/>
      <c r="D627" s="570" t="s">
        <v>1506</v>
      </c>
      <c r="E627" s="971"/>
      <c r="F627" s="971"/>
      <c r="G627" s="971"/>
      <c r="H627" s="1952" t="s">
        <v>695</v>
      </c>
      <c r="I627" s="1952"/>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1504</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1515</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1516</v>
      </c>
      <c r="AJ629" s="1935">
        <f>VLOOKUP($H$627,$AO$594:$AP$596,2,FALSE)</f>
        <v>3</v>
      </c>
      <c r="AK629" s="1937"/>
      <c r="AL629" s="629"/>
      <c r="AN629" s="631"/>
      <c r="AO629" s="645" t="s">
        <v>1517</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1518</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695</v>
      </c>
      <c r="E633" s="1928" t="s">
        <v>2411</v>
      </c>
      <c r="F633" s="1928"/>
      <c r="G633" s="1928"/>
      <c r="H633" s="1928"/>
      <c r="I633" s="1928"/>
      <c r="J633" s="1928"/>
      <c r="K633" s="1928"/>
      <c r="L633" s="1928"/>
      <c r="M633" s="1928"/>
      <c r="N633" s="1928"/>
      <c r="O633" s="1928"/>
      <c r="P633" s="1928"/>
      <c r="Q633" s="1928"/>
      <c r="R633" s="1928"/>
      <c r="S633" s="1928"/>
      <c r="T633" s="1928"/>
      <c r="U633" s="1928"/>
      <c r="V633" s="1928"/>
      <c r="W633" s="1928"/>
      <c r="X633" s="1928"/>
      <c r="Y633" s="1928"/>
      <c r="Z633" s="1928"/>
      <c r="AA633" s="1928"/>
      <c r="AB633" s="1928"/>
      <c r="AC633" s="1928"/>
      <c r="AD633" s="1928"/>
      <c r="AE633" s="570"/>
      <c r="AF633" s="2008" t="s">
        <v>1458</v>
      </c>
      <c r="AG633" s="2008"/>
      <c r="AH633" s="2008"/>
      <c r="AI633" s="2008"/>
      <c r="AJ633" s="2008"/>
      <c r="AK633" s="2008"/>
      <c r="AL633" s="2008"/>
      <c r="AN633" s="631"/>
    </row>
    <row r="634" spans="1:42" s="584" customFormat="1" ht="12.75" customHeight="1">
      <c r="B634" s="570"/>
      <c r="C634" s="570"/>
      <c r="D634" s="697"/>
      <c r="E634" s="1928"/>
      <c r="F634" s="1928"/>
      <c r="G634" s="1928"/>
      <c r="H634" s="1928"/>
      <c r="I634" s="1928"/>
      <c r="J634" s="1928"/>
      <c r="K634" s="1928"/>
      <c r="L634" s="1928"/>
      <c r="M634" s="1928"/>
      <c r="N634" s="1928"/>
      <c r="O634" s="1928"/>
      <c r="P634" s="1928"/>
      <c r="Q634" s="1928"/>
      <c r="R634" s="1928"/>
      <c r="S634" s="1928"/>
      <c r="T634" s="1928"/>
      <c r="U634" s="1928"/>
      <c r="V634" s="1928"/>
      <c r="W634" s="1928"/>
      <c r="X634" s="1928"/>
      <c r="Y634" s="1928"/>
      <c r="Z634" s="1928"/>
      <c r="AA634" s="1928"/>
      <c r="AB634" s="1928"/>
      <c r="AC634" s="1928"/>
      <c r="AD634" s="1928"/>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516</v>
      </c>
      <c r="E636" s="650" t="s">
        <v>1519</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2008" t="s">
        <v>1514</v>
      </c>
      <c r="AG636" s="2008"/>
      <c r="AH636" s="2008"/>
      <c r="AI636" s="2008"/>
      <c r="AJ636" s="2008"/>
      <c r="AK636" s="2008"/>
      <c r="AL636" s="2008"/>
      <c r="AN636" s="631"/>
    </row>
    <row r="637" spans="1:42" s="584" customFormat="1" ht="12.75" customHeight="1">
      <c r="B637" s="570"/>
      <c r="C637" s="966"/>
      <c r="D637" s="697"/>
      <c r="E637" s="650" t="s">
        <v>1520</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1506</v>
      </c>
      <c r="E639" s="971"/>
      <c r="F639" s="971"/>
      <c r="G639" s="971"/>
      <c r="H639" s="1952" t="s">
        <v>695</v>
      </c>
      <c r="I639" s="1952"/>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1521</v>
      </c>
      <c r="AJ641" s="1935">
        <f>VLOOKUP(H639,AT594:AU596,2,FALSE)</f>
        <v>3</v>
      </c>
      <c r="AK641" s="1937"/>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1522</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1523</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695</v>
      </c>
      <c r="E646" s="1928" t="s">
        <v>1524</v>
      </c>
      <c r="F646" s="1928"/>
      <c r="G646" s="1928"/>
      <c r="H646" s="1928"/>
      <c r="I646" s="1928"/>
      <c r="J646" s="1928"/>
      <c r="K646" s="1928"/>
      <c r="L646" s="1928"/>
      <c r="M646" s="1928"/>
      <c r="N646" s="1928"/>
      <c r="O646" s="1928"/>
      <c r="P646" s="1928"/>
      <c r="Q646" s="1928"/>
      <c r="R646" s="1928"/>
      <c r="S646" s="1928"/>
      <c r="T646" s="1928"/>
      <c r="U646" s="1928"/>
      <c r="V646" s="1928"/>
      <c r="W646" s="1928"/>
      <c r="X646" s="1928"/>
      <c r="Y646" s="1928"/>
      <c r="Z646" s="1928"/>
      <c r="AA646" s="1928"/>
      <c r="AB646" s="1928"/>
      <c r="AC646" s="1928"/>
      <c r="AD646" s="570"/>
      <c r="AE646" s="570"/>
      <c r="AF646" s="2008" t="s">
        <v>1484</v>
      </c>
      <c r="AG646" s="2008"/>
      <c r="AH646" s="2008"/>
      <c r="AI646" s="2008"/>
      <c r="AJ646" s="2008"/>
      <c r="AK646" s="2008"/>
      <c r="AL646" s="2008"/>
      <c r="AN646" s="631"/>
    </row>
    <row r="647" spans="1:42" s="584" customFormat="1" ht="12.75" customHeight="1">
      <c r="B647" s="570"/>
      <c r="C647" s="573"/>
      <c r="D647" s="570"/>
      <c r="E647" s="1928"/>
      <c r="F647" s="1928"/>
      <c r="G647" s="1928"/>
      <c r="H647" s="1928"/>
      <c r="I647" s="1928"/>
      <c r="J647" s="1928"/>
      <c r="K647" s="1928"/>
      <c r="L647" s="1928"/>
      <c r="M647" s="1928"/>
      <c r="N647" s="1928"/>
      <c r="O647" s="1928"/>
      <c r="P647" s="1928"/>
      <c r="Q647" s="1928"/>
      <c r="R647" s="1928"/>
      <c r="S647" s="1928"/>
      <c r="T647" s="1928"/>
      <c r="U647" s="1928"/>
      <c r="V647" s="1928"/>
      <c r="W647" s="1928"/>
      <c r="X647" s="1928"/>
      <c r="Y647" s="1928"/>
      <c r="Z647" s="1928"/>
      <c r="AA647" s="1928"/>
      <c r="AB647" s="1928"/>
      <c r="AC647" s="1928"/>
      <c r="AD647" s="570"/>
      <c r="AE647" s="570"/>
      <c r="AF647" s="570"/>
      <c r="AG647" s="570"/>
      <c r="AH647" s="570"/>
      <c r="AI647" s="570"/>
      <c r="AJ647" s="570"/>
      <c r="AK647" s="570"/>
      <c r="AL647" s="570"/>
      <c r="AN647" s="631"/>
    </row>
    <row r="648" spans="1:42" s="584" customFormat="1" ht="12.75" customHeight="1">
      <c r="B648" s="570"/>
      <c r="C648" s="573"/>
      <c r="D648" s="697"/>
      <c r="E648" s="1928"/>
      <c r="F648" s="1928"/>
      <c r="G648" s="1928"/>
      <c r="H648" s="1928"/>
      <c r="I648" s="1928"/>
      <c r="J648" s="1928"/>
      <c r="K648" s="1928"/>
      <c r="L648" s="1928"/>
      <c r="M648" s="1928"/>
      <c r="N648" s="1928"/>
      <c r="O648" s="1928"/>
      <c r="P648" s="1928"/>
      <c r="Q648" s="1928"/>
      <c r="R648" s="1928"/>
      <c r="S648" s="1928"/>
      <c r="T648" s="1928"/>
      <c r="U648" s="1928"/>
      <c r="V648" s="1928"/>
      <c r="W648" s="1928"/>
      <c r="X648" s="1928"/>
      <c r="Y648" s="1928"/>
      <c r="Z648" s="1928"/>
      <c r="AA648" s="1928"/>
      <c r="AB648" s="1928"/>
      <c r="AC648" s="1928"/>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516</v>
      </c>
      <c r="E650" s="1928" t="s">
        <v>1525</v>
      </c>
      <c r="F650" s="1928"/>
      <c r="G650" s="1928"/>
      <c r="H650" s="1928"/>
      <c r="I650" s="1928"/>
      <c r="J650" s="1928"/>
      <c r="K650" s="1928"/>
      <c r="L650" s="1928"/>
      <c r="M650" s="1928"/>
      <c r="N650" s="1928"/>
      <c r="O650" s="1928"/>
      <c r="P650" s="1928"/>
      <c r="Q650" s="1928"/>
      <c r="R650" s="1928"/>
      <c r="S650" s="1928"/>
      <c r="T650" s="1928"/>
      <c r="U650" s="1928"/>
      <c r="V650" s="1928"/>
      <c r="W650" s="1928"/>
      <c r="X650" s="1928"/>
      <c r="Y650" s="1928"/>
      <c r="Z650" s="1928"/>
      <c r="AA650" s="1928"/>
      <c r="AB650" s="1928"/>
      <c r="AC650" s="1928"/>
      <c r="AD650" s="570"/>
      <c r="AE650" s="570"/>
      <c r="AF650" s="2008" t="s">
        <v>1505</v>
      </c>
      <c r="AG650" s="2008"/>
      <c r="AH650" s="2008"/>
      <c r="AI650" s="2008"/>
      <c r="AJ650" s="2008"/>
      <c r="AK650" s="2008"/>
      <c r="AL650" s="2008"/>
      <c r="AN650" s="631"/>
    </row>
    <row r="651" spans="1:42" s="584" customFormat="1" ht="12.75" customHeight="1">
      <c r="B651" s="570"/>
      <c r="C651" s="573"/>
      <c r="D651" s="570"/>
      <c r="E651" s="1928"/>
      <c r="F651" s="1928"/>
      <c r="G651" s="1928"/>
      <c r="H651" s="1928"/>
      <c r="I651" s="1928"/>
      <c r="J651" s="1928"/>
      <c r="K651" s="1928"/>
      <c r="L651" s="1928"/>
      <c r="M651" s="1928"/>
      <c r="N651" s="1928"/>
      <c r="O651" s="1928"/>
      <c r="P651" s="1928"/>
      <c r="Q651" s="1928"/>
      <c r="R651" s="1928"/>
      <c r="S651" s="1928"/>
      <c r="T651" s="1928"/>
      <c r="U651" s="1928"/>
      <c r="V651" s="1928"/>
      <c r="W651" s="1928"/>
      <c r="X651" s="1928"/>
      <c r="Y651" s="1928"/>
      <c r="Z651" s="1928"/>
      <c r="AA651" s="1928"/>
      <c r="AB651" s="1928"/>
      <c r="AC651" s="1928"/>
      <c r="AD651" s="570"/>
      <c r="AE651" s="570"/>
      <c r="AF651" s="570"/>
      <c r="AG651" s="570"/>
      <c r="AH651" s="570"/>
      <c r="AI651" s="570"/>
      <c r="AJ651" s="570"/>
      <c r="AK651" s="570"/>
      <c r="AL651" s="570"/>
      <c r="AN651" s="631"/>
    </row>
    <row r="652" spans="1:42" s="584" customFormat="1" ht="15" customHeight="1">
      <c r="B652" s="570"/>
      <c r="C652" s="573"/>
      <c r="D652" s="697"/>
      <c r="E652" s="1928"/>
      <c r="F652" s="1928"/>
      <c r="G652" s="1928"/>
      <c r="H652" s="1928"/>
      <c r="I652" s="1928"/>
      <c r="J652" s="1928"/>
      <c r="K652" s="1928"/>
      <c r="L652" s="1928"/>
      <c r="M652" s="1928"/>
      <c r="N652" s="1928"/>
      <c r="O652" s="1928"/>
      <c r="P652" s="1928"/>
      <c r="Q652" s="1928"/>
      <c r="R652" s="1928"/>
      <c r="S652" s="1928"/>
      <c r="T652" s="1928"/>
      <c r="U652" s="1928"/>
      <c r="V652" s="1928"/>
      <c r="W652" s="1928"/>
      <c r="X652" s="1928"/>
      <c r="Y652" s="1928"/>
      <c r="Z652" s="1928"/>
      <c r="AA652" s="1928"/>
      <c r="AB652" s="1928"/>
      <c r="AC652" s="1928"/>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278</v>
      </c>
      <c r="E654" s="1928" t="s">
        <v>1526</v>
      </c>
      <c r="F654" s="1928"/>
      <c r="G654" s="1928"/>
      <c r="H654" s="1928"/>
      <c r="I654" s="1928"/>
      <c r="J654" s="1928"/>
      <c r="K654" s="1928"/>
      <c r="L654" s="1928"/>
      <c r="M654" s="1928"/>
      <c r="N654" s="1928"/>
      <c r="O654" s="1928"/>
      <c r="P654" s="1928"/>
      <c r="Q654" s="1928"/>
      <c r="R654" s="1928"/>
      <c r="S654" s="1928"/>
      <c r="T654" s="1928"/>
      <c r="U654" s="1928"/>
      <c r="V654" s="1928"/>
      <c r="W654" s="1928"/>
      <c r="X654" s="1928"/>
      <c r="Y654" s="1928"/>
      <c r="Z654" s="1928"/>
      <c r="AA654" s="1928"/>
      <c r="AB654" s="1928"/>
      <c r="AC654" s="1928"/>
      <c r="AD654" s="570"/>
      <c r="AE654" s="570"/>
      <c r="AF654" s="2008" t="s">
        <v>1458</v>
      </c>
      <c r="AG654" s="2008"/>
      <c r="AH654" s="2008"/>
      <c r="AI654" s="2008"/>
      <c r="AJ654" s="2008"/>
      <c r="AK654" s="2008"/>
      <c r="AL654" s="2008"/>
      <c r="AN654" s="631"/>
    </row>
    <row r="655" spans="1:42" s="584" customFormat="1" ht="12.75" customHeight="1">
      <c r="B655" s="570"/>
      <c r="C655" s="966"/>
      <c r="D655" s="570"/>
      <c r="E655" s="1928"/>
      <c r="F655" s="1928"/>
      <c r="G655" s="1928"/>
      <c r="H655" s="1928"/>
      <c r="I655" s="1928"/>
      <c r="J655" s="1928"/>
      <c r="K655" s="1928"/>
      <c r="L655" s="1928"/>
      <c r="M655" s="1928"/>
      <c r="N655" s="1928"/>
      <c r="O655" s="1928"/>
      <c r="P655" s="1928"/>
      <c r="Q655" s="1928"/>
      <c r="R655" s="1928"/>
      <c r="S655" s="1928"/>
      <c r="T655" s="1928"/>
      <c r="U655" s="1928"/>
      <c r="V655" s="1928"/>
      <c r="W655" s="1928"/>
      <c r="X655" s="1928"/>
      <c r="Y655" s="1928"/>
      <c r="Z655" s="1928"/>
      <c r="AA655" s="1928"/>
      <c r="AB655" s="1928"/>
      <c r="AC655" s="1928"/>
      <c r="AD655" s="570"/>
      <c r="AE655" s="2008"/>
      <c r="AF655" s="2008"/>
      <c r="AG655" s="2008"/>
      <c r="AH655" s="2008"/>
      <c r="AI655" s="2008"/>
      <c r="AJ655" s="2008"/>
      <c r="AK655" s="2008"/>
      <c r="AL655" s="628"/>
      <c r="AN655" s="631"/>
      <c r="AO655" s="584" t="s">
        <v>598</v>
      </c>
      <c r="AP655" s="707">
        <v>0</v>
      </c>
    </row>
    <row r="656" spans="1:42" s="584" customFormat="1" ht="12.75" customHeight="1">
      <c r="A656" s="713"/>
      <c r="B656" s="570"/>
      <c r="C656" s="570"/>
      <c r="D656" s="697"/>
      <c r="E656" s="1928"/>
      <c r="F656" s="1928"/>
      <c r="G656" s="1928"/>
      <c r="H656" s="1928"/>
      <c r="I656" s="1928"/>
      <c r="J656" s="1928"/>
      <c r="K656" s="1928"/>
      <c r="L656" s="1928"/>
      <c r="M656" s="1928"/>
      <c r="N656" s="1928"/>
      <c r="O656" s="1928"/>
      <c r="P656" s="1928"/>
      <c r="Q656" s="1928"/>
      <c r="R656" s="1928"/>
      <c r="S656" s="1928"/>
      <c r="T656" s="1928"/>
      <c r="U656" s="1928"/>
      <c r="V656" s="1928"/>
      <c r="W656" s="1928"/>
      <c r="X656" s="1928"/>
      <c r="Y656" s="1928"/>
      <c r="Z656" s="1928"/>
      <c r="AA656" s="1928"/>
      <c r="AB656" s="1928"/>
      <c r="AC656" s="1928"/>
      <c r="AD656" s="570"/>
      <c r="AE656" s="570"/>
      <c r="AF656" s="570"/>
      <c r="AG656" s="570"/>
      <c r="AH656" s="570"/>
      <c r="AI656" s="570"/>
      <c r="AJ656" s="570"/>
      <c r="AK656" s="570"/>
      <c r="AL656" s="570"/>
      <c r="AN656" s="631"/>
      <c r="AO656" s="645" t="s">
        <v>695</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516</v>
      </c>
      <c r="AP657" s="584">
        <v>2</v>
      </c>
    </row>
    <row r="658" spans="1:42" s="584" customFormat="1" ht="12.75" customHeight="1">
      <c r="A658" s="704"/>
      <c r="B658" s="570"/>
      <c r="C658" s="982"/>
      <c r="D658" s="697" t="s">
        <v>1503</v>
      </c>
      <c r="E658" s="1928" t="s">
        <v>1527</v>
      </c>
      <c r="F658" s="1928"/>
      <c r="G658" s="1928"/>
      <c r="H658" s="1928"/>
      <c r="I658" s="1928"/>
      <c r="J658" s="1928"/>
      <c r="K658" s="1928"/>
      <c r="L658" s="1928"/>
      <c r="M658" s="1928"/>
      <c r="N658" s="1928"/>
      <c r="O658" s="1928"/>
      <c r="P658" s="1928"/>
      <c r="Q658" s="1928"/>
      <c r="R658" s="1928"/>
      <c r="S658" s="1928"/>
      <c r="T658" s="1928"/>
      <c r="U658" s="1928"/>
      <c r="V658" s="1928"/>
      <c r="W658" s="1928"/>
      <c r="X658" s="1928"/>
      <c r="Y658" s="1928"/>
      <c r="Z658" s="1928"/>
      <c r="AA658" s="1928"/>
      <c r="AB658" s="1928"/>
      <c r="AC658" s="1928"/>
      <c r="AD658" s="570"/>
      <c r="AE658" s="570"/>
      <c r="AF658" s="2008" t="s">
        <v>1505</v>
      </c>
      <c r="AG658" s="2008"/>
      <c r="AH658" s="2008"/>
      <c r="AI658" s="2008"/>
      <c r="AJ658" s="2008"/>
      <c r="AK658" s="2008"/>
      <c r="AL658" s="2008"/>
      <c r="AN658" s="631"/>
    </row>
    <row r="659" spans="1:42" s="584" customFormat="1" ht="12.75" customHeight="1">
      <c r="A659" s="704"/>
      <c r="B659" s="570"/>
      <c r="C659" s="982"/>
      <c r="D659" s="697"/>
      <c r="E659" s="1928"/>
      <c r="F659" s="1928"/>
      <c r="G659" s="1928"/>
      <c r="H659" s="1928"/>
      <c r="I659" s="1928"/>
      <c r="J659" s="1928"/>
      <c r="K659" s="1928"/>
      <c r="L659" s="1928"/>
      <c r="M659" s="1928"/>
      <c r="N659" s="1928"/>
      <c r="O659" s="1928"/>
      <c r="P659" s="1928"/>
      <c r="Q659" s="1928"/>
      <c r="R659" s="1928"/>
      <c r="S659" s="1928"/>
      <c r="T659" s="1928"/>
      <c r="U659" s="1928"/>
      <c r="V659" s="1928"/>
      <c r="W659" s="1928"/>
      <c r="X659" s="1928"/>
      <c r="Y659" s="1928"/>
      <c r="Z659" s="1928"/>
      <c r="AA659" s="1928"/>
      <c r="AB659" s="1928"/>
      <c r="AC659" s="1928"/>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28"/>
      <c r="F660" s="1928"/>
      <c r="G660" s="1928"/>
      <c r="H660" s="1928"/>
      <c r="I660" s="1928"/>
      <c r="J660" s="1928"/>
      <c r="K660" s="1928"/>
      <c r="L660" s="1928"/>
      <c r="M660" s="1928"/>
      <c r="N660" s="1928"/>
      <c r="O660" s="1928"/>
      <c r="P660" s="1928"/>
      <c r="Q660" s="1928"/>
      <c r="R660" s="1928"/>
      <c r="S660" s="1928"/>
      <c r="T660" s="1928"/>
      <c r="U660" s="1928"/>
      <c r="V660" s="1928"/>
      <c r="W660" s="1928"/>
      <c r="X660" s="1928"/>
      <c r="Y660" s="1928"/>
      <c r="Z660" s="1928"/>
      <c r="AA660" s="1928"/>
      <c r="AB660" s="1928"/>
      <c r="AC660" s="1928"/>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1504</v>
      </c>
      <c r="E662" s="1928" t="s">
        <v>1528</v>
      </c>
      <c r="F662" s="1928"/>
      <c r="G662" s="1928"/>
      <c r="H662" s="1928"/>
      <c r="I662" s="1928"/>
      <c r="J662" s="1928"/>
      <c r="K662" s="1928"/>
      <c r="L662" s="1928"/>
      <c r="M662" s="1928"/>
      <c r="N662" s="1928"/>
      <c r="O662" s="1928"/>
      <c r="P662" s="1928"/>
      <c r="Q662" s="1928"/>
      <c r="R662" s="1928"/>
      <c r="S662" s="1928"/>
      <c r="T662" s="1928"/>
      <c r="U662" s="1928"/>
      <c r="V662" s="1928"/>
      <c r="W662" s="1928"/>
      <c r="X662" s="1928"/>
      <c r="Y662" s="1928"/>
      <c r="Z662" s="1928"/>
      <c r="AA662" s="1928"/>
      <c r="AB662" s="1928"/>
      <c r="AC662" s="1928"/>
      <c r="AD662" s="570"/>
      <c r="AE662" s="570"/>
      <c r="AF662" s="2008" t="s">
        <v>1458</v>
      </c>
      <c r="AG662" s="2008"/>
      <c r="AH662" s="2008"/>
      <c r="AI662" s="2008"/>
      <c r="AJ662" s="2008"/>
      <c r="AK662" s="2008"/>
      <c r="AL662" s="2008"/>
      <c r="AM662" s="630"/>
      <c r="AN662" s="631"/>
    </row>
    <row r="663" spans="1:42" s="584" customFormat="1" ht="12.75" customHeight="1">
      <c r="B663" s="570"/>
      <c r="C663" s="966"/>
      <c r="D663" s="697"/>
      <c r="E663" s="1928"/>
      <c r="F663" s="1928"/>
      <c r="G663" s="1928"/>
      <c r="H663" s="1928"/>
      <c r="I663" s="1928"/>
      <c r="J663" s="1928"/>
      <c r="K663" s="1928"/>
      <c r="L663" s="1928"/>
      <c r="M663" s="1928"/>
      <c r="N663" s="1928"/>
      <c r="O663" s="1928"/>
      <c r="P663" s="1928"/>
      <c r="Q663" s="1928"/>
      <c r="R663" s="1928"/>
      <c r="S663" s="1928"/>
      <c r="T663" s="1928"/>
      <c r="U663" s="1928"/>
      <c r="V663" s="1928"/>
      <c r="W663" s="1928"/>
      <c r="X663" s="1928"/>
      <c r="Y663" s="1928"/>
      <c r="Z663" s="1928"/>
      <c r="AA663" s="1928"/>
      <c r="AB663" s="1928"/>
      <c r="AC663" s="1928"/>
      <c r="AD663" s="570"/>
      <c r="AE663" s="570"/>
      <c r="AF663" s="570"/>
      <c r="AG663" s="570"/>
      <c r="AH663" s="570"/>
      <c r="AI663" s="570"/>
      <c r="AJ663" s="570"/>
      <c r="AK663" s="570"/>
      <c r="AL663" s="570"/>
      <c r="AM663" s="630"/>
      <c r="AN663" s="631"/>
    </row>
    <row r="664" spans="1:42" s="584" customFormat="1" ht="12.75" customHeight="1">
      <c r="B664" s="570"/>
      <c r="C664" s="966"/>
      <c r="D664" s="697"/>
      <c r="E664" s="1928"/>
      <c r="F664" s="1928"/>
      <c r="G664" s="1928"/>
      <c r="H664" s="1928"/>
      <c r="I664" s="1928"/>
      <c r="J664" s="1928"/>
      <c r="K664" s="1928"/>
      <c r="L664" s="1928"/>
      <c r="M664" s="1928"/>
      <c r="N664" s="1928"/>
      <c r="O664" s="1928"/>
      <c r="P664" s="1928"/>
      <c r="Q664" s="1928"/>
      <c r="R664" s="1928"/>
      <c r="S664" s="1928"/>
      <c r="T664" s="1928"/>
      <c r="U664" s="1928"/>
      <c r="V664" s="1928"/>
      <c r="W664" s="1928"/>
      <c r="X664" s="1928"/>
      <c r="Y664" s="1928"/>
      <c r="Z664" s="1928"/>
      <c r="AA664" s="1928"/>
      <c r="AB664" s="1928"/>
      <c r="AC664" s="1928"/>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1515</v>
      </c>
      <c r="E666" s="1928" t="s">
        <v>1529</v>
      </c>
      <c r="F666" s="1928"/>
      <c r="G666" s="1928"/>
      <c r="H666" s="1928"/>
      <c r="I666" s="1928"/>
      <c r="J666" s="1928"/>
      <c r="K666" s="1928"/>
      <c r="L666" s="1928"/>
      <c r="M666" s="1928"/>
      <c r="N666" s="1928"/>
      <c r="O666" s="1928"/>
      <c r="P666" s="1928"/>
      <c r="Q666" s="1928"/>
      <c r="R666" s="1928"/>
      <c r="S666" s="1928"/>
      <c r="T666" s="1928"/>
      <c r="U666" s="1928"/>
      <c r="V666" s="1928"/>
      <c r="W666" s="1928"/>
      <c r="X666" s="1928"/>
      <c r="Y666" s="1928"/>
      <c r="Z666" s="1928"/>
      <c r="AA666" s="1928"/>
      <c r="AB666" s="1928"/>
      <c r="AC666" s="1928"/>
      <c r="AD666" s="570"/>
      <c r="AE666" s="570"/>
      <c r="AF666" s="2008" t="s">
        <v>1514</v>
      </c>
      <c r="AG666" s="2008"/>
      <c r="AH666" s="2008"/>
      <c r="AI666" s="2008"/>
      <c r="AJ666" s="2008"/>
      <c r="AK666" s="2008"/>
      <c r="AL666" s="2008"/>
      <c r="AM666" s="630"/>
      <c r="AN666" s="631"/>
    </row>
    <row r="667" spans="1:42" s="584" customFormat="1" ht="12.75" customHeight="1">
      <c r="A667" s="713"/>
      <c r="B667" s="570"/>
      <c r="C667" s="966"/>
      <c r="D667" s="697"/>
      <c r="E667" s="1928"/>
      <c r="F667" s="1928"/>
      <c r="G667" s="1928"/>
      <c r="H667" s="1928"/>
      <c r="I667" s="1928"/>
      <c r="J667" s="1928"/>
      <c r="K667" s="1928"/>
      <c r="L667" s="1928"/>
      <c r="M667" s="1928"/>
      <c r="N667" s="1928"/>
      <c r="O667" s="1928"/>
      <c r="P667" s="1928"/>
      <c r="Q667" s="1928"/>
      <c r="R667" s="1928"/>
      <c r="S667" s="1928"/>
      <c r="T667" s="1928"/>
      <c r="U667" s="1928"/>
      <c r="V667" s="1928"/>
      <c r="W667" s="1928"/>
      <c r="X667" s="1928"/>
      <c r="Y667" s="1928"/>
      <c r="Z667" s="1928"/>
      <c r="AA667" s="1928"/>
      <c r="AB667" s="1928"/>
      <c r="AC667" s="1928"/>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28"/>
      <c r="F668" s="1928"/>
      <c r="G668" s="1928"/>
      <c r="H668" s="1928"/>
      <c r="I668" s="1928"/>
      <c r="J668" s="1928"/>
      <c r="K668" s="1928"/>
      <c r="L668" s="1928"/>
      <c r="M668" s="1928"/>
      <c r="N668" s="1928"/>
      <c r="O668" s="1928"/>
      <c r="P668" s="1928"/>
      <c r="Q668" s="1928"/>
      <c r="R668" s="1928"/>
      <c r="S668" s="1928"/>
      <c r="T668" s="1928"/>
      <c r="U668" s="1928"/>
      <c r="V668" s="1928"/>
      <c r="W668" s="1928"/>
      <c r="X668" s="1928"/>
      <c r="Y668" s="1928"/>
      <c r="Z668" s="1928"/>
      <c r="AA668" s="1928"/>
      <c r="AB668" s="1928"/>
      <c r="AC668" s="1928"/>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598</v>
      </c>
      <c r="AP669" s="671">
        <v>0</v>
      </c>
    </row>
    <row r="670" spans="1:42" s="584" customFormat="1" ht="12.75" customHeight="1">
      <c r="A670" s="713"/>
      <c r="B670" s="570"/>
      <c r="C670" s="966"/>
      <c r="D670" s="697" t="s">
        <v>1517</v>
      </c>
      <c r="E670" s="1928" t="s">
        <v>1530</v>
      </c>
      <c r="F670" s="1928"/>
      <c r="G670" s="1928"/>
      <c r="H670" s="1928"/>
      <c r="I670" s="1928"/>
      <c r="J670" s="1928"/>
      <c r="K670" s="1928"/>
      <c r="L670" s="1928"/>
      <c r="M670" s="1928"/>
      <c r="N670" s="1928"/>
      <c r="O670" s="1928"/>
      <c r="P670" s="1928"/>
      <c r="Q670" s="1928"/>
      <c r="R670" s="1928"/>
      <c r="S670" s="1928"/>
      <c r="T670" s="1928"/>
      <c r="U670" s="1928"/>
      <c r="V670" s="1928"/>
      <c r="W670" s="1928"/>
      <c r="X670" s="1928"/>
      <c r="Y670" s="1928"/>
      <c r="Z670" s="1928"/>
      <c r="AA670" s="1928"/>
      <c r="AB670" s="1928"/>
      <c r="AC670" s="1928"/>
      <c r="AD670" s="570"/>
      <c r="AE670" s="570"/>
      <c r="AF670" s="2008" t="s">
        <v>1531</v>
      </c>
      <c r="AG670" s="2008"/>
      <c r="AH670" s="2008"/>
      <c r="AI670" s="2008"/>
      <c r="AJ670" s="2008"/>
      <c r="AK670" s="2008"/>
      <c r="AL670" s="2008"/>
      <c r="AM670" s="630"/>
      <c r="AN670" s="631"/>
      <c r="AO670" s="645" t="s">
        <v>695</v>
      </c>
      <c r="AP670" s="584">
        <v>3</v>
      </c>
    </row>
    <row r="671" spans="1:42" s="584" customFormat="1" ht="12.75" customHeight="1">
      <c r="A671" s="713"/>
      <c r="B671" s="570"/>
      <c r="C671" s="966"/>
      <c r="D671" s="697"/>
      <c r="E671" s="1928"/>
      <c r="F671" s="1928"/>
      <c r="G671" s="1928"/>
      <c r="H671" s="1928"/>
      <c r="I671" s="1928"/>
      <c r="J671" s="1928"/>
      <c r="K671" s="1928"/>
      <c r="L671" s="1928"/>
      <c r="M671" s="1928"/>
      <c r="N671" s="1928"/>
      <c r="O671" s="1928"/>
      <c r="P671" s="1928"/>
      <c r="Q671" s="1928"/>
      <c r="R671" s="1928"/>
      <c r="S671" s="1928"/>
      <c r="T671" s="1928"/>
      <c r="U671" s="1928"/>
      <c r="V671" s="1928"/>
      <c r="W671" s="1928"/>
      <c r="X671" s="1928"/>
      <c r="Y671" s="1928"/>
      <c r="Z671" s="1928"/>
      <c r="AA671" s="1928"/>
      <c r="AB671" s="1928"/>
      <c r="AC671" s="1928"/>
      <c r="AD671" s="570"/>
      <c r="AE671" s="570"/>
      <c r="AF671" s="628"/>
      <c r="AG671" s="628"/>
      <c r="AH671" s="628"/>
      <c r="AI671" s="628"/>
      <c r="AJ671" s="628"/>
      <c r="AK671" s="628"/>
      <c r="AL671" s="628"/>
      <c r="AM671" s="630"/>
      <c r="AN671" s="631"/>
      <c r="AO671" s="645" t="s">
        <v>516</v>
      </c>
      <c r="AP671" s="584">
        <v>2</v>
      </c>
    </row>
    <row r="672" spans="1:42" s="584" customFormat="1" ht="12.75" customHeight="1">
      <c r="A672" s="713"/>
      <c r="B672" s="570"/>
      <c r="C672" s="966"/>
      <c r="D672" s="697"/>
      <c r="E672" s="1928"/>
      <c r="F672" s="1928"/>
      <c r="G672" s="1928"/>
      <c r="H672" s="1928"/>
      <c r="I672" s="1928"/>
      <c r="J672" s="1928"/>
      <c r="K672" s="1928"/>
      <c r="L672" s="1928"/>
      <c r="M672" s="1928"/>
      <c r="N672" s="1928"/>
      <c r="O672" s="1928"/>
      <c r="P672" s="1928"/>
      <c r="Q672" s="1928"/>
      <c r="R672" s="1928"/>
      <c r="S672" s="1928"/>
      <c r="T672" s="1928"/>
      <c r="U672" s="1928"/>
      <c r="V672" s="1928"/>
      <c r="W672" s="1928"/>
      <c r="X672" s="1928"/>
      <c r="Y672" s="1928"/>
      <c r="Z672" s="1928"/>
      <c r="AA672" s="1928"/>
      <c r="AB672" s="1928"/>
      <c r="AC672" s="1928"/>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1506</v>
      </c>
      <c r="E674" s="971"/>
      <c r="F674" s="971"/>
      <c r="G674" s="971"/>
      <c r="H674" s="1952" t="s">
        <v>695</v>
      </c>
      <c r="I674" s="1952"/>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1532</v>
      </c>
      <c r="AJ676" s="1935">
        <f>VLOOKUP($H$674,$AO$622:$AP$629,2,FALSE)</f>
        <v>5</v>
      </c>
      <c r="AK676" s="1937"/>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2450</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2540</v>
      </c>
      <c r="AX678" s="584">
        <f>Application!Y212</f>
        <v>39</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2541</v>
      </c>
      <c r="AX679" s="1196">
        <f>Application!G753</f>
        <v>85</v>
      </c>
    </row>
    <row r="680" spans="1:51" s="584" customFormat="1" ht="12.75" customHeight="1">
      <c r="A680" s="713"/>
      <c r="B680" s="570"/>
      <c r="C680" s="983"/>
      <c r="D680" s="697" t="s">
        <v>695</v>
      </c>
      <c r="E680" s="2043" t="s">
        <v>2547</v>
      </c>
      <c r="F680" s="2043"/>
      <c r="G680" s="2043"/>
      <c r="H680" s="2043"/>
      <c r="I680" s="2043"/>
      <c r="J680" s="2043"/>
      <c r="K680" s="2043"/>
      <c r="L680" s="2043"/>
      <c r="M680" s="2043"/>
      <c r="N680" s="2043"/>
      <c r="O680" s="2043"/>
      <c r="P680" s="2043"/>
      <c r="Q680" s="2043"/>
      <c r="R680" s="2043"/>
      <c r="S680" s="2043"/>
      <c r="T680" s="2043"/>
      <c r="U680" s="2043"/>
      <c r="V680" s="2043"/>
      <c r="W680" s="2043"/>
      <c r="X680" s="2043"/>
      <c r="Y680" s="2043"/>
      <c r="Z680" s="2043"/>
      <c r="AA680" s="2043"/>
      <c r="AB680" s="2043"/>
      <c r="AC680" s="570"/>
      <c r="AD680" s="570"/>
      <c r="AE680" s="570"/>
      <c r="AF680" s="2008" t="s">
        <v>1458</v>
      </c>
      <c r="AG680" s="2008"/>
      <c r="AH680" s="2008"/>
      <c r="AI680" s="2008"/>
      <c r="AJ680" s="2008"/>
      <c r="AK680" s="2008"/>
      <c r="AL680" s="2008"/>
      <c r="AN680" s="631"/>
      <c r="AW680" s="22" t="s">
        <v>2542</v>
      </c>
      <c r="AX680" s="584">
        <f>Application!CC632</f>
        <v>5</v>
      </c>
    </row>
    <row r="681" spans="1:51" s="584" customFormat="1" ht="12.75" customHeight="1">
      <c r="A681" s="713"/>
      <c r="B681" s="570"/>
      <c r="C681" s="983"/>
      <c r="D681" s="697"/>
      <c r="E681" s="2043"/>
      <c r="F681" s="2043"/>
      <c r="G681" s="2043"/>
      <c r="H681" s="2043"/>
      <c r="I681" s="2043"/>
      <c r="J681" s="2043"/>
      <c r="K681" s="2043"/>
      <c r="L681" s="2043"/>
      <c r="M681" s="2043"/>
      <c r="N681" s="2043"/>
      <c r="O681" s="2043"/>
      <c r="P681" s="2043"/>
      <c r="Q681" s="2043"/>
      <c r="R681" s="2043"/>
      <c r="S681" s="2043"/>
      <c r="T681" s="2043"/>
      <c r="U681" s="2043"/>
      <c r="V681" s="2043"/>
      <c r="W681" s="2043"/>
      <c r="X681" s="2043"/>
      <c r="Y681" s="2043"/>
      <c r="Z681" s="2043"/>
      <c r="AA681" s="2043"/>
      <c r="AB681" s="2043"/>
      <c r="AC681" s="570"/>
      <c r="AD681" s="570"/>
      <c r="AE681" s="570"/>
      <c r="AF681" s="570"/>
      <c r="AG681" s="570"/>
      <c r="AH681" s="570"/>
      <c r="AI681" s="570"/>
      <c r="AJ681" s="570"/>
      <c r="AK681" s="570"/>
      <c r="AL681" s="570"/>
      <c r="AN681" s="631"/>
      <c r="AW681" s="22" t="s">
        <v>2543</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2544</v>
      </c>
      <c r="AX682" s="584">
        <f>Application!CM632</f>
        <v>0</v>
      </c>
    </row>
    <row r="683" spans="1:51" s="584" customFormat="1" ht="12.75" customHeight="1">
      <c r="B683" s="570"/>
      <c r="C683" s="966"/>
      <c r="D683" s="697" t="s">
        <v>516</v>
      </c>
      <c r="E683" s="1928" t="s">
        <v>2448</v>
      </c>
      <c r="F683" s="1928"/>
      <c r="G683" s="1928"/>
      <c r="H683" s="1928"/>
      <c r="I683" s="1928"/>
      <c r="J683" s="1928"/>
      <c r="K683" s="1928"/>
      <c r="L683" s="1928"/>
      <c r="M683" s="1928"/>
      <c r="N683" s="1928"/>
      <c r="O683" s="1928"/>
      <c r="P683" s="1928"/>
      <c r="Q683" s="1928"/>
      <c r="R683" s="1928"/>
      <c r="S683" s="1928"/>
      <c r="T683" s="1928"/>
      <c r="U683" s="1928"/>
      <c r="V683" s="1928"/>
      <c r="W683" s="1928"/>
      <c r="X683" s="1928"/>
      <c r="Y683" s="1928"/>
      <c r="Z683" s="1928"/>
      <c r="AA683" s="1928"/>
      <c r="AB683" s="1928"/>
      <c r="AC683" s="570"/>
      <c r="AD683" s="570"/>
      <c r="AE683" s="570"/>
      <c r="AF683" s="2008" t="s">
        <v>1458</v>
      </c>
      <c r="AG683" s="2008"/>
      <c r="AH683" s="2008"/>
      <c r="AI683" s="2008"/>
      <c r="AJ683" s="2008"/>
      <c r="AK683" s="2008"/>
      <c r="AL683" s="2008"/>
      <c r="AN683" s="631"/>
      <c r="AW683" s="22" t="s">
        <v>2545</v>
      </c>
      <c r="AX683" s="584">
        <f>AX680+AX681+AX682</f>
        <v>5</v>
      </c>
    </row>
    <row r="684" spans="1:51" s="584" customFormat="1" ht="12.75" customHeight="1">
      <c r="B684" s="570"/>
      <c r="C684" s="975"/>
      <c r="D684" s="697"/>
      <c r="E684" s="1928"/>
      <c r="F684" s="1928"/>
      <c r="G684" s="1928"/>
      <c r="H684" s="1928"/>
      <c r="I684" s="1928"/>
      <c r="J684" s="1928"/>
      <c r="K684" s="1928"/>
      <c r="L684" s="1928"/>
      <c r="M684" s="1928"/>
      <c r="N684" s="1928"/>
      <c r="O684" s="1928"/>
      <c r="P684" s="1928"/>
      <c r="Q684" s="1928"/>
      <c r="R684" s="1928"/>
      <c r="S684" s="1928"/>
      <c r="T684" s="1928"/>
      <c r="U684" s="1928"/>
      <c r="V684" s="1928"/>
      <c r="W684" s="1928"/>
      <c r="X684" s="1928"/>
      <c r="Y684" s="1928"/>
      <c r="Z684" s="1928"/>
      <c r="AA684" s="1928"/>
      <c r="AB684" s="1928"/>
      <c r="AC684" s="570"/>
      <c r="AD684" s="570"/>
      <c r="AE684" s="650"/>
      <c r="AF684" s="570"/>
      <c r="AG684" s="570"/>
      <c r="AH684" s="570"/>
      <c r="AI684" s="570"/>
      <c r="AJ684" s="570"/>
      <c r="AK684" s="570"/>
      <c r="AL684" s="570"/>
      <c r="AN684" s="631"/>
      <c r="AO684" s="1943" t="b">
        <f>IF(Application!D211="Special Needs",IF(AY684&gt;=0.25,TRUE,FALSE),IF(AX684&gt;=0.25,TRUE,FALSE))</f>
        <v>0</v>
      </c>
      <c r="AP684" s="1943"/>
      <c r="AW684" s="22" t="s">
        <v>2546</v>
      </c>
      <c r="AX684" s="584">
        <f>IFERROR(AX683/AX679,0)</f>
        <v>5.8823529411764705E-2</v>
      </c>
      <c r="AY684" s="584">
        <f>IFERROR(AX683/(AX679-AX678),0)</f>
        <v>0.10869565217391304</v>
      </c>
    </row>
    <row r="685" spans="1:51" s="584" customFormat="1" ht="12.75" customHeight="1">
      <c r="B685" s="570"/>
      <c r="C685" s="975"/>
      <c r="E685" s="1928"/>
      <c r="F685" s="1928"/>
      <c r="G685" s="1928"/>
      <c r="H685" s="1928"/>
      <c r="I685" s="1928"/>
      <c r="J685" s="1928"/>
      <c r="K685" s="1928"/>
      <c r="L685" s="1928"/>
      <c r="M685" s="1928"/>
      <c r="N685" s="1928"/>
      <c r="O685" s="1928"/>
      <c r="P685" s="1928"/>
      <c r="Q685" s="1928"/>
      <c r="R685" s="1928"/>
      <c r="S685" s="1928"/>
      <c r="T685" s="1928"/>
      <c r="U685" s="1928"/>
      <c r="V685" s="1928"/>
      <c r="W685" s="1928"/>
      <c r="X685" s="1928"/>
      <c r="Y685" s="1928"/>
      <c r="Z685" s="1928"/>
      <c r="AA685" s="1928"/>
      <c r="AB685" s="1928"/>
      <c r="AC685" s="570"/>
      <c r="AD685" s="570"/>
      <c r="AE685" s="650"/>
      <c r="AF685" s="650"/>
      <c r="AG685" s="650"/>
      <c r="AH685" s="650"/>
      <c r="AI685" s="650"/>
      <c r="AJ685" s="650"/>
      <c r="AK685" s="650"/>
      <c r="AL685" s="650"/>
      <c r="AN685" s="631"/>
      <c r="AW685" s="14"/>
    </row>
    <row r="686" spans="1:51" s="584" customFormat="1" ht="28.5" customHeight="1">
      <c r="B686" s="570"/>
      <c r="C686" s="975"/>
      <c r="D686" s="570"/>
      <c r="E686" s="1928"/>
      <c r="F686" s="1928"/>
      <c r="G686" s="1928"/>
      <c r="H686" s="1928"/>
      <c r="I686" s="1928"/>
      <c r="J686" s="1928"/>
      <c r="K686" s="1928"/>
      <c r="L686" s="1928"/>
      <c r="M686" s="1928"/>
      <c r="N686" s="1928"/>
      <c r="O686" s="1928"/>
      <c r="P686" s="1928"/>
      <c r="Q686" s="1928"/>
      <c r="R686" s="1928"/>
      <c r="S686" s="1928"/>
      <c r="T686" s="1928"/>
      <c r="U686" s="1928"/>
      <c r="V686" s="1928"/>
      <c r="W686" s="1928"/>
      <c r="X686" s="1928"/>
      <c r="Y686" s="1928"/>
      <c r="Z686" s="1928"/>
      <c r="AA686" s="1928"/>
      <c r="AB686" s="1928"/>
      <c r="AC686" s="570"/>
      <c r="AD686" s="570"/>
      <c r="AE686" s="650"/>
      <c r="AF686" s="650"/>
      <c r="AG686" s="650"/>
      <c r="AH686" s="650"/>
      <c r="AI686" s="650"/>
      <c r="AJ686" s="650"/>
      <c r="AK686" s="650"/>
      <c r="AL686" s="650"/>
      <c r="AN686" s="631"/>
      <c r="AO686" s="584" t="s">
        <v>598</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695</v>
      </c>
      <c r="AP687" s="584">
        <v>2</v>
      </c>
    </row>
    <row r="688" spans="1:51" s="584" customFormat="1" ht="12.75" customHeight="1">
      <c r="B688" s="570"/>
      <c r="C688" s="966"/>
      <c r="D688" s="697" t="s">
        <v>278</v>
      </c>
      <c r="E688" s="1928" t="s">
        <v>2449</v>
      </c>
      <c r="F688" s="1928"/>
      <c r="G688" s="1928"/>
      <c r="H688" s="1928"/>
      <c r="I688" s="1928"/>
      <c r="J688" s="1928"/>
      <c r="K688" s="1928"/>
      <c r="L688" s="1928"/>
      <c r="M688" s="1928"/>
      <c r="N688" s="1928"/>
      <c r="O688" s="1928"/>
      <c r="P688" s="1928"/>
      <c r="Q688" s="1928"/>
      <c r="R688" s="1928"/>
      <c r="S688" s="1928"/>
      <c r="T688" s="1928"/>
      <c r="U688" s="1928"/>
      <c r="V688" s="1928"/>
      <c r="W688" s="1928"/>
      <c r="X688" s="1928"/>
      <c r="Y688" s="1928"/>
      <c r="Z688" s="1928"/>
      <c r="AA688" s="1928"/>
      <c r="AB688" s="1928"/>
      <c r="AC688" s="570"/>
      <c r="AD688" s="570"/>
      <c r="AE688" s="570"/>
      <c r="AF688" s="2008" t="s">
        <v>1514</v>
      </c>
      <c r="AG688" s="2008"/>
      <c r="AH688" s="2008"/>
      <c r="AI688" s="2008"/>
      <c r="AJ688" s="2008"/>
      <c r="AK688" s="2008"/>
      <c r="AL688" s="2008"/>
      <c r="AN688" s="631"/>
      <c r="AO688" s="645" t="s">
        <v>516</v>
      </c>
      <c r="AP688" s="584">
        <v>1</v>
      </c>
    </row>
    <row r="689" spans="1:42" s="584" customFormat="1" ht="12" customHeight="1">
      <c r="B689" s="570"/>
      <c r="C689" s="966"/>
      <c r="E689" s="1928"/>
      <c r="F689" s="1928"/>
      <c r="G689" s="1928"/>
      <c r="H689" s="1928"/>
      <c r="I689" s="1928"/>
      <c r="J689" s="1928"/>
      <c r="K689" s="1928"/>
      <c r="L689" s="1928"/>
      <c r="M689" s="1928"/>
      <c r="N689" s="1928"/>
      <c r="O689" s="1928"/>
      <c r="P689" s="1928"/>
      <c r="Q689" s="1928"/>
      <c r="R689" s="1928"/>
      <c r="S689" s="1928"/>
      <c r="T689" s="1928"/>
      <c r="U689" s="1928"/>
      <c r="V689" s="1928"/>
      <c r="W689" s="1928"/>
      <c r="X689" s="1928"/>
      <c r="Y689" s="1928"/>
      <c r="Z689" s="1928"/>
      <c r="AA689" s="1928"/>
      <c r="AB689" s="1928"/>
      <c r="AC689" s="570"/>
      <c r="AD689" s="570"/>
      <c r="AE689" s="650"/>
      <c r="AF689" s="570"/>
      <c r="AG689" s="570"/>
      <c r="AH689" s="570"/>
      <c r="AI689" s="570"/>
      <c r="AJ689" s="570"/>
      <c r="AK689" s="570"/>
      <c r="AL689" s="570"/>
      <c r="AN689" s="631"/>
    </row>
    <row r="690" spans="1:42" s="584" customFormat="1" ht="12" customHeight="1">
      <c r="B690" s="570"/>
      <c r="C690" s="966"/>
      <c r="D690" s="570"/>
      <c r="E690" s="1928"/>
      <c r="F690" s="1928"/>
      <c r="G690" s="1928"/>
      <c r="H690" s="1928"/>
      <c r="I690" s="1928"/>
      <c r="J690" s="1928"/>
      <c r="K690" s="1928"/>
      <c r="L690" s="1928"/>
      <c r="M690" s="1928"/>
      <c r="N690" s="1928"/>
      <c r="O690" s="1928"/>
      <c r="P690" s="1928"/>
      <c r="Q690" s="1928"/>
      <c r="R690" s="1928"/>
      <c r="S690" s="1928"/>
      <c r="T690" s="1928"/>
      <c r="U690" s="1928"/>
      <c r="V690" s="1928"/>
      <c r="W690" s="1928"/>
      <c r="X690" s="1928"/>
      <c r="Y690" s="1928"/>
      <c r="Z690" s="1928"/>
      <c r="AA690" s="1928"/>
      <c r="AB690" s="1928"/>
      <c r="AC690" s="570"/>
      <c r="AD690" s="570"/>
      <c r="AE690" s="650"/>
      <c r="AF690" s="570"/>
      <c r="AG690" s="570"/>
      <c r="AH690" s="570"/>
      <c r="AI690" s="570"/>
      <c r="AJ690" s="570"/>
      <c r="AK690" s="570"/>
      <c r="AL690" s="570"/>
      <c r="AN690" s="631"/>
    </row>
    <row r="691" spans="1:42" s="584" customFormat="1" ht="12" customHeight="1">
      <c r="B691" s="570"/>
      <c r="C691" s="966"/>
      <c r="D691" s="570"/>
      <c r="E691" s="1928"/>
      <c r="F691" s="1928"/>
      <c r="G691" s="1928"/>
      <c r="H691" s="1928"/>
      <c r="I691" s="1928"/>
      <c r="J691" s="1928"/>
      <c r="K691" s="1928"/>
      <c r="L691" s="1928"/>
      <c r="M691" s="1928"/>
      <c r="N691" s="1928"/>
      <c r="O691" s="1928"/>
      <c r="P691" s="1928"/>
      <c r="Q691" s="1928"/>
      <c r="R691" s="1928"/>
      <c r="S691" s="1928"/>
      <c r="T691" s="1928"/>
      <c r="U691" s="1928"/>
      <c r="V691" s="1928"/>
      <c r="W691" s="1928"/>
      <c r="X691" s="1928"/>
      <c r="Y691" s="1928"/>
      <c r="Z691" s="1928"/>
      <c r="AA691" s="1928"/>
      <c r="AB691" s="1928"/>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28"/>
      <c r="F692" s="1928"/>
      <c r="G692" s="1928"/>
      <c r="H692" s="1928"/>
      <c r="I692" s="1928"/>
      <c r="J692" s="1928"/>
      <c r="K692" s="1928"/>
      <c r="L692" s="1928"/>
      <c r="M692" s="1928"/>
      <c r="N692" s="1928"/>
      <c r="O692" s="1928"/>
      <c r="P692" s="1928"/>
      <c r="Q692" s="1928"/>
      <c r="R692" s="1928"/>
      <c r="S692" s="1928"/>
      <c r="T692" s="1928"/>
      <c r="U692" s="1928"/>
      <c r="V692" s="1928"/>
      <c r="W692" s="1928"/>
      <c r="X692" s="1928"/>
      <c r="Y692" s="1928"/>
      <c r="Z692" s="1928"/>
      <c r="AA692" s="1928"/>
      <c r="AB692" s="1928"/>
      <c r="AC692" s="570"/>
      <c r="AD692" s="570"/>
      <c r="AE692" s="650"/>
      <c r="AF692" s="650"/>
      <c r="AG692" s="650"/>
      <c r="AH692" s="650"/>
      <c r="AI692" s="650"/>
      <c r="AJ692" s="570"/>
      <c r="AK692" s="570"/>
      <c r="AL692" s="570"/>
      <c r="AM692" s="584"/>
      <c r="AN692" s="718"/>
      <c r="AO692" s="584" t="s">
        <v>598</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695</v>
      </c>
      <c r="AP693" s="584">
        <v>3</v>
      </c>
    </row>
    <row r="694" spans="1:42" s="604" customFormat="1" ht="12.75" customHeight="1">
      <c r="A694" s="584"/>
      <c r="B694" s="570"/>
      <c r="C694" s="966"/>
      <c r="D694" s="570"/>
      <c r="E694" s="1928" t="s">
        <v>1878</v>
      </c>
      <c r="F694" s="1928"/>
      <c r="G694" s="1928"/>
      <c r="H694" s="1928"/>
      <c r="I694" s="1928"/>
      <c r="J694" s="1928"/>
      <c r="K694" s="1928"/>
      <c r="L694" s="1928"/>
      <c r="M694" s="1928"/>
      <c r="N694" s="1928"/>
      <c r="O694" s="1928"/>
      <c r="P694" s="1928"/>
      <c r="Q694" s="1928"/>
      <c r="R694" s="1928"/>
      <c r="S694" s="1928"/>
      <c r="T694" s="1928"/>
      <c r="U694" s="1928"/>
      <c r="V694" s="1928"/>
      <c r="W694" s="1928"/>
      <c r="X694" s="1928"/>
      <c r="Y694" s="1928"/>
      <c r="Z694" s="1928"/>
      <c r="AA694" s="1928"/>
      <c r="AB694" s="1928"/>
      <c r="AC694" s="570"/>
      <c r="AD694" s="570"/>
      <c r="AE694" s="650"/>
      <c r="AF694" s="650"/>
      <c r="AG694" s="650"/>
      <c r="AH694" s="650"/>
      <c r="AI694" s="650"/>
      <c r="AJ694" s="570"/>
      <c r="AK694" s="570"/>
      <c r="AL694" s="570"/>
      <c r="AM694" s="584"/>
      <c r="AN694" s="718"/>
      <c r="AO694" s="645" t="s">
        <v>516</v>
      </c>
      <c r="AP694" s="584">
        <f>3*$AO$684</f>
        <v>0</v>
      </c>
    </row>
    <row r="695" spans="1:42" s="604" customFormat="1" ht="12.75" customHeight="1">
      <c r="A695" s="584"/>
      <c r="B695" s="570"/>
      <c r="C695" s="966"/>
      <c r="D695" s="570"/>
      <c r="E695" s="1928"/>
      <c r="F695" s="1928"/>
      <c r="G695" s="1928"/>
      <c r="H695" s="1928"/>
      <c r="I695" s="1928"/>
      <c r="J695" s="1928"/>
      <c r="K695" s="1928"/>
      <c r="L695" s="1928"/>
      <c r="M695" s="1928"/>
      <c r="N695" s="1928"/>
      <c r="O695" s="1928"/>
      <c r="P695" s="1928"/>
      <c r="Q695" s="1928"/>
      <c r="R695" s="1928"/>
      <c r="S695" s="1928"/>
      <c r="T695" s="1928"/>
      <c r="U695" s="1928"/>
      <c r="V695" s="1928"/>
      <c r="W695" s="1928"/>
      <c r="X695" s="1928"/>
      <c r="Y695" s="1928"/>
      <c r="Z695" s="1928"/>
      <c r="AA695" s="1928"/>
      <c r="AB695" s="1928"/>
      <c r="AC695" s="570"/>
      <c r="AD695" s="570"/>
      <c r="AE695" s="650"/>
      <c r="AF695" s="650"/>
      <c r="AG695" s="650"/>
      <c r="AH695" s="650"/>
      <c r="AI695" s="650"/>
      <c r="AJ695" s="570"/>
      <c r="AK695" s="570"/>
      <c r="AL695" s="570"/>
      <c r="AM695" s="584"/>
      <c r="AN695" s="718"/>
      <c r="AO695" s="645" t="s">
        <v>278</v>
      </c>
      <c r="AP695" s="584">
        <f>2*$AO$684</f>
        <v>0</v>
      </c>
    </row>
    <row r="696" spans="1:42" s="604" customFormat="1" ht="12.75" customHeight="1">
      <c r="A696" s="584"/>
      <c r="B696" s="570"/>
      <c r="C696" s="966"/>
      <c r="D696" s="570"/>
      <c r="E696" s="1928"/>
      <c r="F696" s="1928"/>
      <c r="G696" s="1928"/>
      <c r="H696" s="1928"/>
      <c r="I696" s="1928"/>
      <c r="J696" s="1928"/>
      <c r="K696" s="1928"/>
      <c r="L696" s="1928"/>
      <c r="M696" s="1928"/>
      <c r="N696" s="1928"/>
      <c r="O696" s="1928"/>
      <c r="P696" s="1928"/>
      <c r="Q696" s="1928"/>
      <c r="R696" s="1928"/>
      <c r="S696" s="1928"/>
      <c r="T696" s="1928"/>
      <c r="U696" s="1928"/>
      <c r="V696" s="1928"/>
      <c r="W696" s="1928"/>
      <c r="X696" s="1928"/>
      <c r="Y696" s="1928"/>
      <c r="Z696" s="1928"/>
      <c r="AA696" s="1928"/>
      <c r="AB696" s="1928"/>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1506</v>
      </c>
      <c r="E698" s="971"/>
      <c r="F698" s="971"/>
      <c r="G698" s="971"/>
      <c r="H698" s="1952" t="s">
        <v>695</v>
      </c>
      <c r="I698" s="1952"/>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1533</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1511</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2451</v>
      </c>
      <c r="AJ700" s="1935">
        <f>VLOOKUP($H$698,$AO$692:$AP$695,2,FALSE)</f>
        <v>3</v>
      </c>
      <c r="AK700" s="1937"/>
      <c r="AL700" s="629"/>
      <c r="AM700" s="584"/>
      <c r="AN700" s="718"/>
      <c r="AP700" s="604" t="s">
        <v>1518</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1534</v>
      </c>
    </row>
    <row r="702" spans="1:42" s="604" customFormat="1" ht="12.75" customHeight="1">
      <c r="A702" s="584"/>
      <c r="B702" s="570"/>
      <c r="C702" s="573" t="s">
        <v>1535</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1536</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1537</v>
      </c>
    </row>
    <row r="704" spans="1:42" s="604" customFormat="1" ht="12.75" customHeight="1">
      <c r="A704" s="671"/>
      <c r="B704" s="570"/>
      <c r="C704" s="966"/>
      <c r="D704" s="697" t="s">
        <v>695</v>
      </c>
      <c r="E704" s="2041" t="s">
        <v>1880</v>
      </c>
      <c r="F704" s="2041"/>
      <c r="G704" s="2041"/>
      <c r="H704" s="2041"/>
      <c r="I704" s="2041"/>
      <c r="J704" s="2041"/>
      <c r="K704" s="2041"/>
      <c r="L704" s="2041"/>
      <c r="M704" s="2041"/>
      <c r="N704" s="2041"/>
      <c r="O704" s="2041"/>
      <c r="P704" s="2041"/>
      <c r="Q704" s="2041"/>
      <c r="R704" s="2041"/>
      <c r="S704" s="2041"/>
      <c r="T704" s="2041"/>
      <c r="U704" s="2041"/>
      <c r="V704" s="2041"/>
      <c r="W704" s="2041"/>
      <c r="X704" s="2041"/>
      <c r="Y704" s="2041"/>
      <c r="Z704" s="2041"/>
      <c r="AA704" s="2041"/>
      <c r="AB704" s="2041"/>
      <c r="AC704" s="570"/>
      <c r="AD704" s="570"/>
      <c r="AE704" s="570"/>
      <c r="AF704" s="2008" t="s">
        <v>1458</v>
      </c>
      <c r="AG704" s="2008"/>
      <c r="AH704" s="2008"/>
      <c r="AI704" s="2008"/>
      <c r="AJ704" s="2008"/>
      <c r="AK704" s="2008"/>
      <c r="AL704" s="2008"/>
      <c r="AM704" s="584"/>
      <c r="AN704" s="718"/>
      <c r="AP704" s="604" t="s">
        <v>1538</v>
      </c>
    </row>
    <row r="705" spans="1:52" s="604" customFormat="1" ht="11.85" customHeight="1">
      <c r="A705" s="584"/>
      <c r="B705" s="570"/>
      <c r="C705" s="968"/>
      <c r="D705" s="697"/>
      <c r="E705" s="2041"/>
      <c r="F705" s="2041"/>
      <c r="G705" s="2041"/>
      <c r="H705" s="2041"/>
      <c r="I705" s="2041"/>
      <c r="J705" s="2041"/>
      <c r="K705" s="2041"/>
      <c r="L705" s="2041"/>
      <c r="M705" s="2041"/>
      <c r="N705" s="2041"/>
      <c r="O705" s="2041"/>
      <c r="P705" s="2041"/>
      <c r="Q705" s="2041"/>
      <c r="R705" s="2041"/>
      <c r="S705" s="2041"/>
      <c r="T705" s="2041"/>
      <c r="U705" s="2041"/>
      <c r="V705" s="2041"/>
      <c r="W705" s="2041"/>
      <c r="X705" s="2041"/>
      <c r="Y705" s="2041"/>
      <c r="Z705" s="2041"/>
      <c r="AA705" s="2041"/>
      <c r="AB705" s="2041"/>
      <c r="AC705" s="570"/>
      <c r="AD705" s="570"/>
      <c r="AE705" s="570"/>
      <c r="AF705" s="570"/>
      <c r="AG705" s="570"/>
      <c r="AH705" s="570"/>
      <c r="AI705" s="570"/>
      <c r="AJ705" s="570"/>
      <c r="AK705" s="570"/>
      <c r="AL705" s="570"/>
      <c r="AM705" s="584"/>
      <c r="AN705" s="718"/>
      <c r="AP705" s="604" t="s">
        <v>1539</v>
      </c>
    </row>
    <row r="706" spans="1:52" s="604" customFormat="1" ht="13.9" customHeight="1">
      <c r="A706" s="584"/>
      <c r="B706" s="644"/>
      <c r="C706" s="966"/>
      <c r="D706" s="697"/>
      <c r="E706" s="2041"/>
      <c r="F706" s="2041"/>
      <c r="G706" s="2041"/>
      <c r="H706" s="2041"/>
      <c r="I706" s="2041"/>
      <c r="J706" s="2041"/>
      <c r="K706" s="2041"/>
      <c r="L706" s="2041"/>
      <c r="M706" s="2041"/>
      <c r="N706" s="2041"/>
      <c r="O706" s="2041"/>
      <c r="P706" s="2041"/>
      <c r="Q706" s="2041"/>
      <c r="R706" s="2041"/>
      <c r="S706" s="2041"/>
      <c r="T706" s="2041"/>
      <c r="U706" s="2041"/>
      <c r="V706" s="2041"/>
      <c r="W706" s="2041"/>
      <c r="X706" s="2041"/>
      <c r="Y706" s="2041"/>
      <c r="Z706" s="2041"/>
      <c r="AA706" s="2041"/>
      <c r="AB706" s="2041"/>
      <c r="AC706" s="570"/>
      <c r="AD706" s="570"/>
      <c r="AE706" s="650"/>
      <c r="AF706" s="570"/>
      <c r="AG706" s="570"/>
      <c r="AH706" s="570"/>
      <c r="AI706" s="570"/>
      <c r="AJ706" s="570"/>
      <c r="AK706" s="570"/>
      <c r="AL706" s="570"/>
      <c r="AM706" s="584"/>
      <c r="AN706" s="718"/>
      <c r="AP706" s="604" t="s">
        <v>1540</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1542</v>
      </c>
    </row>
    <row r="708" spans="1:52" s="604" customFormat="1" ht="13.9" customHeight="1">
      <c r="A708" s="584"/>
      <c r="B708" s="570"/>
      <c r="C708" s="966"/>
      <c r="D708" s="697" t="s">
        <v>516</v>
      </c>
      <c r="E708" s="2042" t="s">
        <v>1541</v>
      </c>
      <c r="F708" s="2042"/>
      <c r="G708" s="2042"/>
      <c r="H708" s="2042"/>
      <c r="I708" s="2042"/>
      <c r="J708" s="2042"/>
      <c r="K708" s="2042"/>
      <c r="L708" s="2042"/>
      <c r="M708" s="2042"/>
      <c r="N708" s="2042"/>
      <c r="O708" s="2042"/>
      <c r="P708" s="2042"/>
      <c r="Q708" s="2042"/>
      <c r="R708" s="2042"/>
      <c r="S708" s="2042"/>
      <c r="T708" s="2042"/>
      <c r="U708" s="2042"/>
      <c r="V708" s="2042"/>
      <c r="W708" s="2042"/>
      <c r="X708" s="2042"/>
      <c r="Y708" s="2042"/>
      <c r="Z708" s="2042"/>
      <c r="AA708" s="2042"/>
      <c r="AB708" s="2042"/>
      <c r="AC708" s="570"/>
      <c r="AD708" s="570"/>
      <c r="AE708" s="570"/>
      <c r="AF708" s="2008" t="s">
        <v>1514</v>
      </c>
      <c r="AG708" s="2008"/>
      <c r="AH708" s="2008"/>
      <c r="AI708" s="2008"/>
      <c r="AJ708" s="2008"/>
      <c r="AK708" s="2008"/>
      <c r="AL708" s="2008"/>
      <c r="AM708" s="584"/>
      <c r="AN708" s="719"/>
    </row>
    <row r="709" spans="1:52" s="604" customFormat="1" ht="12.75" customHeight="1">
      <c r="A709" s="584"/>
      <c r="B709" s="570"/>
      <c r="C709" s="968"/>
      <c r="D709" s="570"/>
      <c r="E709" s="2042"/>
      <c r="F709" s="2042"/>
      <c r="G709" s="2042"/>
      <c r="H709" s="2042"/>
      <c r="I709" s="2042"/>
      <c r="J709" s="2042"/>
      <c r="K709" s="2042"/>
      <c r="L709" s="2042"/>
      <c r="M709" s="2042"/>
      <c r="N709" s="2042"/>
      <c r="O709" s="2042"/>
      <c r="P709" s="2042"/>
      <c r="Q709" s="2042"/>
      <c r="R709" s="2042"/>
      <c r="S709" s="2042"/>
      <c r="T709" s="2042"/>
      <c r="U709" s="2042"/>
      <c r="V709" s="2042"/>
      <c r="W709" s="2042"/>
      <c r="X709" s="2042"/>
      <c r="Y709" s="2042"/>
      <c r="Z709" s="2042"/>
      <c r="AA709" s="2042"/>
      <c r="AB709" s="2042"/>
      <c r="AC709" s="570"/>
      <c r="AD709" s="570"/>
      <c r="AE709" s="570"/>
      <c r="AF709" s="570"/>
      <c r="AG709" s="570"/>
      <c r="AH709" s="570"/>
      <c r="AI709" s="570"/>
      <c r="AJ709" s="570"/>
      <c r="AK709" s="570"/>
      <c r="AL709" s="570"/>
      <c r="AM709" s="584"/>
      <c r="AN709" s="718"/>
      <c r="AP709" s="584" t="s">
        <v>598</v>
      </c>
      <c r="AQ709" s="707">
        <v>0</v>
      </c>
    </row>
    <row r="710" spans="1:52" s="604" customFormat="1" ht="13.9" customHeight="1">
      <c r="A710" s="584"/>
      <c r="B710" s="570"/>
      <c r="C710" s="968"/>
      <c r="D710" s="570"/>
      <c r="E710" s="2042"/>
      <c r="F710" s="2042"/>
      <c r="G710" s="2042"/>
      <c r="H710" s="2042"/>
      <c r="I710" s="2042"/>
      <c r="J710" s="2042"/>
      <c r="K710" s="2042"/>
      <c r="L710" s="2042"/>
      <c r="M710" s="2042"/>
      <c r="N710" s="2042"/>
      <c r="O710" s="2042"/>
      <c r="P710" s="2042"/>
      <c r="Q710" s="2042"/>
      <c r="R710" s="2042"/>
      <c r="S710" s="2042"/>
      <c r="T710" s="2042"/>
      <c r="U710" s="2042"/>
      <c r="V710" s="2042"/>
      <c r="W710" s="2042"/>
      <c r="X710" s="2042"/>
      <c r="Y710" s="2042"/>
      <c r="Z710" s="2042"/>
      <c r="AA710" s="2042"/>
      <c r="AB710" s="2042"/>
      <c r="AC710" s="570"/>
      <c r="AD710" s="570"/>
      <c r="AE710" s="570"/>
      <c r="AF710" s="570"/>
      <c r="AG710" s="570"/>
      <c r="AH710" s="570"/>
      <c r="AI710" s="570"/>
      <c r="AJ710" s="570"/>
      <c r="AK710" s="570"/>
      <c r="AL710" s="570"/>
      <c r="AM710" s="584"/>
      <c r="AN710" s="718"/>
      <c r="AP710" s="645" t="s">
        <v>695</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516</v>
      </c>
      <c r="AQ711" s="584">
        <v>2</v>
      </c>
    </row>
    <row r="712" spans="1:52" s="604" customFormat="1" ht="13.9" customHeight="1">
      <c r="A712" s="584"/>
      <c r="B712" s="570"/>
      <c r="C712" s="968"/>
      <c r="D712" s="570" t="s">
        <v>1506</v>
      </c>
      <c r="E712" s="971"/>
      <c r="F712" s="971"/>
      <c r="G712" s="971"/>
      <c r="H712" s="1952" t="s">
        <v>598</v>
      </c>
      <c r="I712" s="1952"/>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1543</v>
      </c>
      <c r="AJ714" s="1935">
        <f>VLOOKUP($H$712,$AP$709:$AQ$711,2,FALSE)</f>
        <v>0</v>
      </c>
      <c r="AK714" s="1937"/>
      <c r="AL714" s="629"/>
      <c r="AM714" s="584"/>
      <c r="AN714" s="718"/>
      <c r="AP714" s="1935"/>
      <c r="AQ714" s="1937"/>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1544</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695</v>
      </c>
      <c r="E718" s="1928" t="s">
        <v>1881</v>
      </c>
      <c r="F718" s="1928"/>
      <c r="G718" s="1928"/>
      <c r="H718" s="1928"/>
      <c r="I718" s="1928"/>
      <c r="J718" s="1928"/>
      <c r="K718" s="1928"/>
      <c r="L718" s="1928"/>
      <c r="M718" s="1928"/>
      <c r="N718" s="1928"/>
      <c r="O718" s="1928"/>
      <c r="P718" s="1928"/>
      <c r="Q718" s="1928"/>
      <c r="R718" s="1928"/>
      <c r="S718" s="1928"/>
      <c r="T718" s="1928"/>
      <c r="U718" s="1928"/>
      <c r="V718" s="1928"/>
      <c r="W718" s="1928"/>
      <c r="X718" s="1928"/>
      <c r="Y718" s="1928"/>
      <c r="Z718" s="1928"/>
      <c r="AA718" s="1928"/>
      <c r="AB718" s="1928"/>
      <c r="AC718" s="570"/>
      <c r="AD718" s="570"/>
      <c r="AE718" s="570"/>
      <c r="AF718" s="2008" t="s">
        <v>1458</v>
      </c>
      <c r="AG718" s="2008"/>
      <c r="AH718" s="2008"/>
      <c r="AI718" s="2008"/>
      <c r="AJ718" s="2008"/>
      <c r="AK718" s="2008"/>
      <c r="AL718" s="2008"/>
      <c r="AM718" s="584"/>
      <c r="AN718" s="718"/>
      <c r="AT718" s="14"/>
      <c r="AU718" s="14"/>
      <c r="AV718" s="14"/>
      <c r="AW718" s="14"/>
      <c r="AX718" s="14"/>
      <c r="AY718" s="14"/>
      <c r="AZ718" s="14"/>
    </row>
    <row r="719" spans="1:52" s="604" customFormat="1">
      <c r="A719" s="584"/>
      <c r="B719" s="570"/>
      <c r="C719" s="968"/>
      <c r="D719" s="697"/>
      <c r="E719" s="1928"/>
      <c r="F719" s="1928"/>
      <c r="G719" s="1928"/>
      <c r="H719" s="1928"/>
      <c r="I719" s="1928"/>
      <c r="J719" s="1928"/>
      <c r="K719" s="1928"/>
      <c r="L719" s="1928"/>
      <c r="M719" s="1928"/>
      <c r="N719" s="1928"/>
      <c r="O719" s="1928"/>
      <c r="P719" s="1928"/>
      <c r="Q719" s="1928"/>
      <c r="R719" s="1928"/>
      <c r="S719" s="1928"/>
      <c r="T719" s="1928"/>
      <c r="U719" s="1928"/>
      <c r="V719" s="1928"/>
      <c r="W719" s="1928"/>
      <c r="X719" s="1928"/>
      <c r="Y719" s="1928"/>
      <c r="Z719" s="1928"/>
      <c r="AA719" s="1928"/>
      <c r="AB719" s="1928"/>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516</v>
      </c>
      <c r="E721" s="1928" t="s">
        <v>1545</v>
      </c>
      <c r="F721" s="1928"/>
      <c r="G721" s="1928"/>
      <c r="H721" s="1928"/>
      <c r="I721" s="1928"/>
      <c r="J721" s="1928"/>
      <c r="K721" s="1928"/>
      <c r="L721" s="1928"/>
      <c r="M721" s="1928"/>
      <c r="N721" s="1928"/>
      <c r="O721" s="1928"/>
      <c r="P721" s="1928"/>
      <c r="Q721" s="1928"/>
      <c r="R721" s="1928"/>
      <c r="S721" s="1928"/>
      <c r="T721" s="1928"/>
      <c r="U721" s="1928"/>
      <c r="V721" s="1928"/>
      <c r="W721" s="1928"/>
      <c r="X721" s="1928"/>
      <c r="Y721" s="1928"/>
      <c r="Z721" s="1928"/>
      <c r="AA721" s="1928"/>
      <c r="AB721" s="1928"/>
      <c r="AC721" s="570"/>
      <c r="AD721" s="570"/>
      <c r="AE721" s="570"/>
      <c r="AF721" s="2008" t="s">
        <v>1514</v>
      </c>
      <c r="AG721" s="2008"/>
      <c r="AH721" s="2008"/>
      <c r="AI721" s="2008"/>
      <c r="AJ721" s="2008"/>
      <c r="AK721" s="2008"/>
      <c r="AL721" s="2008"/>
      <c r="AM721" s="584"/>
      <c r="AN721" s="718"/>
      <c r="AT721" s="14"/>
      <c r="AU721" s="14"/>
      <c r="AV721" s="14"/>
      <c r="AW721" s="14"/>
      <c r="AX721" s="14"/>
      <c r="AY721" s="14"/>
      <c r="AZ721" s="14"/>
    </row>
    <row r="722" spans="1:81" s="604" customFormat="1">
      <c r="A722" s="584"/>
      <c r="B722" s="570"/>
      <c r="C722" s="968"/>
      <c r="D722" s="570"/>
      <c r="E722" s="1928"/>
      <c r="F722" s="1928"/>
      <c r="G722" s="1928"/>
      <c r="H722" s="1928"/>
      <c r="I722" s="1928"/>
      <c r="J722" s="1928"/>
      <c r="K722" s="1928"/>
      <c r="L722" s="1928"/>
      <c r="M722" s="1928"/>
      <c r="N722" s="1928"/>
      <c r="O722" s="1928"/>
      <c r="P722" s="1928"/>
      <c r="Q722" s="1928"/>
      <c r="R722" s="1928"/>
      <c r="S722" s="1928"/>
      <c r="T722" s="1928"/>
      <c r="U722" s="1928"/>
      <c r="V722" s="1928"/>
      <c r="W722" s="1928"/>
      <c r="X722" s="1928"/>
      <c r="Y722" s="1928"/>
      <c r="Z722" s="1928"/>
      <c r="AA722" s="1928"/>
      <c r="AB722" s="1928"/>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1506</v>
      </c>
      <c r="E724" s="971"/>
      <c r="F724" s="971"/>
      <c r="G724" s="971"/>
      <c r="H724" s="1952" t="s">
        <v>695</v>
      </c>
      <c r="I724" s="1952"/>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1546</v>
      </c>
      <c r="AJ726" s="1935">
        <f>VLOOKUP($H$724,$AO$655:$AP$657,2,FALSE)</f>
        <v>3</v>
      </c>
      <c r="AK726" s="1937"/>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1547</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695</v>
      </c>
      <c r="E730" s="1928" t="s">
        <v>1548</v>
      </c>
      <c r="F730" s="1928"/>
      <c r="G730" s="1928"/>
      <c r="H730" s="1928"/>
      <c r="I730" s="1928"/>
      <c r="J730" s="1928"/>
      <c r="K730" s="1928"/>
      <c r="L730" s="1928"/>
      <c r="M730" s="1928"/>
      <c r="N730" s="1928"/>
      <c r="O730" s="1928"/>
      <c r="P730" s="1928"/>
      <c r="Q730" s="1928"/>
      <c r="R730" s="1928"/>
      <c r="S730" s="1928"/>
      <c r="T730" s="1928"/>
      <c r="U730" s="1928"/>
      <c r="V730" s="1928"/>
      <c r="W730" s="1928"/>
      <c r="X730" s="1928"/>
      <c r="Y730" s="1928"/>
      <c r="Z730" s="1928"/>
      <c r="AA730" s="1928"/>
      <c r="AB730" s="1928"/>
      <c r="AC730" s="570"/>
      <c r="AD730" s="570"/>
      <c r="AE730" s="570"/>
      <c r="AF730" s="2008" t="s">
        <v>1458</v>
      </c>
      <c r="AG730" s="2008"/>
      <c r="AH730" s="2008"/>
      <c r="AI730" s="2008"/>
      <c r="AJ730" s="2008"/>
      <c r="AK730" s="2008"/>
      <c r="AL730" s="2008"/>
      <c r="AM730" s="584"/>
      <c r="AN730" s="718"/>
      <c r="AT730" s="14"/>
      <c r="AU730" s="14"/>
      <c r="AV730" s="14"/>
      <c r="AW730" s="14"/>
      <c r="AX730" s="14"/>
      <c r="AY730" s="14"/>
      <c r="AZ730" s="14"/>
    </row>
    <row r="731" spans="1:81" s="604" customFormat="1">
      <c r="A731" s="584"/>
      <c r="B731" s="570"/>
      <c r="C731" s="966"/>
      <c r="D731" s="697"/>
      <c r="E731" s="1928"/>
      <c r="F731" s="1928"/>
      <c r="G731" s="1928"/>
      <c r="H731" s="1928"/>
      <c r="I731" s="1928"/>
      <c r="J731" s="1928"/>
      <c r="K731" s="1928"/>
      <c r="L731" s="1928"/>
      <c r="M731" s="1928"/>
      <c r="N731" s="1928"/>
      <c r="O731" s="1928"/>
      <c r="P731" s="1928"/>
      <c r="Q731" s="1928"/>
      <c r="R731" s="1928"/>
      <c r="S731" s="1928"/>
      <c r="T731" s="1928"/>
      <c r="U731" s="1928"/>
      <c r="V731" s="1928"/>
      <c r="W731" s="1928"/>
      <c r="X731" s="1928"/>
      <c r="Y731" s="1928"/>
      <c r="Z731" s="1928"/>
      <c r="AA731" s="1928"/>
      <c r="AB731" s="1928"/>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28"/>
      <c r="F732" s="1928"/>
      <c r="G732" s="1928"/>
      <c r="H732" s="1928"/>
      <c r="I732" s="1928"/>
      <c r="J732" s="1928"/>
      <c r="K732" s="1928"/>
      <c r="L732" s="1928"/>
      <c r="M732" s="1928"/>
      <c r="N732" s="1928"/>
      <c r="O732" s="1928"/>
      <c r="P732" s="1928"/>
      <c r="Q732" s="1928"/>
      <c r="R732" s="1928"/>
      <c r="S732" s="1928"/>
      <c r="T732" s="1928"/>
      <c r="U732" s="1928"/>
      <c r="V732" s="1928"/>
      <c r="W732" s="1928"/>
      <c r="X732" s="1928"/>
      <c r="Y732" s="1928"/>
      <c r="Z732" s="1928"/>
      <c r="AA732" s="1928"/>
      <c r="AB732" s="1928"/>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28"/>
      <c r="F733" s="1928"/>
      <c r="G733" s="1928"/>
      <c r="H733" s="1928"/>
      <c r="I733" s="1928"/>
      <c r="J733" s="1928"/>
      <c r="K733" s="1928"/>
      <c r="L733" s="1928"/>
      <c r="M733" s="1928"/>
      <c r="N733" s="1928"/>
      <c r="O733" s="1928"/>
      <c r="P733" s="1928"/>
      <c r="Q733" s="1928"/>
      <c r="R733" s="1928"/>
      <c r="S733" s="1928"/>
      <c r="T733" s="1928"/>
      <c r="U733" s="1928"/>
      <c r="V733" s="1928"/>
      <c r="W733" s="1928"/>
      <c r="X733" s="1928"/>
      <c r="Y733" s="1928"/>
      <c r="Z733" s="1928"/>
      <c r="AA733" s="1928"/>
      <c r="AB733" s="1928"/>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516</v>
      </c>
      <c r="E735" s="1928" t="s">
        <v>1549</v>
      </c>
      <c r="F735" s="1928"/>
      <c r="G735" s="1928"/>
      <c r="H735" s="1928"/>
      <c r="I735" s="1928"/>
      <c r="J735" s="1928"/>
      <c r="K735" s="1928"/>
      <c r="L735" s="1928"/>
      <c r="M735" s="1928"/>
      <c r="N735" s="1928"/>
      <c r="O735" s="1928"/>
      <c r="P735" s="1928"/>
      <c r="Q735" s="1928"/>
      <c r="R735" s="1928"/>
      <c r="S735" s="1928"/>
      <c r="T735" s="1928"/>
      <c r="U735" s="1928"/>
      <c r="V735" s="1928"/>
      <c r="W735" s="1928"/>
      <c r="X735" s="1928"/>
      <c r="Y735" s="1928"/>
      <c r="Z735" s="1928"/>
      <c r="AA735" s="1928"/>
      <c r="AB735" s="609"/>
      <c r="AC735" s="570"/>
      <c r="AD735" s="570"/>
      <c r="AE735" s="570"/>
      <c r="AF735" s="2008" t="s">
        <v>1514</v>
      </c>
      <c r="AG735" s="2008"/>
      <c r="AH735" s="2008"/>
      <c r="AI735" s="2008"/>
      <c r="AJ735" s="2008"/>
      <c r="AK735" s="2008"/>
      <c r="AL735" s="2008"/>
      <c r="AM735" s="584"/>
      <c r="AN735" s="718"/>
      <c r="AO735" s="30"/>
      <c r="AP735" s="14"/>
    </row>
    <row r="736" spans="1:81" s="604" customFormat="1">
      <c r="A736" s="584"/>
      <c r="B736" s="570"/>
      <c r="C736" s="966"/>
      <c r="D736" s="697"/>
      <c r="E736" s="1928"/>
      <c r="F736" s="1928"/>
      <c r="G736" s="1928"/>
      <c r="H736" s="1928"/>
      <c r="I736" s="1928"/>
      <c r="J736" s="1928"/>
      <c r="K736" s="1928"/>
      <c r="L736" s="1928"/>
      <c r="M736" s="1928"/>
      <c r="N736" s="1928"/>
      <c r="O736" s="1928"/>
      <c r="P736" s="1928"/>
      <c r="Q736" s="1928"/>
      <c r="R736" s="1928"/>
      <c r="S736" s="1928"/>
      <c r="T736" s="1928"/>
      <c r="U736" s="1928"/>
      <c r="V736" s="1928"/>
      <c r="W736" s="1928"/>
      <c r="X736" s="1928"/>
      <c r="Y736" s="1928"/>
      <c r="Z736" s="1928"/>
      <c r="AA736" s="1928"/>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28"/>
      <c r="F737" s="1928"/>
      <c r="G737" s="1928"/>
      <c r="H737" s="1928"/>
      <c r="I737" s="1928"/>
      <c r="J737" s="1928"/>
      <c r="K737" s="1928"/>
      <c r="L737" s="1928"/>
      <c r="M737" s="1928"/>
      <c r="N737" s="1928"/>
      <c r="O737" s="1928"/>
      <c r="P737" s="1928"/>
      <c r="Q737" s="1928"/>
      <c r="R737" s="1928"/>
      <c r="S737" s="1928"/>
      <c r="T737" s="1928"/>
      <c r="U737" s="1928"/>
      <c r="V737" s="1928"/>
      <c r="W737" s="1928"/>
      <c r="X737" s="1928"/>
      <c r="Y737" s="1928"/>
      <c r="Z737" s="1928"/>
      <c r="AA737" s="1928"/>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28"/>
      <c r="F738" s="1928"/>
      <c r="G738" s="1928"/>
      <c r="H738" s="1928"/>
      <c r="I738" s="1928"/>
      <c r="J738" s="1928"/>
      <c r="K738" s="1928"/>
      <c r="L738" s="1928"/>
      <c r="M738" s="1928"/>
      <c r="N738" s="1928"/>
      <c r="O738" s="1928"/>
      <c r="P738" s="1928"/>
      <c r="Q738" s="1928"/>
      <c r="R738" s="1928"/>
      <c r="S738" s="1928"/>
      <c r="T738" s="1928"/>
      <c r="U738" s="1928"/>
      <c r="V738" s="1928"/>
      <c r="W738" s="1928"/>
      <c r="X738" s="1928"/>
      <c r="Y738" s="1928"/>
      <c r="Z738" s="1928"/>
      <c r="AA738" s="1928"/>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1506</v>
      </c>
      <c r="E740" s="971"/>
      <c r="F740" s="971"/>
      <c r="G740" s="971"/>
      <c r="H740" s="1952" t="s">
        <v>695</v>
      </c>
      <c r="I740" s="1952"/>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1550</v>
      </c>
      <c r="AJ742" s="1935">
        <f>VLOOKUP($H$740,$AO$669:$AP$671,2,FALSE)</f>
        <v>3</v>
      </c>
      <c r="AK742" s="1937"/>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1540</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695</v>
      </c>
      <c r="E746" s="1928" t="s">
        <v>1551</v>
      </c>
      <c r="F746" s="1928"/>
      <c r="G746" s="1928"/>
      <c r="H746" s="1928"/>
      <c r="I746" s="1928"/>
      <c r="J746" s="1928"/>
      <c r="K746" s="1928"/>
      <c r="L746" s="1928"/>
      <c r="M746" s="1928"/>
      <c r="N746" s="1928"/>
      <c r="O746" s="1928"/>
      <c r="P746" s="1928"/>
      <c r="Q746" s="1928"/>
      <c r="R746" s="1928"/>
      <c r="S746" s="1928"/>
      <c r="T746" s="1928"/>
      <c r="U746" s="1928"/>
      <c r="V746" s="1928"/>
      <c r="W746" s="1928"/>
      <c r="X746" s="1928"/>
      <c r="Y746" s="1928"/>
      <c r="Z746" s="1928"/>
      <c r="AA746" s="1928"/>
      <c r="AB746" s="1928"/>
      <c r="AC746" s="570"/>
      <c r="AD746" s="570"/>
      <c r="AE746" s="570"/>
      <c r="AF746" s="2008" t="s">
        <v>1514</v>
      </c>
      <c r="AG746" s="2008"/>
      <c r="AH746" s="2008"/>
      <c r="AI746" s="2008"/>
      <c r="AJ746" s="2008"/>
      <c r="AK746" s="2008"/>
      <c r="AL746" s="2008"/>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28"/>
      <c r="F747" s="1928"/>
      <c r="G747" s="1928"/>
      <c r="H747" s="1928"/>
      <c r="I747" s="1928"/>
      <c r="J747" s="1928"/>
      <c r="K747" s="1928"/>
      <c r="L747" s="1928"/>
      <c r="M747" s="1928"/>
      <c r="N747" s="1928"/>
      <c r="O747" s="1928"/>
      <c r="P747" s="1928"/>
      <c r="Q747" s="1928"/>
      <c r="R747" s="1928"/>
      <c r="S747" s="1928"/>
      <c r="T747" s="1928"/>
      <c r="U747" s="1928"/>
      <c r="V747" s="1928"/>
      <c r="W747" s="1928"/>
      <c r="X747" s="1928"/>
      <c r="Y747" s="1928"/>
      <c r="Z747" s="1928"/>
      <c r="AA747" s="1928"/>
      <c r="AB747" s="1928"/>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516</v>
      </c>
      <c r="E749" s="1928" t="s">
        <v>1552</v>
      </c>
      <c r="F749" s="1928"/>
      <c r="G749" s="1928"/>
      <c r="H749" s="1928"/>
      <c r="I749" s="1928"/>
      <c r="J749" s="1928"/>
      <c r="K749" s="1928"/>
      <c r="L749" s="1928"/>
      <c r="M749" s="1928"/>
      <c r="N749" s="1928"/>
      <c r="O749" s="1928"/>
      <c r="P749" s="1928"/>
      <c r="Q749" s="1928"/>
      <c r="R749" s="1928"/>
      <c r="S749" s="1928"/>
      <c r="T749" s="1928"/>
      <c r="U749" s="1928"/>
      <c r="V749" s="1928"/>
      <c r="W749" s="1928"/>
      <c r="X749" s="1928"/>
      <c r="Y749" s="1928"/>
      <c r="Z749" s="1928"/>
      <c r="AA749" s="1928"/>
      <c r="AB749" s="1928"/>
      <c r="AC749" s="570"/>
      <c r="AD749" s="570"/>
      <c r="AE749" s="570"/>
      <c r="AF749" s="2008" t="s">
        <v>1531</v>
      </c>
      <c r="AG749" s="2008"/>
      <c r="AH749" s="2008"/>
      <c r="AI749" s="2008"/>
      <c r="AJ749" s="2008"/>
      <c r="AK749" s="2008"/>
      <c r="AL749" s="2008"/>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28"/>
      <c r="F750" s="1928"/>
      <c r="G750" s="1928"/>
      <c r="H750" s="1928"/>
      <c r="I750" s="1928"/>
      <c r="J750" s="1928"/>
      <c r="K750" s="1928"/>
      <c r="L750" s="1928"/>
      <c r="M750" s="1928"/>
      <c r="N750" s="1928"/>
      <c r="O750" s="1928"/>
      <c r="P750" s="1928"/>
      <c r="Q750" s="1928"/>
      <c r="R750" s="1928"/>
      <c r="S750" s="1928"/>
      <c r="T750" s="1928"/>
      <c r="U750" s="1928"/>
      <c r="V750" s="1928"/>
      <c r="W750" s="1928"/>
      <c r="X750" s="1928"/>
      <c r="Y750" s="1928"/>
      <c r="Z750" s="1928"/>
      <c r="AA750" s="1928"/>
      <c r="AB750" s="1928"/>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1506</v>
      </c>
      <c r="E752" s="971"/>
      <c r="F752" s="971"/>
      <c r="G752" s="971"/>
      <c r="H752" s="1952" t="s">
        <v>695</v>
      </c>
      <c r="I752" s="1952"/>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1553</v>
      </c>
      <c r="AJ754" s="1935">
        <f>VLOOKUP($H$752,$AO$686:$AP$688,2,FALSE)</f>
        <v>2</v>
      </c>
      <c r="AK754" s="1937"/>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1542</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695</v>
      </c>
      <c r="E758" s="1928" t="s">
        <v>1877</v>
      </c>
      <c r="F758" s="1928"/>
      <c r="G758" s="1928"/>
      <c r="H758" s="1928"/>
      <c r="I758" s="1928"/>
      <c r="J758" s="1928"/>
      <c r="K758" s="1928"/>
      <c r="L758" s="1928"/>
      <c r="M758" s="1928"/>
      <c r="N758" s="1928"/>
      <c r="O758" s="1928"/>
      <c r="P758" s="1928"/>
      <c r="Q758" s="1928"/>
      <c r="R758" s="1928"/>
      <c r="S758" s="1928"/>
      <c r="T758" s="1928"/>
      <c r="U758" s="1928"/>
      <c r="V758" s="1928"/>
      <c r="W758" s="1928"/>
      <c r="X758" s="1928"/>
      <c r="Y758" s="1928"/>
      <c r="Z758" s="1928"/>
      <c r="AA758" s="1928"/>
      <c r="AB758" s="1928"/>
      <c r="AC758" s="1928"/>
      <c r="AD758" s="1928"/>
      <c r="AE758" s="570"/>
      <c r="AF758" s="2008" t="s">
        <v>1514</v>
      </c>
      <c r="AG758" s="2008"/>
      <c r="AH758" s="2008"/>
      <c r="AI758" s="2008"/>
      <c r="AJ758" s="2008"/>
      <c r="AK758" s="2008"/>
      <c r="AL758" s="2008"/>
      <c r="AM758" s="647"/>
      <c r="AN758" s="718"/>
      <c r="AO758" s="584" t="s">
        <v>598</v>
      </c>
      <c r="AP758" s="707">
        <v>0</v>
      </c>
    </row>
    <row r="759" spans="1:74" s="604" customFormat="1" ht="13.7" customHeight="1">
      <c r="A759" s="584"/>
      <c r="B759" s="650"/>
      <c r="C759" s="975"/>
      <c r="D759" s="697"/>
      <c r="E759" s="1928"/>
      <c r="F759" s="1928"/>
      <c r="G759" s="1928"/>
      <c r="H759" s="1928"/>
      <c r="I759" s="1928"/>
      <c r="J759" s="1928"/>
      <c r="K759" s="1928"/>
      <c r="L759" s="1928"/>
      <c r="M759" s="1928"/>
      <c r="N759" s="1928"/>
      <c r="O759" s="1928"/>
      <c r="P759" s="1928"/>
      <c r="Q759" s="1928"/>
      <c r="R759" s="1928"/>
      <c r="S759" s="1928"/>
      <c r="T759" s="1928"/>
      <c r="U759" s="1928"/>
      <c r="V759" s="1928"/>
      <c r="W759" s="1928"/>
      <c r="X759" s="1928"/>
      <c r="Y759" s="1928"/>
      <c r="Z759" s="1928"/>
      <c r="AA759" s="1928"/>
      <c r="AB759" s="1928"/>
      <c r="AC759" s="1928"/>
      <c r="AD759" s="1928"/>
      <c r="AE759" s="570"/>
      <c r="AF759" s="628"/>
      <c r="AG759" s="628"/>
      <c r="AH759" s="628"/>
      <c r="AI759" s="628"/>
      <c r="AJ759" s="628"/>
      <c r="AK759" s="628"/>
      <c r="AL759" s="628"/>
      <c r="AM759" s="647"/>
      <c r="AN759" s="718"/>
      <c r="AO759" s="645" t="s">
        <v>695</v>
      </c>
      <c r="AP759" s="584">
        <v>2</v>
      </c>
    </row>
    <row r="760" spans="1:74" s="604" customFormat="1">
      <c r="A760" s="584"/>
      <c r="B760" s="650"/>
      <c r="C760" s="975"/>
      <c r="D760" s="697"/>
      <c r="E760" s="1928"/>
      <c r="F760" s="1928"/>
      <c r="G760" s="1928"/>
      <c r="H760" s="1928"/>
      <c r="I760" s="1928"/>
      <c r="J760" s="1928"/>
      <c r="K760" s="1928"/>
      <c r="L760" s="1928"/>
      <c r="M760" s="1928"/>
      <c r="N760" s="1928"/>
      <c r="O760" s="1928"/>
      <c r="P760" s="1928"/>
      <c r="Q760" s="1928"/>
      <c r="R760" s="1928"/>
      <c r="S760" s="1928"/>
      <c r="T760" s="1928"/>
      <c r="U760" s="1928"/>
      <c r="V760" s="1928"/>
      <c r="W760" s="1928"/>
      <c r="X760" s="1928"/>
      <c r="Y760" s="1928"/>
      <c r="Z760" s="1928"/>
      <c r="AA760" s="1928"/>
      <c r="AB760" s="1928"/>
      <c r="AC760" s="1928"/>
      <c r="AD760" s="1928"/>
      <c r="AE760" s="570"/>
      <c r="AF760" s="570"/>
      <c r="AG760" s="570"/>
      <c r="AH760" s="570"/>
      <c r="AI760" s="570"/>
      <c r="AJ760" s="570"/>
      <c r="AK760" s="570"/>
      <c r="AL760" s="628"/>
      <c r="AM760" s="647"/>
      <c r="AN760" s="568"/>
      <c r="AO760" s="645" t="s">
        <v>516</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28"/>
      <c r="F761" s="1928"/>
      <c r="G761" s="1928"/>
      <c r="H761" s="1928"/>
      <c r="I761" s="1928"/>
      <c r="J761" s="1928"/>
      <c r="K761" s="1928"/>
      <c r="L761" s="1928"/>
      <c r="M761" s="1928"/>
      <c r="N761" s="1928"/>
      <c r="O761" s="1928"/>
      <c r="P761" s="1928"/>
      <c r="Q761" s="1928"/>
      <c r="R761" s="1928"/>
      <c r="S761" s="1928"/>
      <c r="T761" s="1928"/>
      <c r="U761" s="1928"/>
      <c r="V761" s="1928"/>
      <c r="W761" s="1928"/>
      <c r="X761" s="1928"/>
      <c r="Y761" s="1928"/>
      <c r="Z761" s="1928"/>
      <c r="AA761" s="1928"/>
      <c r="AB761" s="1928"/>
      <c r="AC761" s="1928"/>
      <c r="AD761" s="1928"/>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516</v>
      </c>
      <c r="E763" s="2040" t="s">
        <v>1882</v>
      </c>
      <c r="F763" s="2040"/>
      <c r="G763" s="2040"/>
      <c r="H763" s="2040"/>
      <c r="I763" s="2040"/>
      <c r="J763" s="2040"/>
      <c r="K763" s="2040"/>
      <c r="L763" s="2040"/>
      <c r="M763" s="2040"/>
      <c r="N763" s="2040"/>
      <c r="O763" s="2040"/>
      <c r="P763" s="2040"/>
      <c r="Q763" s="2040"/>
      <c r="R763" s="2040"/>
      <c r="S763" s="2040"/>
      <c r="T763" s="2040"/>
      <c r="U763" s="2040"/>
      <c r="V763" s="2040"/>
      <c r="W763" s="2040"/>
      <c r="X763" s="2040"/>
      <c r="Y763" s="2040"/>
      <c r="Z763" s="2040"/>
      <c r="AA763" s="2040"/>
      <c r="AB763" s="2040"/>
      <c r="AC763" s="2040"/>
      <c r="AD763" s="2040"/>
      <c r="AE763" s="570"/>
      <c r="AF763" s="2008" t="s">
        <v>1458</v>
      </c>
      <c r="AG763" s="2008"/>
      <c r="AH763" s="2008"/>
      <c r="AI763" s="2008"/>
      <c r="AJ763" s="2008"/>
      <c r="AK763" s="2008"/>
      <c r="AL763" s="2008"/>
      <c r="AM763" s="647"/>
      <c r="AN763" s="631"/>
    </row>
    <row r="764" spans="1:74" s="584" customFormat="1" ht="12.75" customHeight="1">
      <c r="B764" s="650"/>
      <c r="C764" s="975"/>
      <c r="D764" s="697"/>
      <c r="E764" s="2040"/>
      <c r="F764" s="2040"/>
      <c r="G764" s="2040"/>
      <c r="H764" s="2040"/>
      <c r="I764" s="2040"/>
      <c r="J764" s="2040"/>
      <c r="K764" s="2040"/>
      <c r="L764" s="2040"/>
      <c r="M764" s="2040"/>
      <c r="N764" s="2040"/>
      <c r="O764" s="2040"/>
      <c r="P764" s="2040"/>
      <c r="Q764" s="2040"/>
      <c r="R764" s="2040"/>
      <c r="S764" s="2040"/>
      <c r="T764" s="2040"/>
      <c r="U764" s="2040"/>
      <c r="V764" s="2040"/>
      <c r="W764" s="2040"/>
      <c r="X764" s="2040"/>
      <c r="Y764" s="2040"/>
      <c r="Z764" s="2040"/>
      <c r="AA764" s="2040"/>
      <c r="AB764" s="2040"/>
      <c r="AC764" s="2040"/>
      <c r="AD764" s="2040"/>
      <c r="AE764" s="628"/>
      <c r="AF764" s="628"/>
      <c r="AG764" s="628"/>
      <c r="AH764" s="628"/>
      <c r="AI764" s="628"/>
      <c r="AJ764" s="628"/>
      <c r="AK764" s="628"/>
      <c r="AL764" s="628"/>
      <c r="AM764" s="647"/>
      <c r="AN764" s="631"/>
    </row>
    <row r="765" spans="1:74" s="584" customFormat="1" ht="12.75" customHeight="1">
      <c r="B765" s="650"/>
      <c r="C765" s="975"/>
      <c r="D765" s="697"/>
      <c r="E765" s="2040"/>
      <c r="F765" s="2040"/>
      <c r="G765" s="2040"/>
      <c r="H765" s="2040"/>
      <c r="I765" s="2040"/>
      <c r="J765" s="2040"/>
      <c r="K765" s="2040"/>
      <c r="L765" s="2040"/>
      <c r="M765" s="2040"/>
      <c r="N765" s="2040"/>
      <c r="O765" s="2040"/>
      <c r="P765" s="2040"/>
      <c r="Q765" s="2040"/>
      <c r="R765" s="2040"/>
      <c r="S765" s="2040"/>
      <c r="T765" s="2040"/>
      <c r="U765" s="2040"/>
      <c r="V765" s="2040"/>
      <c r="W765" s="2040"/>
      <c r="X765" s="2040"/>
      <c r="Y765" s="2040"/>
      <c r="Z765" s="2040"/>
      <c r="AA765" s="2040"/>
      <c r="AB765" s="2040"/>
      <c r="AC765" s="2040"/>
      <c r="AD765" s="2040"/>
      <c r="AE765" s="628"/>
      <c r="AF765" s="628"/>
      <c r="AG765" s="628"/>
      <c r="AH765" s="628"/>
      <c r="AI765" s="628"/>
      <c r="AJ765" s="628"/>
      <c r="AK765" s="628"/>
      <c r="AL765" s="628"/>
      <c r="AM765" s="647"/>
      <c r="AN765" s="631"/>
    </row>
    <row r="766" spans="1:74" s="584" customFormat="1" ht="12.75" customHeight="1">
      <c r="B766" s="650"/>
      <c r="C766" s="975"/>
      <c r="D766" s="697"/>
      <c r="E766" s="2040"/>
      <c r="F766" s="2040"/>
      <c r="G766" s="2040"/>
      <c r="H766" s="2040"/>
      <c r="I766" s="2040"/>
      <c r="J766" s="2040"/>
      <c r="K766" s="2040"/>
      <c r="L766" s="2040"/>
      <c r="M766" s="2040"/>
      <c r="N766" s="2040"/>
      <c r="O766" s="2040"/>
      <c r="P766" s="2040"/>
      <c r="Q766" s="2040"/>
      <c r="R766" s="2040"/>
      <c r="S766" s="2040"/>
      <c r="T766" s="2040"/>
      <c r="U766" s="2040"/>
      <c r="V766" s="2040"/>
      <c r="W766" s="2040"/>
      <c r="X766" s="2040"/>
      <c r="Y766" s="2040"/>
      <c r="Z766" s="2040"/>
      <c r="AA766" s="2040"/>
      <c r="AB766" s="2040"/>
      <c r="AC766" s="2040"/>
      <c r="AD766" s="2040"/>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1506</v>
      </c>
      <c r="E768" s="971"/>
      <c r="F768" s="971"/>
      <c r="G768" s="971"/>
      <c r="H768" s="1952" t="s">
        <v>598</v>
      </c>
      <c r="I768" s="1952"/>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1554</v>
      </c>
      <c r="AJ770" s="1935">
        <f>VLOOKUP($H$768,$AO$758:$AP$760,2,FALSE)</f>
        <v>0</v>
      </c>
      <c r="AK770" s="1937"/>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1555</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598</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695</v>
      </c>
      <c r="E774" s="1928" t="s">
        <v>2342</v>
      </c>
      <c r="F774" s="1928"/>
      <c r="G774" s="1928"/>
      <c r="H774" s="1928"/>
      <c r="I774" s="1928"/>
      <c r="J774" s="1928"/>
      <c r="K774" s="1928"/>
      <c r="L774" s="1928"/>
      <c r="M774" s="1928"/>
      <c r="N774" s="1928"/>
      <c r="O774" s="1928"/>
      <c r="P774" s="1928"/>
      <c r="Q774" s="1928"/>
      <c r="R774" s="1928"/>
      <c r="S774" s="1928"/>
      <c r="T774" s="1928"/>
      <c r="U774" s="1928"/>
      <c r="V774" s="1928"/>
      <c r="W774" s="1928"/>
      <c r="X774" s="1928"/>
      <c r="Y774" s="1928"/>
      <c r="Z774" s="1928"/>
      <c r="AA774" s="1928"/>
      <c r="AB774" s="1928"/>
      <c r="AC774" s="1928"/>
      <c r="AD774" s="1928"/>
      <c r="AE774" s="570"/>
      <c r="AF774" s="2008" t="s">
        <v>1458</v>
      </c>
      <c r="AG774" s="2008"/>
      <c r="AH774" s="2008"/>
      <c r="AI774" s="2008"/>
      <c r="AJ774" s="2008"/>
      <c r="AK774" s="2008"/>
      <c r="AL774" s="2008"/>
      <c r="AM774" s="647"/>
      <c r="AN774" s="718"/>
      <c r="AO774" s="645" t="s">
        <v>552</v>
      </c>
      <c r="AP774" s="584">
        <v>3</v>
      </c>
      <c r="AT774" s="708"/>
      <c r="AU774" s="708"/>
      <c r="AV774" s="708"/>
      <c r="AW774" s="708"/>
      <c r="AX774" s="708"/>
      <c r="AY774" s="708"/>
      <c r="AZ774" s="708"/>
    </row>
    <row r="775" spans="1:81" s="604" customFormat="1" ht="13.7" customHeight="1">
      <c r="A775" s="584"/>
      <c r="B775" s="650"/>
      <c r="C775" s="975"/>
      <c r="D775" s="697"/>
      <c r="E775" s="1928"/>
      <c r="F775" s="1928"/>
      <c r="G775" s="1928"/>
      <c r="H775" s="1928"/>
      <c r="I775" s="1928"/>
      <c r="J775" s="1928"/>
      <c r="K775" s="1928"/>
      <c r="L775" s="1928"/>
      <c r="M775" s="1928"/>
      <c r="N775" s="1928"/>
      <c r="O775" s="1928"/>
      <c r="P775" s="1928"/>
      <c r="Q775" s="1928"/>
      <c r="R775" s="1928"/>
      <c r="S775" s="1928"/>
      <c r="T775" s="1928"/>
      <c r="U775" s="1928"/>
      <c r="V775" s="1928"/>
      <c r="W775" s="1928"/>
      <c r="X775" s="1928"/>
      <c r="Y775" s="1928"/>
      <c r="Z775" s="1928"/>
      <c r="AA775" s="1928"/>
      <c r="AB775" s="1928"/>
      <c r="AC775" s="1928"/>
      <c r="AD775" s="1928"/>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28"/>
      <c r="F776" s="1928"/>
      <c r="G776" s="1928"/>
      <c r="H776" s="1928"/>
      <c r="I776" s="1928"/>
      <c r="J776" s="1928"/>
      <c r="K776" s="1928"/>
      <c r="L776" s="1928"/>
      <c r="M776" s="1928"/>
      <c r="N776" s="1928"/>
      <c r="O776" s="1928"/>
      <c r="P776" s="1928"/>
      <c r="Q776" s="1928"/>
      <c r="R776" s="1928"/>
      <c r="S776" s="1928"/>
      <c r="T776" s="1928"/>
      <c r="U776" s="1928"/>
      <c r="V776" s="1928"/>
      <c r="W776" s="1928"/>
      <c r="X776" s="1928"/>
      <c r="Y776" s="1928"/>
      <c r="Z776" s="1928"/>
      <c r="AA776" s="1928"/>
      <c r="AB776" s="1928"/>
      <c r="AC776" s="1928"/>
      <c r="AD776" s="1928"/>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28"/>
      <c r="F777" s="1928"/>
      <c r="G777" s="1928"/>
      <c r="H777" s="1928"/>
      <c r="I777" s="1928"/>
      <c r="J777" s="1928"/>
      <c r="K777" s="1928"/>
      <c r="L777" s="1928"/>
      <c r="M777" s="1928"/>
      <c r="N777" s="1928"/>
      <c r="O777" s="1928"/>
      <c r="P777" s="1928"/>
      <c r="Q777" s="1928"/>
      <c r="R777" s="1928"/>
      <c r="S777" s="1928"/>
      <c r="T777" s="1928"/>
      <c r="U777" s="1928"/>
      <c r="V777" s="1928"/>
      <c r="W777" s="1928"/>
      <c r="X777" s="1928"/>
      <c r="Y777" s="1928"/>
      <c r="Z777" s="1928"/>
      <c r="AA777" s="1928"/>
      <c r="AB777" s="1928"/>
      <c r="AC777" s="1928"/>
      <c r="AD777" s="1928"/>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1506</v>
      </c>
      <c r="E779" s="971"/>
      <c r="F779" s="971"/>
      <c r="G779" s="971"/>
      <c r="H779" s="1952" t="s">
        <v>598</v>
      </c>
      <c r="I779" s="1952"/>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1556</v>
      </c>
      <c r="AJ781" s="1935">
        <f>VLOOKUP($H$779,$AO$773:$AP$774,2,FALSE)</f>
        <v>0</v>
      </c>
      <c r="AK781" s="1937"/>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1557</v>
      </c>
      <c r="AK783" s="1935">
        <f>IF(($AJ$610+$AJ$629+$AJ$641+$AJ$676+$AJ$700+$AJ$714+$AJ$726+$AJ$742+$AJ$754+$AJ$770+AJ781)&gt;10,10,($AJ$610+$AJ$629+$AJ$641+$AJ$676+$AJ$700+$AJ$714+$AJ$726+$AJ$742+$AJ$754+$AJ$770+AJ781))</f>
        <v>10</v>
      </c>
      <c r="AL783" s="1936"/>
      <c r="AM783" s="1937"/>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99" t="s">
        <v>1675</v>
      </c>
      <c r="B786" s="2000"/>
      <c r="C786" s="2000"/>
      <c r="D786" s="2000"/>
      <c r="E786" s="2000"/>
      <c r="F786" s="2000"/>
      <c r="G786" s="2000"/>
      <c r="H786" s="2000"/>
      <c r="I786" s="2000"/>
      <c r="J786" s="2000"/>
      <c r="K786" s="2000"/>
      <c r="L786" s="2000"/>
      <c r="M786" s="2000"/>
      <c r="N786" s="2000"/>
      <c r="O786" s="2000"/>
      <c r="P786" s="2000"/>
      <c r="Q786" s="2000"/>
      <c r="R786" s="2000"/>
      <c r="S786" s="2000"/>
      <c r="T786" s="2000"/>
      <c r="U786" s="2000"/>
      <c r="V786" s="2000"/>
      <c r="W786" s="2000"/>
      <c r="X786" s="2000"/>
      <c r="Y786" s="2000"/>
      <c r="Z786" s="2000"/>
      <c r="AA786" s="2000"/>
      <c r="AB786" s="2000"/>
      <c r="AC786" s="2000"/>
      <c r="AD786" s="2000"/>
      <c r="AE786" s="2000"/>
      <c r="AF786" s="2000"/>
      <c r="AG786" s="2000"/>
      <c r="AH786" s="2000"/>
      <c r="AI786" s="2000"/>
      <c r="AJ786" s="2000"/>
      <c r="AK786" s="2000"/>
      <c r="AL786" s="2000"/>
      <c r="AM786" s="2000"/>
    </row>
    <row r="787" spans="1:43">
      <c r="A787" s="2001"/>
      <c r="B787" s="2001"/>
      <c r="C787" s="2001"/>
      <c r="D787" s="2001"/>
      <c r="E787" s="2001"/>
      <c r="F787" s="2001"/>
      <c r="G787" s="2001"/>
      <c r="H787" s="2001"/>
      <c r="I787" s="2001"/>
      <c r="J787" s="2001"/>
      <c r="K787" s="2001"/>
      <c r="L787" s="2001"/>
      <c r="M787" s="2001"/>
      <c r="N787" s="2001"/>
      <c r="O787" s="2001"/>
      <c r="P787" s="2001"/>
      <c r="Q787" s="2001"/>
      <c r="R787" s="2001"/>
      <c r="S787" s="2001"/>
      <c r="T787" s="2001"/>
      <c r="U787" s="2001"/>
      <c r="V787" s="2001"/>
      <c r="W787" s="2001"/>
      <c r="X787" s="2001"/>
      <c r="Y787" s="2001"/>
      <c r="Z787" s="2001"/>
      <c r="AA787" s="2001"/>
      <c r="AB787" s="2001"/>
      <c r="AC787" s="2001"/>
      <c r="AD787" s="2001"/>
      <c r="AE787" s="2001"/>
      <c r="AF787" s="2001"/>
      <c r="AG787" s="2001"/>
      <c r="AH787" s="2001"/>
      <c r="AI787" s="2001"/>
      <c r="AJ787" s="2001"/>
      <c r="AK787" s="2001"/>
      <c r="AL787" s="2001"/>
      <c r="AM787" s="2001"/>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38"/>
      <c r="B789" s="1938"/>
      <c r="C789" s="1938"/>
      <c r="D789" s="1938"/>
      <c r="E789" s="1938"/>
      <c r="F789" s="1938"/>
      <c r="G789" s="1938"/>
      <c r="H789" s="1938"/>
      <c r="I789" s="1938"/>
      <c r="J789" s="1938"/>
      <c r="K789" s="1938"/>
      <c r="L789" s="1938"/>
      <c r="M789" s="1938"/>
      <c r="N789" s="1938"/>
      <c r="O789" s="1938"/>
      <c r="P789" s="1938"/>
      <c r="Q789" s="1938"/>
      <c r="R789" s="1938"/>
      <c r="S789" s="1938"/>
      <c r="T789" s="1938"/>
      <c r="U789" s="1938"/>
      <c r="V789" s="1938"/>
      <c r="W789" s="1938"/>
      <c r="X789" s="1938"/>
      <c r="Y789" s="1938"/>
      <c r="Z789" s="1938"/>
      <c r="AA789" s="1938"/>
      <c r="AB789" s="1938"/>
      <c r="AC789" s="1938"/>
      <c r="AD789" s="1938"/>
      <c r="AE789" s="1938"/>
      <c r="AF789" s="1938"/>
      <c r="AG789" s="1938"/>
      <c r="AH789" s="1938"/>
      <c r="AI789" s="1938"/>
      <c r="AJ789" s="1938"/>
      <c r="AK789" s="1938"/>
      <c r="AL789" s="1938"/>
      <c r="AM789" s="1938"/>
      <c r="AP789" s="850"/>
      <c r="AQ789" s="850"/>
    </row>
    <row r="790" spans="1:43">
      <c r="A790" s="1938"/>
      <c r="B790" s="1938"/>
      <c r="C790" s="1938"/>
      <c r="D790" s="1938"/>
      <c r="E790" s="1938"/>
      <c r="F790" s="1938"/>
      <c r="G790" s="1938"/>
      <c r="H790" s="1938"/>
      <c r="I790" s="1938"/>
      <c r="J790" s="1938"/>
      <c r="K790" s="1938"/>
      <c r="L790" s="1938"/>
      <c r="M790" s="1938"/>
      <c r="N790" s="1938"/>
      <c r="O790" s="1938"/>
      <c r="P790" s="1938"/>
      <c r="Q790" s="1938"/>
      <c r="R790" s="1938"/>
      <c r="S790" s="1938"/>
      <c r="T790" s="1938"/>
      <c r="U790" s="1938"/>
      <c r="V790" s="1938"/>
      <c r="W790" s="1938"/>
      <c r="X790" s="1938"/>
      <c r="Y790" s="1938"/>
      <c r="Z790" s="1938"/>
      <c r="AA790" s="1938"/>
      <c r="AB790" s="1938"/>
      <c r="AC790" s="1938"/>
      <c r="AD790" s="1938"/>
      <c r="AE790" s="1938"/>
      <c r="AF790" s="1938"/>
      <c r="AG790" s="1938"/>
      <c r="AH790" s="1938"/>
      <c r="AI790" s="1938"/>
      <c r="AJ790" s="1938"/>
      <c r="AK790" s="1938"/>
      <c r="AL790" s="1938"/>
      <c r="AM790" s="1938"/>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2002" t="s">
        <v>1676</v>
      </c>
      <c r="U791" s="2003"/>
      <c r="V791" s="2003"/>
      <c r="W791" s="2003"/>
      <c r="X791" s="2003"/>
      <c r="Y791" s="2004"/>
      <c r="Z791" s="2002" t="s">
        <v>1677</v>
      </c>
      <c r="AA791" s="2003"/>
      <c r="AB791" s="2003"/>
      <c r="AC791" s="2003"/>
      <c r="AD791" s="2003"/>
      <c r="AE791" s="2004"/>
      <c r="AF791" s="2002" t="s">
        <v>1678</v>
      </c>
      <c r="AG791" s="2003"/>
      <c r="AH791" s="2003"/>
      <c r="AI791" s="2003"/>
      <c r="AJ791" s="2003"/>
      <c r="AK791" s="2004"/>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005"/>
      <c r="U792" s="2006"/>
      <c r="V792" s="2006"/>
      <c r="W792" s="2006"/>
      <c r="X792" s="2006"/>
      <c r="Y792" s="2007"/>
      <c r="Z792" s="2005"/>
      <c r="AA792" s="2006"/>
      <c r="AB792" s="2006"/>
      <c r="AC792" s="2006"/>
      <c r="AD792" s="2006"/>
      <c r="AE792" s="2007"/>
      <c r="AF792" s="2005"/>
      <c r="AG792" s="2006"/>
      <c r="AH792" s="2006"/>
      <c r="AI792" s="2006"/>
      <c r="AJ792" s="2006"/>
      <c r="AK792" s="2007"/>
      <c r="AL792" s="852"/>
      <c r="AM792" s="630"/>
      <c r="AO792" s="850"/>
      <c r="AP792" s="850"/>
      <c r="AQ792" s="850"/>
    </row>
    <row r="793" spans="1:43">
      <c r="A793" s="853" t="s">
        <v>765</v>
      </c>
      <c r="B793" s="1959" t="s">
        <v>1410</v>
      </c>
      <c r="C793" s="1959"/>
      <c r="D793" s="1959"/>
      <c r="E793" s="1959"/>
      <c r="F793" s="1959"/>
      <c r="G793" s="1959"/>
      <c r="H793" s="1959"/>
      <c r="I793" s="1959"/>
      <c r="J793" s="1959"/>
      <c r="K793" s="1959"/>
      <c r="L793" s="1959"/>
      <c r="M793" s="1959"/>
      <c r="N793" s="1959"/>
      <c r="O793" s="1959"/>
      <c r="P793" s="1959"/>
      <c r="Q793" s="1959"/>
      <c r="R793" s="1959"/>
      <c r="S793" s="1960"/>
      <c r="T793" s="1987">
        <f>AK56</f>
        <v>0</v>
      </c>
      <c r="U793" s="1963"/>
      <c r="V793" s="1963"/>
      <c r="W793" s="1963"/>
      <c r="X793" s="1963"/>
      <c r="Y793" s="1964"/>
      <c r="Z793" s="1962">
        <v>20</v>
      </c>
      <c r="AA793" s="1963"/>
      <c r="AB793" s="1963"/>
      <c r="AC793" s="1963"/>
      <c r="AD793" s="1963"/>
      <c r="AE793" s="1964"/>
      <c r="AF793" s="1948">
        <f>IF(T793&gt;Z793,Z793,T793)</f>
        <v>0</v>
      </c>
      <c r="AG793" s="1948"/>
      <c r="AH793" s="1948"/>
      <c r="AI793" s="1948"/>
      <c r="AJ793" s="1948"/>
      <c r="AK793" s="1948"/>
      <c r="AL793" s="852"/>
      <c r="AM793" s="630"/>
      <c r="AO793" s="850"/>
      <c r="AP793" s="850"/>
      <c r="AQ793" s="850"/>
    </row>
    <row r="794" spans="1:43">
      <c r="A794" s="853" t="s">
        <v>1648</v>
      </c>
      <c r="B794" s="1959" t="s">
        <v>1419</v>
      </c>
      <c r="C794" s="1959"/>
      <c r="D794" s="1959"/>
      <c r="E794" s="1959"/>
      <c r="F794" s="1959"/>
      <c r="G794" s="1959"/>
      <c r="H794" s="1959"/>
      <c r="I794" s="1959"/>
      <c r="J794" s="1959"/>
      <c r="K794" s="1959"/>
      <c r="L794" s="1959"/>
      <c r="M794" s="1959"/>
      <c r="N794" s="1959"/>
      <c r="O794" s="1959"/>
      <c r="P794" s="1959"/>
      <c r="Q794" s="1959"/>
      <c r="R794" s="1959"/>
      <c r="S794" s="1960"/>
      <c r="T794" s="1987">
        <f>AK78</f>
        <v>10</v>
      </c>
      <c r="U794" s="1963"/>
      <c r="V794" s="1963"/>
      <c r="W794" s="1963"/>
      <c r="X794" s="1963"/>
      <c r="Y794" s="1964"/>
      <c r="Z794" s="1962">
        <v>10</v>
      </c>
      <c r="AA794" s="1963"/>
      <c r="AB794" s="1963"/>
      <c r="AC794" s="1963"/>
      <c r="AD794" s="1963"/>
      <c r="AE794" s="1964"/>
      <c r="AF794" s="1948">
        <f>IF(T794&gt;Z794,Z794,T794)</f>
        <v>10</v>
      </c>
      <c r="AG794" s="1948"/>
      <c r="AH794" s="1948"/>
      <c r="AI794" s="1948"/>
      <c r="AJ794" s="1948"/>
      <c r="AK794" s="1948"/>
      <c r="AL794" s="852"/>
      <c r="AM794" s="630"/>
      <c r="AO794" s="850"/>
      <c r="AP794" s="850"/>
      <c r="AQ794" s="850"/>
    </row>
    <row r="795" spans="1:43">
      <c r="A795" s="853" t="s">
        <v>1657</v>
      </c>
      <c r="B795" s="1959" t="s">
        <v>1429</v>
      </c>
      <c r="C795" s="1959"/>
      <c r="D795" s="1959"/>
      <c r="E795" s="1959"/>
      <c r="F795" s="1959"/>
      <c r="G795" s="1959"/>
      <c r="H795" s="1959"/>
      <c r="I795" s="1959"/>
      <c r="J795" s="1959"/>
      <c r="K795" s="1959"/>
      <c r="L795" s="1959"/>
      <c r="M795" s="1959"/>
      <c r="N795" s="1959"/>
      <c r="O795" s="1959"/>
      <c r="P795" s="1959"/>
      <c r="Q795" s="1959"/>
      <c r="R795" s="1959"/>
      <c r="S795" s="1960"/>
      <c r="T795" s="1987">
        <f>AK103</f>
        <v>20</v>
      </c>
      <c r="U795" s="1963"/>
      <c r="V795" s="1963"/>
      <c r="W795" s="1963"/>
      <c r="X795" s="1963"/>
      <c r="Y795" s="1964"/>
      <c r="Z795" s="1962">
        <v>20</v>
      </c>
      <c r="AA795" s="1963"/>
      <c r="AB795" s="1963"/>
      <c r="AC795" s="1963"/>
      <c r="AD795" s="1963"/>
      <c r="AE795" s="1964"/>
      <c r="AF795" s="1948">
        <f>IF(T795&gt;Z795,Z795,T795)</f>
        <v>20</v>
      </c>
      <c r="AG795" s="1948"/>
      <c r="AH795" s="1948"/>
      <c r="AI795" s="1948"/>
      <c r="AJ795" s="1948"/>
      <c r="AK795" s="1948"/>
      <c r="AL795" s="852"/>
      <c r="AM795" s="630"/>
      <c r="AO795" s="850"/>
      <c r="AP795" s="850"/>
      <c r="AQ795" s="850"/>
    </row>
    <row r="796" spans="1:43">
      <c r="A796" s="853" t="s">
        <v>1679</v>
      </c>
      <c r="B796" s="1959" t="s">
        <v>1439</v>
      </c>
      <c r="C796" s="1959"/>
      <c r="D796" s="1959"/>
      <c r="E796" s="1959"/>
      <c r="F796" s="1959"/>
      <c r="G796" s="1959"/>
      <c r="H796" s="1959"/>
      <c r="I796" s="1959"/>
      <c r="J796" s="1959"/>
      <c r="K796" s="1959"/>
      <c r="L796" s="1959"/>
      <c r="M796" s="1959"/>
      <c r="N796" s="1959"/>
      <c r="O796" s="1959"/>
      <c r="P796" s="1959"/>
      <c r="Q796" s="1959"/>
      <c r="R796" s="1959"/>
      <c r="S796" s="1960"/>
      <c r="T796" s="1987">
        <f>AK137</f>
        <v>10</v>
      </c>
      <c r="U796" s="1963"/>
      <c r="V796" s="1963"/>
      <c r="W796" s="1963"/>
      <c r="X796" s="1963"/>
      <c r="Y796" s="1964"/>
      <c r="Z796" s="1962">
        <v>10</v>
      </c>
      <c r="AA796" s="1963"/>
      <c r="AB796" s="1963"/>
      <c r="AC796" s="1963"/>
      <c r="AD796" s="1963"/>
      <c r="AE796" s="1964"/>
      <c r="AF796" s="1948">
        <f>IF(T796&gt;Z796,Z796,T796)</f>
        <v>10</v>
      </c>
      <c r="AG796" s="1948"/>
      <c r="AH796" s="1948"/>
      <c r="AI796" s="1948"/>
      <c r="AJ796" s="1948"/>
      <c r="AK796" s="1948"/>
      <c r="AL796" s="852"/>
      <c r="AM796" s="630"/>
      <c r="AO796" s="850"/>
      <c r="AP796" s="850"/>
      <c r="AQ796" s="850"/>
    </row>
    <row r="797" spans="1:43">
      <c r="A797" s="854" t="s">
        <v>1680</v>
      </c>
      <c r="B797" s="1959" t="s">
        <v>1681</v>
      </c>
      <c r="C797" s="1959"/>
      <c r="D797" s="1959"/>
      <c r="E797" s="1959"/>
      <c r="F797" s="1959"/>
      <c r="G797" s="1959"/>
      <c r="H797" s="1959"/>
      <c r="I797" s="1959"/>
      <c r="J797" s="1959"/>
      <c r="K797" s="1959"/>
      <c r="L797" s="1959"/>
      <c r="M797" s="1959"/>
      <c r="N797" s="1959"/>
      <c r="O797" s="1959"/>
      <c r="P797" s="1959"/>
      <c r="Q797" s="1959"/>
      <c r="R797" s="1959"/>
      <c r="S797" s="1960"/>
      <c r="T797" s="1961">
        <f>SUM(T798:Y799)</f>
        <v>10</v>
      </c>
      <c r="U797" s="1961"/>
      <c r="V797" s="1961"/>
      <c r="W797" s="1961"/>
      <c r="X797" s="1961"/>
      <c r="Y797" s="1961"/>
      <c r="Z797" s="1948">
        <v>10</v>
      </c>
      <c r="AA797" s="1948"/>
      <c r="AB797" s="1948"/>
      <c r="AC797" s="1948"/>
      <c r="AD797" s="1948"/>
      <c r="AE797" s="1948"/>
      <c r="AF797" s="1948">
        <f>IF(T797&gt;Z797,Z797,T797)</f>
        <v>10</v>
      </c>
      <c r="AG797" s="1948"/>
      <c r="AH797" s="1948"/>
      <c r="AI797" s="1948"/>
      <c r="AJ797" s="1948"/>
      <c r="AK797" s="1948"/>
      <c r="AL797" s="852"/>
      <c r="AM797" s="630"/>
    </row>
    <row r="798" spans="1:43">
      <c r="A798" s="569"/>
      <c r="B798" s="635"/>
      <c r="C798" s="1965" t="s">
        <v>1682</v>
      </c>
      <c r="D798" s="1965"/>
      <c r="E798" s="1965"/>
      <c r="F798" s="1965"/>
      <c r="G798" s="1965"/>
      <c r="H798" s="1965"/>
      <c r="I798" s="1965"/>
      <c r="J798" s="1965"/>
      <c r="K798" s="1965"/>
      <c r="L798" s="1965"/>
      <c r="M798" s="1965"/>
      <c r="N798" s="1965"/>
      <c r="O798" s="1965"/>
      <c r="P798" s="1965"/>
      <c r="Q798" s="1965"/>
      <c r="R798" s="1965"/>
      <c r="S798" s="1966"/>
      <c r="T798" s="1967">
        <f>AJ155</f>
        <v>7</v>
      </c>
      <c r="U798" s="1967"/>
      <c r="V798" s="1967"/>
      <c r="W798" s="1967"/>
      <c r="X798" s="1967"/>
      <c r="Y798" s="1967"/>
      <c r="Z798" s="1968">
        <v>7</v>
      </c>
      <c r="AA798" s="1968"/>
      <c r="AB798" s="1968"/>
      <c r="AC798" s="1968"/>
      <c r="AD798" s="1968"/>
      <c r="AE798" s="1968"/>
      <c r="AF798" s="1969"/>
      <c r="AG798" s="1969"/>
      <c r="AH798" s="1969"/>
      <c r="AI798" s="1969"/>
      <c r="AJ798" s="1969"/>
      <c r="AK798" s="1969"/>
      <c r="AL798" s="852"/>
      <c r="AM798" s="630"/>
    </row>
    <row r="799" spans="1:43">
      <c r="A799" s="634"/>
      <c r="B799" s="635"/>
      <c r="C799" s="1965" t="s">
        <v>1683</v>
      </c>
      <c r="D799" s="1965"/>
      <c r="E799" s="1965"/>
      <c r="F799" s="1965"/>
      <c r="G799" s="1965"/>
      <c r="H799" s="1965"/>
      <c r="I799" s="1965"/>
      <c r="J799" s="1965"/>
      <c r="K799" s="1965"/>
      <c r="L799" s="1965"/>
      <c r="M799" s="1965"/>
      <c r="N799" s="1965"/>
      <c r="O799" s="1965"/>
      <c r="P799" s="1965"/>
      <c r="Q799" s="1965"/>
      <c r="R799" s="1965"/>
      <c r="S799" s="1966"/>
      <c r="T799" s="1967">
        <f>AJ169</f>
        <v>3</v>
      </c>
      <c r="U799" s="1967"/>
      <c r="V799" s="1967"/>
      <c r="W799" s="1967"/>
      <c r="X799" s="1967"/>
      <c r="Y799" s="1967"/>
      <c r="Z799" s="1968">
        <v>3</v>
      </c>
      <c r="AA799" s="1968"/>
      <c r="AB799" s="1968"/>
      <c r="AC799" s="1968"/>
      <c r="AD799" s="1968"/>
      <c r="AE799" s="1968"/>
      <c r="AF799" s="1969"/>
      <c r="AG799" s="1969"/>
      <c r="AH799" s="1969"/>
      <c r="AI799" s="1969"/>
      <c r="AJ799" s="1969"/>
      <c r="AK799" s="1969"/>
      <c r="AL799" s="852"/>
      <c r="AM799" s="630"/>
      <c r="AO799" s="584"/>
    </row>
    <row r="800" spans="1:43">
      <c r="A800" s="854" t="s">
        <v>1467</v>
      </c>
      <c r="B800" s="1959" t="s">
        <v>1684</v>
      </c>
      <c r="C800" s="1959"/>
      <c r="D800" s="1959"/>
      <c r="E800" s="1959"/>
      <c r="F800" s="1959"/>
      <c r="G800" s="1959"/>
      <c r="H800" s="1959"/>
      <c r="I800" s="1959"/>
      <c r="J800" s="1959"/>
      <c r="K800" s="1959"/>
      <c r="L800" s="1959"/>
      <c r="M800" s="1959"/>
      <c r="N800" s="1959"/>
      <c r="O800" s="1959"/>
      <c r="P800" s="1959"/>
      <c r="Q800" s="1959"/>
      <c r="R800" s="1959"/>
      <c r="S800" s="1960"/>
      <c r="T800" s="1961">
        <f>AK180</f>
        <v>10</v>
      </c>
      <c r="U800" s="1961"/>
      <c r="V800" s="1961"/>
      <c r="W800" s="1961"/>
      <c r="X800" s="1961"/>
      <c r="Y800" s="1961"/>
      <c r="Z800" s="1948">
        <v>10</v>
      </c>
      <c r="AA800" s="1948"/>
      <c r="AB800" s="1948"/>
      <c r="AC800" s="1948"/>
      <c r="AD800" s="1948"/>
      <c r="AE800" s="1948"/>
      <c r="AF800" s="1948">
        <f>IF(T800&gt;Z800,Z800,T800)</f>
        <v>10</v>
      </c>
      <c r="AG800" s="1948"/>
      <c r="AH800" s="1948"/>
      <c r="AI800" s="1948"/>
      <c r="AJ800" s="1948"/>
      <c r="AK800" s="1948"/>
      <c r="AL800" s="852"/>
      <c r="AM800" s="630"/>
    </row>
    <row r="801" spans="1:81">
      <c r="A801" s="853" t="s">
        <v>1476</v>
      </c>
      <c r="B801" s="1959" t="s">
        <v>1477</v>
      </c>
      <c r="C801" s="1959"/>
      <c r="D801" s="1959"/>
      <c r="E801" s="1959"/>
      <c r="F801" s="1959"/>
      <c r="G801" s="1959"/>
      <c r="H801" s="1959"/>
      <c r="I801" s="1959"/>
      <c r="J801" s="1959"/>
      <c r="K801" s="1959"/>
      <c r="L801" s="1959"/>
      <c r="M801" s="1959"/>
      <c r="N801" s="1959"/>
      <c r="O801" s="1959"/>
      <c r="P801" s="1959"/>
      <c r="Q801" s="1959"/>
      <c r="R801" s="1959"/>
      <c r="S801" s="1960"/>
      <c r="T801" s="1961">
        <f>AK262</f>
        <v>8</v>
      </c>
      <c r="U801" s="1961"/>
      <c r="V801" s="1961"/>
      <c r="W801" s="1961"/>
      <c r="X801" s="1961"/>
      <c r="Y801" s="1961"/>
      <c r="Z801" s="1962">
        <v>8</v>
      </c>
      <c r="AA801" s="1963"/>
      <c r="AB801" s="1963"/>
      <c r="AC801" s="1963"/>
      <c r="AD801" s="1963"/>
      <c r="AE801" s="1964"/>
      <c r="AF801" s="1948">
        <f>IF(T801&gt;Z801,Z801,T801)</f>
        <v>8</v>
      </c>
      <c r="AG801" s="1948"/>
      <c r="AH801" s="1948"/>
      <c r="AI801" s="1948"/>
      <c r="AJ801" s="1948"/>
      <c r="AK801" s="1948"/>
      <c r="AL801" s="852"/>
      <c r="AM801" s="630"/>
    </row>
    <row r="802" spans="1:81" s="568" customFormat="1" hidden="1">
      <c r="A802" s="854" t="s">
        <v>596</v>
      </c>
      <c r="B802" s="1959" t="s">
        <v>1685</v>
      </c>
      <c r="C802" s="1959"/>
      <c r="D802" s="1959"/>
      <c r="E802" s="1959"/>
      <c r="F802" s="1959"/>
      <c r="G802" s="1959"/>
      <c r="H802" s="1959"/>
      <c r="I802" s="1959"/>
      <c r="J802" s="1959"/>
      <c r="K802" s="1959"/>
      <c r="L802" s="1959"/>
      <c r="M802" s="1959"/>
      <c r="N802" s="1959"/>
      <c r="O802" s="1959"/>
      <c r="P802" s="1959"/>
      <c r="Q802" s="1959"/>
      <c r="R802" s="1959"/>
      <c r="S802" s="1960"/>
      <c r="T802" s="1961">
        <f>IF(AK524&gt;5,5,AK524)</f>
        <v>0</v>
      </c>
      <c r="U802" s="1961"/>
      <c r="V802" s="1961"/>
      <c r="W802" s="1961"/>
      <c r="X802" s="1961"/>
      <c r="Y802" s="1961"/>
      <c r="Z802" s="1948">
        <v>5</v>
      </c>
      <c r="AA802" s="1948"/>
      <c r="AB802" s="1948"/>
      <c r="AC802" s="1948"/>
      <c r="AD802" s="1948"/>
      <c r="AE802" s="1948"/>
      <c r="AF802" s="1948">
        <f>IF(T802&gt;Z802,5,T802)</f>
        <v>0</v>
      </c>
      <c r="AG802" s="1948"/>
      <c r="AH802" s="1948"/>
      <c r="AI802" s="1948"/>
      <c r="AJ802" s="1948"/>
      <c r="AK802" s="1948"/>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1482</v>
      </c>
      <c r="B803" s="1959" t="s">
        <v>1686</v>
      </c>
      <c r="C803" s="1959"/>
      <c r="D803" s="1959"/>
      <c r="E803" s="1959"/>
      <c r="F803" s="1959"/>
      <c r="G803" s="1959"/>
      <c r="H803" s="1959"/>
      <c r="I803" s="1959"/>
      <c r="J803" s="1959"/>
      <c r="K803" s="1959"/>
      <c r="L803" s="1959"/>
      <c r="M803" s="1959"/>
      <c r="N803" s="1959"/>
      <c r="O803" s="1959"/>
      <c r="P803" s="1959"/>
      <c r="Q803" s="1959"/>
      <c r="R803" s="1959"/>
      <c r="S803" s="1960"/>
      <c r="T803" s="1961">
        <f>AK274</f>
        <v>10</v>
      </c>
      <c r="U803" s="1961"/>
      <c r="V803" s="1961"/>
      <c r="W803" s="1961"/>
      <c r="X803" s="1961"/>
      <c r="Y803" s="1961"/>
      <c r="Z803" s="1948">
        <v>10</v>
      </c>
      <c r="AA803" s="1948"/>
      <c r="AB803" s="1948"/>
      <c r="AC803" s="1948"/>
      <c r="AD803" s="1948"/>
      <c r="AE803" s="1948"/>
      <c r="AF803" s="1970">
        <f>IF(T803&gt;Z803,Z803,T803)</f>
        <v>10</v>
      </c>
      <c r="AG803" s="1971"/>
      <c r="AH803" s="1971"/>
      <c r="AI803" s="1971"/>
      <c r="AJ803" s="1971"/>
      <c r="AK803" s="1972"/>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1486</v>
      </c>
      <c r="B804" s="1959" t="s">
        <v>1487</v>
      </c>
      <c r="C804" s="1959"/>
      <c r="D804" s="1959"/>
      <c r="E804" s="1959"/>
      <c r="F804" s="1959"/>
      <c r="G804" s="1959"/>
      <c r="H804" s="1959"/>
      <c r="I804" s="1959"/>
      <c r="J804" s="1959"/>
      <c r="K804" s="1959"/>
      <c r="L804" s="1959"/>
      <c r="M804" s="1959"/>
      <c r="N804" s="1959"/>
      <c r="O804" s="1959"/>
      <c r="P804" s="1959"/>
      <c r="Q804" s="1959"/>
      <c r="R804" s="1959"/>
      <c r="S804" s="1960"/>
      <c r="T804" s="1961">
        <f>AK327</f>
        <v>9</v>
      </c>
      <c r="U804" s="1961"/>
      <c r="V804" s="1961"/>
      <c r="W804" s="1961"/>
      <c r="X804" s="1961"/>
      <c r="Y804" s="1961"/>
      <c r="Z804" s="1970">
        <v>10</v>
      </c>
      <c r="AA804" s="1971"/>
      <c r="AB804" s="1971"/>
      <c r="AC804" s="1971"/>
      <c r="AD804" s="1971"/>
      <c r="AE804" s="1972"/>
      <c r="AF804" s="1970">
        <f>IF(T804&gt;Z804,Z804,T804)</f>
        <v>9</v>
      </c>
      <c r="AG804" s="1971"/>
      <c r="AH804" s="1971"/>
      <c r="AI804" s="1971"/>
      <c r="AJ804" s="1971"/>
      <c r="AK804" s="1972"/>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1687</v>
      </c>
      <c r="D805" s="857"/>
      <c r="E805" s="857"/>
      <c r="F805" s="857"/>
      <c r="G805" s="857"/>
      <c r="H805" s="857"/>
      <c r="I805" s="857"/>
      <c r="J805" s="857"/>
      <c r="K805" s="857"/>
      <c r="L805" s="857"/>
      <c r="M805" s="857"/>
      <c r="N805" s="857"/>
      <c r="O805" s="857"/>
      <c r="P805" s="857"/>
      <c r="Q805" s="857"/>
      <c r="R805" s="855"/>
      <c r="S805" s="858"/>
      <c r="T805" s="1967">
        <f>AK327</f>
        <v>9</v>
      </c>
      <c r="U805" s="1967"/>
      <c r="V805" s="1967"/>
      <c r="W805" s="1967"/>
      <c r="X805" s="1967"/>
      <c r="Y805" s="1967"/>
      <c r="Z805" s="1935">
        <v>20</v>
      </c>
      <c r="AA805" s="1936"/>
      <c r="AB805" s="1936"/>
      <c r="AC805" s="1936"/>
      <c r="AD805" s="1936"/>
      <c r="AE805" s="1937"/>
      <c r="AF805" s="1969"/>
      <c r="AG805" s="1969"/>
      <c r="AH805" s="1969"/>
      <c r="AI805" s="1969"/>
      <c r="AJ805" s="1969"/>
      <c r="AK805" s="1969"/>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1559</v>
      </c>
      <c r="B806" s="1959" t="s">
        <v>855</v>
      </c>
      <c r="C806" s="1959"/>
      <c r="D806" s="1959"/>
      <c r="E806" s="1959"/>
      <c r="F806" s="1959"/>
      <c r="G806" s="1959"/>
      <c r="H806" s="1959"/>
      <c r="I806" s="1959"/>
      <c r="J806" s="1959"/>
      <c r="K806" s="1959"/>
      <c r="L806" s="1959"/>
      <c r="M806" s="1959"/>
      <c r="N806" s="1959"/>
      <c r="O806" s="1959"/>
      <c r="P806" s="1959"/>
      <c r="Q806" s="1959"/>
      <c r="R806" s="1959"/>
      <c r="S806" s="1960"/>
      <c r="T806" s="1961">
        <f>AK458</f>
        <v>10</v>
      </c>
      <c r="U806" s="1961"/>
      <c r="V806" s="1961"/>
      <c r="W806" s="1961"/>
      <c r="X806" s="1961"/>
      <c r="Y806" s="1961"/>
      <c r="Z806" s="1970">
        <v>10</v>
      </c>
      <c r="AA806" s="1971"/>
      <c r="AB806" s="1971"/>
      <c r="AC806" s="1971"/>
      <c r="AD806" s="1971"/>
      <c r="AE806" s="1972"/>
      <c r="AF806" s="1948">
        <f>IF(T806&gt;Z806,Z806,T806)</f>
        <v>10</v>
      </c>
      <c r="AG806" s="1948"/>
      <c r="AH806" s="1948"/>
      <c r="AI806" s="1948"/>
      <c r="AJ806" s="1948"/>
      <c r="AK806" s="1948"/>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1665</v>
      </c>
      <c r="B807" s="1959" t="s">
        <v>1666</v>
      </c>
      <c r="C807" s="1959"/>
      <c r="D807" s="1959"/>
      <c r="E807" s="1959"/>
      <c r="F807" s="1959"/>
      <c r="G807" s="1959"/>
      <c r="H807" s="1959"/>
      <c r="I807" s="1959"/>
      <c r="J807" s="1959"/>
      <c r="K807" s="1959"/>
      <c r="L807" s="1959"/>
      <c r="M807" s="1959"/>
      <c r="N807" s="1959"/>
      <c r="O807" s="1959"/>
      <c r="P807" s="1959"/>
      <c r="Q807" s="1959"/>
      <c r="R807" s="1959"/>
      <c r="S807" s="1960"/>
      <c r="T807" s="1961">
        <f>AK548</f>
        <v>12</v>
      </c>
      <c r="U807" s="1961"/>
      <c r="V807" s="1961"/>
      <c r="W807" s="1961"/>
      <c r="X807" s="1961"/>
      <c r="Y807" s="1961"/>
      <c r="Z807" s="1970">
        <v>12</v>
      </c>
      <c r="AA807" s="1971"/>
      <c r="AB807" s="1971"/>
      <c r="AC807" s="1971"/>
      <c r="AD807" s="1971"/>
      <c r="AE807" s="1972"/>
      <c r="AF807" s="1948">
        <f>IF(T807&gt;Z807,Z807,T807)</f>
        <v>12</v>
      </c>
      <c r="AG807" s="1948"/>
      <c r="AH807" s="1948"/>
      <c r="AI807" s="1948"/>
      <c r="AJ807" s="1948"/>
      <c r="AK807" s="1948"/>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2330</v>
      </c>
      <c r="B808" s="1959" t="s">
        <v>1688</v>
      </c>
      <c r="C808" s="1959"/>
      <c r="D808" s="1959"/>
      <c r="E808" s="1959"/>
      <c r="F808" s="1959"/>
      <c r="G808" s="1959"/>
      <c r="H808" s="1959"/>
      <c r="I808" s="1959"/>
      <c r="J808" s="1959"/>
      <c r="K808" s="1959"/>
      <c r="L808" s="1959"/>
      <c r="M808" s="1959"/>
      <c r="N808" s="1959"/>
      <c r="O808" s="1959"/>
      <c r="P808" s="1959"/>
      <c r="Q808" s="1959"/>
      <c r="R808" s="1959"/>
      <c r="S808" s="1960"/>
      <c r="T808" s="1961">
        <f>AK783</f>
        <v>10</v>
      </c>
      <c r="U808" s="1961"/>
      <c r="V808" s="1961"/>
      <c r="W808" s="1961"/>
      <c r="X808" s="1961"/>
      <c r="Y808" s="1961"/>
      <c r="Z808" s="1970">
        <v>10</v>
      </c>
      <c r="AA808" s="1971"/>
      <c r="AB808" s="1971"/>
      <c r="AC808" s="1971"/>
      <c r="AD808" s="1971"/>
      <c r="AE808" s="1972"/>
      <c r="AF808" s="1948">
        <f>IF(T808&gt;Z808,Z808,T808)</f>
        <v>10</v>
      </c>
      <c r="AG808" s="1948"/>
      <c r="AH808" s="1948"/>
      <c r="AI808" s="1948"/>
      <c r="AJ808" s="1948"/>
      <c r="AK808" s="1948"/>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73" t="s">
        <v>1689</v>
      </c>
      <c r="B809" s="1959"/>
      <c r="C809" s="1959"/>
      <c r="D809" s="1959"/>
      <c r="E809" s="1959"/>
      <c r="F809" s="1959"/>
      <c r="G809" s="1959"/>
      <c r="H809" s="1959"/>
      <c r="I809" s="1959"/>
      <c r="J809" s="1959"/>
      <c r="K809" s="1959"/>
      <c r="L809" s="1959"/>
      <c r="M809" s="1959"/>
      <c r="N809" s="1959"/>
      <c r="O809" s="1959"/>
      <c r="P809" s="1959"/>
      <c r="Q809" s="1959"/>
      <c r="R809" s="1959"/>
      <c r="S809" s="1960"/>
      <c r="T809" s="1974">
        <v>0</v>
      </c>
      <c r="U809" s="1974"/>
      <c r="V809" s="1974"/>
      <c r="W809" s="1974"/>
      <c r="X809" s="1974"/>
      <c r="Y809" s="1974"/>
      <c r="Z809" s="1968" t="s">
        <v>1690</v>
      </c>
      <c r="AA809" s="1968"/>
      <c r="AB809" s="1968"/>
      <c r="AC809" s="1968"/>
      <c r="AD809" s="1968"/>
      <c r="AE809" s="1968"/>
      <c r="AF809" s="1970">
        <f>IF(T809&gt;0,T809,0)</f>
        <v>0</v>
      </c>
      <c r="AG809" s="1971"/>
      <c r="AH809" s="1971"/>
      <c r="AI809" s="1971"/>
      <c r="AJ809" s="1971"/>
      <c r="AK809" s="1972"/>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1975" t="s">
        <v>1691</v>
      </c>
      <c r="B810" s="1976"/>
      <c r="C810" s="1976"/>
      <c r="D810" s="1976"/>
      <c r="E810" s="1976"/>
      <c r="F810" s="1976"/>
      <c r="G810" s="1976"/>
      <c r="H810" s="1976"/>
      <c r="I810" s="1976"/>
      <c r="J810" s="1976"/>
      <c r="K810" s="1976"/>
      <c r="L810" s="1976"/>
      <c r="M810" s="1976"/>
      <c r="N810" s="1976"/>
      <c r="O810" s="1976"/>
      <c r="P810" s="1976"/>
      <c r="Q810" s="1976"/>
      <c r="R810" s="1976"/>
      <c r="S810" s="1976"/>
      <c r="T810" s="1976"/>
      <c r="U810" s="1976"/>
      <c r="V810" s="1976"/>
      <c r="W810" s="1976"/>
      <c r="X810" s="1976"/>
      <c r="Y810" s="1976"/>
      <c r="Z810" s="1976"/>
      <c r="AA810" s="1976"/>
      <c r="AB810" s="1976"/>
      <c r="AC810" s="1976"/>
      <c r="AD810" s="1976"/>
      <c r="AE810" s="1977"/>
      <c r="AF810" s="1981">
        <f>SUM(AF793:AK808)-AF809</f>
        <v>119</v>
      </c>
      <c r="AG810" s="1982"/>
      <c r="AH810" s="1982"/>
      <c r="AI810" s="1982"/>
      <c r="AJ810" s="1982"/>
      <c r="AK810" s="1983"/>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1978"/>
      <c r="B811" s="1979"/>
      <c r="C811" s="1979"/>
      <c r="D811" s="1979"/>
      <c r="E811" s="1979"/>
      <c r="F811" s="1979"/>
      <c r="G811" s="1979"/>
      <c r="H811" s="1979"/>
      <c r="I811" s="1979"/>
      <c r="J811" s="1979"/>
      <c r="K811" s="1979"/>
      <c r="L811" s="1979"/>
      <c r="M811" s="1979"/>
      <c r="N811" s="1979"/>
      <c r="O811" s="1979"/>
      <c r="P811" s="1979"/>
      <c r="Q811" s="1979"/>
      <c r="R811" s="1979"/>
      <c r="S811" s="1979"/>
      <c r="T811" s="1979"/>
      <c r="U811" s="1979"/>
      <c r="V811" s="1979"/>
      <c r="W811" s="1979"/>
      <c r="X811" s="1979"/>
      <c r="Y811" s="1979"/>
      <c r="Z811" s="1979"/>
      <c r="AA811" s="1979"/>
      <c r="AB811" s="1979"/>
      <c r="AC811" s="1979"/>
      <c r="AD811" s="1979"/>
      <c r="AE811" s="1980"/>
      <c r="AF811" s="1984"/>
      <c r="AG811" s="1985"/>
      <c r="AH811" s="1985"/>
      <c r="AI811" s="1985"/>
      <c r="AJ811" s="1985"/>
      <c r="AK811" s="1986"/>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A19" workbookViewId="0">
      <selection activeCell="I20" sqref="I20"/>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62" t="s">
        <v>1692</v>
      </c>
      <c r="B1" s="2162"/>
      <c r="C1" s="2162"/>
      <c r="D1" s="2162"/>
      <c r="E1" s="2162"/>
      <c r="F1" s="2162"/>
      <c r="G1" s="2162"/>
      <c r="H1" s="2162"/>
      <c r="I1" s="2162"/>
      <c r="J1" s="2162"/>
    </row>
    <row r="2" spans="1:13" ht="15" customHeight="1" thickBot="1">
      <c r="A2" s="1081"/>
      <c r="B2" s="1081"/>
      <c r="I2" s="1082"/>
      <c r="K2" s="1083"/>
    </row>
    <row r="3" spans="1:13" s="1086" customFormat="1" ht="20.100000000000001" customHeight="1">
      <c r="A3" s="1140"/>
      <c r="B3" s="1141"/>
      <c r="C3" s="1142"/>
      <c r="D3" s="1147"/>
      <c r="E3" s="1142"/>
      <c r="F3" s="1143" t="s">
        <v>2295</v>
      </c>
      <c r="G3" s="1142"/>
      <c r="H3" s="1144">
        <f>E16</f>
        <v>27941272.000000007</v>
      </c>
      <c r="I3" s="1145"/>
    </row>
    <row r="4" spans="1:13" s="1086" customFormat="1" ht="20.100000000000001" customHeight="1">
      <c r="B4" s="1134"/>
      <c r="D4" s="1148"/>
      <c r="F4" s="1132" t="s">
        <v>2297</v>
      </c>
      <c r="G4" s="1131" t="s">
        <v>2296</v>
      </c>
      <c r="H4" s="1133">
        <f>I16</f>
        <v>24743246.673529413</v>
      </c>
      <c r="I4" s="1135"/>
      <c r="K4" s="1090"/>
    </row>
    <row r="5" spans="1:13" s="1086" customFormat="1" ht="20.100000000000001" customHeight="1" thickBot="1">
      <c r="B5" s="1136"/>
      <c r="C5" s="1137"/>
      <c r="D5" s="1149"/>
      <c r="E5" s="1138"/>
      <c r="F5" s="1149" t="s">
        <v>2237</v>
      </c>
      <c r="G5" s="1150"/>
      <c r="H5" s="1146">
        <f>H3/H4</f>
        <v>1.1292484114419745</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63" t="s">
        <v>2235</v>
      </c>
      <c r="C8" s="2164"/>
      <c r="D8" s="2164"/>
      <c r="E8" s="2165"/>
      <c r="G8" s="2166" t="s">
        <v>2236</v>
      </c>
      <c r="H8" s="2167"/>
      <c r="I8" s="2168"/>
      <c r="K8" s="1092"/>
    </row>
    <row r="9" spans="1:13" ht="15" customHeight="1">
      <c r="A9" s="1081"/>
      <c r="B9" s="2157" t="s">
        <v>2274</v>
      </c>
      <c r="C9" s="2157"/>
      <c r="D9" s="2157"/>
      <c r="E9" s="1094">
        <f>G31</f>
        <v>4190000.0000000005</v>
      </c>
      <c r="G9" s="2160" t="s">
        <v>2272</v>
      </c>
      <c r="H9" s="2160"/>
      <c r="I9" s="1095">
        <f>Application!AM554</f>
        <v>34263756</v>
      </c>
      <c r="K9" s="1096"/>
      <c r="M9" s="1097"/>
    </row>
    <row r="10" spans="1:13" ht="15" customHeight="1" thickBot="1">
      <c r="A10" s="1081"/>
      <c r="B10" s="2157" t="s">
        <v>2275</v>
      </c>
      <c r="C10" s="2157"/>
      <c r="D10" s="2157"/>
      <c r="E10" s="1095">
        <f>G40</f>
        <v>14117472.000000002</v>
      </c>
      <c r="G10" s="2160" t="s">
        <v>2238</v>
      </c>
      <c r="H10" s="2160"/>
      <c r="I10" s="1182">
        <f>'Basis &amp; Credits'!AB78</f>
        <v>0</v>
      </c>
      <c r="M10" s="1097"/>
    </row>
    <row r="11" spans="1:13" ht="15" customHeight="1">
      <c r="A11" s="1098"/>
      <c r="B11" s="2157" t="s">
        <v>2276</v>
      </c>
      <c r="C11" s="2157"/>
      <c r="D11" s="2157"/>
      <c r="E11" s="1095">
        <f>G49</f>
        <v>390000</v>
      </c>
      <c r="G11" s="2160" t="s">
        <v>2287</v>
      </c>
      <c r="H11" s="2160"/>
      <c r="I11" s="1181">
        <f>I9+I10</f>
        <v>34263756</v>
      </c>
      <c r="M11" s="1097"/>
    </row>
    <row r="12" spans="1:13" ht="15" customHeight="1">
      <c r="A12" s="1084"/>
      <c r="B12" s="2157" t="s">
        <v>2277</v>
      </c>
      <c r="C12" s="2157"/>
      <c r="D12" s="2157"/>
      <c r="E12" s="1095">
        <f>G58</f>
        <v>780000</v>
      </c>
      <c r="G12" s="1183" t="s">
        <v>2312</v>
      </c>
      <c r="H12" s="1184"/>
      <c r="M12" s="1097"/>
    </row>
    <row r="13" spans="1:13" ht="15" customHeight="1">
      <c r="A13" s="1081"/>
      <c r="B13" s="2157" t="s">
        <v>2278</v>
      </c>
      <c r="C13" s="2157"/>
      <c r="D13" s="2157"/>
      <c r="E13" s="1100">
        <f>G83</f>
        <v>6787800.0000000019</v>
      </c>
      <c r="G13" s="2161" t="s">
        <v>139</v>
      </c>
      <c r="H13" s="2161"/>
      <c r="I13" s="1099">
        <f>15%*(AND(G111="Yes",G113&lt;&gt;""))</f>
        <v>0.15</v>
      </c>
      <c r="M13" s="1097"/>
    </row>
    <row r="14" spans="1:13" ht="15" customHeight="1">
      <c r="A14" s="1081"/>
      <c r="B14" s="2157" t="s">
        <v>2279</v>
      </c>
      <c r="C14" s="2157"/>
      <c r="D14" s="2157"/>
      <c r="E14" s="1095">
        <f>IF(G96&gt;G106,G96,0)</f>
        <v>0</v>
      </c>
      <c r="G14" s="1179" t="s">
        <v>2288</v>
      </c>
      <c r="H14" s="1179"/>
      <c r="I14" s="1099">
        <f>IF(Application!AJ1031&gt;0,10%,IF(Application!AJ1035&gt;0,5%,0))</f>
        <v>0</v>
      </c>
      <c r="M14" s="1097"/>
    </row>
    <row r="15" spans="1:13" ht="15" customHeight="1" thickBot="1">
      <c r="A15" s="1081"/>
      <c r="B15" s="2158" t="s">
        <v>2298</v>
      </c>
      <c r="C15" s="2158"/>
      <c r="D15" s="2158"/>
      <c r="E15" s="1151">
        <f>IF(E14&gt;0,0,G106)</f>
        <v>1676000.0000000002</v>
      </c>
      <c r="G15" s="2155" t="s">
        <v>2289</v>
      </c>
      <c r="H15" s="2156"/>
      <c r="I15" s="1153">
        <f>G123</f>
        <v>0.127859477124183</v>
      </c>
      <c r="M15" s="1097"/>
    </row>
    <row r="16" spans="1:13" ht="15" customHeight="1">
      <c r="A16" s="1081"/>
      <c r="B16" s="2159" t="s">
        <v>2234</v>
      </c>
      <c r="C16" s="2159"/>
      <c r="D16" s="2159"/>
      <c r="E16" s="1152">
        <f>SUM(E9:E15)</f>
        <v>27941272.000000007</v>
      </c>
      <c r="G16" s="1180" t="s">
        <v>2273</v>
      </c>
      <c r="H16" s="1180"/>
      <c r="I16" s="1154">
        <f>I11-((I11*I13)+(I11*I14)+(I11*I15))</f>
        <v>24743246.673529413</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85</v>
      </c>
      <c r="O18" s="1124" t="s">
        <v>589</v>
      </c>
      <c r="P18" s="1079">
        <f>MATCH(Application!T189,Application!BV490:BV547,0)</f>
        <v>41</v>
      </c>
      <c r="S18" s="1101">
        <f>SUM(Cdlac[Population])</f>
        <v>39</v>
      </c>
    </row>
    <row r="19" spans="1:20" ht="15" customHeight="1">
      <c r="A19" s="1081"/>
      <c r="B19" s="1081"/>
      <c r="I19" s="1107"/>
      <c r="L19" s="1079" t="s">
        <v>2230</v>
      </c>
      <c r="M19" s="1079" t="s">
        <v>2229</v>
      </c>
      <c r="N19" s="1079" t="s">
        <v>2243</v>
      </c>
      <c r="O19" s="1079" t="s">
        <v>2244</v>
      </c>
      <c r="P19" s="1079" t="s">
        <v>2231</v>
      </c>
      <c r="Q19" s="1079" t="s">
        <v>2232</v>
      </c>
      <c r="R19" s="1079" t="s">
        <v>2245</v>
      </c>
      <c r="S19" s="1079" t="s">
        <v>2251</v>
      </c>
      <c r="T19" s="1079" t="s">
        <v>385</v>
      </c>
    </row>
    <row r="20" spans="1:20" ht="15" customHeight="1">
      <c r="A20" s="1084"/>
      <c r="C20" s="2153" t="s">
        <v>2291</v>
      </c>
      <c r="D20" s="2153" t="s">
        <v>2292</v>
      </c>
      <c r="E20" s="2153" t="s">
        <v>2293</v>
      </c>
      <c r="F20" s="2153" t="s">
        <v>2294</v>
      </c>
      <c r="G20" s="2153" t="s">
        <v>2290</v>
      </c>
      <c r="H20" s="1108"/>
      <c r="I20" s="1107"/>
      <c r="L20" s="1079">
        <f>IFERROR(MIN(4,MATCH(Application!B718,UnitSizes,0)-1),"")</f>
        <v>0</v>
      </c>
      <c r="M20" s="1101">
        <f>Application!G718</f>
        <v>14</v>
      </c>
      <c r="N20" s="1109">
        <f>Application!AC718</f>
        <v>0.2</v>
      </c>
      <c r="O20" s="1109">
        <f>IF(Cdlac[[#This Row],[Quantity]]&gt;0,IF(Cdlac[[#This Row],[Federal]],30%,IF($G$36,40%,Cdlac[[#This Row],[iAMI]])),"")</f>
        <v>0.3</v>
      </c>
      <c r="P20" s="1101" cm="1">
        <f t="array" ref="P20">IF(Cdlac[[#This Row],[Quantity]]&gt;0,INDEX(TcacRents,$P$18,Cdlac[[#This Row],[Bedrooms]]+1)*Cdlac[[#This Row],[AMI]],"")</f>
        <v>1027.8</v>
      </c>
      <c r="Q20" s="1101" cm="1">
        <f t="array" ref="Q20">IF(Cdlac[[#This Row],[Quantity]]&gt;0,INDEX(HudFmrs,$P$18,Cdlac[[#This Row],[Bedrooms]]+1),"")</f>
        <v>2292</v>
      </c>
      <c r="R20" s="1101">
        <f>IF(Cdlac[[#This Row],[Quantity]]&gt;0,MAX(0,Cdlac[[#This Row],[Fair Market Rent]]-Cdlac[[#This Row],[Restricted Rent]]),"")</f>
        <v>1264.2</v>
      </c>
      <c r="S20" s="1079">
        <f>IF(Cdlac[[#This Row],[Quantity]]&gt;0,AND(Application!AK718&lt;&gt;"N/A",Application!AK718&lt;&gt;"")*Cdlac[[#This Row],[Quantity]],"")</f>
        <v>14</v>
      </c>
      <c r="T20" s="1079" t="b">
        <f>AND('Subsidy Contract Calculation'!F4&gt;0,'Subsidy Contract Calculation'!C4="Federal",Cdlac[[#This Row],[Quantity]]&gt;0)</f>
        <v>1</v>
      </c>
    </row>
    <row r="21" spans="1:20" ht="15" customHeight="1">
      <c r="A21" s="1084"/>
      <c r="C21" s="2154"/>
      <c r="D21" s="2154"/>
      <c r="E21" s="2154"/>
      <c r="F21" s="2154"/>
      <c r="G21" s="2154"/>
      <c r="H21" s="1108"/>
      <c r="I21" s="1107"/>
      <c r="L21" s="1079">
        <f>IFERROR(MIN(4,MATCH(Application!B719,UnitSizes,0)-1),"")</f>
        <v>0</v>
      </c>
      <c r="M21" s="1101">
        <f>Application!G719</f>
        <v>6</v>
      </c>
      <c r="N21" s="1109">
        <f>Application!AC719</f>
        <v>0.3</v>
      </c>
      <c r="O21" s="1109">
        <f>IF(Cdlac[[#This Row],[Quantity]]&gt;0,IF(Cdlac[[#This Row],[Federal]],30%,IF($G$36,40%,Cdlac[[#This Row],[iAMI]])),"")</f>
        <v>0.3</v>
      </c>
      <c r="P21" s="1101" cm="1">
        <f t="array" ref="P21">IF(Cdlac[[#This Row],[Quantity]]&gt;0,INDEX(TcacRents,$P$18,Cdlac[[#This Row],[Bedrooms]]+1)*Cdlac[[#This Row],[AMI]],"")</f>
        <v>1027.8</v>
      </c>
      <c r="Q21" s="1101" cm="1">
        <f t="array" ref="Q21">IF(Cdlac[[#This Row],[Quantity]]&gt;0,INDEX(HudFmrs,$P$18,Cdlac[[#This Row],[Bedrooms]]+1),"")</f>
        <v>2292</v>
      </c>
      <c r="R21" s="1101">
        <f>IF(Cdlac[[#This Row],[Quantity]]&gt;0,MAX(0,Cdlac[[#This Row],[Fair Market Rent]]-Cdlac[[#This Row],[Restricted Rent]]),"")</f>
        <v>1264.2</v>
      </c>
      <c r="S21" s="1079">
        <f>IF(Cdlac[[#This Row],[Quantity]]&gt;0,AND(Application!AK719&lt;&gt;"N/A",Application!AK719&lt;&gt;"")*Cdlac[[#This Row],[Quantity]],"")</f>
        <v>6</v>
      </c>
      <c r="T21" s="1079" t="b">
        <f>AND('Subsidy Contract Calculation'!F5&gt;0,'Subsidy Contract Calculation'!C5="Federal",Cdlac[[#This Row],[Quantity]]&gt;0)</f>
        <v>0</v>
      </c>
    </row>
    <row r="22" spans="1:20" ht="15" customHeight="1">
      <c r="C22" s="1110">
        <v>0</v>
      </c>
      <c r="D22" s="1111">
        <v>0.9</v>
      </c>
      <c r="E22" s="1110">
        <f>SUMIFS(Cdlac[Quantity],Cdlac[Bedrooms],C22)</f>
        <v>47</v>
      </c>
      <c r="F22" s="1110">
        <f>E22</f>
        <v>47</v>
      </c>
      <c r="G22" s="1110">
        <f>D22*F22</f>
        <v>42.300000000000004</v>
      </c>
      <c r="L22" s="1079">
        <f>IFERROR(MIN(4,MATCH(Application!B720,UnitSizes,0)-1),"")</f>
        <v>0</v>
      </c>
      <c r="M22" s="1101">
        <f>Application!G720</f>
        <v>2</v>
      </c>
      <c r="N22" s="1109">
        <f>Application!AC720</f>
        <v>0.3</v>
      </c>
      <c r="O22" s="1109">
        <f>IF(Cdlac[[#This Row],[Quantity]]&gt;0,IF(Cdlac[[#This Row],[Federal]],30%,IF($G$36,40%,Cdlac[[#This Row],[iAMI]])),"")</f>
        <v>0.3</v>
      </c>
      <c r="P22" s="1101" cm="1">
        <f t="array" ref="P22">IF(Cdlac[[#This Row],[Quantity]]&gt;0,INDEX(TcacRents,$P$18,Cdlac[[#This Row],[Bedrooms]]+1)*Cdlac[[#This Row],[AMI]],"")</f>
        <v>1027.8</v>
      </c>
      <c r="Q22" s="1101" cm="1">
        <f t="array" ref="Q22">IF(Cdlac[[#This Row],[Quantity]]&gt;0,INDEX(HudFmrs,$P$18,Cdlac[[#This Row],[Bedrooms]]+1),"")</f>
        <v>2292</v>
      </c>
      <c r="R22" s="1101">
        <f>IF(Cdlac[[#This Row],[Quantity]]&gt;0,MAX(0,Cdlac[[#This Row],[Fair Market Rent]]-Cdlac[[#This Row],[Restricted Rent]]),"")</f>
        <v>1264.2</v>
      </c>
      <c r="S22" s="1079">
        <f>IF(Cdlac[[#This Row],[Quantity]]&gt;0,AND(Application!AK720&lt;&gt;"N/A",Application!AK720&lt;&gt;"")*Cdlac[[#This Row],[Quantity]],"")</f>
        <v>2</v>
      </c>
      <c r="T22" s="1079" t="b">
        <f>AND('Subsidy Contract Calculation'!F6&gt;0,'Subsidy Contract Calculation'!C6="Federal",Cdlac[[#This Row],[Quantity]]&gt;0)</f>
        <v>0</v>
      </c>
    </row>
    <row r="23" spans="1:20" ht="15" customHeight="1">
      <c r="C23" s="1110">
        <v>1</v>
      </c>
      <c r="D23" s="1111">
        <v>1</v>
      </c>
      <c r="E23" s="1110">
        <f>SUMIFS(Cdlac[Quantity],Cdlac[Bedrooms],C23)</f>
        <v>29</v>
      </c>
      <c r="F23" s="1110">
        <f>E23</f>
        <v>29</v>
      </c>
      <c r="G23" s="1110">
        <f>D23*F23</f>
        <v>29</v>
      </c>
      <c r="L23" s="1079">
        <f>IFERROR(MIN(4,MATCH(Application!B721,UnitSizes,0)-1),"")</f>
        <v>0</v>
      </c>
      <c r="M23" s="1101">
        <f>Application!G721</f>
        <v>25</v>
      </c>
      <c r="N23" s="1109">
        <f>Application!AC721</f>
        <v>0.6</v>
      </c>
      <c r="O23" s="1109">
        <f>IF(Cdlac[[#This Row],[Quantity]]&gt;0,IF(Cdlac[[#This Row],[Federal]],30%,IF($G$36,40%,Cdlac[[#This Row],[iAMI]])),"")</f>
        <v>0.6</v>
      </c>
      <c r="P23" s="1101" cm="1">
        <f t="array" ref="P23">IF(Cdlac[[#This Row],[Quantity]]&gt;0,INDEX(TcacRents,$P$18,Cdlac[[#This Row],[Bedrooms]]+1)*Cdlac[[#This Row],[AMI]],"")</f>
        <v>2055.6</v>
      </c>
      <c r="Q23" s="1101" cm="1">
        <f t="array" ref="Q23">IF(Cdlac[[#This Row],[Quantity]]&gt;0,INDEX(HudFmrs,$P$18,Cdlac[[#This Row],[Bedrooms]]+1),"")</f>
        <v>2292</v>
      </c>
      <c r="R23" s="1101">
        <f>IF(Cdlac[[#This Row],[Quantity]]&gt;0,MAX(0,Cdlac[[#This Row],[Fair Market Rent]]-Cdlac[[#This Row],[Restricted Rent]]),"")</f>
        <v>236.40000000000009</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4</v>
      </c>
      <c r="F24" s="1113">
        <f>SUM(E24:E26)-SUM(F25:F26)</f>
        <v>4</v>
      </c>
      <c r="G24" s="1110">
        <f>D24*F24</f>
        <v>5</v>
      </c>
      <c r="H24" s="1112"/>
      <c r="I24" s="1112"/>
      <c r="L24" s="1079">
        <f>IFERROR(MIN(4,MATCH(Application!B722,UnitSizes,0)-1),"")</f>
        <v>1</v>
      </c>
      <c r="M24" s="1101">
        <f>Application!G722</f>
        <v>10</v>
      </c>
      <c r="N24" s="1109">
        <f>Application!AC722</f>
        <v>0.2</v>
      </c>
      <c r="O24" s="1109">
        <f>IF(Cdlac[[#This Row],[Quantity]]&gt;0,IF(Cdlac[[#This Row],[Federal]],30%,IF($G$36,40%,Cdlac[[#This Row],[iAMI]])),"")</f>
        <v>0.3</v>
      </c>
      <c r="P24" s="1101" cm="1">
        <f t="array" ref="P24">IF(Cdlac[[#This Row],[Quantity]]&gt;0,INDEX(TcacRents,$P$18,Cdlac[[#This Row],[Bedrooms]]+1)*Cdlac[[#This Row],[AMI]],"")</f>
        <v>1101.5999999999999</v>
      </c>
      <c r="Q24" s="1101" cm="1">
        <f t="array" ref="Q24">IF(Cdlac[[#This Row],[Quantity]]&gt;0,INDEX(HudFmrs,$P$18,Cdlac[[#This Row],[Bedrooms]]+1),"")</f>
        <v>2818</v>
      </c>
      <c r="R24" s="1101">
        <f>IF(Cdlac[[#This Row],[Quantity]]&gt;0,MAX(0,Cdlac[[#This Row],[Fair Market Rent]]-Cdlac[[#This Row],[Restricted Rent]]),"")</f>
        <v>1716.4</v>
      </c>
      <c r="S24" s="1079">
        <f>IF(Cdlac[[#This Row],[Quantity]]&gt;0,AND(Application!AK722&lt;&gt;"N/A",Application!AK722&lt;&gt;"")*Cdlac[[#This Row],[Quantity]],"")</f>
        <v>10</v>
      </c>
      <c r="T24" s="1079" t="b">
        <f>AND('Subsidy Contract Calculation'!F8&gt;0,'Subsidy Contract Calculation'!C8="Federal",Cdlac[[#This Row],[Quantity]]&gt;0)</f>
        <v>1</v>
      </c>
    </row>
    <row r="25" spans="1:20" ht="15" customHeight="1">
      <c r="A25" s="1112"/>
      <c r="C25" s="1113">
        <v>3</v>
      </c>
      <c r="D25" s="1111">
        <f>1.5+0.25*0</f>
        <v>1.5</v>
      </c>
      <c r="E25" s="1110">
        <f>SUMIFS(Cdlac[Quantity],Cdlac[Bedrooms],C25)</f>
        <v>5</v>
      </c>
      <c r="F25" s="1113">
        <f>MIN(E25,ROUNDDOWN(E27*30%,0))</f>
        <v>5</v>
      </c>
      <c r="G25" s="1110">
        <f>D25*F25</f>
        <v>7.5</v>
      </c>
      <c r="H25" s="1112"/>
      <c r="I25" s="1112"/>
      <c r="L25" s="1079">
        <f>IFERROR(MIN(4,MATCH(Application!B723,UnitSizes,0)-1),"")</f>
        <v>1</v>
      </c>
      <c r="M25" s="1101">
        <f>Application!G723</f>
        <v>5</v>
      </c>
      <c r="N25" s="1109">
        <f>Application!AC723</f>
        <v>0.3</v>
      </c>
      <c r="O25" s="1109">
        <f>IF(Cdlac[[#This Row],[Quantity]]&gt;0,IF(Cdlac[[#This Row],[Federal]],30%,IF($G$36,40%,Cdlac[[#This Row],[iAMI]])),"")</f>
        <v>0.3</v>
      </c>
      <c r="P25" s="1101" cm="1">
        <f t="array" ref="P25">IF(Cdlac[[#This Row],[Quantity]]&gt;0,INDEX(TcacRents,$P$18,Cdlac[[#This Row],[Bedrooms]]+1)*Cdlac[[#This Row],[AMI]],"")</f>
        <v>1101.5999999999999</v>
      </c>
      <c r="Q25" s="1101" cm="1">
        <f t="array" ref="Q25">IF(Cdlac[[#This Row],[Quantity]]&gt;0,INDEX(HudFmrs,$P$18,Cdlac[[#This Row],[Bedrooms]]+1),"")</f>
        <v>2818</v>
      </c>
      <c r="R25" s="1101">
        <f>IF(Cdlac[[#This Row],[Quantity]]&gt;0,MAX(0,Cdlac[[#This Row],[Fair Market Rent]]-Cdlac[[#This Row],[Restricted Rent]]),"")</f>
        <v>1716.4</v>
      </c>
      <c r="S25" s="1079">
        <f>IF(Cdlac[[#This Row],[Quantity]]&gt;0,AND(Application!AK723&lt;&gt;"N/A",Application!AK723&lt;&gt;"")*Cdlac[[#This Row],[Quantity]],"")</f>
        <v>5</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1</v>
      </c>
      <c r="M26" s="1101">
        <f>Application!G724</f>
        <v>2</v>
      </c>
      <c r="N26" s="1109">
        <f>Application!AC724</f>
        <v>0.3</v>
      </c>
      <c r="O26" s="1109">
        <f>IF(Cdlac[[#This Row],[Quantity]]&gt;0,IF(Cdlac[[#This Row],[Federal]],30%,IF($G$36,40%,Cdlac[[#This Row],[iAMI]])),"")</f>
        <v>0.3</v>
      </c>
      <c r="P26" s="1101" cm="1">
        <f t="array" ref="P26">IF(Cdlac[[#This Row],[Quantity]]&gt;0,INDEX(TcacRents,$P$18,Cdlac[[#This Row],[Bedrooms]]+1)*Cdlac[[#This Row],[AMI]],"")</f>
        <v>1101.5999999999999</v>
      </c>
      <c r="Q26" s="1101" cm="1">
        <f t="array" ref="Q26">IF(Cdlac[[#This Row],[Quantity]]&gt;0,INDEX(HudFmrs,$P$18,Cdlac[[#This Row],[Bedrooms]]+1),"")</f>
        <v>2818</v>
      </c>
      <c r="R26" s="1101">
        <f>IF(Cdlac[[#This Row],[Quantity]]&gt;0,MAX(0,Cdlac[[#This Row],[Fair Market Rent]]-Cdlac[[#This Row],[Restricted Rent]]),"")</f>
        <v>1716.4</v>
      </c>
      <c r="S26" s="1079">
        <f>IF(Cdlac[[#This Row],[Quantity]]&gt;0,AND(Application!AK724&lt;&gt;"N/A",Application!AK724&lt;&gt;"")*Cdlac[[#This Row],[Quantity]],"")</f>
        <v>2</v>
      </c>
      <c r="T26" s="1079" t="b">
        <f>AND('Subsidy Contract Calculation'!F10&gt;0,'Subsidy Contract Calculation'!C10="Federal",Cdlac[[#This Row],[Quantity]]&gt;0)</f>
        <v>0</v>
      </c>
    </row>
    <row r="27" spans="1:20" ht="15" customHeight="1">
      <c r="A27" s="1112"/>
      <c r="C27" s="2169" t="s">
        <v>1693</v>
      </c>
      <c r="D27" s="2170"/>
      <c r="E27" s="1129">
        <f>SUM(E22:E26)</f>
        <v>85</v>
      </c>
      <c r="F27" s="1129">
        <f>SUM(F22:F26)</f>
        <v>85</v>
      </c>
      <c r="G27" s="1130">
        <f>SUMPRODUCT(D22:D26,F22:F26)</f>
        <v>83.800000000000011</v>
      </c>
      <c r="H27" s="1112"/>
      <c r="I27" s="1112"/>
      <c r="L27" s="1079">
        <f>IFERROR(MIN(4,MATCH(Application!B725,UnitSizes,0)-1),"")</f>
        <v>1</v>
      </c>
      <c r="M27" s="1101">
        <f>Application!G725</f>
        <v>12</v>
      </c>
      <c r="N27" s="1109">
        <f>Application!AC725</f>
        <v>0.6</v>
      </c>
      <c r="O27" s="1109">
        <f>IF(Cdlac[[#This Row],[Quantity]]&gt;0,IF(Cdlac[[#This Row],[Federal]],30%,IF($G$36,40%,Cdlac[[#This Row],[iAMI]])),"")</f>
        <v>0.6</v>
      </c>
      <c r="P27" s="1101" cm="1">
        <f t="array" ref="P27">IF(Cdlac[[#This Row],[Quantity]]&gt;0,INDEX(TcacRents,$P$18,Cdlac[[#This Row],[Bedrooms]]+1)*Cdlac[[#This Row],[AMI]],"")</f>
        <v>2203.1999999999998</v>
      </c>
      <c r="Q27" s="1101" cm="1">
        <f t="array" ref="Q27">IF(Cdlac[[#This Row],[Quantity]]&gt;0,INDEX(HudFmrs,$P$18,Cdlac[[#This Row],[Bedrooms]]+1),"")</f>
        <v>2818</v>
      </c>
      <c r="R27" s="1101">
        <f>IF(Cdlac[[#This Row],[Quantity]]&gt;0,MAX(0,Cdlac[[#This Row],[Fair Market Rent]]-Cdlac[[#This Row],[Restricted Rent]]),"")</f>
        <v>614.80000000000018</v>
      </c>
      <c r="S27" s="1079">
        <f>IF(Cdlac[[#This Row],[Quantity]]&gt;0,AND(Application!AK725&lt;&gt;"N/A",Application!AK725&lt;&gt;"")*Cdlac[[#This Row],[Quantity]],"")</f>
        <v>0</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f>IFERROR(MIN(4,MATCH(Application!B726,UnitSizes,0)-1),"")</f>
        <v>2</v>
      </c>
      <c r="M28" s="1101">
        <f>Application!G726</f>
        <v>4</v>
      </c>
      <c r="N28" s="1109">
        <f>Application!AC726</f>
        <v>0.6</v>
      </c>
      <c r="O28" s="1109">
        <f>IF(Cdlac[[#This Row],[Quantity]]&gt;0,IF(Cdlac[[#This Row],[Federal]],30%,IF($G$36,40%,Cdlac[[#This Row],[iAMI]])),"")</f>
        <v>0.6</v>
      </c>
      <c r="P28" s="1101" cm="1">
        <f t="array" ref="P28">IF(Cdlac[[#This Row],[Quantity]]&gt;0,INDEX(TcacRents,$P$18,Cdlac[[#This Row],[Bedrooms]]+1)*Cdlac[[#This Row],[AMI]],"")</f>
        <v>2643.6</v>
      </c>
      <c r="Q28" s="1101" cm="1">
        <f t="array" ref="Q28">IF(Cdlac[[#This Row],[Quantity]]&gt;0,INDEX(HudFmrs,$P$18,Cdlac[[#This Row],[Bedrooms]]+1),"")</f>
        <v>3359</v>
      </c>
      <c r="R28" s="1101">
        <f>IF(Cdlac[[#This Row],[Quantity]]&gt;0,MAX(0,Cdlac[[#This Row],[Fair Market Rent]]-Cdlac[[#This Row],[Restricted Rent]]),"")</f>
        <v>715.40000000000009</v>
      </c>
      <c r="S28" s="1079">
        <f>IF(Cdlac[[#This Row],[Quantity]]&gt;0,AND(Application!AK726&lt;&gt;"N/A",Application!AK726&lt;&gt;"")*Cdlac[[#This Row],[Quantity]],"")</f>
        <v>0</v>
      </c>
      <c r="T28" s="1079" t="b">
        <f>AND('Subsidy Contract Calculation'!F12&gt;0,'Subsidy Contract Calculation'!C12="Federal",Cdlac[[#This Row],[Quantity]]&gt;0)</f>
        <v>0</v>
      </c>
    </row>
    <row r="29" spans="1:20" ht="15" customHeight="1">
      <c r="A29" s="1112"/>
      <c r="E29" s="1159" t="s">
        <v>2290</v>
      </c>
      <c r="G29" s="1156">
        <f>G27</f>
        <v>83.800000000000011</v>
      </c>
      <c r="H29" s="1112"/>
      <c r="I29" s="1112"/>
      <c r="L29" s="1079">
        <f>IFERROR(MIN(4,MATCH(Application!B727,UnitSizes,0)-1),"")</f>
        <v>3</v>
      </c>
      <c r="M29" s="1101">
        <f>Application!G727</f>
        <v>5</v>
      </c>
      <c r="N29" s="1109">
        <f>Application!AC727</f>
        <v>0.6</v>
      </c>
      <c r="O29" s="1109">
        <f>IF(Cdlac[[#This Row],[Quantity]]&gt;0,IF(Cdlac[[#This Row],[Federal]],30%,IF($G$36,40%,Cdlac[[#This Row],[iAMI]])),"")</f>
        <v>0.6</v>
      </c>
      <c r="P29" s="1101" cm="1">
        <f t="array" ref="P29">IF(Cdlac[[#This Row],[Quantity]]&gt;0,INDEX(TcacRents,$P$18,Cdlac[[#This Row],[Bedrooms]]+1)*Cdlac[[#This Row],[AMI]],"")</f>
        <v>3054</v>
      </c>
      <c r="Q29" s="1101" cm="1">
        <f t="array" ref="Q29">IF(Cdlac[[#This Row],[Quantity]]&gt;0,INDEX(HudFmrs,$P$18,Cdlac[[#This Row],[Bedrooms]]+1),"")</f>
        <v>4112</v>
      </c>
      <c r="R29" s="1101">
        <f>IF(Cdlac[[#This Row],[Quantity]]&gt;0,MAX(0,Cdlac[[#This Row],[Fair Market Rent]]-Cdlac[[#This Row],[Restricted Rent]]),"")</f>
        <v>1058</v>
      </c>
      <c r="S29" s="1079">
        <f>IF(Cdlac[[#This Row],[Quantity]]&gt;0,AND(Application!AK727&lt;&gt;"N/A",Application!AK727&lt;&gt;"")*Cdlac[[#This Row],[Quantity]],"")</f>
        <v>0</v>
      </c>
      <c r="T29" s="1079" t="b">
        <f>AND('Subsidy Contract Calculation'!F13&gt;0,'Subsidy Contract Calculation'!C13="Federal",Cdlac[[#This Row],[Quantity]]&gt;0)</f>
        <v>0</v>
      </c>
    </row>
    <row r="30" spans="1:20" ht="15" customHeight="1">
      <c r="A30" s="1112"/>
      <c r="E30" s="1159" t="s">
        <v>2242</v>
      </c>
      <c r="F30" s="1155" t="s">
        <v>2299</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2283</v>
      </c>
      <c r="F31" s="1081"/>
      <c r="G31" s="1161">
        <f>G30*G29</f>
        <v>4190000.0000000005</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2310</v>
      </c>
      <c r="G35" s="1162" cm="1">
        <f t="array" ref="G35">SUMPRODUCT(Cdlac[Quantity],Cdlac[iAMI],IF(Cdlac[Federal],0,1))/SUMIFS(Cdlac[Quantity],Cdlac[Federal],FALSE)</f>
        <v>0.52622950819672121</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2305</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2246</v>
      </c>
      <c r="G38" s="1116">
        <f>SUMPRODUCT(Cdlac[Quantity],Cdlac[Delta])</f>
        <v>78430.400000000009</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2311</v>
      </c>
      <c r="F39" s="1155" t="s">
        <v>2299</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2239</v>
      </c>
      <c r="F40" s="1081"/>
      <c r="G40" s="1165">
        <f>G38*G39</f>
        <v>14117472.000000002</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2300</v>
      </c>
      <c r="G44" s="1167">
        <f>S18</f>
        <v>39</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2301</v>
      </c>
      <c r="G45" s="1167">
        <f>ROUNDDOWN(E27*50%,0)</f>
        <v>42</v>
      </c>
    </row>
    <row r="46" spans="2:20" ht="15" customHeight="1">
      <c r="E46" s="1159"/>
      <c r="G46" s="1167"/>
    </row>
    <row r="47" spans="2:20" ht="15" customHeight="1">
      <c r="E47" s="1159" t="s">
        <v>2252</v>
      </c>
      <c r="G47" s="1156">
        <f>MIN(G44:G45)</f>
        <v>39</v>
      </c>
    </row>
    <row r="48" spans="2:20" ht="15" customHeight="1">
      <c r="E48" s="1159" t="s">
        <v>2242</v>
      </c>
      <c r="F48" s="1155" t="s">
        <v>2299</v>
      </c>
      <c r="G48" s="1166">
        <v>10000</v>
      </c>
    </row>
    <row r="49" spans="2:14" ht="15" customHeight="1">
      <c r="E49" s="1160" t="s">
        <v>2282</v>
      </c>
      <c r="F49" s="1081"/>
      <c r="G49" s="1165">
        <f>G47*G48</f>
        <v>390000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2302</v>
      </c>
      <c r="G53" s="1117">
        <f>SUMIFS(Cdlac[Quantity],Cdlac[iAMI],"&lt;=30%")</f>
        <v>39</v>
      </c>
    </row>
    <row r="54" spans="2:14" ht="15" customHeight="1">
      <c r="E54" s="1159" t="s">
        <v>2301</v>
      </c>
      <c r="G54" s="1117">
        <f>ROUNDDOWN(E27*50%,0)</f>
        <v>42</v>
      </c>
    </row>
    <row r="55" spans="2:14" ht="15" customHeight="1">
      <c r="E55" s="1159"/>
      <c r="G55" s="1117"/>
    </row>
    <row r="56" spans="2:14" ht="15" customHeight="1">
      <c r="E56" s="1159" t="s">
        <v>2252</v>
      </c>
      <c r="G56" s="1156">
        <f>MIN(G53:G54)</f>
        <v>39</v>
      </c>
    </row>
    <row r="57" spans="2:14" ht="15" customHeight="1">
      <c r="E57" s="1159" t="s">
        <v>2242</v>
      </c>
      <c r="F57" s="1155" t="s">
        <v>2299</v>
      </c>
      <c r="G57" s="1166">
        <v>20000</v>
      </c>
    </row>
    <row r="58" spans="2:14" ht="15" customHeight="1">
      <c r="E58" s="1160" t="s">
        <v>2281</v>
      </c>
      <c r="F58" s="1081"/>
      <c r="G58" s="1165">
        <f>G56*G57</f>
        <v>780000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2255</v>
      </c>
      <c r="G62" s="1156">
        <f>VLOOKUP('Points System'!$H$595,'Points System'!$AO$575:$AP$580,2,FALSE)</f>
        <v>7</v>
      </c>
      <c r="L62" s="1169" t="str">
        <f>'Points System'!H627</f>
        <v>(i)</v>
      </c>
      <c r="M62" s="2171" t="s">
        <v>1511</v>
      </c>
      <c r="N62" s="2172"/>
    </row>
    <row r="63" spans="2:14" ht="15" customHeight="1">
      <c r="E63" s="1124" t="s">
        <v>2242</v>
      </c>
      <c r="F63" s="1155" t="s">
        <v>2299</v>
      </c>
      <c r="G63" s="1114">
        <v>4000</v>
      </c>
      <c r="L63" s="1170" t="str">
        <f>'Points System'!H639</f>
        <v>(i)</v>
      </c>
      <c r="M63" s="2173" t="s">
        <v>2256</v>
      </c>
      <c r="N63" s="2174"/>
    </row>
    <row r="64" spans="2:14" ht="15" customHeight="1">
      <c r="E64" s="1124" t="s">
        <v>2303</v>
      </c>
      <c r="F64" s="1155" t="s">
        <v>2299</v>
      </c>
      <c r="G64" s="1168">
        <f>G27</f>
        <v>83.800000000000011</v>
      </c>
      <c r="L64" s="1170" t="str">
        <f>'Points System'!H674</f>
        <v>(i)</v>
      </c>
      <c r="M64" s="2173" t="s">
        <v>2257</v>
      </c>
      <c r="N64" s="2174"/>
    </row>
    <row r="65" spans="2:14" ht="15" customHeight="1">
      <c r="E65" s="1160" t="s">
        <v>2261</v>
      </c>
      <c r="F65" s="1081"/>
      <c r="G65" s="1165">
        <f>G62*G63*G64</f>
        <v>2346400.0000000005</v>
      </c>
      <c r="L65" s="1170" t="str">
        <f>IF(OR('Points System'!H698="(ii)",'Points System'!H698="(i)"),"(i)","N/A")</f>
        <v>(i)</v>
      </c>
      <c r="M65" s="2173" t="s">
        <v>2258</v>
      </c>
      <c r="N65" s="2174"/>
    </row>
    <row r="66" spans="2:14" ht="15" customHeight="1">
      <c r="C66" s="1115"/>
      <c r="G66" s="1156"/>
      <c r="L66" s="1171" t="str">
        <f>'Points System'!H712</f>
        <v>N/A</v>
      </c>
      <c r="M66" s="2173" t="s">
        <v>1537</v>
      </c>
      <c r="N66" s="2174"/>
    </row>
    <row r="67" spans="2:14" ht="15" customHeight="1">
      <c r="E67" s="1124" t="s">
        <v>2304</v>
      </c>
      <c r="G67" s="1168">
        <f>COUNTIFS(L62:L69,"(i)")</f>
        <v>7</v>
      </c>
      <c r="L67" s="1170" t="str">
        <f>'Points System'!H724</f>
        <v>(i)</v>
      </c>
      <c r="M67" s="2173" t="s">
        <v>2259</v>
      </c>
      <c r="N67" s="2174"/>
    </row>
    <row r="68" spans="2:14" ht="15" customHeight="1">
      <c r="E68" s="1124" t="s">
        <v>2242</v>
      </c>
      <c r="F68" s="1155" t="s">
        <v>2299</v>
      </c>
      <c r="G68" s="1166">
        <v>4000</v>
      </c>
      <c r="L68" s="1170" t="str">
        <f>'Points System'!H740</f>
        <v>(i)</v>
      </c>
      <c r="M68" s="2173" t="s">
        <v>2260</v>
      </c>
      <c r="N68" s="2174"/>
    </row>
    <row r="69" spans="2:14" ht="15" customHeight="1" thickBot="1">
      <c r="E69" s="1160" t="s">
        <v>2262</v>
      </c>
      <c r="F69" s="1081"/>
      <c r="G69" s="1165">
        <f>G64*G67*G68</f>
        <v>2346400.0000000005</v>
      </c>
      <c r="L69" s="1172" t="str">
        <f>'Points System'!H752</f>
        <v>(i)</v>
      </c>
      <c r="M69" s="2182" t="s">
        <v>1540</v>
      </c>
      <c r="N69" s="2183"/>
    </row>
    <row r="70" spans="2:14" ht="15" customHeight="1"/>
    <row r="71" spans="2:14" ht="15" customHeight="1">
      <c r="C71" s="1118" t="s">
        <v>2264</v>
      </c>
    </row>
    <row r="72" spans="2:14" ht="15" customHeight="1">
      <c r="C72" s="1115" t="s">
        <v>2265</v>
      </c>
      <c r="G72" s="1078"/>
    </row>
    <row r="73" spans="2:14" ht="15" customHeight="1">
      <c r="C73" s="1115" t="s">
        <v>2266</v>
      </c>
      <c r="G73" s="1078"/>
    </row>
    <row r="74" spans="2:14" ht="15" customHeight="1">
      <c r="C74" s="1115" t="s">
        <v>2494</v>
      </c>
      <c r="G74" s="1078" t="s">
        <v>552</v>
      </c>
    </row>
    <row r="75" spans="2:14" ht="15" customHeight="1">
      <c r="C75" s="1115" t="s">
        <v>2495</v>
      </c>
      <c r="G75" s="1078" t="s">
        <v>552</v>
      </c>
    </row>
    <row r="76" spans="2:14" ht="15" customHeight="1"/>
    <row r="77" spans="2:14" ht="15" customHeight="1">
      <c r="B77" s="1116"/>
      <c r="C77" s="1115"/>
      <c r="E77" s="1124" t="s">
        <v>2306</v>
      </c>
      <c r="G77" s="1117" t="b">
        <f>COUNTIFS(G72:G75,"Yes")&gt;=1</f>
        <v>1</v>
      </c>
    </row>
    <row r="78" spans="2:14" ht="15" customHeight="1">
      <c r="E78" s="1115"/>
    </row>
    <row r="79" spans="2:14" ht="15" customHeight="1">
      <c r="E79" s="1124" t="s">
        <v>2303</v>
      </c>
      <c r="F79" s="1155" t="s">
        <v>2299</v>
      </c>
      <c r="G79" s="1156">
        <f>G27</f>
        <v>83.800000000000011</v>
      </c>
    </row>
    <row r="80" spans="2:14" ht="15" customHeight="1">
      <c r="E80" s="1124" t="s">
        <v>2242</v>
      </c>
      <c r="F80" s="1155" t="s">
        <v>2299</v>
      </c>
      <c r="G80" s="1166">
        <v>25000</v>
      </c>
    </row>
    <row r="81" spans="2:14" ht="15" customHeight="1">
      <c r="E81" s="1160" t="s">
        <v>2263</v>
      </c>
      <c r="F81" s="1081"/>
      <c r="G81" s="1165">
        <f>G77*G80*G64</f>
        <v>2095000.0000000002</v>
      </c>
    </row>
    <row r="82" spans="2:14" ht="15" customHeight="1">
      <c r="C82" s="1115"/>
      <c r="E82" s="1115"/>
    </row>
    <row r="83" spans="2:14" ht="15" customHeight="1">
      <c r="E83" s="1160" t="s">
        <v>2240</v>
      </c>
      <c r="G83" s="1165">
        <f>G81+G69+G65</f>
        <v>6787800.0000000019</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2285</v>
      </c>
      <c r="G87" s="1078" t="s">
        <v>552</v>
      </c>
      <c r="L87" s="2184" t="s">
        <v>2269</v>
      </c>
      <c r="M87" s="2185"/>
      <c r="N87" s="1173">
        <v>30000</v>
      </c>
    </row>
    <row r="88" spans="2:14" ht="15" customHeight="1">
      <c r="C88" s="1115" t="s">
        <v>2286</v>
      </c>
      <c r="G88" s="1119" t="str">
        <f>IF(Application!D211="Large Family","Yes","No")</f>
        <v>No</v>
      </c>
      <c r="L88" s="2178" t="s">
        <v>2233</v>
      </c>
      <c r="M88" s="2179"/>
      <c r="N88" s="1174">
        <v>20000</v>
      </c>
    </row>
    <row r="89" spans="2:14" ht="15" customHeight="1" thickBot="1">
      <c r="C89" s="1115" t="s">
        <v>2267</v>
      </c>
      <c r="G89" s="1078" t="s">
        <v>552</v>
      </c>
      <c r="L89" s="2180" t="s">
        <v>2270</v>
      </c>
      <c r="M89" s="2181"/>
      <c r="N89" s="1175">
        <v>10000</v>
      </c>
    </row>
    <row r="90" spans="2:14" ht="15" customHeight="1">
      <c r="C90" s="1115" t="s">
        <v>2268</v>
      </c>
      <c r="G90" s="1079" t="str">
        <f>Application!T193</f>
        <v>Low Resource</v>
      </c>
    </row>
    <row r="91" spans="2:14" ht="15" customHeight="1">
      <c r="C91" s="1115"/>
    </row>
    <row r="92" spans="2:14" ht="15" customHeight="1">
      <c r="E92" s="1124" t="s">
        <v>2306</v>
      </c>
      <c r="G92" s="1117" t="b">
        <f>AND(COUNTIFS(G88:G89,"Yes")&gt;=1,G87="Yes")</f>
        <v>1</v>
      </c>
    </row>
    <row r="93" spans="2:14" ht="15" customHeight="1">
      <c r="E93" s="1124"/>
      <c r="G93" s="1117"/>
    </row>
    <row r="94" spans="2:14" ht="15" customHeight="1">
      <c r="E94" s="1124" t="s">
        <v>2242</v>
      </c>
      <c r="G94" s="1116">
        <f>IFERROR(INDEX(N87:N89,MATCH(LEFT(G90,17),L87:L89,0)),0)</f>
        <v>0</v>
      </c>
    </row>
    <row r="95" spans="2:14" ht="15" customHeight="1">
      <c r="E95" s="1124" t="str">
        <f>E64</f>
        <v>Bedroom-Adjusted Low-Income Units</v>
      </c>
      <c r="F95" s="1155" t="s">
        <v>2299</v>
      </c>
      <c r="G95" s="1156">
        <f>G27</f>
        <v>83.800000000000011</v>
      </c>
    </row>
    <row r="96" spans="2:14" ht="15" customHeight="1">
      <c r="D96" s="1081"/>
      <c r="E96" s="1160" t="s">
        <v>2241</v>
      </c>
      <c r="F96" s="1081"/>
      <c r="G96" s="1165">
        <f>G95*G94*G92</f>
        <v>0</v>
      </c>
    </row>
    <row r="97" spans="2:9" ht="15" customHeight="1"/>
    <row r="98" spans="2:9" ht="15" customHeight="1">
      <c r="B98" s="1104" t="s">
        <v>2254</v>
      </c>
      <c r="C98" s="1105"/>
      <c r="D98" s="1105"/>
      <c r="E98" s="1105"/>
      <c r="F98" s="1105"/>
      <c r="G98" s="1105"/>
      <c r="H98" s="1105"/>
      <c r="I98" s="1106"/>
    </row>
    <row r="99" spans="2:9" ht="15" customHeight="1"/>
    <row r="100" spans="2:9" ht="15" customHeight="1">
      <c r="F100" s="1158" t="s">
        <v>2280</v>
      </c>
      <c r="G100" s="1078" t="s">
        <v>552</v>
      </c>
    </row>
    <row r="101" spans="2:9" ht="15" customHeight="1">
      <c r="F101" s="1158"/>
    </row>
    <row r="102" spans="2:9" ht="15" customHeight="1">
      <c r="E102" s="1124" t="s">
        <v>2306</v>
      </c>
      <c r="G102" s="1117" t="b">
        <f>G100="Yes"</f>
        <v>1</v>
      </c>
    </row>
    <row r="103" spans="2:9" ht="15" customHeight="1"/>
    <row r="104" spans="2:9" ht="15" customHeight="1">
      <c r="E104" s="1124" t="str">
        <f>E64</f>
        <v>Bedroom-Adjusted Low-Income Units</v>
      </c>
      <c r="G104" s="1156">
        <f>G27</f>
        <v>83.800000000000011</v>
      </c>
    </row>
    <row r="105" spans="2:9" ht="15" customHeight="1">
      <c r="E105" s="1124" t="s">
        <v>2242</v>
      </c>
      <c r="F105" s="1155" t="s">
        <v>2299</v>
      </c>
      <c r="G105" s="1085">
        <v>20000</v>
      </c>
    </row>
    <row r="106" spans="2:9" ht="15" customHeight="1">
      <c r="E106" s="1160" t="s">
        <v>2271</v>
      </c>
      <c r="F106" s="1081"/>
      <c r="G106" s="1165">
        <f>G102*G105*G104</f>
        <v>1676000.0000000002</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75" t="s">
        <v>2634</v>
      </c>
      <c r="D110" s="2175"/>
      <c r="E110" s="2175"/>
      <c r="F110" s="2175"/>
    </row>
    <row r="111" spans="2:9" ht="15" customHeight="1">
      <c r="C111" s="2175"/>
      <c r="D111" s="2175"/>
      <c r="E111" s="2175"/>
      <c r="F111" s="2175"/>
      <c r="G111" s="1078" t="s">
        <v>552</v>
      </c>
    </row>
    <row r="112" spans="2:9" ht="15" customHeight="1"/>
    <row r="113" spans="2:9" ht="15" customHeight="1">
      <c r="C113" s="1079" t="s">
        <v>2637</v>
      </c>
      <c r="G113" s="2176" t="s">
        <v>2640</v>
      </c>
      <c r="H113" s="2176"/>
    </row>
    <row r="114" spans="2:9" ht="15" customHeight="1">
      <c r="G114" s="2176"/>
      <c r="H114" s="2176"/>
    </row>
    <row r="115" spans="2:9" ht="15" customHeight="1">
      <c r="G115" s="2177"/>
      <c r="H115" s="2177"/>
    </row>
    <row r="116" spans="2:9" ht="15" customHeight="1">
      <c r="G116" s="1263"/>
      <c r="H116" s="1263"/>
    </row>
    <row r="117" spans="2:9" ht="15" customHeight="1">
      <c r="B117" s="1104" t="s">
        <v>2308</v>
      </c>
      <c r="C117" s="1105"/>
      <c r="D117" s="1105"/>
      <c r="E117" s="1105"/>
      <c r="F117" s="1105"/>
      <c r="G117" s="1105"/>
      <c r="H117" s="1105"/>
      <c r="I117" s="1106"/>
    </row>
    <row r="118" spans="2:9" ht="15" customHeight="1"/>
    <row r="119" spans="2:9" ht="15" customHeight="1">
      <c r="E119" s="1124" t="s">
        <v>589</v>
      </c>
      <c r="G119" s="1079" t="str">
        <f>IF(Application!T189="","",Application!T189)</f>
        <v>San Mateo</v>
      </c>
    </row>
    <row r="120" spans="2:9" ht="15" customHeight="1">
      <c r="E120" s="1124"/>
      <c r="G120" s="1116"/>
    </row>
    <row r="121" spans="2:9" ht="15" customHeight="1">
      <c r="E121" s="1124" t="str">
        <f>"2-Bedroom "&amp;G119&amp;" County Basis Limit"</f>
        <v>2-Bedroom San Mateo County Basis Limit</v>
      </c>
      <c r="G121" s="1116">
        <f>Application!R987</f>
        <v>740000</v>
      </c>
    </row>
    <row r="122" spans="2:9" ht="15" customHeight="1">
      <c r="E122" s="1124" t="s">
        <v>2307</v>
      </c>
      <c r="G122" s="1116">
        <f>MEDIAN((Application!BR806:BR863))</f>
        <v>489600</v>
      </c>
    </row>
    <row r="123" spans="2:9" ht="15" customHeight="1">
      <c r="D123" s="1081"/>
      <c r="E123" s="1160" t="s">
        <v>2309</v>
      </c>
      <c r="F123" s="1176"/>
      <c r="G123" s="1177">
        <f>((G121-G122)/G122)*0.25</f>
        <v>0.127859477124183</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Shashank Agrawal</cp:lastModifiedBy>
  <cp:lastPrinted>2022-06-02T00:41:49Z</cp:lastPrinted>
  <dcterms:created xsi:type="dcterms:W3CDTF">2007-12-27T18:26:28Z</dcterms:created>
  <dcterms:modified xsi:type="dcterms:W3CDTF">2024-08-26T22:53:54Z</dcterms:modified>
</cp:coreProperties>
</file>