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3-04 Green Valley Road, El Dorado County\08. Funding\8.6 CDLAC\"/>
    </mc:Choice>
  </mc:AlternateContent>
  <xr:revisionPtr revIDLastSave="0" documentId="13_ncr:1_{0E59E14A-D629-4097-9844-0BF4A5B09D03}" xr6:coauthVersionLast="47" xr6:coauthVersionMax="47" xr10:uidLastSave="{00000000-0000-0000-0000-000000000000}"/>
  <bookViews>
    <workbookView xWindow="28680" yWindow="-180" windowWidth="29040" windowHeight="15840" firstSheet="4" activeTab="9"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15 Year Pro Forma" sheetId="7" r:id="rId6"/>
    <sheet name="Sources and Uses Budget" sheetId="4" r:id="rId7"/>
    <sheet name="Sources and Basis Breakdown" sheetId="13" r:id="rId8"/>
    <sheet name="Points System" sheetId="20" r:id="rId9"/>
    <sheet name="Tie Breaker" sheetId="21" r:id="rId10"/>
    <sheet name="CalHFA Addendum" sheetId="27" state="hidden" r:id="rId11"/>
    <sheet name="Basis &amp; Credits" sheetId="15" r:id="rId12"/>
    <sheet name="Subsidy Contract Calculation" sheetId="8" state="hidden"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5">'15 Year Pro Forma'!$A$1:$AH$77</definedName>
    <definedName name="_xlnm.Print_Area" localSheetId="4">Application!$A$1:$BC$1106</definedName>
    <definedName name="_xlnm.Print_Area" localSheetId="3">'Application Checklist'!$A$1:$I$1114</definedName>
    <definedName name="_xlnm.Print_Area" localSheetId="11">'Basis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7">'Sources and Basis Breakdown'!$A$1:$J$111</definedName>
    <definedName name="_xlnm.Print_Area" localSheetId="6">'Sources and Uses Budget'!$A$1:$T$139</definedName>
    <definedName name="_xlnm.Print_Area" localSheetId="9">'Tie Breaker'!$A$1:$I$123</definedName>
    <definedName name="_xlnm.Print_Titles" localSheetId="7">'Sources and Basis Breakdown'!$1:$2</definedName>
    <definedName name="_xlnm.Print_Titles" localSheetId="6">'Sources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11" hidden="1">'Basis &amp; Credits'!$AO:$IV</definedName>
    <definedName name="Z_48A1B9AA_9520_4513_968D_1FB22989E0AF_.wvu.Cols" localSheetId="8" hidden="1">'Points System'!$AN:$CC</definedName>
    <definedName name="Z_48A1B9AA_9520_4513_968D_1FB22989E0AF_.wvu.Cols" localSheetId="7" hidden="1">'Sources and Basis Breakdown'!$K:$IV</definedName>
    <definedName name="Z_48A1B9AA_9520_4513_968D_1FB22989E0AF_.wvu.PrintArea" localSheetId="11" hidden="1">'Basis &amp; Credits'!$A$1:$AN$83</definedName>
    <definedName name="Z_48A1B9AA_9520_4513_968D_1FB22989E0AF_.wvu.PrintArea" localSheetId="8"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1"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6" hidden="1">'Sources and Uses Budget'!$V:$IV</definedName>
    <definedName name="Z_ACB87C9A_02C3_4C83_BBE4_E2C44A4D81CD_.wvu.FilterData" localSheetId="4" hidden="1">Application!$842:$964</definedName>
    <definedName name="Z_ACB87C9A_02C3_4C83_BBE4_E2C44A4D81CD_.wvu.PrintArea" localSheetId="5"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6" hidden="1">'Sources and Uses Budget'!$A$1:$T$140</definedName>
    <definedName name="Z_ACB87C9A_02C3_4C83_BBE4_E2C44A4D81CD_.wvu.PrintTitles" localSheetId="6"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6"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4" l="1"/>
  <c r="H99" i="4"/>
  <c r="F85" i="4"/>
  <c r="E85" i="4"/>
  <c r="AO640" i="3"/>
  <c r="E61" i="4"/>
  <c r="F61" i="4"/>
  <c r="E80" i="4" l="1"/>
  <c r="E83" i="4"/>
  <c r="G67" i="7" l="1"/>
  <c r="I67" i="7"/>
  <c r="K67" i="7"/>
  <c r="M67" i="7"/>
  <c r="O67" i="7"/>
  <c r="Q67" i="7"/>
  <c r="S67" i="7"/>
  <c r="U67" i="7"/>
  <c r="W67" i="7"/>
  <c r="Y67" i="7"/>
  <c r="AA67" i="7"/>
  <c r="AC67" i="7"/>
  <c r="AE67" i="7"/>
  <c r="AG67" i="7"/>
  <c r="E86" i="4" l="1"/>
  <c r="F80" i="4"/>
  <c r="F86" i="4"/>
  <c r="E79" i="4"/>
  <c r="K54" i="7" l="1"/>
  <c r="O53" i="7"/>
  <c r="I54" i="7"/>
  <c r="M54" i="7"/>
  <c r="O54" i="7"/>
  <c r="Q54" i="7"/>
  <c r="S54" i="7"/>
  <c r="U54" i="7"/>
  <c r="W54" i="7"/>
  <c r="Y54" i="7"/>
  <c r="AA54" i="7"/>
  <c r="AC54" i="7"/>
  <c r="AE54" i="7"/>
  <c r="AG54" i="7"/>
  <c r="G54" i="7"/>
  <c r="I53" i="7"/>
  <c r="K53" i="7"/>
  <c r="M53" i="7"/>
  <c r="Q53" i="7"/>
  <c r="S53" i="7"/>
  <c r="U53" i="7"/>
  <c r="W53" i="7"/>
  <c r="Y53" i="7"/>
  <c r="AA53" i="7"/>
  <c r="AC53" i="7"/>
  <c r="AE53" i="7"/>
  <c r="AG53" i="7"/>
  <c r="G53" i="7"/>
  <c r="F83" i="4"/>
  <c r="F90" i="13" l="1"/>
  <c r="F94" i="13"/>
  <c r="F89" i="13"/>
  <c r="F87" i="13"/>
  <c r="F84" i="13"/>
  <c r="F46" i="13"/>
  <c r="F47" i="13"/>
  <c r="F48" i="13"/>
  <c r="F49" i="13"/>
  <c r="F51" i="13"/>
  <c r="F52" i="13"/>
  <c r="F53" i="13"/>
  <c r="F43" i="13"/>
  <c r="F40" i="13"/>
  <c r="F30" i="13"/>
  <c r="F31" i="13"/>
  <c r="F32" i="13"/>
  <c r="F33" i="13"/>
  <c r="F34" i="13"/>
  <c r="F35" i="13"/>
  <c r="F36" i="13"/>
  <c r="F37" i="13"/>
  <c r="F29" i="13"/>
  <c r="S90" i="4"/>
  <c r="S89" i="4"/>
  <c r="S87" i="4"/>
  <c r="S84" i="4"/>
  <c r="S66" i="4"/>
  <c r="S67" i="4"/>
  <c r="S68" i="4"/>
  <c r="S46" i="4"/>
  <c r="S47" i="4"/>
  <c r="S48" i="4"/>
  <c r="S51" i="4"/>
  <c r="S52" i="4"/>
  <c r="S53" i="4"/>
  <c r="S43" i="4"/>
  <c r="S40" i="4"/>
  <c r="S30" i="4"/>
  <c r="S31" i="4"/>
  <c r="S32" i="4"/>
  <c r="S33" i="4"/>
  <c r="S34" i="4"/>
  <c r="S35" i="4"/>
  <c r="S36" i="4"/>
  <c r="S37" i="4"/>
  <c r="S29" i="4"/>
  <c r="S10" i="4"/>
  <c r="C99" i="13"/>
  <c r="C89" i="13"/>
  <c r="C90" i="13"/>
  <c r="C88" i="13"/>
  <c r="C84" i="13"/>
  <c r="C79" i="13"/>
  <c r="C56" i="13"/>
  <c r="C50" i="13"/>
  <c r="C51" i="13"/>
  <c r="C52" i="13"/>
  <c r="C53" i="13"/>
  <c r="C49" i="13"/>
  <c r="C46" i="13"/>
  <c r="C43" i="13"/>
  <c r="C40" i="13"/>
  <c r="C36" i="13"/>
  <c r="C37" i="13"/>
  <c r="C35" i="13"/>
  <c r="C30" i="13"/>
  <c r="C31" i="13"/>
  <c r="C32" i="13"/>
  <c r="C33" i="13"/>
  <c r="C29" i="13"/>
  <c r="C10" i="13"/>
  <c r="F93" i="4"/>
  <c r="E93" i="4"/>
  <c r="E29" i="4"/>
  <c r="G29" i="4"/>
  <c r="F36" i="4"/>
  <c r="E37" i="4"/>
  <c r="E40" i="4"/>
  <c r="E43"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C69" i="13" s="1"/>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R84" i="4"/>
  <c r="B59" i="4"/>
  <c r="C80" i="11"/>
  <c r="C81" i="11"/>
  <c r="B80" i="11"/>
  <c r="B81" i="11"/>
  <c r="I96" i="13"/>
  <c r="J96" i="13"/>
  <c r="J81" i="13"/>
  <c r="I81" i="13"/>
  <c r="G81" i="13"/>
  <c r="D81" i="13"/>
  <c r="H80" i="13"/>
  <c r="B80" i="13"/>
  <c r="C80" i="13" s="1"/>
  <c r="C81" i="13" s="1"/>
  <c r="R80" i="4"/>
  <c r="S80" i="4" s="1"/>
  <c r="E80" i="13" s="1"/>
  <c r="F80" i="13" s="1"/>
  <c r="R79" i="4"/>
  <c r="S70" i="4"/>
  <c r="E70" i="13"/>
  <c r="D81" i="4"/>
  <c r="E81" i="4"/>
  <c r="F81" i="4"/>
  <c r="G81" i="4"/>
  <c r="H81" i="4"/>
  <c r="I81" i="4"/>
  <c r="J81" i="4"/>
  <c r="K81" i="4"/>
  <c r="L81" i="4"/>
  <c r="M81" i="4"/>
  <c r="N81" i="4"/>
  <c r="O81" i="4"/>
  <c r="P81" i="4"/>
  <c r="Q81" i="4"/>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E91" i="13"/>
  <c r="F91" i="13" s="1"/>
  <c r="E90" i="13"/>
  <c r="E89" i="13"/>
  <c r="E87" i="13"/>
  <c r="E84" i="13"/>
  <c r="E65" i="13"/>
  <c r="E53" i="13"/>
  <c r="E52" i="13"/>
  <c r="E51" i="13"/>
  <c r="E50" i="13"/>
  <c r="F50" i="13" s="1"/>
  <c r="E49" i="13"/>
  <c r="E48" i="13"/>
  <c r="E47" i="13"/>
  <c r="E46"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C95" i="13" s="1"/>
  <c r="B94" i="13"/>
  <c r="C94" i="13" s="1"/>
  <c r="B93" i="13"/>
  <c r="C93" i="13" s="1"/>
  <c r="B92" i="13"/>
  <c r="C92" i="13" s="1"/>
  <c r="B91" i="13"/>
  <c r="C91" i="13" s="1"/>
  <c r="B90" i="13"/>
  <c r="B89" i="13"/>
  <c r="B88" i="13"/>
  <c r="B87" i="13"/>
  <c r="B86" i="13"/>
  <c r="C86" i="13" s="1"/>
  <c r="B85" i="13"/>
  <c r="C85" i="13" s="1"/>
  <c r="B84" i="13"/>
  <c r="B83" i="13"/>
  <c r="C83" i="13" s="1"/>
  <c r="B79" i="13"/>
  <c r="B76" i="13"/>
  <c r="B75" i="13"/>
  <c r="C75" i="13" s="1"/>
  <c r="B74" i="13"/>
  <c r="B73" i="13"/>
  <c r="B72" i="13"/>
  <c r="B70" i="13"/>
  <c r="B65" i="13"/>
  <c r="C65" i="13" s="1"/>
  <c r="B61" i="13"/>
  <c r="C61" i="13" s="1"/>
  <c r="B60" i="13"/>
  <c r="B59" i="13"/>
  <c r="B58" i="13"/>
  <c r="B57" i="13"/>
  <c r="B56" i="13"/>
  <c r="B53" i="13"/>
  <c r="B52" i="13"/>
  <c r="B51" i="13"/>
  <c r="B50" i="13"/>
  <c r="B49" i="13"/>
  <c r="B48" i="13"/>
  <c r="B47" i="13"/>
  <c r="B46" i="13"/>
  <c r="B45" i="13"/>
  <c r="C45"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C13" i="13" s="1"/>
  <c r="B14" i="13"/>
  <c r="B15" i="13"/>
  <c r="B4" i="13"/>
  <c r="C4" i="13" s="1"/>
  <c r="J104" i="13"/>
  <c r="I104" i="13"/>
  <c r="G104" i="13"/>
  <c r="D104" i="13"/>
  <c r="C104" i="13"/>
  <c r="G96" i="13"/>
  <c r="D96" i="13"/>
  <c r="C96" i="13"/>
  <c r="D77" i="13"/>
  <c r="C77" i="13"/>
  <c r="J70" i="13"/>
  <c r="I70" i="13"/>
  <c r="G70" i="13"/>
  <c r="F70" i="13"/>
  <c r="D70" i="13"/>
  <c r="C70" i="13"/>
  <c r="D62" i="13"/>
  <c r="C62" i="13"/>
  <c r="J54" i="13"/>
  <c r="I54" i="13"/>
  <c r="G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F99" i="13" s="1"/>
  <c r="F104" i="13" s="1"/>
  <c r="R95" i="4"/>
  <c r="S95" i="4" s="1"/>
  <c r="E95" i="13" s="1"/>
  <c r="F95" i="13" s="1"/>
  <c r="R94" i="4"/>
  <c r="R93" i="4"/>
  <c r="S93" i="4" s="1"/>
  <c r="E93" i="13" s="1"/>
  <c r="F93" i="13" s="1"/>
  <c r="R92" i="4"/>
  <c r="S92" i="4" s="1"/>
  <c r="E92" i="13" s="1"/>
  <c r="F92" i="13" s="1"/>
  <c r="R90" i="4"/>
  <c r="R89" i="4"/>
  <c r="R88" i="4"/>
  <c r="R87" i="4"/>
  <c r="R86" i="4"/>
  <c r="S86" i="4" s="1"/>
  <c r="E86" i="13" s="1"/>
  <c r="F86" i="13" s="1"/>
  <c r="R85" i="4"/>
  <c r="S85" i="4" s="1"/>
  <c r="E85" i="13" s="1"/>
  <c r="F85" i="13" s="1"/>
  <c r="R83" i="4"/>
  <c r="R76" i="4"/>
  <c r="R75" i="4"/>
  <c r="R72" i="4"/>
  <c r="R73" i="4"/>
  <c r="R74" i="4"/>
  <c r="R69" i="4"/>
  <c r="R65" i="4"/>
  <c r="R61" i="4"/>
  <c r="R60" i="4"/>
  <c r="R59" i="4"/>
  <c r="R58" i="4"/>
  <c r="R57" i="4"/>
  <c r="R56" i="4"/>
  <c r="R53" i="4"/>
  <c r="R52" i="4"/>
  <c r="R51" i="4"/>
  <c r="R50" i="4"/>
  <c r="R49" i="4"/>
  <c r="R48" i="4"/>
  <c r="R47" i="4"/>
  <c r="R46" i="4"/>
  <c r="R45" i="4"/>
  <c r="S45" i="4" s="1"/>
  <c r="E45" i="13" s="1"/>
  <c r="F45" i="13" s="1"/>
  <c r="F54" i="13" s="1"/>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c r="C62" i="4"/>
  <c r="B62" i="13"/>
  <c r="C77" i="4"/>
  <c r="B77" i="13"/>
  <c r="C96" i="4"/>
  <c r="B96" i="13"/>
  <c r="B104" i="13"/>
  <c r="D8" i="4"/>
  <c r="D11" i="4"/>
  <c r="D26" i="4"/>
  <c r="D38" i="4"/>
  <c r="D42" i="4"/>
  <c r="D54" i="4"/>
  <c r="B54" i="4"/>
  <c r="D62" i="4"/>
  <c r="D77" i="4"/>
  <c r="D96" i="4"/>
  <c r="D104" i="4"/>
  <c r="B104"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s="1"/>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R38" i="4"/>
  <c r="C63" i="13"/>
  <c r="C97" i="13"/>
  <c r="C105" i="13"/>
  <c r="D92" i="11"/>
  <c r="D75" i="11"/>
  <c r="B71" i="11"/>
  <c r="B39" i="11"/>
  <c r="D28" i="11"/>
  <c r="R54" i="4"/>
  <c r="C55" i="11"/>
  <c r="D103" i="11"/>
  <c r="D88" i="11"/>
  <c r="C78" i="11"/>
  <c r="D42" i="11"/>
  <c r="D21" i="11"/>
  <c r="D16" i="11"/>
  <c r="B12" i="11"/>
  <c r="R26" i="4"/>
  <c r="D81" i="11"/>
  <c r="D86" i="11"/>
  <c r="B55" i="11"/>
  <c r="F63" i="13"/>
  <c r="AD199" i="20"/>
  <c r="R12" i="4"/>
  <c r="B42" i="4"/>
  <c r="D77" i="11"/>
  <c r="D47" i="11"/>
  <c r="C71" i="11"/>
  <c r="M63" i="4"/>
  <c r="M97" i="4"/>
  <c r="M105" i="4"/>
  <c r="R104" i="4"/>
  <c r="G63" i="4"/>
  <c r="G97" i="4"/>
  <c r="G105" i="4"/>
  <c r="D91" i="11"/>
  <c r="J63" i="4"/>
  <c r="J97" i="4"/>
  <c r="J105" i="4"/>
  <c r="D41" i="11"/>
  <c r="C12" i="11"/>
  <c r="K63" i="4"/>
  <c r="K97" i="4"/>
  <c r="K105" i="4"/>
  <c r="B62" i="4"/>
  <c r="R96" i="4"/>
  <c r="B105" i="11"/>
  <c r="E63" i="4"/>
  <c r="E97" i="4"/>
  <c r="E105" i="4"/>
  <c r="D104" i="11"/>
  <c r="E12" i="4"/>
  <c r="B96" i="4"/>
  <c r="T63" i="4"/>
  <c r="T97" i="4"/>
  <c r="D11" i="11"/>
  <c r="C12" i="4"/>
  <c r="B12" i="13"/>
  <c r="D43" i="11"/>
  <c r="B97" i="11"/>
  <c r="D78" i="11"/>
  <c r="D71" i="11"/>
  <c r="D82" i="11"/>
  <c r="B12" i="4"/>
  <c r="D9" i="11"/>
  <c r="B13" i="11"/>
  <c r="D63" i="11"/>
  <c r="D12" i="11"/>
  <c r="R63" i="4"/>
  <c r="C13" i="11"/>
  <c r="D55" i="11"/>
  <c r="H63" i="13"/>
  <c r="T105" i="4"/>
  <c r="H97" i="13"/>
  <c r="D96" i="11"/>
  <c r="C97" i="11"/>
  <c r="D97" i="11"/>
  <c r="D13" i="11"/>
  <c r="T107" i="4"/>
  <c r="H105" i="13"/>
  <c r="H107" i="13"/>
  <c r="AD11" i="15"/>
  <c r="AZ846" i="3"/>
  <c r="R81" i="4" l="1"/>
  <c r="R97" i="4" s="1"/>
  <c r="R105" i="4" s="1"/>
  <c r="S79" i="4"/>
  <c r="F96" i="13"/>
  <c r="S63" i="4"/>
  <c r="N186" i="27"/>
  <c r="N193" i="27" s="1"/>
  <c r="B63" i="4"/>
  <c r="D39" i="11"/>
  <c r="D105" i="11"/>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B106" i="1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C97" i="4"/>
  <c r="C105" i="4" s="1"/>
  <c r="AC455" i="3" s="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S81" i="4" l="1"/>
  <c r="E81" i="13" s="1"/>
  <c r="E79" i="13"/>
  <c r="F79" i="13" s="1"/>
  <c r="F81" i="13" s="1"/>
  <c r="F97" i="13" s="1"/>
  <c r="F105" i="13" s="1"/>
  <c r="F107" i="13" s="1"/>
  <c r="S97" i="4"/>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8" i="21" s="1"/>
  <c r="P28" i="21" s="1" a="1"/>
  <c r="P28" i="21" s="1"/>
  <c r="R28"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E97" i="13" l="1"/>
  <c r="S105" i="4"/>
  <c r="O26" i="21"/>
  <c r="P26" i="21" s="1" a="1"/>
  <c r="P26" i="21" s="1"/>
  <c r="R26" i="21" s="1"/>
  <c r="O27" i="21"/>
  <c r="P27" i="21" s="1" a="1"/>
  <c r="P27" i="21" s="1"/>
  <c r="R27" i="21" s="1"/>
  <c r="O24" i="21"/>
  <c r="P24" i="21" s="1" a="1"/>
  <c r="P24" i="21" s="1"/>
  <c r="R24" i="21" s="1"/>
  <c r="O25" i="21"/>
  <c r="P25" i="21" s="1" a="1"/>
  <c r="P25" i="21" s="1"/>
  <c r="R25"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5" i="13"/>
  <c r="N184" i="27"/>
  <c r="N194" i="2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993" i="3" l="1"/>
  <c r="AJ1040" i="3"/>
  <c r="AC456" i="3"/>
  <c r="AF540" i="20"/>
  <c r="E107" i="13"/>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T11" i="15" l="1"/>
  <c r="T23" i="15" s="1"/>
  <c r="Y11" i="15"/>
  <c r="Y23" i="15" s="1"/>
  <c r="Y26" i="15" s="1"/>
  <c r="Y28" i="15" s="1"/>
  <c r="T24" i="15"/>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6" i="15" l="1"/>
  <c r="T28" i="15" s="1"/>
  <c r="Y64" i="15"/>
  <c r="Y68" i="15" s="1"/>
  <c r="Y69" i="15" s="1"/>
  <c r="K11" i="7"/>
  <c r="K37" i="7" s="1"/>
  <c r="K45" i="7" s="1"/>
  <c r="E66" i="7"/>
  <c r="O5" i="7"/>
  <c r="Q4" i="7"/>
  <c r="AD38" i="15"/>
  <c r="AD40" i="15" s="1"/>
  <c r="M7" i="7"/>
  <c r="M11" i="7" s="1"/>
  <c r="M37" i="7" s="1"/>
  <c r="O6" i="7"/>
  <c r="G62" i="7"/>
  <c r="G66" i="7"/>
  <c r="I48" i="7"/>
  <c r="I60" i="7"/>
  <c r="I47" i="7"/>
  <c r="G69" i="21"/>
  <c r="G81" i="21"/>
  <c r="G65" i="21"/>
  <c r="S22" i="7"/>
  <c r="S35" i="7" s="1"/>
  <c r="U15" i="7"/>
  <c r="E14" i="21"/>
  <c r="E15" i="21" s="1"/>
  <c r="U8" i="7"/>
  <c r="S9" i="7"/>
  <c r="T29" i="15" l="1"/>
  <c r="Y38" i="15"/>
  <c r="Y40" i="15" s="1"/>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B57" i="15" l="1"/>
  <c r="U4" i="7"/>
  <c r="S5" i="7"/>
  <c r="P204" i="3"/>
  <c r="M48" i="7"/>
  <c r="M47" i="7"/>
  <c r="M60" i="7"/>
  <c r="O45" i="7"/>
  <c r="O49" i="7"/>
  <c r="K66" i="7"/>
  <c r="K62" i="7"/>
  <c r="Q7" i="7"/>
  <c r="Q11" i="7" s="1"/>
  <c r="Q37" i="7" s="1"/>
  <c r="S6" i="7"/>
  <c r="I70" i="7"/>
  <c r="I72" i="7" s="1"/>
  <c r="W22" i="7"/>
  <c r="W35" i="7" s="1"/>
  <c r="Y15" i="7"/>
  <c r="W9" i="7"/>
  <c r="Y8" i="7"/>
  <c r="AB59" i="15" l="1"/>
  <c r="AB77" i="15" s="1"/>
  <c r="U5" i="7"/>
  <c r="W4" i="7"/>
  <c r="Q49" i="7"/>
  <c r="Q45" i="7"/>
  <c r="M62"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<sst xmlns="http://schemas.openxmlformats.org/spreadsheetml/2006/main" count="5036" uniqueCount="2780">
  <si>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</si>
  <si>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</si>
  <si>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</si>
  <si>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</si>
  <si>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</si>
  <si>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</si>
  <si>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</si>
  <si>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</si>
  <si>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</si>
  <si>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</si>
  <si>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</si>
  <si>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</si>
  <si>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</si>
  <si>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</si>
  <si>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</si>
  <si>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</si>
  <si>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</si>
  <si>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</si>
  <si>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</si>
  <si>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</si>
  <si>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</si>
  <si>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</si>
  <si>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</si>
  <si>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</si>
  <si>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</si>
  <si>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</si>
  <si>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</si>
  <si>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</si>
  <si>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</si>
  <si>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</si>
  <si>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</si>
  <si>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</si>
  <si>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</si>
  <si>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</si>
  <si>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</si>
  <si>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</si>
  <si>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</si>
  <si>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</si>
  <si>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</si>
  <si>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</si>
  <si>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</si>
  <si>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</si>
  <si>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</si>
  <si>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</si>
  <si>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</si>
  <si>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</si>
  <si>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</si>
  <si>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</si>
  <si>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</si>
  <si>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</si>
  <si>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</si>
  <si>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</si>
  <si>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</si>
  <si>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</si>
  <si>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</si>
  <si>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</si>
  <si>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</si>
  <si>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</si>
  <si>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</si>
  <si>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</si>
  <si>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</si>
  <si>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</si>
  <si>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</si>
  <si>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</si>
  <si>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</si>
  <si>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</si>
  <si>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</si>
  <si>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</si>
  <si>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</si>
  <si>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</si>
  <si>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</si>
  <si>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</si>
  <si>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</si>
  <si>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</si>
  <si>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</si>
  <si>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</si>
  <si>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</si>
  <si>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</si>
  <si>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</si>
  <si>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</si>
  <si>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</si>
  <si>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</si>
  <si>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</si>
  <si>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</si>
  <si>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</si>
  <si>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</si>
  <si>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</si>
  <si>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</si>
  <si>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</si>
  <si>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</si>
  <si>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</si>
  <si>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</si>
  <si>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</si>
  <si>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</si>
  <si>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</si>
  <si>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</si>
  <si>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</si>
  <si>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</si>
  <si>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</si>
  <si>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</si>
  <si>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</si>
  <si>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</si>
  <si>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</si>
  <si>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</si>
  <si>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</si>
  <si>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</si>
  <si>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</si>
  <si>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</si>
  <si>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</si>
  <si>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</si>
  <si>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</si>
  <si>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</si>
  <si>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</si>
  <si>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</si>
  <si>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</si>
  <si>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</si>
  <si>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</si>
  <si>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</si>
  <si>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</si>
  <si>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</si>
  <si>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</si>
  <si>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</si>
  <si>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</si>
  <si>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</si>
  <si>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</si>
  <si>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</si>
  <si>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</si>
  <si>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</si>
  <si>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</si>
  <si>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</si>
  <si>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</si>
  <si>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</si>
  <si>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</si>
  <si>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</si>
  <si>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</si>
  <si>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</si>
  <si>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</si>
  <si>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</si>
  <si>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</si>
  <si>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</si>
  <si>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</si>
  <si>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</si>
  <si>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</si>
  <si>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</si>
  <si>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</si>
  <si>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</si>
  <si>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</si>
  <si>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</si>
  <si>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</si>
  <si>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</si>
  <si>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</si>
  <si>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</si>
  <si>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</si>
  <si>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</si>
  <si>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</si>
  <si>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</si>
  <si>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</si>
  <si>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</si>
  <si>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</si>
  <si>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</si>
  <si>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</si>
  <si>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</si>
  <si>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</si>
  <si>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</si>
  <si>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</si>
  <si>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</si>
  <si>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</si>
  <si>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</si>
  <si>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</si>
  <si>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</si>
  <si>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</si>
  <si>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</si>
  <si>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</si>
  <si>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</si>
  <si>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</si>
  <si>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</si>
  <si>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</si>
  <si>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</si>
  <si>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</si>
  <si>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</si>
  <si>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</si>
  <si>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</si>
  <si>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</si>
  <si>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</si>
  <si>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</si>
  <si>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</si>
  <si>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</si>
  <si>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</si>
  <si>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</si>
  <si>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</si>
  <si>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</si>
  <si>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</si>
  <si>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</si>
  <si>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</si>
  <si>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</si>
  <si>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</si>
  <si>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</si>
  <si>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</si>
  <si>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</si>
  <si>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</si>
  <si>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</si>
  <si>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</si>
  <si>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</si>
  <si>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</si>
  <si>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</si>
  <si>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</si>
  <si>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</si>
  <si>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</si>
  <si>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</si>
  <si>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</si>
  <si>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</si>
  <si>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</si>
  <si>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</si>
  <si>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</si>
  <si>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</si>
  <si>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</si>
  <si>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</si>
  <si>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</si>
  <si>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</si>
  <si>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</si>
  <si>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</si>
  <si>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</si>
  <si>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</si>
  <si>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</si>
  <si>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</si>
  <si>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</si>
  <si>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</si>
  <si>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</si>
  <si>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</si>
  <si>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</si>
  <si>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</si>
  <si>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</si>
  <si>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</si>
  <si>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</si>
  <si>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</si>
  <si>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</si>
  <si>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</si>
  <si>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</si>
  <si>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</si>
  <si>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</si>
  <si>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</si>
  <si>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</si>
  <si>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</si>
  <si>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</si>
  <si>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</si>
  <si>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</si>
  <si>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</si>
  <si>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</si>
  <si>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</si>
  <si>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</si>
  <si>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</si>
  <si>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</si>
  <si>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</si>
  <si>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</si>
  <si>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</si>
  <si>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</si>
  <si>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</si>
  <si>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</si>
  <si>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</si>
  <si>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</si>
  <si>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</si>
  <si>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</si>
  <si>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</si>
  <si>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</si>
  <si>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</si>
  <si>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</si>
  <si>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</si>
  <si>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</si>
  <si>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</si>
  <si>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</si>
  <si>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</si>
  <si>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</si>
  <si>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</si>
  <si>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</si>
  <si>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</si>
  <si>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</si>
  <si>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</si>
  <si>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</si>
  <si>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</si>
  <si>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</si>
  <si>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</si>
  <si>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</si>
  <si>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</si>
  <si>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</si>
  <si>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</si>
  <si>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</si>
  <si>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</si>
  <si>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</si>
  <si>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</si>
  <si>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</si>
  <si>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</si>
  <si>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</si>
  <si>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</si>
  <si>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</si>
  <si>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</si>
  <si>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</si>
  <si>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</si>
  <si>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</si>
  <si>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</si>
  <si>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</si>
  <si>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</si>
  <si>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</si>
  <si>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</si>
  <si>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</si>
  <si>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</si>
  <si>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</si>
  <si>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</si>
  <si>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</si>
  <si>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</si>
  <si>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</si>
  <si>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</si>
  <si>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</si>
  <si>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</si>
  <si>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</si>
  <si>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</si>
  <si>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</si>
  <si>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</si>
  <si>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</si>
  <si>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</si>
  <si>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</si>
  <si>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</si>
  <si>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</si>
  <si>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</si>
  <si>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</si>
  <si>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</si>
  <si>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</si>
  <si>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</si>
  <si>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</si>
  <si>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</si>
  <si>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</si>
  <si>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</si>
  <si>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</si>
  <si>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</si>
  <si>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</si>
  <si>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</si>
  <si>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</si>
  <si>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</si>
  <si>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</si>
  <si>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</si>
  <si>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</si>
  <si>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</si>
  <si>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</si>
  <si>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</si>
  <si>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</si>
  <si>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</si>
  <si>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</si>
  <si>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</si>
  <si>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</si>
  <si>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</si>
  <si>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</si>
  <si>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</si>
  <si>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</si>
  <si>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</si>
  <si>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</si>
  <si>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</si>
  <si>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</si>
  <si>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</si>
  <si>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</si>
  <si>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</si>
  <si>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</si>
  <si>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</si>
  <si>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</si>
  <si>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</si>
  <si>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</si>
  <si>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</si>
  <si>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</si>
  <si>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</si>
  <si>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</si>
  <si>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</si>
  <si>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</si>
  <si>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</si>
  <si>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</si>
  <si>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</si>
  <si>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</si>
  <si>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</si>
  <si>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</si>
  <si>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</si>
  <si>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</si>
  <si>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</si>
  <si>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</si>
  <si>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</si>
  <si>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</si>
  <si>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</si>
  <si>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</si>
  <si>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</si>
  <si>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</si>
  <si>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</si>
  <si>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</si>
  <si>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</si>
  <si>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</si>
  <si>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</si>
  <si>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</si>
  <si>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</si>
  <si>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</si>
  <si>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</si>
  <si>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</si>
  <si>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</si>
  <si>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</si>
  <si>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</si>
  <si>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</si>
  <si>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</si>
  <si>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</si>
  <si>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</si>
  <si>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</si>
  <si>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</si>
  <si>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</si>
  <si>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</si>
  <si>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</si>
  <si>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</si>
  <si>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</si>
  <si>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</si>
  <si>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</si>
  <si>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</si>
  <si>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</si>
  <si>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</si>
  <si>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</si>
  <si>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</si>
  <si>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</si>
  <si>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</si>
  <si>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</si>
  <si>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</si>
  <si>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</si>
  <si>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</si>
  <si>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</si>
  <si>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</si>
  <si>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</si>
  <si>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</si>
  <si>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</si>
  <si>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</si>
  <si>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</si>
  <si>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</si>
  <si>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</si>
  <si>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</si>
  <si>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</si>
  <si>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</si>
  <si>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</si>
  <si>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</si>
  <si>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</si>
  <si>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</si>
  <si>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</si>
  <si>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</si>
  <si>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</si>
  <si>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</si>
  <si>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</si>
  <si>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</si>
  <si>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</si>
  <si>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</si>
  <si>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</si>
  <si>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</si>
  <si>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</si>
  <si>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</si>
  <si>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</si>
  <si>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</si>
  <si>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</si>
  <si>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</si>
  <si>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</si>
  <si>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</si>
  <si>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</si>
  <si>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</si>
  <si>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</si>
  <si>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</si>
  <si>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</si>
  <si>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</si>
  <si>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</si>
  <si>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</si>
  <si>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</si>
  <si>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</si>
  <si>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</si>
  <si>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</si>
  <si>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</si>
  <si>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</si>
  <si>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</si>
  <si>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</si>
  <si>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</si>
  <si>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</si>
  <si>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</si>
  <si>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</si>
  <si>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</si>
  <si>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</si>
  <si>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</si>
  <si>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</si>
  <si>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</si>
  <si>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</si>
  <si>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</si>
  <si>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</si>
  <si>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</si>
  <si>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</si>
  <si>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</si>
  <si>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</si>
  <si>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</si>
  <si>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</si>
  <si>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</si>
  <si>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</si>
  <si>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</si>
  <si>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</si>
  <si>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</si>
  <si>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</si>
  <si>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</si>
  <si>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</si>
  <si>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</si>
  <si>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</si>
  <si>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</si>
  <si>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</si>
  <si>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</si>
  <si>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</si>
  <si>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</si>
  <si>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</si>
  <si>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</si>
  <si>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</si>
  <si>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</si>
  <si>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</si>
  <si>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</si>
  <si>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</si>
  <si>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</si>
  <si>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</si>
  <si>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</si>
  <si>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</si>
  <si>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</si>
  <si>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</si>
  <si>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</si>
  <si>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</si>
  <si>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</si>
  <si>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</si>
  <si>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</si>
  <si>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</si>
  <si>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</si>
  <si>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</si>
  <si>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</si>
  <si>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</si>
  <si>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</si>
  <si>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</si>
  <si>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</si>
  <si>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</si>
  <si>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</si>
  <si>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</si>
  <si>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</si>
  <si>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</si>
  <si>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</si>
  <si>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</si>
  <si>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</si>
  <si>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</si>
  <si>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</si>
  <si>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</si>
  <si>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</si>
  <si>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</si>
  <si>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</si>
  <si>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</si>
  <si>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</si>
  <si>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</si>
  <si>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</si>
  <si>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</si>
  <si>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</si>
  <si>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</si>
  <si>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</si>
  <si>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</si>
  <si>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</si>
  <si>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</si>
  <si>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</si>
  <si>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</si>
  <si>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</si>
  <si>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</si>
  <si>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</si>
  <si>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</si>
  <si>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</si>
  <si>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</si>
  <si>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</si>
  <si>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</si>
  <si>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</si>
  <si>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</si>
  <si>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</si>
  <si>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</si>
  <si>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</si>
  <si>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</si>
  <si>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</si>
  <si>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</si>
  <si>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</si>
  <si>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</si>
  <si>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</si>
  <si>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</si>
  <si>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</si>
  <si>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</si>
  <si>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</si>
  <si>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</si>
  <si>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</si>
  <si>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</si>
  <si>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</si>
  <si>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</si>
  <si>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</si>
  <si>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</si>
  <si>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</si>
  <si>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</si>
  <si>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</si>
  <si>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</si>
  <si>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</si>
  <si>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</si>
  <si>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</si>
  <si>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</si>
  <si>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</si>
  <si>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</si>
  <si>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</si>
  <si>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</si>
  <si>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</si>
  <si>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</si>
  <si>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</si>
  <si>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</si>
  <si>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</si>
  <si>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</si>
  <si>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</si>
  <si>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</si>
  <si>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</si>
  <si>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</si>
  <si>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</si>
  <si>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</si>
  <si>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</si>
  <si>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</si>
  <si>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</si>
  <si>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</si>
  <si>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</si>
  <si>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</si>
  <si>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</si>
  <si>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</si>
  <si>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</si>
  <si>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</si>
  <si>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</si>
  <si>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</si>
  <si>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</si>
  <si>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</si>
  <si>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</si>
  <si>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</si>
  <si>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</si>
  <si>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</si>
  <si>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</si>
  <si>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</si>
  <si>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</si>
  <si>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</si>
  <si>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</si>
  <si>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</si>
  <si>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</si>
  <si>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</si>
  <si>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</si>
  <si>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</si>
  <si>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</si>
  <si>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</si>
  <si>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</si>
  <si>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</si>
  <si>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</si>
  <si>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</si>
  <si>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</si>
  <si>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</si>
  <si>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</si>
  <si>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</si>
  <si>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</si>
  <si>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</si>
  <si>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</si>
  <si>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</si>
  <si>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</si>
  <si>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</si>
  <si>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</si>
  <si>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</si>
  <si>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</si>
  <si>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</si>
  <si>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</si>
  <si>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</si>
  <si>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</si>
  <si>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</si>
  <si>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</si>
  <si>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</si>
  <si>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</si>
  <si>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</si>
  <si>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</si>
  <si>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</si>
  <si>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</si>
  <si>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</si>
  <si>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</si>
  <si>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</si>
  <si>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</si>
  <si>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</si>
  <si>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</si>
  <si>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</si>
  <si>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</si>
  <si>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</si>
  <si>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</si>
  <si>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</si>
  <si>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</si>
  <si>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</si>
  <si>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</si>
  <si>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</si>
  <si>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</si>
  <si>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</si>
  <si>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</si>
  <si>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</si>
  <si>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</si>
  <si>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</si>
  <si>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</si>
  <si>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</si>
  <si>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</si>
  <si>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</si>
  <si>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</si>
  <si>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</si>
  <si>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</si>
  <si>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</si>
  <si>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</si>
  <si>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</si>
  <si>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</si>
  <si>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</si>
  <si>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</si>
  <si>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</si>
  <si>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</si>
  <si>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</si>
  <si>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</si>
  <si>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</si>
  <si>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</si>
  <si>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</si>
  <si>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</si>
  <si>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</si>
  <si>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</si>
  <si>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</si>
  <si>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</si>
  <si>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</si>
  <si>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</si>
  <si>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</si>
  <si>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</si>
  <si>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</si>
  <si>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</si>
  <si>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</si>
  <si>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</si>
  <si>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</si>
  <si>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</si>
  <si>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</si>
  <si>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</si>
  <si>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</si>
  <si>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</si>
  <si>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</si>
  <si>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</si>
  <si>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</si>
  <si>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</si>
  <si>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</si>
  <si>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</si>
  <si>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</si>
  <si>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</si>
  <si>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</si>
  <si>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</si>
  <si>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</si>
  <si>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</si>
  <si>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</si>
  <si>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</si>
  <si>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</si>
  <si>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</si>
  <si>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</si>
  <si>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</si>
  <si>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</si>
  <si>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</si>
  <si>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</si>
  <si>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</si>
  <si>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</si>
  <si>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</si>
  <si>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</si>
  <si>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</si>
  <si>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</si>
  <si>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</si>
  <si>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</si>
  <si>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</si>
  <si>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</si>
  <si>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</si>
  <si>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</si>
  <si>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</si>
  <si>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</si>
  <si>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</si>
  <si>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</si>
  <si>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</si>
  <si>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</si>
  <si>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</si>
  <si>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</si>
  <si>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</si>
  <si>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</si>
  <si>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</si>
  <si>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</si>
  <si>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</si>
  <si>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</si>
  <si>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</si>
  <si>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</si>
  <si>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</si>
  <si>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</si>
  <si>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</si>
  <si>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</si>
  <si>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</si>
  <si>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</si>
  <si>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</si>
  <si>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</si>
  <si>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</si>
  <si>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</si>
  <si>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</si>
  <si>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</si>
  <si>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</si>
  <si>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</si>
  <si>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</si>
  <si>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</si>
  <si>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</si>
  <si>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</si>
  <si>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</si>
  <si>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</si>
  <si>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</si>
  <si>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</si>
  <si>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</si>
  <si>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</si>
  <si>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</si>
  <si>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</si>
  <si>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</si>
  <si>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</si>
  <si>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</si>
  <si>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</si>
  <si>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</si>
  <si>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</si>
  <si>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</si>
  <si>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</si>
  <si>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</si>
  <si>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</si>
  <si>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</si>
  <si>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</si>
  <si>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</si>
  <si>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</si>
  <si>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</si>
  <si>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</si>
  <si>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</si>
  <si>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</si>
  <si>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</si>
  <si>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</si>
  <si>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</si>
  <si>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</si>
  <si>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</si>
  <si>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</si>
  <si>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</si>
  <si>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</si>
  <si>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</si>
  <si>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</si>
  <si>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</si>
  <si>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</si>
  <si>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</si>
  <si>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</si>
  <si>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</si>
  <si>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</si>
  <si>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</si>
  <si>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</si>
  <si>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</si>
  <si>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</si>
  <si>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</si>
  <si>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</si>
  <si>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</si>
  <si>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</si>
  <si>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</si>
  <si>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</si>
  <si>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</si>
  <si>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</si>
  <si>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</si>
  <si>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</si>
  <si>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</si>
  <si>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</si>
  <si>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</si>
  <si>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</si>
  <si>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</si>
  <si>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</si>
  <si>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</si>
  <si>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</si>
  <si>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</si>
  <si>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</si>
  <si>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</si>
  <si>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</si>
  <si>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</si>
  <si>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</si>
  <si>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</si>
  <si>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</si>
  <si>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</si>
  <si>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</si>
  <si>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</si>
  <si>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</si>
  <si>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</si>
  <si>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</si>
  <si>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</si>
  <si>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</si>
  <si>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</si>
  <si>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</si>
  <si>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</si>
  <si>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</si>
  <si>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</si>
  <si>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</si>
  <si>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</si>
  <si>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</si>
  <si>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</si>
  <si>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</si>
  <si>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</si>
  <si>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</si>
  <si>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</si>
  <si>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</si>
  <si>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</si>
  <si>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</si>
  <si>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</si>
  <si>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</si>
  <si>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</si>
  <si>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</si>
  <si>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</si>
  <si>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</si>
  <si>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</si>
  <si>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</si>
  <si>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</si>
  <si>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</si>
  <si>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</si>
  <si>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</si>
  <si>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</si>
  <si>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</si>
  <si>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</si>
  <si>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</si>
  <si>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</si>
  <si>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</si>
  <si>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</si>
  <si>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</si>
  <si>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</si>
  <si>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</si>
  <si>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</si>
  <si>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</si>
  <si>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</si>
  <si>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</si>
  <si>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</si>
  <si>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</si>
  <si>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</si>
  <si>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</si>
  <si>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</si>
  <si>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</si>
  <si>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</si>
  <si>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</si>
  <si>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</si>
  <si>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</si>
  <si>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</si>
  <si>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</si>
  <si>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</si>
  <si>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</si>
  <si>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</si>
  <si>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</si>
  <si>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</si>
  <si>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</si>
  <si>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</si>
  <si>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</si>
  <si>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</si>
  <si>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</si>
  <si>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</si>
  <si>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</si>
  <si>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</si>
  <si>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</si>
  <si>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</si>
  <si>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</si>
  <si>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</si>
  <si>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</si>
  <si>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</si>
  <si>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</si>
  <si>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</si>
  <si>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</si>
  <si>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</si>
  <si>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</si>
  <si>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</si>
  <si>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</si>
  <si>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</si>
  <si>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</si>
  <si>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</si>
  <si>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</si>
  <si>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</si>
  <si>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</si>
  <si>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</si>
  <si>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</si>
  <si>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</si>
  <si>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</si>
  <si>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</si>
  <si>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</si>
  <si>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</si>
  <si>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</si>
  <si>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</si>
  <si>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</si>
  <si>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</si>
  <si>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</si>
  <si>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</si>
  <si>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</si>
  <si>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</si>
  <si>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</si>
  <si>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</si>
  <si>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</si>
  <si>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</si>
  <si>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</si>
  <si>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</si>
  <si>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</si>
  <si>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</si>
  <si>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</si>
  <si>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</si>
  <si>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</si>
  <si>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</si>
  <si>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</si>
  <si>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</si>
  <si>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</si>
  <si>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</si>
  <si>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</si>
  <si>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</si>
  <si>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</si>
  <si>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</si>
  <si>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</si>
  <si>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</si>
  <si>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</si>
  <si>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</si>
  <si>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</si>
  <si>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</si>
  <si>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</si>
  <si>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</si>
  <si>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</si>
  <si>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</si>
  <si>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</si>
  <si>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</si>
  <si>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</si>
  <si>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</si>
  <si>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</si>
  <si>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</si>
  <si>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</si>
  <si>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</si>
  <si>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</si>
  <si>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</si>
  <si>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</si>
  <si>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</si>
  <si>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</si>
  <si>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</si>
  <si>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</si>
  <si>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</si>
  <si>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</si>
  <si>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</si>
  <si>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</si>
  <si>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</si>
  <si>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</si>
  <si>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</si>
  <si>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</si>
  <si>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</si>
  <si>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</si>
  <si>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</si>
  <si>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</si>
  <si>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</si>
  <si>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</si>
  <si>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</si>
  <si>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</si>
  <si>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</si>
  <si>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</si>
  <si>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</si>
  <si>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</si>
  <si>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</si>
  <si>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</si>
  <si>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</si>
  <si>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</si>
  <si>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</si>
  <si>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</si>
  <si>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</si>
  <si>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</si>
  <si>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</si>
  <si>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</si>
  <si>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</si>
  <si>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</si>
  <si>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</si>
  <si>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</si>
  <si>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</si>
  <si>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</si>
  <si>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</si>
  <si>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</si>
  <si>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</si>
  <si>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</si>
  <si>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</si>
  <si>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</si>
  <si>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</si>
  <si>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</si>
  <si>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</si>
  <si>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</si>
  <si>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</si>
  <si>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</si>
  <si>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</si>
  <si>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</si>
  <si>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</si>
  <si>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</si>
  <si>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</si>
  <si>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</si>
  <si>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</si>
  <si>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</si>
  <si>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</si>
  <si>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</si>
  <si>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</si>
  <si>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</si>
  <si>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</si>
  <si>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</si>
  <si>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</si>
  <si>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</si>
  <si>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</si>
  <si>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</si>
  <si>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</si>
  <si>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</si>
  <si>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</si>
  <si>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</si>
  <si>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</si>
  <si>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</si>
  <si>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</si>
  <si>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</si>
  <si>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</si>
  <si>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</si>
  <si>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</si>
  <si>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</si>
  <si>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</si>
  <si>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</si>
  <si>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</si>
  <si>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</si>
  <si>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</si>
  <si>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</si>
  <si>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</si>
  <si>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</si>
  <si>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</si>
  <si>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</si>
  <si>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</si>
  <si>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</si>
  <si>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</si>
  <si>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</si>
  <si>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</si>
  <si>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</si>
  <si>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</si>
  <si>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</si>
  <si>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</si>
  <si>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</si>
  <si>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</si>
  <si>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</si>
  <si>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</si>
  <si>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</si>
  <si>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</si>
  <si>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</si>
  <si>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</si>
  <si>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</si>
  <si>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</si>
  <si>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</si>
  <si>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</si>
  <si>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</si>
  <si>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</si>
  <si>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</si>
  <si>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</si>
  <si>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</si>
  <si>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</si>
  <si>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</si>
  <si>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</si>
  <si>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</si>
  <si>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</si>
  <si>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</si>
  <si>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</si>
  <si>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</si>
  <si>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</si>
  <si>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</si>
  <si>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</si>
  <si>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</si>
  <si>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</si>
  <si>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</si>
  <si>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</si>
  <si>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</si>
  <si>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</si>
  <si>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</si>
  <si>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</si>
  <si>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</si>
  <si>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</si>
  <si>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</si>
  <si>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</si>
  <si>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</si>
  <si>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</si>
  <si>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</si>
  <si>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</si>
  <si>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</si>
  <si>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</si>
  <si>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</si>
  <si>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</si>
  <si>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</si>
  <si>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</si>
  <si>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</si>
  <si>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</si>
  <si>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</si>
  <si>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</si>
  <si>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</si>
  <si>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</si>
  <si>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</si>
  <si>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</si>
  <si>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</si>
  <si>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</si>
  <si>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</si>
  <si>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</si>
  <si>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</si>
  <si>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</si>
  <si>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</si>
  <si>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</si>
  <si>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</si>
  <si>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</si>
  <si>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</si>
  <si>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</si>
  <si>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</si>
  <si>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</si>
  <si>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</si>
  <si>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</si>
  <si>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</si>
  <si>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</si>
  <si>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</si>
  <si>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</si>
  <si>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</si>
  <si>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</si>
  <si>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</si>
  <si>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</si>
  <si>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</si>
  <si>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</si>
  <si>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</si>
  <si>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</si>
  <si>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</si>
  <si>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</si>
  <si>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</si>
  <si>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</si>
  <si>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</si>
  <si>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</si>
  <si>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</si>
  <si>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</si>
  <si>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</si>
  <si>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</si>
  <si>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</si>
  <si>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</si>
  <si>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</si>
  <si>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</si>
  <si>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</si>
  <si>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</si>
  <si>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</si>
  <si>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</si>
  <si>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</si>
  <si>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</si>
  <si>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</si>
  <si>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</si>
  <si>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</si>
  <si>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</si>
  <si>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</si>
  <si>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</si>
  <si>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</si>
  <si>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</si>
  <si>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</si>
  <si>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</si>
  <si>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</si>
  <si>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</si>
  <si>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</si>
  <si>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</si>
  <si>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</si>
  <si>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</si>
  <si>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</si>
  <si>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</si>
  <si>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</si>
  <si>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</si>
  <si>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</si>
  <si>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</si>
  <si>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</si>
  <si>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</si>
  <si>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</si>
  <si>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</si>
  <si>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</si>
  <si>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</si>
  <si>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</si>
  <si>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</si>
  <si>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</si>
  <si>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</si>
  <si>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</si>
  <si>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</si>
  <si>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</si>
  <si>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</si>
  <si>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</si>
  <si>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</si>
  <si>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</si>
  <si>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</si>
  <si>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</si>
  <si>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</si>
  <si>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</si>
  <si>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</si>
  <si>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</si>
  <si>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</si>
  <si>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</si>
  <si>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</si>
  <si>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</si>
  <si>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</si>
  <si>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</si>
  <si>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</si>
  <si>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</si>
  <si>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</si>
  <si>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</si>
  <si>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</si>
  <si>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</si>
  <si>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</si>
  <si>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</si>
  <si>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</si>
  <si>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</si>
  <si>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</si>
  <si>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</si>
  <si>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</si>
  <si>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</si>
  <si>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</si>
  <si>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</si>
  <si>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</si>
  <si>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</si>
  <si>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</si>
  <si>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</si>
  <si>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</si>
  <si>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</si>
  <si>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</si>
  <si>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</si>
  <si>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</si>
  <si>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</si>
  <si>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</si>
  <si>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</si>
  <si>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</si>
  <si>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</si>
  <si>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</si>
  <si>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</si>
  <si>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</si>
  <si>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</si>
  <si>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</si>
  <si>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</si>
  <si>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</si>
  <si>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</si>
  <si>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</si>
  <si>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</si>
  <si>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</si>
  <si>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</si>
  <si>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</si>
  <si>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</si>
  <si>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</si>
  <si>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</si>
  <si>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</si>
  <si>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</si>
  <si>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</si>
  <si>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</si>
  <si>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</si>
  <si>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</si>
  <si>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</si>
  <si>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</si>
  <si>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</si>
  <si>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</si>
  <si>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</si>
  <si>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</si>
  <si>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</si>
  <si>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</si>
  <si>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</si>
  <si>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</si>
  <si>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</si>
  <si>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</si>
  <si>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</si>
  <si>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</si>
  <si>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</si>
  <si>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</si>
  <si>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</si>
  <si>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</si>
  <si>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</si>
  <si>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</si>
  <si>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</si>
  <si>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</si>
  <si>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</si>
  <si>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</si>
  <si>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</si>
  <si>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</si>
  <si>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</si>
  <si>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</si>
  <si>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</si>
  <si>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</si>
  <si>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</si>
  <si>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</si>
  <si>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</si>
  <si>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</si>
  <si>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</si>
  <si>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</si>
  <si>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</si>
  <si>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</si>
  <si>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</si>
  <si>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</si>
  <si>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</si>
  <si>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</si>
  <si>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</si>
  <si>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</si>
  <si>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</si>
  <si>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</si>
  <si>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</si>
  <si>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</si>
  <si>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</si>
  <si>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</si>
  <si>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</si>
  <si>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</si>
  <si>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</si>
  <si>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</si>
  <si>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</si>
  <si>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</si>
  <si>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</si>
  <si>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</si>
  <si>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</si>
  <si>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</si>
  <si>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</si>
  <si>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</si>
  <si>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</si>
  <si>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</si>
  <si>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</si>
  <si>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</si>
  <si>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</si>
  <si>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</si>
  <si>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</si>
  <si>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</si>
  <si>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</si>
  <si>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</si>
  <si>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</si>
  <si>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</si>
  <si>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</si>
  <si>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</si>
  <si>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</si>
  <si>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</si>
  <si>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</si>
  <si>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</si>
  <si>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</si>
  <si>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</si>
  <si>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</si>
  <si>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</si>
  <si>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</si>
  <si>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</si>
  <si>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</si>
  <si>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</si>
  <si>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</si>
  <si>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</si>
  <si>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</si>
  <si>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</si>
  <si>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</si>
  <si>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</si>
  <si>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</si>
  <si>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</si>
  <si>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</si>
  <si>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</si>
  <si>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</si>
  <si>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</si>
  <si>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</si>
  <si>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</si>
  <si>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</si>
  <si>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</si>
  <si>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</si>
  <si>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</si>
  <si>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</si>
  <si>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</si>
  <si>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</si>
  <si>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</si>
  <si>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</si>
  <si>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</si>
  <si>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</si>
  <si>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</si>
  <si>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</si>
  <si>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</si>
  <si>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</si>
  <si>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</si>
  <si>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</si>
  <si>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</si>
  <si>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</si>
  <si>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</si>
  <si>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</si>
  <si>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</si>
  <si>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</si>
  <si>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</si>
  <si>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</si>
  <si>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</si>
  <si>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</si>
  <si>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</si>
  <si>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</si>
  <si>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</si>
  <si>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</si>
  <si>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</si>
  <si>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</si>
  <si>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</si>
  <si>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</si>
  <si>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</si>
  <si>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</si>
  <si>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</si>
  <si>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</si>
  <si>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</si>
  <si>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</si>
  <si>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</si>
  <si>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</si>
  <si>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</si>
  <si>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</si>
  <si>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</si>
  <si>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</si>
  <si>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</si>
  <si>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</si>
  <si>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</si>
  <si>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</si>
  <si>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</si>
  <si>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</si>
  <si>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</si>
  <si>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</si>
  <si>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</si>
  <si>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</si>
  <si>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</si>
  <si>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</si>
  <si>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</si>
  <si>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</si>
  <si>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</si>
  <si>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</si>
  <si>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</si>
  <si>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</si>
  <si>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</si>
  <si>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</si>
  <si>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</si>
  <si>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</si>
  <si>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</si>
  <si>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</si>
  <si>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</si>
  <si>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</si>
  <si>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</si>
  <si>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</si>
  <si>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</si>
  <si>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</si>
  <si>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</si>
  <si>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</si>
  <si>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</si>
  <si>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</si>
  <si>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</si>
  <si>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</si>
  <si>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</si>
  <si>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</si>
  <si>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</si>
  <si>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</si>
  <si>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</si>
  <si>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</si>
  <si>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</si>
  <si>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</si>
  <si>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</si>
  <si>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</si>
  <si>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</si>
  <si>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</si>
  <si>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</si>
  <si>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</si>
  <si>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</si>
  <si>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</si>
  <si>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</si>
  <si>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</si>
  <si>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</si>
  <si>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</si>
  <si>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</si>
  <si>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</si>
  <si>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</si>
  <si>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</si>
  <si>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</si>
  <si>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</si>
  <si>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</si>
  <si>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</si>
  <si>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</si>
  <si>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</si>
  <si>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</si>
  <si>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</si>
  <si>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</si>
  <si>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</si>
  <si>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</si>
  <si>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</si>
  <si>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</si>
  <si>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</si>
  <si>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</si>
  <si>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</si>
  <si>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</si>
  <si>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</si>
  <si>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</si>
  <si>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</si>
  <si>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</si>
  <si>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</si>
  <si>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</si>
  <si>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</si>
  <si>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</si>
  <si>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</si>
  <si>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</si>
  <si>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</si>
  <si>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</si>
  <si>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</si>
  <si>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</si>
  <si>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</si>
  <si>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</si>
  <si>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</si>
  <si>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</si>
  <si>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</si>
  <si>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</si>
  <si>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</si>
  <si>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</si>
  <si>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</si>
  <si>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</si>
  <si>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</si>
  <si>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</si>
  <si>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</si>
  <si>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</si>
  <si>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</si>
  <si>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</si>
  <si>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</si>
  <si>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</si>
  <si>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</si>
  <si>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</si>
  <si>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</si>
  <si>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</si>
  <si>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</si>
  <si>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</si>
  <si>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</si>
  <si>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</si>
  <si>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</si>
  <si>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</si>
  <si>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</si>
  <si>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</si>
  <si>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</si>
  <si>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</si>
  <si>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</si>
  <si>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</si>
  <si>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</si>
  <si>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</si>
  <si>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</si>
  <si>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</si>
  <si>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</si>
  <si>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</si>
  <si>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</si>
  <si>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</si>
  <si>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</si>
  <si>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</si>
  <si>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</si>
  <si>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</si>
  <si>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</si>
  <si>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</si>
  <si>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</si>
  <si>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</si>
  <si>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</si>
  <si>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</si>
  <si>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</si>
  <si>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</si>
  <si>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</si>
  <si>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</si>
  <si>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</si>
  <si>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</si>
  <si>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</si>
  <si>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</si>
  <si>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</si>
  <si>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</si>
  <si>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</si>
  <si>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</si>
  <si>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</si>
  <si>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</si>
  <si>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</si>
  <si>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</si>
  <si>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</si>
  <si>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</si>
  <si>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</si>
  <si>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</si>
  <si>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</si>
  <si>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</si>
  <si>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</si>
  <si>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</si>
  <si>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</si>
  <si>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</si>
  <si>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</si>
  <si>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</si>
  <si>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</si>
  <si>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</si>
  <si>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</si>
  <si>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</si>
  <si>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</si>
  <si>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</si>
  <si>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</si>
  <si>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</si>
  <si>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</si>
  <si>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</si>
  <si>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</si>
  <si>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</si>
  <si>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</si>
  <si>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</si>
  <si>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</si>
  <si>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</si>
  <si>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</si>
  <si>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</si>
  <si>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</si>
  <si>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</si>
  <si>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</si>
  <si>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</si>
  <si>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</si>
  <si>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</si>
  <si>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</si>
  <si>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</si>
  <si>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</si>
  <si>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</si>
  <si>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</si>
  <si>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</si>
  <si>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</si>
  <si>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</si>
  <si>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</si>
  <si>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</si>
  <si>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</si>
  <si>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</si>
  <si>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</si>
  <si>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</si>
  <si>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</si>
  <si>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</si>
  <si>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</si>
  <si>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</si>
  <si>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</si>
  <si>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</si>
  <si>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</si>
  <si>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</si>
  <si>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</si>
  <si>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</si>
  <si>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</si>
  <si>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</si>
  <si>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</si>
  <si>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</si>
  <si>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</si>
  <si>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</si>
  <si>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</si>
  <si>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</si>
  <si>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</si>
  <si>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</si>
  <si>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</si>
  <si>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</si>
  <si>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</si>
  <si>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</si>
  <si>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</si>
  <si>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</si>
  <si>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</si>
  <si>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</si>
  <si>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</si>
  <si>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</si>
  <si>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</si>
  <si>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</si>
  <si>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</si>
  <si>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</si>
  <si>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</si>
  <si>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</si>
  <si>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</si>
  <si>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</si>
  <si>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</si>
  <si>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</si>
  <si>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</si>
  <si>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</si>
  <si>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</si>
  <si>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</si>
  <si>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</si>
  <si>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</si>
  <si>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</si>
  <si>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</si>
  <si>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</si>
  <si>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</si>
  <si>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</si>
  <si>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</si>
  <si>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</si>
  <si>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</si>
  <si>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</si>
  <si>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</si>
  <si>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</si>
  <si>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</si>
  <si>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</si>
  <si>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</si>
  <si>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</si>
  <si>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</si>
  <si>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</si>
  <si>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</si>
  <si>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</si>
  <si>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</si>
  <si>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</si>
  <si>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</si>
  <si>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</si>
  <si>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</si>
  <si>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</si>
  <si>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</si>
  <si>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</si>
  <si>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</si>
  <si>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</si>
  <si>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</si>
  <si>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</si>
  <si>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</si>
  <si>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</si>
  <si>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</si>
  <si>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</si>
  <si>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</si>
  <si>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</si>
  <si>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</si>
  <si>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</si>
  <si>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</si>
  <si>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</si>
  <si>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</si>
  <si>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</si>
  <si>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</si>
  <si>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</si>
  <si>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</si>
  <si>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</si>
  <si>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</si>
  <si>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</si>
  <si>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</si>
  <si>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</si>
  <si>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</si>
  <si>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</si>
  <si>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</si>
  <si>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</si>
  <si>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</si>
  <si>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</si>
  <si>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</si>
  <si>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</si>
  <si>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</si>
  <si>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</si>
  <si>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</si>
  <si>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</si>
  <si>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</si>
  <si>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</si>
  <si>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</si>
  <si>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</si>
  <si>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</si>
  <si>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</si>
  <si>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</si>
  <si>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</si>
  <si>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</si>
  <si>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</si>
  <si>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</si>
  <si>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</si>
  <si>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</si>
  <si>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</si>
  <si>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</si>
  <si>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</si>
  <si>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</si>
  <si>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</si>
  <si>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</si>
  <si>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</si>
  <si>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</si>
  <si>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</si>
  <si>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</si>
  <si>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</si>
  <si>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</si>
  <si>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</si>
  <si>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</si>
  <si>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</si>
  <si>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</si>
  <si>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</si>
  <si>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</si>
  <si>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</si>
  <si>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</si>
  <si>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</si>
  <si>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</si>
  <si>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</si>
  <si>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</si>
  <si>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</si>
  <si>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</si>
  <si>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</si>
  <si>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</si>
  <si>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</si>
  <si>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</si>
  <si>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</si>
  <si>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</si>
  <si>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</si>
  <si>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</si>
  <si>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</si>
  <si>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</si>
  <si>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</si>
  <si>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</si>
  <si>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</si>
  <si>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</si>
  <si>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</si>
  <si>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</si>
  <si>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</si>
  <si>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</si>
  <si>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</si>
  <si>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</si>
  <si>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</si>
  <si>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</si>
  <si>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</si>
  <si>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</si>
  <si>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</si>
  <si>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</si>
  <si>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</si>
  <si>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</si>
  <si>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</si>
  <si>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</si>
  <si>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</si>
  <si>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</si>
  <si>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</si>
  <si>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</si>
  <si>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</si>
  <si>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</si>
  <si>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</si>
  <si>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</si>
  <si>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</si>
  <si>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</si>
  <si>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</si>
  <si>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</si>
  <si>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</si>
  <si>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</si>
  <si>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</si>
  <si>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</si>
  <si>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</si>
  <si>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</si>
  <si>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</si>
  <si>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</si>
  <si>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</si>
  <si>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</si>
  <si>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</si>
  <si>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</si>
  <si>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</si>
  <si>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</si>
  <si>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</si>
  <si>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</si>
  <si>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</si>
  <si>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</si>
  <si>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</si>
  <si>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</si>
  <si>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</si>
  <si>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</si>
  <si>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</si>
  <si>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</si>
  <si>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</si>
  <si>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</si>
  <si>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</si>
  <si>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</si>
  <si>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</si>
  <si>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</si>
  <si>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</si>
  <si>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</si>
  <si>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</si>
  <si>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</si>
  <si>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</si>
  <si>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</si>
  <si>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</si>
  <si>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</si>
  <si>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</si>
  <si>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</si>
  <si>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</si>
  <si>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</si>
  <si>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</si>
  <si>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</si>
  <si>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</si>
  <si>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</si>
  <si>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</si>
  <si>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</si>
  <si>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</si>
  <si>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</si>
  <si>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</si>
  <si>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</si>
  <si>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</si>
  <si>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</si>
  <si>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</si>
  <si>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</si>
  <si>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</si>
  <si>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</si>
  <si>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</si>
  <si>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</si>
  <si>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</si>
  <si>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</si>
  <si>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</si>
  <si>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</si>
  <si>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</si>
  <si>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</si>
  <si>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</si>
  <si>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</si>
  <si>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</si>
  <si>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</si>
  <si>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</si>
  <si>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</si>
  <si>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</si>
  <si>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</si>
  <si>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</si>
  <si>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</si>
  <si>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</si>
  <si>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</si>
  <si>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</si>
  <si>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</si>
  <si>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</si>
  <si>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</si>
  <si>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</si>
  <si>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</si>
  <si>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</si>
  <si>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</si>
  <si>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</si>
  <si>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</si>
  <si>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</si>
  <si>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</si>
  <si>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</si>
  <si>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</si>
  <si>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</si>
  <si>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</si>
  <si>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</si>
  <si>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</si>
  <si>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</si>
  <si>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</si>
  <si>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</si>
  <si>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</si>
  <si>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</si>
  <si>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</si>
  <si>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</si>
  <si>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</si>
  <si>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</si>
  <si>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</si>
  <si>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</si>
  <si>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</si>
  <si>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</si>
  <si>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</si>
  <si>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</si>
  <si>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</si>
  <si>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</si>
  <si>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</si>
  <si>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</si>
  <si>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</si>
  <si>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</si>
  <si>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</si>
  <si>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</si>
  <si>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</si>
  <si>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</si>
  <si>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</si>
  <si>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</si>
  <si>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</si>
  <si>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</si>
  <si>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</si>
  <si>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</si>
  <si>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</si>
  <si>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</si>
  <si>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</si>
  <si>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</si>
  <si>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</si>
  <si>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</si>
  <si>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</si>
  <si>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</si>
  <si>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</si>
  <si>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</si>
  <si>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</si>
  <si>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</si>
  <si>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</si>
  <si>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</si>
  <si>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</si>
  <si>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</si>
  <si>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</si>
  <si>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</si>
  <si>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</si>
  <si>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</si>
  <si>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</si>
  <si>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</si>
  <si>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</si>
  <si>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</si>
  <si>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</si>
  <si>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</si>
  <si>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</si>
  <si>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</si>
  <si>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</si>
  <si>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</si>
  <si>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</si>
  <si>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</si>
  <si>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</si>
  <si>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</si>
  <si>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</si>
  <si>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</si>
  <si>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</si>
  <si>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</si>
  <si>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</si>
  <si>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</si>
  <si>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</si>
  <si>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</si>
  <si>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</si>
  <si>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</si>
  <si>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</si>
  <si>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</si>
  <si>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</si>
  <si>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</si>
  <si>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</si>
  <si>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</si>
  <si>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</si>
  <si>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</si>
  <si>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</si>
  <si>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</si>
  <si>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</si>
  <si>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</si>
  <si>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</si>
  <si>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</si>
  <si>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</si>
  <si>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</si>
  <si>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</si>
  <si>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</si>
  <si>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</si>
  <si>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</si>
  <si>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</si>
  <si>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</si>
  <si>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</si>
  <si>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</si>
  <si>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</si>
  <si>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</si>
  <si>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</si>
  <si>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</si>
  <si>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</si>
  <si>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</si>
  <si>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</si>
  <si>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</si>
  <si>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</si>
  <si>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</si>
  <si>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</si>
  <si>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</si>
  <si>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</si>
  <si>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</si>
  <si>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</si>
  <si>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</si>
  <si>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</si>
  <si>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</si>
  <si>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</si>
  <si>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</si>
  <si>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</si>
  <si>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</si>
  <si>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</si>
  <si>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</si>
  <si>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</si>
  <si>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</si>
  <si>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</si>
  <si>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</si>
  <si>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</si>
  <si>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</si>
  <si>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</si>
  <si>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</si>
  <si>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</si>
  <si>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</si>
  <si>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</si>
  <si>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</si>
  <si>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</si>
  <si>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</si>
  <si>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</si>
  <si>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</si>
  <si>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</si>
  <si>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</si>
  <si>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</si>
  <si>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</si>
  <si>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</si>
  <si>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</si>
  <si>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</si>
  <si>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</si>
  <si>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</si>
  <si>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</si>
  <si>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</si>
  <si>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</si>
  <si>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</si>
  <si>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</si>
  <si>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</si>
  <si>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</si>
  <si>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</si>
  <si>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</si>
  <si>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</si>
  <si>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</si>
  <si>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</si>
  <si>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</si>
  <si>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</si>
  <si>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</si>
  <si>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</si>
  <si>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</si>
  <si>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</si>
  <si>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</si>
  <si>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</si>
  <si>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</si>
  <si>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</si>
  <si>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</si>
  <si>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</si>
  <si>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</si>
  <si>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</si>
  <si>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</si>
  <si>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</si>
  <si>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</si>
  <si>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</si>
  <si>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</si>
  <si>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</si>
  <si>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</si>
  <si>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</si>
  <si>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</si>
  <si>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</si>
  <si>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</si>
  <si>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</si>
  <si>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</si>
  <si>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</si>
  <si>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</si>
  <si>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</si>
  <si>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</si>
  <si>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</si>
  <si>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</si>
  <si>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</si>
  <si>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</si>
  <si>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</si>
  <si>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</si>
  <si>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</si>
  <si>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</si>
  <si>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</si>
  <si>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</si>
  <si>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</si>
  <si>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</si>
  <si>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</si>
  <si>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</si>
  <si>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</si>
  <si>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</si>
  <si>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</si>
  <si>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</si>
  <si>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</si>
  <si>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</si>
  <si>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</si>
  <si>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</si>
  <si>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</si>
  <si>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</si>
  <si>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</si>
  <si>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</si>
  <si>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</si>
  <si>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</si>
  <si>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</si>
  <si>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</si>
  <si>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</si>
  <si>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</si>
  <si>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</si>
  <si>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</si>
  <si>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</si>
  <si>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</si>
  <si>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</si>
  <si>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</si>
  <si>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</si>
  <si>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</si>
  <si>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</si>
  <si>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</si>
  <si>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</si>
  <si>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</si>
  <si>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</si>
  <si>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</si>
  <si>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</si>
  <si>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</si>
  <si>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</si>
  <si>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</si>
  <si>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</si>
  <si>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</si>
  <si>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</si>
  <si>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</si>
  <si>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</si>
  <si>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</si>
  <si>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</si>
  <si>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</si>
  <si>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</si>
  <si>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</si>
  <si>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</si>
  <si>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</si>
  <si>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</si>
  <si>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</si>
  <si>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</si>
  <si>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</si>
  <si>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</si>
  <si>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</si>
  <si>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</si>
  <si>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</si>
  <si>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</si>
  <si>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</si>
  <si>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</si>
  <si>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</si>
  <si>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</si>
  <si>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</si>
  <si>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</si>
  <si>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</si>
  <si>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</si>
  <si>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</si>
  <si>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</si>
  <si>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</si>
  <si>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</si>
  <si>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</si>
  <si>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</si>
  <si>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</si>
  <si>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</si>
  <si>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</si>
  <si>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</si>
  <si>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</si>
  <si>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</si>
  <si>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</si>
  <si>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</si>
  <si>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</si>
  <si>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</si>
  <si>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</si>
  <si>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</si>
  <si>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</si>
  <si>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</si>
  <si>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</si>
  <si>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</si>
  <si>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</si>
  <si>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</si>
  <si>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</si>
  <si>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</si>
  <si>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</si>
  <si>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</si>
  <si>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</si>
  <si>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</si>
  <si>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</si>
  <si>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</si>
  <si>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</si>
  <si>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</si>
  <si>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</si>
  <si>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</si>
  <si>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</si>
  <si>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</si>
  <si>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</si>
  <si>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</si>
  <si>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</si>
  <si>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</si>
  <si>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</si>
  <si>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</si>
  <si>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</si>
  <si>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</si>
  <si>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</si>
  <si>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</si>
  <si>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</si>
  <si>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</si>
  <si>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</si>
  <si>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</si>
  <si>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</si>
  <si>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</si>
  <si>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</si>
  <si>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</si>
  <si>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</si>
  <si>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</si>
  <si>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</si>
  <si>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</si>
  <si>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</si>
  <si>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</si>
  <si>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</si>
  <si>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</si>
  <si>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</si>
  <si>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</si>
  <si>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</si>
  <si>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</si>
  <si>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</si>
  <si>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</si>
  <si>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</si>
  <si>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</si>
  <si>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</si>
  <si>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</si>
  <si>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</si>
  <si>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</si>
  <si>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</si>
  <si>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</si>
  <si>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</si>
  <si>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</si>
  <si>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</si>
  <si>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</si>
  <si>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</si>
  <si>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</si>
  <si>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</si>
  <si>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</si>
  <si>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</si>
  <si>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</si>
  <si>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</si>
  <si>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</si>
  <si>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</si>
  <si>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</si>
  <si>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</si>
  <si>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</si>
  <si>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</si>
  <si>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</si>
  <si>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</si>
  <si>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</si>
  <si>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</si>
  <si>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</si>
  <si>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</si>
  <si>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</si>
  <si>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</si>
  <si>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</si>
  <si>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</si>
  <si>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</si>
  <si>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</si>
  <si>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</si>
  <si>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</si>
  <si>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</si>
  <si>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</si>
  <si>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</si>
  <si>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</si>
  <si>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</si>
  <si>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</si>
  <si>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</si>
  <si>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</si>
  <si>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</si>
  <si>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</si>
  <si>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</si>
  <si>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</si>
  <si>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</si>
  <si>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</si>
  <si>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</si>
  <si>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</si>
  <si>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</si>
  <si>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</si>
  <si>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</si>
  <si>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</si>
  <si>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</si>
  <si>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</si>
  <si>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</si>
  <si>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</si>
  <si>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</si>
  <si>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</si>
  <si>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</si>
  <si>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</si>
  <si>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</si>
  <si>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</si>
  <si>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</si>
  <si>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</si>
  <si>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</si>
  <si>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</si>
  <si>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</si>
  <si>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</si>
  <si>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</si>
  <si>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</si>
  <si>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</si>
  <si>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</si>
  <si>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</si>
  <si>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</si>
  <si>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</si>
  <si>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</si>
  <si>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</si>
  <si>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</si>
  <si>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</si>
  <si>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</si>
  <si>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</si>
  <si>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</si>
  <si>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</si>
  <si>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</si>
  <si>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</si>
  <si>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</si>
  <si>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</si>
  <si>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</si>
  <si>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</si>
  <si>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</si>
  <si>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</si>
  <si>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</si>
  <si>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</si>
  <si>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</si>
  <si>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</si>
  <si>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</si>
  <si>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</si>
  <si>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</si>
  <si>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</si>
  <si>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</si>
  <si>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</si>
  <si>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</si>
  <si>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</si>
  <si>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</si>
  <si>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</si>
  <si>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</si>
  <si>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</si>
  <si>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</si>
  <si>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</si>
  <si>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</si>
  <si>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</si>
  <si>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</si>
  <si>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</si>
  <si>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</si>
  <si>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</si>
  <si>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</si>
  <si>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</si>
  <si>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</si>
  <si>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</si>
  <si>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</si>
  <si>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</si>
  <si>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</si>
  <si>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</si>
  <si>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</si>
  <si>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</si>
  <si>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</si>
  <si>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</si>
  <si>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</si>
  <si>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</si>
  <si>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</si>
  <si>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</si>
  <si>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</si>
  <si>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</si>
  <si>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</si>
  <si>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</si>
  <si>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</si>
  <si>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</si>
  <si>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</si>
  <si>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</si>
  <si>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</si>
  <si>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</si>
  <si>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</si>
  <si>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</si>
  <si>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</si>
  <si>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</si>
  <si>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</si>
  <si>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</si>
  <si>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</si>
  <si>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</si>
  <si>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</si>
  <si>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</si>
  <si>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</si>
  <si>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</si>
  <si>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</si>
  <si>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</si>
  <si>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</si>
  <si>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</si>
  <si>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</si>
  <si>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</si>
  <si>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</si>
  <si>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</si>
  <si>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</si>
  <si>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</si>
  <si>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</si>
  <si>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</si>
  <si>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</si>
  <si>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</si>
  <si>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</si>
  <si>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</si>
  <si>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</si>
  <si>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</si>
  <si>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</si>
  <si>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</si>
  <si>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</si>
  <si>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</si>
  <si>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</si>
  <si>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</si>
  <si>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</si>
  <si>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</si>
  <si>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</si>
  <si>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</si>
  <si>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</si>
  <si>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</si>
  <si>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</si>
  <si>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</si>
  <si>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</si>
  <si>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</si>
  <si>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</si>
  <si>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</si>
  <si>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</si>
  <si>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</si>
  <si>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</si>
  <si>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</si>
  <si>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</si>
  <si>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</si>
  <si>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</si>
  <si>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</si>
  <si>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</si>
  <si>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</si>
  <si>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</si>
  <si>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</si>
  <si>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</si>
  <si>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</si>
  <si>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</si>
  <si>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</si>
  <si>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</si>
  <si>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</si>
  <si>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</si>
  <si>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</si>
  <si>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</si>
  <si>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</si>
  <si>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</si>
  <si>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</si>
  <si>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</si>
  <si>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</si>
  <si>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</si>
  <si>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</si>
  <si>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</si>
  <si>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</si>
  <si>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</si>
  <si>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</si>
  <si>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</si>
  <si>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</si>
  <si>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</si>
  <si>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</si>
  <si>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</si>
  <si>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</si>
  <si>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</si>
  <si>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</si>
  <si>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</si>
  <si>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</si>
  <si>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</si>
  <si>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</si>
  <si>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</si>
  <si>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</si>
  <si>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</si>
  <si>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</si>
  <si>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</si>
  <si>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</si>
  <si>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</si>
  <si>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</si>
  <si>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</si>
  <si>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</si>
  <si>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</si>
  <si>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</si>
  <si>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</si>
  <si>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</si>
  <si>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</si>
  <si>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</si>
  <si>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</si>
  <si>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</si>
  <si>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</si>
  <si>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</si>
  <si>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</si>
  <si>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</si>
  <si>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</si>
  <si>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</si>
  <si>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</si>
  <si>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</si>
  <si>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</si>
  <si>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</si>
  <si>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</si>
  <si>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</si>
  <si>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</si>
  <si>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</si>
  <si>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</si>
  <si>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</si>
  <si>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</si>
  <si>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</si>
  <si>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</si>
  <si>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</si>
  <si>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</si>
  <si>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</si>
  <si>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</si>
  <si>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</si>
  <si>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</si>
  <si>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</si>
  <si>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</si>
  <si>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</si>
  <si>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</si>
  <si>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</si>
  <si>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</si>
  <si>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</si>
  <si>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</si>
  <si>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</si>
  <si>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</si>
  <si>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</si>
  <si>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</si>
  <si>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</si>
  <si>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</si>
  <si>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</si>
  <si>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</si>
  <si>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</si>
  <si>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</si>
  <si>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</si>
  <si>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</si>
  <si>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</si>
  <si>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</si>
  <si>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</si>
  <si>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</si>
  <si>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</si>
  <si>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</si>
  <si>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</si>
  <si>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</si>
  <si>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</si>
  <si>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</si>
  <si>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</si>
  <si>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</si>
  <si>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</si>
  <si>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</si>
  <si>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</si>
  <si>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</si>
  <si>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</si>
  <si>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</si>
  <si>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</si>
  <si>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</si>
  <si>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</si>
  <si>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</si>
  <si>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</si>
  <si>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Compass for Affordable Housing </t>
  </si>
  <si>
    <t>Green Valley Family Apartments</t>
  </si>
  <si>
    <t>County of El Dorado</t>
  </si>
  <si>
    <t>Roger Trout</t>
  </si>
  <si>
    <t>2850 Fairlane Court</t>
  </si>
  <si>
    <t>Placerville</t>
  </si>
  <si>
    <t>530-621-5369</t>
  </si>
  <si>
    <t>530-642-0508</t>
  </si>
  <si>
    <t>roger.trout@edcgov.us</t>
  </si>
  <si>
    <t>115-410-011-000</t>
  </si>
  <si>
    <t>40%/60%</t>
  </si>
  <si>
    <t>13520 Evening Creek Drive N, Suite 560</t>
  </si>
  <si>
    <t>CA</t>
  </si>
  <si>
    <t>Robin Martinez</t>
  </si>
  <si>
    <t>858.368.4211</t>
  </si>
  <si>
    <t>robin@compassfah.org</t>
  </si>
  <si>
    <t>AHG Green Valley, LLC</t>
  </si>
  <si>
    <t>Administrative GP</t>
  </si>
  <si>
    <t>13520 Evening Creek Drive N, Suite 160</t>
  </si>
  <si>
    <t>James P. Silverwood</t>
  </si>
  <si>
    <t>858.386.5178</t>
  </si>
  <si>
    <t>858.679.9076</t>
  </si>
  <si>
    <t>james@affirmedhousing.com</t>
  </si>
  <si>
    <t>Affirmed Housing Group, Inc</t>
  </si>
  <si>
    <t>CFAH Housing, LLC</t>
  </si>
  <si>
    <t>Managing GP</t>
  </si>
  <si>
    <t>858.386.4211</t>
  </si>
  <si>
    <t>NA</t>
  </si>
  <si>
    <t>Compass for Affordable Housing</t>
  </si>
  <si>
    <t>Affirmed Housing Group, Inc.</t>
  </si>
  <si>
    <t>13520 Evening Creek Drive N, #160</t>
  </si>
  <si>
    <t>Jose J. Lujano</t>
  </si>
  <si>
    <t>408-823-5801</t>
  </si>
  <si>
    <t>jose@affirmedhousing.com</t>
  </si>
  <si>
    <t>Developer</t>
  </si>
  <si>
    <t>San Diego, CA 92128</t>
  </si>
  <si>
    <t>José J. Lujano</t>
  </si>
  <si>
    <t>858-679-9076</t>
  </si>
  <si>
    <t xml:space="preserve">jose@affirmedhousing.com </t>
  </si>
  <si>
    <t>Van Meter Williams Pollack</t>
  </si>
  <si>
    <t>333 Bryant Street, Suite 300</t>
  </si>
  <si>
    <t>San Francisco, CA 94107</t>
  </si>
  <si>
    <t>Pam Goode</t>
  </si>
  <si>
    <t>415.974.5352</t>
  </si>
  <si>
    <t xml:space="preserve">pam@vmwp.com </t>
  </si>
  <si>
    <t>Katten Muchin Rosenman, LLP</t>
  </si>
  <si>
    <t>2029 Century Park East, Suite 2600</t>
  </si>
  <si>
    <t>Los Angeles, CA 90067-3012</t>
  </si>
  <si>
    <t>David Cohen</t>
  </si>
  <si>
    <t>312.902.5284</t>
  </si>
  <si>
    <t>312.902.1061</t>
  </si>
  <si>
    <t>david.cohen@kattenlaw.com</t>
  </si>
  <si>
    <t>Novogradac and Company LLP</t>
  </si>
  <si>
    <t>2033 N. Main Street, Suite 400</t>
  </si>
  <si>
    <t>Walnut Creek, CA 94596</t>
  </si>
  <si>
    <t>Sun-Ae Woo</t>
  </si>
  <si>
    <t>925.949.4223</t>
  </si>
  <si>
    <t>sun-ae.woo@novoco.com</t>
  </si>
  <si>
    <t>Laurin Associates</t>
  </si>
  <si>
    <t>1501 Sports Drive, Ste A</t>
  </si>
  <si>
    <t>Sacramento, CA 95834</t>
  </si>
  <si>
    <t>Stefanie Williams</t>
  </si>
  <si>
    <t>916.372.6100</t>
  </si>
  <si>
    <t>916.419.6108</t>
  </si>
  <si>
    <t>swilliams@laurinassociates.com</t>
  </si>
  <si>
    <t>California Municipal Finance Agency</t>
  </si>
  <si>
    <t>2111 Palomar Airport Road, Ste 320</t>
  </si>
  <si>
    <t>Carlsbad, CA 92011</t>
  </si>
  <si>
    <t>Solari Enterprises</t>
  </si>
  <si>
    <t>1507 W. Yale Avenue</t>
  </si>
  <si>
    <t>Orange, CA 92867</t>
  </si>
  <si>
    <t>Gianna Richards</t>
  </si>
  <si>
    <t>714.282.2520</t>
  </si>
  <si>
    <t>gianna@solari-ent.com</t>
  </si>
  <si>
    <t>Christine C. Ebrahimi &amp; Douglas R. Lorain</t>
  </si>
  <si>
    <t>406-360-6730</t>
  </si>
  <si>
    <t>Other (Specify below)</t>
  </si>
  <si>
    <t>Commercial</t>
  </si>
  <si>
    <t>Commercial Professional Office</t>
  </si>
  <si>
    <t>50ft</t>
  </si>
  <si>
    <t>Banner Bank</t>
  </si>
  <si>
    <t>Credit Checks/Applications</t>
  </si>
  <si>
    <t>El Dorado County Housing Authority</t>
  </si>
  <si>
    <t>General Office Costs</t>
  </si>
  <si>
    <t>Payroll Burden</t>
  </si>
  <si>
    <t>Cleaning &amp; Building Supplies</t>
  </si>
  <si>
    <t>HCD IIG</t>
  </si>
  <si>
    <t>All Electric</t>
  </si>
  <si>
    <t>Solar</t>
  </si>
  <si>
    <t>Bank Construction Service Fees</t>
  </si>
  <si>
    <t>Taxable Construction Loan Interest</t>
  </si>
  <si>
    <t>Interest Prior to Conversion</t>
  </si>
  <si>
    <t>Partnership/Transaction Legal</t>
  </si>
  <si>
    <t>Lease Up Costs</t>
  </si>
  <si>
    <t xml:space="preserve">Entilement Consultant </t>
  </si>
  <si>
    <t>701 B Street, Suite 100</t>
  </si>
  <si>
    <t>Waheed Karim</t>
  </si>
  <si>
    <t>619-518-2610</t>
  </si>
  <si>
    <t>Tax Exempt Construction Loan</t>
  </si>
  <si>
    <t xml:space="preserve">Taxable Construction Loan </t>
  </si>
  <si>
    <t>Above residual receipts line for cash flow</t>
  </si>
  <si>
    <t>Below residual receipts line for cash flow</t>
  </si>
  <si>
    <t>Provided</t>
  </si>
  <si>
    <t>Not Applicable</t>
  </si>
  <si>
    <t>TBD</t>
  </si>
  <si>
    <t>17782 Sky Park Circle</t>
  </si>
  <si>
    <t>Irvine, CA 92614</t>
  </si>
  <si>
    <t>Jessica Captanis</t>
  </si>
  <si>
    <t>(714) 662-5565</t>
  </si>
  <si>
    <t>jcaptanis@wncinc.com</t>
  </si>
  <si>
    <t>WNC, inc.</t>
  </si>
  <si>
    <t>Anthony Stubbs</t>
  </si>
  <si>
    <t>760-930-1333</t>
  </si>
  <si>
    <t>760-683-3390</t>
  </si>
  <si>
    <t>astubbs@cmfa-ca.com</t>
  </si>
  <si>
    <t>Individuals</t>
  </si>
  <si>
    <t>Hamilton, MT 59840</t>
  </si>
  <si>
    <t>206 Nighthawk Lane,</t>
  </si>
  <si>
    <t>Secured by Fee Interest</t>
  </si>
  <si>
    <t>Two to Three Story Garden Style</t>
  </si>
  <si>
    <t>three</t>
  </si>
  <si>
    <t>HCD Infill Infrastructure Grant (IIG)</t>
  </si>
  <si>
    <t>Tax Credit Equity</t>
  </si>
  <si>
    <t>HCD Infill &amp; Infrastructure</t>
  </si>
  <si>
    <t>2020 W. El Cajon Ave. Suite 670</t>
  </si>
  <si>
    <t>Ashley Foster</t>
  </si>
  <si>
    <t>916-906-5663</t>
  </si>
  <si>
    <t>Boston Financial</t>
  </si>
  <si>
    <t>225 Franklin St, 28th Floor</t>
  </si>
  <si>
    <t>Boston, MA</t>
  </si>
  <si>
    <t>Laura Surdel</t>
  </si>
  <si>
    <t>774.567.5693</t>
  </si>
  <si>
    <t>SW Corner of Bass Lake and Green Valley Road, unincorporated El Dorado County</t>
  </si>
  <si>
    <t>Unincorporated</t>
  </si>
  <si>
    <t>Commercial Professional Office, 23.6du/ac</t>
  </si>
  <si>
    <t>Interim Director of Planning and Building</t>
  </si>
  <si>
    <t>1 Month SOFR+1.35%</t>
  </si>
  <si>
    <t>Variable</t>
  </si>
  <si>
    <t>Residual Receipts to Partnership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</si>
</sst>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25611">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6">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5" borderId="4" xfId="569" applyFill="1" applyBorder="1" applyAlignment="1" applyProtection="1">
      <alignment horizontal="left"/>
      <protection locked="0"/>
    </xf>
    <xf numFmtId="0" fontId="2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166" fontId="14" fillId="5" borderId="4" xfId="0" applyNumberFormat="1"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0" fontId="14"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 fontId="23" fillId="5" borderId="11" xfId="0" applyNumberFormat="1" applyFont="1" applyFill="1" applyBorder="1" applyAlignment="1" applyProtection="1">
      <alignment horizontal="center"/>
      <protection locked="0"/>
    </xf>
    <xf numFmtId="166" fontId="14" fillId="5" borderId="4" xfId="569" applyNumberFormat="1" applyFill="1" applyBorder="1" applyAlignment="1" applyProtection="1">
      <alignment horizontal="left"/>
      <protection locked="0"/>
    </xf>
    <xf numFmtId="0" fontId="0" fillId="5" borderId="4" xfId="0" applyFill="1" applyBorder="1" applyAlignment="1" applyProtection="1">
      <alignment horizontal="left"/>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1"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3" fillId="0" borderId="11" xfId="0" applyFont="1" applyBorder="1" applyAlignment="1">
      <alignment horizontal="center" vertical="top" wrapText="1"/>
    </xf>
    <xf numFmtId="0" fontId="21" fillId="0" borderId="0" xfId="0" applyFont="1" applyAlignment="1">
      <alignment horizontal="center" vertical="center"/>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0" fillId="0" borderId="6" xfId="0" applyBorder="1" applyAlignment="1">
      <alignment horizontal="left"/>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42" fillId="10" borderId="0" xfId="543" applyNumberFormat="1" applyFont="1" applyFill="1" applyAlignment="1">
      <alignment horizontal="left" vertical="center" wrapText="1"/>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23" fillId="5" borderId="6" xfId="0" applyFont="1" applyFill="1" applyBorder="1" applyAlignment="1" applyProtection="1">
      <alignment horizontal="left"/>
      <protection locked="0"/>
    </xf>
    <xf numFmtId="168" fontId="23"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0" fontId="14" fillId="5" borderId="6" xfId="569" applyFill="1" applyBorder="1" applyAlignment="1" applyProtection="1">
      <alignment horizontal="left"/>
      <protection locked="0"/>
    </xf>
    <xf numFmtId="0" fontId="23" fillId="5" borderId="4" xfId="0" applyFont="1"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3" borderId="0" xfId="0" applyFont="1" applyFill="1" applyAlignment="1">
      <alignment horizontal="center" vertical="center"/>
    </xf>
    <xf numFmtId="166" fontId="14" fillId="5" borderId="6" xfId="569" applyNumberForma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66" fontId="23" fillId="5" borderId="6" xfId="0" applyNumberFormat="1" applyFont="1" applyFill="1" applyBorder="1" applyAlignment="1" applyProtection="1">
      <alignment horizontal="left"/>
      <protection locked="0"/>
    </xf>
    <xf numFmtId="0" fontId="21" fillId="0" borderId="11" xfId="0" applyFont="1" applyBorder="1" applyAlignment="1">
      <alignment horizontal="center" vertical="center" wrapText="1"/>
    </xf>
    <xf numFmtId="172" fontId="21" fillId="0" borderId="11" xfId="0" applyNumberFormat="1" applyFont="1" applyBorder="1" applyAlignment="1">
      <alignment horizontal="center" vertical="center" wrapText="1"/>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0" fontId="0" fillId="0" borderId="11" xfId="0"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14"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3" fillId="45" borderId="11" xfId="0" applyFont="1" applyFill="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0" borderId="11" xfId="0" applyFont="1"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5" borderId="3" xfId="0"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180" fontId="0" fillId="0" borderId="6" xfId="0" applyNumberFormat="1" applyBorder="1" applyAlignment="1">
      <alignment horizontal="center"/>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11" xfId="0" applyNumberFormat="1" applyFill="1" applyBorder="1" applyAlignment="1" applyProtection="1">
      <alignment horizontal="center"/>
      <protection locked="0"/>
    </xf>
    <xf numFmtId="0" fontId="23" fillId="0" borderId="3" xfId="0" applyFont="1" applyBorder="1" applyAlignment="1">
      <alignment horizontal="left"/>
    </xf>
    <xf numFmtId="0" fontId="0" fillId="0" borderId="4" xfId="0" applyBorder="1" applyAlignment="1">
      <alignment horizontal="left"/>
    </xf>
    <xf numFmtId="0" fontId="23" fillId="5" borderId="6" xfId="271" applyFill="1" applyBorder="1" applyProtection="1">
      <protection locked="0"/>
    </xf>
    <xf numFmtId="0" fontId="23" fillId="5" borderId="6" xfId="0" applyFont="1" applyFill="1" applyBorder="1" applyAlignment="1" applyProtection="1">
      <alignment horizontal="center"/>
      <protection locked="0"/>
    </xf>
    <xf numFmtId="0" fontId="0" fillId="0" borderId="3" xfId="0" applyBorder="1" applyAlignment="1">
      <alignment horizontal="left"/>
    </xf>
    <xf numFmtId="0" fontId="14" fillId="43" borderId="11" xfId="0" applyFont="1" applyFill="1" applyBorder="1" applyAlignment="1" applyProtection="1">
      <alignment horizontal="center"/>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center"/>
    </xf>
    <xf numFmtId="0" fontId="21" fillId="0" borderId="7" xfId="0" applyFont="1" applyBorder="1" applyAlignment="1">
      <alignment horizontal="center" wrapText="1"/>
    </xf>
    <xf numFmtId="0" fontId="21" fillId="0" borderId="10" xfId="0" applyFont="1" applyBorder="1" applyAlignment="1">
      <alignment horizontal="center"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14" fillId="0" borderId="0" xfId="543" applyAlignment="1">
      <alignment horizontal="center"/>
    </xf>
    <xf numFmtId="2" fontId="14" fillId="0" borderId="0" xfId="543" applyNumberFormat="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8" fontId="14" fillId="5" borderId="6" xfId="0" applyNumberFormat="1" applyFont="1" applyFill="1" applyBorder="1" applyAlignment="1" applyProtection="1">
      <alignment horizontal="right"/>
      <protection locked="0"/>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14" fillId="5" borderId="6" xfId="0" applyFon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5" borderId="11" xfId="0" applyFon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 fontId="14" fillId="5" borderId="6" xfId="0" applyNumberFormat="1"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23" fillId="5" borderId="9"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3" fontId="23" fillId="5" borderId="11" xfId="0" applyNumberFormat="1" applyFont="1" applyFill="1" applyBorder="1" applyAlignment="1" applyProtection="1">
      <alignment horizontal="center"/>
      <protection locked="0"/>
    </xf>
    <xf numFmtId="0" fontId="21" fillId="0" borderId="11" xfId="0" applyFont="1" applyBorder="1" applyAlignment="1">
      <alignment horizontal="center" vertical="center"/>
    </xf>
    <xf numFmtId="0" fontId="14" fillId="5" borderId="4" xfId="0" applyFont="1" applyFill="1" applyBorder="1" applyAlignment="1" applyProtection="1">
      <alignment wrapText="1"/>
      <protection locked="0"/>
    </xf>
    <xf numFmtId="0" fontId="14"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0" borderId="12"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14" fillId="0" borderId="3" xfId="0" applyFont="1" applyBorder="1"/>
    <xf numFmtId="0" fontId="14" fillId="0" borderId="4" xfId="0" applyFont="1" applyBorder="1"/>
    <xf numFmtId="0" fontId="14" fillId="0" borderId="5" xfId="0" applyFont="1" applyBorder="1"/>
    <xf numFmtId="168" fontId="0" fillId="0" borderId="11" xfId="0" applyNumberFormat="1" applyBorder="1" applyAlignment="1">
      <alignment horizontal="right"/>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21" fillId="0" borderId="6" xfId="0" applyFont="1" applyBorder="1" applyAlignment="1">
      <alignment horizontal="center"/>
    </xf>
    <xf numFmtId="9" fontId="14" fillId="5" borderId="3" xfId="0" applyNumberFormat="1" applyFont="1" applyFill="1" applyBorder="1" applyAlignment="1" applyProtection="1">
      <alignment horizontal="right"/>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171" fontId="14" fillId="0" borderId="0" xfId="543" applyNumberFormat="1" applyAlignment="1">
      <alignment horizontal="right"/>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70" fillId="0" borderId="0" xfId="0" applyNumberFormat="1" applyFont="1" applyAlignment="1">
      <alignment horizontal="center" vertical="center" wrapText="1"/>
    </xf>
    <xf numFmtId="0" fontId="21" fillId="5" borderId="11" xfId="0"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4" fillId="5" borderId="3" xfId="0" quotePrefix="1" applyNumberFormat="1" applyFont="1" applyFill="1" applyBorder="1" applyAlignment="1" applyProtection="1">
      <alignment horizontal="right"/>
      <protection locked="0"/>
    </xf>
    <xf numFmtId="0" fontId="14" fillId="5" borderId="3" xfId="0" quotePrefix="1" applyFont="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4"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4" fillId="0" borderId="6" xfId="0" applyFont="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0" fillId="0" borderId="0" xfId="0" applyAlignment="1">
      <alignment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4" fillId="43" borderId="6" xfId="0" applyFont="1" applyFill="1" applyBorder="1" applyAlignment="1" applyProtection="1">
      <alignment vertical="center"/>
      <protection locked="0"/>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0" fontId="22" fillId="43" borderId="6" xfId="0" applyFont="1" applyFill="1" applyBorder="1" applyAlignment="1" applyProtection="1">
      <alignment horizontal="left"/>
      <protection locked="0"/>
    </xf>
    <xf numFmtId="0" fontId="14" fillId="5" borderId="4" xfId="0" applyFont="1" applyFill="1" applyBorder="1" applyAlignment="1" applyProtection="1">
      <alignment horizontal="center"/>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14" fillId="5" borderId="0" xfId="0" applyFont="1" applyFill="1" applyAlignment="1" applyProtection="1">
      <alignment horizontal="left" vertical="top" wrapText="1"/>
      <protection locked="0"/>
    </xf>
    <xf numFmtId="0" fontId="0" fillId="0" borderId="0" xfId="0" applyAlignment="1">
      <alignment vertical="top" wrapText="1"/>
    </xf>
    <xf numFmtId="0" fontId="23"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14" fillId="5" borderId="4"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168" fontId="23" fillId="0" borderId="11" xfId="0" applyNumberFormat="1" applyFont="1" applyBorder="1" applyAlignment="1">
      <alignment horizontal="center"/>
    </xf>
    <xf numFmtId="0" fontId="14" fillId="43" borderId="4" xfId="0" applyFont="1" applyFill="1" applyBorder="1" applyAlignment="1" applyProtection="1">
      <alignment horizontal="left" wrapText="1"/>
      <protection locked="0"/>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168" fontId="14"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1"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3"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3" fillId="0" borderId="11" xfId="0" applyNumberFormat="1" applyFont="1" applyBorder="1" applyAlignment="1">
      <alignment horizontal="center"/>
    </xf>
    <xf numFmtId="1" fontId="23" fillId="5" borderId="11" xfId="0" quotePrefix="1"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1" fillId="0" borderId="9" xfId="0" applyFont="1" applyBorder="1" applyAlignment="1">
      <alignment horizontal="center"/>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3" fontId="0" fillId="0" borderId="6" xfId="0" applyNumberFormat="1" applyBorder="1" applyAlignment="1">
      <alignment horizontal="right"/>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cellXfs>
  <cellStyles count="25611">
    <cellStyle name="20% - Accent1" xfId="1" builtinId="30" customBuiltin="1"/>
    <cellStyle name="20% - Accent1 10" xfId="4505" xr:uid="{00000000-0005-0000-0000-000001000000}"/>
    <cellStyle name="20% - Accent1 10 2" xfId="21388" xr:uid="{04565929-8DFE-477C-9A69-7227537578FD}"/>
    <cellStyle name="20% - Accent1 10 3" xfId="12947" xr:uid="{AFF62466-5544-4FF3-AB49-DAD12942464D}"/>
    <cellStyle name="20% - Accent1 11" xfId="17170" xr:uid="{A1BA8B58-E463-415D-9CCE-864A37440125}"/>
    <cellStyle name="20% - Accent1 12" xfId="8729" xr:uid="{400DDC7D-A032-4E46-AD46-DAA72F11BDE5}"/>
    <cellStyle name="20% - Accent1 2" xfId="2" xr:uid="{00000000-0005-0000-0000-000002000000}"/>
    <cellStyle name="20% - Accent1 2 10" xfId="17171" xr:uid="{C3523EE2-EF68-4BEF-AE65-2813F76752A5}"/>
    <cellStyle name="20% - Accent1 2 11" xfId="8730" xr:uid="{61A1235B-502B-45DB-A3AA-C4F8F9A301DF}"/>
    <cellStyle name="20% - Accent1 2 2" xfId="3" xr:uid="{00000000-0005-0000-0000-000003000000}"/>
    <cellStyle name="20% - Accent1 2 2 10" xfId="8731" xr:uid="{E3CC0CE4-C643-4C0D-902F-BFAD52E84D4F}"/>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23950" xr:uid="{74136C73-60FF-488F-AA52-D06F60C36D83}"/>
    <cellStyle name="20% - Accent1 2 2 2 2 2 2 3" xfId="15509" xr:uid="{0B7289FE-849D-455B-A926-C89BD3E1F48B}"/>
    <cellStyle name="20% - Accent1 2 2 2 2 2 3" xfId="19732" xr:uid="{CC7FBCC2-BFD4-4A67-8A4F-BBA1C37D93AC}"/>
    <cellStyle name="20% - Accent1 2 2 2 2 2 4" xfId="11291" xr:uid="{32FB9F1A-2633-4FBB-AE02-08C44879C3BA}"/>
    <cellStyle name="20% - Accent1 2 2 2 2 3" xfId="4922" xr:uid="{00000000-0005-0000-0000-000008000000}"/>
    <cellStyle name="20% - Accent1 2 2 2 2 3 2" xfId="21805" xr:uid="{E197A411-2540-4BD7-843A-2E4AA45CED21}"/>
    <cellStyle name="20% - Accent1 2 2 2 2 3 3" xfId="13364" xr:uid="{3589EBF9-D2F0-42BA-A21B-F920047CE0CA}"/>
    <cellStyle name="20% - Accent1 2 2 2 2 4" xfId="17587" xr:uid="{9A3618BC-3364-4BBB-AF01-0BDECE2A4BA0}"/>
    <cellStyle name="20% - Accent1 2 2 2 2 5" xfId="9146" xr:uid="{7F0B8786-0A67-4832-B871-399FCE66133A}"/>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24363" xr:uid="{0B56A82D-D645-4006-88A4-A94417BC8FBB}"/>
    <cellStyle name="20% - Accent1 2 2 2 3 2 2 3" xfId="15922" xr:uid="{CB370163-5471-4516-A14E-51C5CE0F8DE9}"/>
    <cellStyle name="20% - Accent1 2 2 2 3 2 3" xfId="20145" xr:uid="{D279DE49-520A-40B1-92CB-9E810494F86E}"/>
    <cellStyle name="20% - Accent1 2 2 2 3 2 4" xfId="11704" xr:uid="{470BC34F-7750-4DFD-A643-CA0A918B3491}"/>
    <cellStyle name="20% - Accent1 2 2 2 3 3" xfId="5335" xr:uid="{00000000-0005-0000-0000-00000C000000}"/>
    <cellStyle name="20% - Accent1 2 2 2 3 3 2" xfId="22218" xr:uid="{B790B672-B274-4D18-94A7-95F8BBEDE256}"/>
    <cellStyle name="20% - Accent1 2 2 2 3 3 3" xfId="13777" xr:uid="{33C7F069-A12D-430E-BEAE-3D385BE3CB19}"/>
    <cellStyle name="20% - Accent1 2 2 2 3 4" xfId="18000" xr:uid="{FF32A1F0-9769-4764-B955-6550B285AAE3}"/>
    <cellStyle name="20% - Accent1 2 2 2 3 5" xfId="9559" xr:uid="{A29EB4E9-F7DF-4A14-97F7-B2585AEF6D32}"/>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24776" xr:uid="{741B5D6D-1318-41DF-ADEB-24D9D10E5CAC}"/>
    <cellStyle name="20% - Accent1 2 2 2 4 2 2 3" xfId="16335" xr:uid="{A931739D-E414-4DCB-BD4A-22E44BDF286E}"/>
    <cellStyle name="20% - Accent1 2 2 2 4 2 3" xfId="20558" xr:uid="{351B1CDB-2EA9-4560-8895-5113E6EA8F0B}"/>
    <cellStyle name="20% - Accent1 2 2 2 4 2 4" xfId="12117" xr:uid="{892B02B9-A484-42DC-B465-7F96396B3B7A}"/>
    <cellStyle name="20% - Accent1 2 2 2 4 3" xfId="5748" xr:uid="{00000000-0005-0000-0000-000010000000}"/>
    <cellStyle name="20% - Accent1 2 2 2 4 3 2" xfId="22631" xr:uid="{75D69511-833A-4746-AC57-6D7DF50C41F1}"/>
    <cellStyle name="20% - Accent1 2 2 2 4 3 3" xfId="14190" xr:uid="{7BFA9C27-947B-4EE3-943D-E97118AF2292}"/>
    <cellStyle name="20% - Accent1 2 2 2 4 4" xfId="18413" xr:uid="{3B3E8ACE-47C5-4063-99EB-01352DD84B41}"/>
    <cellStyle name="20% - Accent1 2 2 2 4 5" xfId="9972" xr:uid="{314720D5-E923-4221-867A-E64F1D70D0D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25189" xr:uid="{E71607E0-EFEE-42E7-B262-1D0E59430573}"/>
    <cellStyle name="20% - Accent1 2 2 2 5 2 2 3" xfId="16748" xr:uid="{4A869953-83AE-443D-B5EF-EF60E0E72028}"/>
    <cellStyle name="20% - Accent1 2 2 2 5 2 3" xfId="20971" xr:uid="{9231310B-AE2B-47B0-9937-6EC55DF36B39}"/>
    <cellStyle name="20% - Accent1 2 2 2 5 2 4" xfId="12530" xr:uid="{0F3DD879-6687-4B97-800C-B1A126E734F2}"/>
    <cellStyle name="20% - Accent1 2 2 2 5 3" xfId="6161" xr:uid="{00000000-0005-0000-0000-000014000000}"/>
    <cellStyle name="20% - Accent1 2 2 2 5 3 2" xfId="23044" xr:uid="{279620A3-9CFA-443C-ACB8-0FE4991F6232}"/>
    <cellStyle name="20% - Accent1 2 2 2 5 3 3" xfId="14603" xr:uid="{63879C9B-ADF2-47C7-B8F1-809B9A4F3384}"/>
    <cellStyle name="20% - Accent1 2 2 2 5 4" xfId="18826" xr:uid="{4FEA398B-72A8-42A2-AD00-1AE58DF48CDF}"/>
    <cellStyle name="20% - Accent1 2 2 2 5 5" xfId="10385" xr:uid="{E0CA78CC-C090-4C8A-861F-C9311C1B11D2}"/>
    <cellStyle name="20% - Accent1 2 2 2 6" xfId="2267" xr:uid="{00000000-0005-0000-0000-000015000000}"/>
    <cellStyle name="20% - Accent1 2 2 2 6 2" xfId="6574" xr:uid="{00000000-0005-0000-0000-000016000000}"/>
    <cellStyle name="20% - Accent1 2 2 2 6 2 2" xfId="23457" xr:uid="{54CB1C91-B1D2-425C-AA9B-3331EB65F987}"/>
    <cellStyle name="20% - Accent1 2 2 2 6 2 3" xfId="15016" xr:uid="{C042B303-D94B-47E1-9014-162735F632F6}"/>
    <cellStyle name="20% - Accent1 2 2 2 6 3" xfId="19239" xr:uid="{B2ACE3F1-348A-4392-AC3A-876E05C79194}"/>
    <cellStyle name="20% - Accent1 2 2 2 6 4" xfId="10798" xr:uid="{7C986843-2E2C-49B7-BA4F-928B9D2C6584}"/>
    <cellStyle name="20% - Accent1 2 2 2 7" xfId="4508" xr:uid="{00000000-0005-0000-0000-000017000000}"/>
    <cellStyle name="20% - Accent1 2 2 2 7 2" xfId="21391" xr:uid="{78608FE7-164C-4D86-B7A1-949B13049755}"/>
    <cellStyle name="20% - Accent1 2 2 2 7 3" xfId="12950" xr:uid="{B1F7923C-EB95-479B-8B76-898B81430843}"/>
    <cellStyle name="20% - Accent1 2 2 2 8" xfId="17173" xr:uid="{70BC6766-11D7-4EC0-9294-9D59CD8CA994}"/>
    <cellStyle name="20% - Accent1 2 2 2 9" xfId="8732" xr:uid="{58B5316F-E08C-4B3B-BACB-6E96A17AF446}"/>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23949" xr:uid="{37EFC725-4B1E-4A45-A99E-076823F42540}"/>
    <cellStyle name="20% - Accent1 2 2 3 2 2 3" xfId="15508" xr:uid="{4C94DA12-5EBC-4479-9521-2880BE49080C}"/>
    <cellStyle name="20% - Accent1 2 2 3 2 3" xfId="19731" xr:uid="{80FDCF9D-11CA-4671-98B1-860A60CC51E3}"/>
    <cellStyle name="20% - Accent1 2 2 3 2 4" xfId="11290" xr:uid="{991E4913-2B75-413A-B345-697B0D70B5E4}"/>
    <cellStyle name="20% - Accent1 2 2 3 3" xfId="4921" xr:uid="{00000000-0005-0000-0000-00001B000000}"/>
    <cellStyle name="20% - Accent1 2 2 3 3 2" xfId="21804" xr:uid="{0915FF89-8796-4E88-9E60-B46313324623}"/>
    <cellStyle name="20% - Accent1 2 2 3 3 3" xfId="13363" xr:uid="{F5A38EAE-7F47-466E-94B4-48FBEAA58B6F}"/>
    <cellStyle name="20% - Accent1 2 2 3 4" xfId="17586" xr:uid="{88C24E5A-C382-4A71-844E-C24BCFA2D933}"/>
    <cellStyle name="20% - Accent1 2 2 3 5" xfId="9145" xr:uid="{F000962E-9487-4348-8DC3-82E00A7F45D2}"/>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24362" xr:uid="{7E08D55E-85F0-4002-B381-73118FC445A3}"/>
    <cellStyle name="20% - Accent1 2 2 4 2 2 3" xfId="15921" xr:uid="{9227A101-F8FD-4897-A1A9-16004AF30BA7}"/>
    <cellStyle name="20% - Accent1 2 2 4 2 3" xfId="20144" xr:uid="{4C65EF4B-4A2E-487C-895D-2694F744236B}"/>
    <cellStyle name="20% - Accent1 2 2 4 2 4" xfId="11703" xr:uid="{88E1658E-C32A-46D1-9516-744CFF094BAE}"/>
    <cellStyle name="20% - Accent1 2 2 4 3" xfId="5334" xr:uid="{00000000-0005-0000-0000-00001F000000}"/>
    <cellStyle name="20% - Accent1 2 2 4 3 2" xfId="22217" xr:uid="{56944225-DFF9-4AA1-B994-BAE4400C2BD0}"/>
    <cellStyle name="20% - Accent1 2 2 4 3 3" xfId="13776" xr:uid="{132BE70B-FEC2-4210-8D18-C0B613425345}"/>
    <cellStyle name="20% - Accent1 2 2 4 4" xfId="17999" xr:uid="{8DE7BA9F-469F-4F28-84A2-7D90D55A5B4A}"/>
    <cellStyle name="20% - Accent1 2 2 4 5" xfId="9558" xr:uid="{B91EBEB6-381A-4D1C-A452-CC59E532AA1E}"/>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24775" xr:uid="{787B2A5F-460F-4E32-ABA0-B8060C29322E}"/>
    <cellStyle name="20% - Accent1 2 2 5 2 2 3" xfId="16334" xr:uid="{30DBC27F-7D1F-4A19-B890-12A25A0F9CBF}"/>
    <cellStyle name="20% - Accent1 2 2 5 2 3" xfId="20557" xr:uid="{4B8115AD-7640-4BA9-810A-04E419A69CB7}"/>
    <cellStyle name="20% - Accent1 2 2 5 2 4" xfId="12116" xr:uid="{66A7E500-99ED-4BD2-BB3E-0496EFA9538B}"/>
    <cellStyle name="20% - Accent1 2 2 5 3" xfId="5747" xr:uid="{00000000-0005-0000-0000-000023000000}"/>
    <cellStyle name="20% - Accent1 2 2 5 3 2" xfId="22630" xr:uid="{2EC8B63B-6442-4CA5-8406-99347964C9AE}"/>
    <cellStyle name="20% - Accent1 2 2 5 3 3" xfId="14189" xr:uid="{3568804A-0A55-4271-8649-EDD2942DA411}"/>
    <cellStyle name="20% - Accent1 2 2 5 4" xfId="18412" xr:uid="{DD8555BE-2275-4333-8CD3-BA81702B6097}"/>
    <cellStyle name="20% - Accent1 2 2 5 5" xfId="9971" xr:uid="{124EADF3-2918-4120-98BC-595CAC6D0325}"/>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25188" xr:uid="{D5281D83-8AB0-4076-A1BB-9D99CB0B0282}"/>
    <cellStyle name="20% - Accent1 2 2 6 2 2 3" xfId="16747" xr:uid="{CAFEFE12-30A8-49FD-8FF3-2E107EA85620}"/>
    <cellStyle name="20% - Accent1 2 2 6 2 3" xfId="20970" xr:uid="{A4C5B40C-2A1A-4B33-8B2E-487A3EF5AE52}"/>
    <cellStyle name="20% - Accent1 2 2 6 2 4" xfId="12529" xr:uid="{B1DF6A03-5F36-4F36-9BF0-C1CF4157617F}"/>
    <cellStyle name="20% - Accent1 2 2 6 3" xfId="6160" xr:uid="{00000000-0005-0000-0000-000027000000}"/>
    <cellStyle name="20% - Accent1 2 2 6 3 2" xfId="23043" xr:uid="{4C37DE20-7928-48B9-9611-C33503E0F6B1}"/>
    <cellStyle name="20% - Accent1 2 2 6 3 3" xfId="14602" xr:uid="{12265645-6A00-4BF3-9093-5A380CEF7767}"/>
    <cellStyle name="20% - Accent1 2 2 6 4" xfId="18825" xr:uid="{82F95E6C-3573-478B-8DC7-AD1B541E71B3}"/>
    <cellStyle name="20% - Accent1 2 2 6 5" xfId="10384" xr:uid="{B65C9807-4005-4295-9F11-F583155EEFC0}"/>
    <cellStyle name="20% - Accent1 2 2 7" xfId="2266" xr:uid="{00000000-0005-0000-0000-000028000000}"/>
    <cellStyle name="20% - Accent1 2 2 7 2" xfId="6573" xr:uid="{00000000-0005-0000-0000-000029000000}"/>
    <cellStyle name="20% - Accent1 2 2 7 2 2" xfId="23456" xr:uid="{D436C8FC-B0F8-4F75-B19B-819D473E2543}"/>
    <cellStyle name="20% - Accent1 2 2 7 2 3" xfId="15015" xr:uid="{78DF97DC-B436-456D-A7B3-FA76EC4BBB89}"/>
    <cellStyle name="20% - Accent1 2 2 7 3" xfId="19238" xr:uid="{73B477D7-DB36-4F55-B571-32A3B014ED9D}"/>
    <cellStyle name="20% - Accent1 2 2 7 4" xfId="10797" xr:uid="{F3752ADD-D8F3-421A-96F3-5B6B281D8B8B}"/>
    <cellStyle name="20% - Accent1 2 2 8" xfId="4507" xr:uid="{00000000-0005-0000-0000-00002A000000}"/>
    <cellStyle name="20% - Accent1 2 2 8 2" xfId="21390" xr:uid="{0E5FADA2-983E-42CE-BA66-568E52116937}"/>
    <cellStyle name="20% - Accent1 2 2 8 3" xfId="12949" xr:uid="{5F9028CC-17AF-40B0-B79E-9D0410A5CB06}"/>
    <cellStyle name="20% - Accent1 2 2 9" xfId="17172" xr:uid="{1290F37C-9F88-4ED4-ACD7-57A13C5854B6}"/>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23951" xr:uid="{81F56FB5-5B4A-4E99-824D-79AA64CE7655}"/>
    <cellStyle name="20% - Accent1 2 3 2 2 2 3" xfId="15510" xr:uid="{511DD780-94D0-48AA-94F5-987C2EBD5871}"/>
    <cellStyle name="20% - Accent1 2 3 2 2 3" xfId="19733" xr:uid="{AAF4389A-2B62-4A09-BD96-6CD833F08730}"/>
    <cellStyle name="20% - Accent1 2 3 2 2 4" xfId="11292" xr:uid="{E7AF8DA7-8D7D-409A-9420-293928358C71}"/>
    <cellStyle name="20% - Accent1 2 3 2 3" xfId="4923" xr:uid="{00000000-0005-0000-0000-00002F000000}"/>
    <cellStyle name="20% - Accent1 2 3 2 3 2" xfId="21806" xr:uid="{B2A70EF0-9748-4EAB-8A93-37DFBDBE9433}"/>
    <cellStyle name="20% - Accent1 2 3 2 3 3" xfId="13365" xr:uid="{44A52F0E-7358-4947-9E48-4D38939657C6}"/>
    <cellStyle name="20% - Accent1 2 3 2 4" xfId="17588" xr:uid="{AF557B56-50BF-4CF7-8437-8806E7965C48}"/>
    <cellStyle name="20% - Accent1 2 3 2 5" xfId="9147" xr:uid="{4064F5B6-6211-454B-B8F7-3DB1A201BDD6}"/>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24364" xr:uid="{0D5F6375-7DC5-40D0-BC98-32C0D1420684}"/>
    <cellStyle name="20% - Accent1 2 3 3 2 2 3" xfId="15923" xr:uid="{1ED9522E-B07B-436E-9AED-9249DA9C96E7}"/>
    <cellStyle name="20% - Accent1 2 3 3 2 3" xfId="20146" xr:uid="{D4B100B0-691F-407B-9C19-3B3992706708}"/>
    <cellStyle name="20% - Accent1 2 3 3 2 4" xfId="11705" xr:uid="{9B67B327-349C-47FE-BC57-90930F59A932}"/>
    <cellStyle name="20% - Accent1 2 3 3 3" xfId="5336" xr:uid="{00000000-0005-0000-0000-000033000000}"/>
    <cellStyle name="20% - Accent1 2 3 3 3 2" xfId="22219" xr:uid="{A9EC337A-0686-4A1D-9A56-4AC5AF7788E8}"/>
    <cellStyle name="20% - Accent1 2 3 3 3 3" xfId="13778" xr:uid="{8942494A-36F6-4746-99B9-537228846B2E}"/>
    <cellStyle name="20% - Accent1 2 3 3 4" xfId="18001" xr:uid="{5094CD5B-5657-42A0-AD9E-30FDAF1D96E6}"/>
    <cellStyle name="20% - Accent1 2 3 3 5" xfId="9560" xr:uid="{9E58F55E-DDAE-46D9-990D-B22D7AB14463}"/>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24777" xr:uid="{3FCEC289-2E6A-4011-93F2-999A47137D36}"/>
    <cellStyle name="20% - Accent1 2 3 4 2 2 3" xfId="16336" xr:uid="{B4BE0606-7F82-4E58-84D8-A93F93779AE7}"/>
    <cellStyle name="20% - Accent1 2 3 4 2 3" xfId="20559" xr:uid="{B98DD217-7656-41E9-A37E-3171AEC89B2B}"/>
    <cellStyle name="20% - Accent1 2 3 4 2 4" xfId="12118" xr:uid="{81031FC2-914D-4317-ACC4-2B233AAD26B2}"/>
    <cellStyle name="20% - Accent1 2 3 4 3" xfId="5749" xr:uid="{00000000-0005-0000-0000-000037000000}"/>
    <cellStyle name="20% - Accent1 2 3 4 3 2" xfId="22632" xr:uid="{CE3C6D26-C760-48ED-930D-6B89A0C700FB}"/>
    <cellStyle name="20% - Accent1 2 3 4 3 3" xfId="14191" xr:uid="{3E1E49F7-286C-4CD6-BCC0-FA10AA742C5E}"/>
    <cellStyle name="20% - Accent1 2 3 4 4" xfId="18414" xr:uid="{83E1C893-A123-47BE-87FD-56107B9EE1B7}"/>
    <cellStyle name="20% - Accent1 2 3 4 5" xfId="9973" xr:uid="{2F261C87-8478-4478-941D-A122E0ED4E75}"/>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25190" xr:uid="{A247483C-5609-46C2-96C4-6082A23B3CD7}"/>
    <cellStyle name="20% - Accent1 2 3 5 2 2 3" xfId="16749" xr:uid="{173A0334-68DE-4AAF-B8E1-EB71BB16D35F}"/>
    <cellStyle name="20% - Accent1 2 3 5 2 3" xfId="20972" xr:uid="{24DE9F16-CD07-48B4-984B-5331715561AB}"/>
    <cellStyle name="20% - Accent1 2 3 5 2 4" xfId="12531" xr:uid="{92E6A48A-263F-4C51-9BC7-2C68735DE353}"/>
    <cellStyle name="20% - Accent1 2 3 5 3" xfId="6162" xr:uid="{00000000-0005-0000-0000-00003B000000}"/>
    <cellStyle name="20% - Accent1 2 3 5 3 2" xfId="23045" xr:uid="{BC94D020-7DAE-45DC-B850-2B66812925D6}"/>
    <cellStyle name="20% - Accent1 2 3 5 3 3" xfId="14604" xr:uid="{BB593FEF-207B-4E18-A1F4-74BD2D64F9EF}"/>
    <cellStyle name="20% - Accent1 2 3 5 4" xfId="18827" xr:uid="{B375BA7E-36F2-4D2F-86FF-27AB66538365}"/>
    <cellStyle name="20% - Accent1 2 3 5 5" xfId="10386" xr:uid="{2204832A-B478-4C2A-9BD7-ABAE0F013EAB}"/>
    <cellStyle name="20% - Accent1 2 3 6" xfId="2268" xr:uid="{00000000-0005-0000-0000-00003C000000}"/>
    <cellStyle name="20% - Accent1 2 3 6 2" xfId="6575" xr:uid="{00000000-0005-0000-0000-00003D000000}"/>
    <cellStyle name="20% - Accent1 2 3 6 2 2" xfId="23458" xr:uid="{74CAFFBF-B74A-47A0-A3D8-20868C4918EC}"/>
    <cellStyle name="20% - Accent1 2 3 6 2 3" xfId="15017" xr:uid="{DF1E6D45-7479-46F1-92B8-8946AFB0C071}"/>
    <cellStyle name="20% - Accent1 2 3 6 3" xfId="19240" xr:uid="{F5BE8CD3-C518-41E4-A8D8-ECB9EC057D8E}"/>
    <cellStyle name="20% - Accent1 2 3 6 4" xfId="10799" xr:uid="{ECEC7706-8C49-4180-856F-A9D448B83AF1}"/>
    <cellStyle name="20% - Accent1 2 3 7" xfId="4509" xr:uid="{00000000-0005-0000-0000-00003E000000}"/>
    <cellStyle name="20% - Accent1 2 3 7 2" xfId="21392" xr:uid="{71F42EE9-8821-4576-B86A-DCBBFB3D23F7}"/>
    <cellStyle name="20% - Accent1 2 3 7 3" xfId="12951" xr:uid="{A9DD9F65-B042-4C84-B338-478D8CEA1777}"/>
    <cellStyle name="20% - Accent1 2 3 8" xfId="17174" xr:uid="{36B62C32-74A6-48E2-B810-4956317FED50}"/>
    <cellStyle name="20% - Accent1 2 3 9" xfId="8733" xr:uid="{634DDD11-8D40-404C-A47C-553B19983481}"/>
    <cellStyle name="20% - Accent1 2 4" xfId="571" xr:uid="{00000000-0005-0000-0000-00003F000000}"/>
    <cellStyle name="20% - Accent1 2 4 2" xfId="2842" xr:uid="{00000000-0005-0000-0000-000040000000}"/>
    <cellStyle name="20% - Accent1 2 4 2 2" xfId="7065" xr:uid="{00000000-0005-0000-0000-000041000000}"/>
    <cellStyle name="20% - Accent1 2 4 2 2 2" xfId="23948" xr:uid="{3CFC6C88-ABC8-4B29-9360-790661BFF5FD}"/>
    <cellStyle name="20% - Accent1 2 4 2 2 3" xfId="15507" xr:uid="{ECC4C07B-D085-4661-BB73-04CD46677476}"/>
    <cellStyle name="20% - Accent1 2 4 2 3" xfId="19730" xr:uid="{A55212A1-A1CE-499F-B877-8B552D952CAB}"/>
    <cellStyle name="20% - Accent1 2 4 2 4" xfId="11289" xr:uid="{4D7D4463-812E-4435-88C3-9ABA4ECF326B}"/>
    <cellStyle name="20% - Accent1 2 4 3" xfId="4920" xr:uid="{00000000-0005-0000-0000-000042000000}"/>
    <cellStyle name="20% - Accent1 2 4 3 2" xfId="21803" xr:uid="{DAFFACBA-70AB-4182-B7E5-4653A17C264A}"/>
    <cellStyle name="20% - Accent1 2 4 3 3" xfId="13362" xr:uid="{6C7B9861-9893-4883-9DC6-ED96C624A2FD}"/>
    <cellStyle name="20% - Accent1 2 4 4" xfId="17585" xr:uid="{01FE2520-8F6B-40E1-AFEF-0CBC81D4EF97}"/>
    <cellStyle name="20% - Accent1 2 4 5" xfId="9144" xr:uid="{B5F6539A-8073-43B0-AF2C-274E247A7860}"/>
    <cellStyle name="20% - Accent1 2 5" xfId="1024" xr:uid="{00000000-0005-0000-0000-000043000000}"/>
    <cellStyle name="20% - Accent1 2 5 2" xfId="3255" xr:uid="{00000000-0005-0000-0000-000044000000}"/>
    <cellStyle name="20% - Accent1 2 5 2 2" xfId="7478" xr:uid="{00000000-0005-0000-0000-000045000000}"/>
    <cellStyle name="20% - Accent1 2 5 2 2 2" xfId="24361" xr:uid="{B94C4B0E-D5D7-425B-A759-15AFF159C23C}"/>
    <cellStyle name="20% - Accent1 2 5 2 2 3" xfId="15920" xr:uid="{3BFE291D-5BD2-4540-861A-648706B59230}"/>
    <cellStyle name="20% - Accent1 2 5 2 3" xfId="20143" xr:uid="{456181A4-01D4-46D6-B6F0-39200BCF18B3}"/>
    <cellStyle name="20% - Accent1 2 5 2 4" xfId="11702" xr:uid="{525855E0-BAF5-4DF0-A318-CFA087D66795}"/>
    <cellStyle name="20% - Accent1 2 5 3" xfId="5333" xr:uid="{00000000-0005-0000-0000-000046000000}"/>
    <cellStyle name="20% - Accent1 2 5 3 2" xfId="22216" xr:uid="{58573074-9EFF-4973-8AFE-FDD7B2432CAF}"/>
    <cellStyle name="20% - Accent1 2 5 3 3" xfId="13775" xr:uid="{859956DE-0351-4D89-A5B3-947D47307BDA}"/>
    <cellStyle name="20% - Accent1 2 5 4" xfId="17998" xr:uid="{EEB77D94-FCF7-4911-97EB-3A2AF0E9EA83}"/>
    <cellStyle name="20% - Accent1 2 5 5" xfId="9557" xr:uid="{53E35632-1D06-42FE-99F5-9C23FDA0F287}"/>
    <cellStyle name="20% - Accent1 2 6" xfId="1438" xr:uid="{00000000-0005-0000-0000-000047000000}"/>
    <cellStyle name="20% - Accent1 2 6 2" xfId="3668" xr:uid="{00000000-0005-0000-0000-000048000000}"/>
    <cellStyle name="20% - Accent1 2 6 2 2" xfId="7891" xr:uid="{00000000-0005-0000-0000-000049000000}"/>
    <cellStyle name="20% - Accent1 2 6 2 2 2" xfId="24774" xr:uid="{5980DD9D-D6D1-4E56-B707-AB86408C35EE}"/>
    <cellStyle name="20% - Accent1 2 6 2 2 3" xfId="16333" xr:uid="{92F466CB-EBC1-490E-AE41-AF967E68AA92}"/>
    <cellStyle name="20% - Accent1 2 6 2 3" xfId="20556" xr:uid="{65490FD2-4552-483D-A0F3-5639BA52C73A}"/>
    <cellStyle name="20% - Accent1 2 6 2 4" xfId="12115" xr:uid="{914AE019-D3D9-498A-A9D5-F713E32CA2DE}"/>
    <cellStyle name="20% - Accent1 2 6 3" xfId="5746" xr:uid="{00000000-0005-0000-0000-00004A000000}"/>
    <cellStyle name="20% - Accent1 2 6 3 2" xfId="22629" xr:uid="{854A6719-3E58-4767-96D0-FF2C7995B9F3}"/>
    <cellStyle name="20% - Accent1 2 6 3 3" xfId="14188" xr:uid="{DF05E06B-1665-4C65-98B3-D418C26BC3EF}"/>
    <cellStyle name="20% - Accent1 2 6 4" xfId="18411" xr:uid="{1684D293-0481-49E6-90EB-69927BA2D1D0}"/>
    <cellStyle name="20% - Accent1 2 6 5" xfId="9970" xr:uid="{10AA8884-8A21-4559-A016-2F946D937019}"/>
    <cellStyle name="20% - Accent1 2 7" xfId="1852" xr:uid="{00000000-0005-0000-0000-00004B000000}"/>
    <cellStyle name="20% - Accent1 2 7 2" xfId="4081" xr:uid="{00000000-0005-0000-0000-00004C000000}"/>
    <cellStyle name="20% - Accent1 2 7 2 2" xfId="8304" xr:uid="{00000000-0005-0000-0000-00004D000000}"/>
    <cellStyle name="20% - Accent1 2 7 2 2 2" xfId="25187" xr:uid="{88CE0772-A368-4F28-99A4-085A0B5AF58F}"/>
    <cellStyle name="20% - Accent1 2 7 2 2 3" xfId="16746" xr:uid="{27D1AD2D-434B-4FBE-83BE-E200161446E4}"/>
    <cellStyle name="20% - Accent1 2 7 2 3" xfId="20969" xr:uid="{7E773CCF-5D07-4309-8C51-8E0083ED3B75}"/>
    <cellStyle name="20% - Accent1 2 7 2 4" xfId="12528" xr:uid="{651CDD02-5A56-4AD9-B3C4-FFA16D6CFA26}"/>
    <cellStyle name="20% - Accent1 2 7 3" xfId="6159" xr:uid="{00000000-0005-0000-0000-00004E000000}"/>
    <cellStyle name="20% - Accent1 2 7 3 2" xfId="23042" xr:uid="{420E730E-ABDE-4239-8249-5A128BA2FDC3}"/>
    <cellStyle name="20% - Accent1 2 7 3 3" xfId="14601" xr:uid="{637EA9F3-2BD0-4D9D-BFE3-B7ADBE0D92FD}"/>
    <cellStyle name="20% - Accent1 2 7 4" xfId="18824" xr:uid="{EC1F53CE-5E4C-4E1F-B36B-3B4B7664355C}"/>
    <cellStyle name="20% - Accent1 2 7 5" xfId="10383" xr:uid="{68549087-100F-4E89-92C0-184B9CA661A6}"/>
    <cellStyle name="20% - Accent1 2 8" xfId="2265" xr:uid="{00000000-0005-0000-0000-00004F000000}"/>
    <cellStyle name="20% - Accent1 2 8 2" xfId="6572" xr:uid="{00000000-0005-0000-0000-000050000000}"/>
    <cellStyle name="20% - Accent1 2 8 2 2" xfId="23455" xr:uid="{26A0EA38-CA79-4316-8E2C-67F8ED9EA940}"/>
    <cellStyle name="20% - Accent1 2 8 2 3" xfId="15014" xr:uid="{8328E1C7-0D03-4834-806D-899953C9FDDC}"/>
    <cellStyle name="20% - Accent1 2 8 3" xfId="19237" xr:uid="{23AE8BEF-1BF2-4D5D-B5A6-E0BA04ECB047}"/>
    <cellStyle name="20% - Accent1 2 8 4" xfId="10796" xr:uid="{D2DECD47-C83E-46A7-BE0C-F2B04232CC3B}"/>
    <cellStyle name="20% - Accent1 2 9" xfId="4506" xr:uid="{00000000-0005-0000-0000-000051000000}"/>
    <cellStyle name="20% - Accent1 2 9 2" xfId="21389" xr:uid="{94FF3C14-EE15-4FC9-8D75-4BFF2DF8DD58}"/>
    <cellStyle name="20% - Accent1 2 9 3" xfId="12948" xr:uid="{D8D423F3-86BA-4400-B2BF-ACF64028286B}"/>
    <cellStyle name="20% - Accent1 3" xfId="6" xr:uid="{00000000-0005-0000-0000-000052000000}"/>
    <cellStyle name="20% - Accent1 3 10" xfId="8734" xr:uid="{039683F0-E2DE-46F3-9EBC-EAFA06056525}"/>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23953" xr:uid="{6218483F-ADD3-4746-BF40-C7BEB7C0A72D}"/>
    <cellStyle name="20% - Accent1 3 2 2 2 2 3" xfId="15512" xr:uid="{B2C95536-8737-4F98-BAFE-B16B0292AA9E}"/>
    <cellStyle name="20% - Accent1 3 2 2 2 3" xfId="19735" xr:uid="{6F87FEA0-BE5F-45AF-81B5-2A46960D05AB}"/>
    <cellStyle name="20% - Accent1 3 2 2 2 4" xfId="11294" xr:uid="{7BF82591-9884-4F16-8AB5-4DD2590DE5EF}"/>
    <cellStyle name="20% - Accent1 3 2 2 3" xfId="4925" xr:uid="{00000000-0005-0000-0000-000057000000}"/>
    <cellStyle name="20% - Accent1 3 2 2 3 2" xfId="21808" xr:uid="{75B8030D-2CF0-43EC-B8F6-13B4A60AE074}"/>
    <cellStyle name="20% - Accent1 3 2 2 3 3" xfId="13367" xr:uid="{794FB969-A995-4190-8933-671EB081CD67}"/>
    <cellStyle name="20% - Accent1 3 2 2 4" xfId="17590" xr:uid="{3D9BE659-9B03-4160-897F-A8C73F8A2BB9}"/>
    <cellStyle name="20% - Accent1 3 2 2 5" xfId="9149" xr:uid="{B714C76E-CB00-459B-9A7A-A4EA06619859}"/>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24366" xr:uid="{B7297AF3-2D9C-470F-AD24-DFA55E01E638}"/>
    <cellStyle name="20% - Accent1 3 2 3 2 2 3" xfId="15925" xr:uid="{64E3F895-2183-4899-A221-1050703B099E}"/>
    <cellStyle name="20% - Accent1 3 2 3 2 3" xfId="20148" xr:uid="{D2C73126-6BA5-4E3C-A3B1-4AD121629863}"/>
    <cellStyle name="20% - Accent1 3 2 3 2 4" xfId="11707" xr:uid="{8F8BC967-1AAA-45B8-AC62-9EDE154DDA4B}"/>
    <cellStyle name="20% - Accent1 3 2 3 3" xfId="5338" xr:uid="{00000000-0005-0000-0000-00005B000000}"/>
    <cellStyle name="20% - Accent1 3 2 3 3 2" xfId="22221" xr:uid="{B1D32B38-7C28-4DBC-A6C8-9B20D5E42BD8}"/>
    <cellStyle name="20% - Accent1 3 2 3 3 3" xfId="13780" xr:uid="{ABAF7484-9DF8-4BCE-9191-4D7E9B7E33F3}"/>
    <cellStyle name="20% - Accent1 3 2 3 4" xfId="18003" xr:uid="{2FFE4378-8DE8-4536-8721-4F3568B9D533}"/>
    <cellStyle name="20% - Accent1 3 2 3 5" xfId="9562" xr:uid="{F6EF3D77-AEE8-48D4-897D-8990A8587415}"/>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24779" xr:uid="{66B8CAE5-173D-4345-A72A-5D008C6EE058}"/>
    <cellStyle name="20% - Accent1 3 2 4 2 2 3" xfId="16338" xr:uid="{17B01B92-DCB2-4B2E-BB45-76FF88AA60D6}"/>
    <cellStyle name="20% - Accent1 3 2 4 2 3" xfId="20561" xr:uid="{42FAA69A-5366-4E78-9FCD-6DB6B54E6B4C}"/>
    <cellStyle name="20% - Accent1 3 2 4 2 4" xfId="12120" xr:uid="{CC45C5E9-E19B-4357-A46A-09A1441D348D}"/>
    <cellStyle name="20% - Accent1 3 2 4 3" xfId="5751" xr:uid="{00000000-0005-0000-0000-00005F000000}"/>
    <cellStyle name="20% - Accent1 3 2 4 3 2" xfId="22634" xr:uid="{FC94E8B6-AD1A-4BE2-87ED-96438BD93CD7}"/>
    <cellStyle name="20% - Accent1 3 2 4 3 3" xfId="14193" xr:uid="{9EB8B21D-4150-4D02-8F65-E33256697E83}"/>
    <cellStyle name="20% - Accent1 3 2 4 4" xfId="18416" xr:uid="{54D6FA25-0BFA-4F68-952F-051D87E0F7AE}"/>
    <cellStyle name="20% - Accent1 3 2 4 5" xfId="9975" xr:uid="{E3E83E83-97F8-437B-AAD5-BDF7D543E972}"/>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25192" xr:uid="{1C557104-943E-4C3E-8787-92D8C91B8930}"/>
    <cellStyle name="20% - Accent1 3 2 5 2 2 3" xfId="16751" xr:uid="{F62AB9C6-0B66-483A-B3A1-8381A734994B}"/>
    <cellStyle name="20% - Accent1 3 2 5 2 3" xfId="20974" xr:uid="{7E426AC2-946A-4C2A-9A7D-BC97C0445C30}"/>
    <cellStyle name="20% - Accent1 3 2 5 2 4" xfId="12533" xr:uid="{E201C6C2-1F3B-43E6-B522-5D85A4CD3D40}"/>
    <cellStyle name="20% - Accent1 3 2 5 3" xfId="6164" xr:uid="{00000000-0005-0000-0000-000063000000}"/>
    <cellStyle name="20% - Accent1 3 2 5 3 2" xfId="23047" xr:uid="{BB833F75-CD92-479B-ABAB-364F76D4815B}"/>
    <cellStyle name="20% - Accent1 3 2 5 3 3" xfId="14606" xr:uid="{157835CC-E9BA-4B2E-A33C-5EC945B8A6D7}"/>
    <cellStyle name="20% - Accent1 3 2 5 4" xfId="18829" xr:uid="{BB213D8D-8823-4E6D-A769-C11B98C2E001}"/>
    <cellStyle name="20% - Accent1 3 2 5 5" xfId="10388" xr:uid="{E12B2E12-630A-4293-A9BB-4572A996DF28}"/>
    <cellStyle name="20% - Accent1 3 2 6" xfId="2270" xr:uid="{00000000-0005-0000-0000-000064000000}"/>
    <cellStyle name="20% - Accent1 3 2 6 2" xfId="6577" xr:uid="{00000000-0005-0000-0000-000065000000}"/>
    <cellStyle name="20% - Accent1 3 2 6 2 2" xfId="23460" xr:uid="{9E17CD2B-907C-4781-8BE6-F83FC6870BAF}"/>
    <cellStyle name="20% - Accent1 3 2 6 2 3" xfId="15019" xr:uid="{8DA81432-5CCA-4C6A-8058-B5DDEDF5F8A0}"/>
    <cellStyle name="20% - Accent1 3 2 6 3" xfId="19242" xr:uid="{79506422-2292-499E-B716-067721677525}"/>
    <cellStyle name="20% - Accent1 3 2 6 4" xfId="10801" xr:uid="{EF084D24-CF39-4B8B-8468-88446216FB54}"/>
    <cellStyle name="20% - Accent1 3 2 7" xfId="4511" xr:uid="{00000000-0005-0000-0000-000066000000}"/>
    <cellStyle name="20% - Accent1 3 2 7 2" xfId="21394" xr:uid="{4D150B5D-9437-4BF7-A537-418FCF397E71}"/>
    <cellStyle name="20% - Accent1 3 2 7 3" xfId="12953" xr:uid="{4FF9F9F6-D0AE-4387-92CA-73E003ECAFD6}"/>
    <cellStyle name="20% - Accent1 3 2 8" xfId="17176" xr:uid="{19F5AFBF-3359-4C55-A7A8-92D93C9126C7}"/>
    <cellStyle name="20% - Accent1 3 2 9" xfId="8735" xr:uid="{88FA066B-8C9E-4D0E-971A-38789B7BB991}"/>
    <cellStyle name="20% - Accent1 3 3" xfId="575" xr:uid="{00000000-0005-0000-0000-000067000000}"/>
    <cellStyle name="20% - Accent1 3 3 2" xfId="2846" xr:uid="{00000000-0005-0000-0000-000068000000}"/>
    <cellStyle name="20% - Accent1 3 3 2 2" xfId="7069" xr:uid="{00000000-0005-0000-0000-000069000000}"/>
    <cellStyle name="20% - Accent1 3 3 2 2 2" xfId="23952" xr:uid="{976A7E1F-9FEC-408F-AF47-DE6FD659B414}"/>
    <cellStyle name="20% - Accent1 3 3 2 2 3" xfId="15511" xr:uid="{93E828E1-F48F-424C-862B-B4DC660B9579}"/>
    <cellStyle name="20% - Accent1 3 3 2 3" xfId="19734" xr:uid="{A4C0C4DB-7D72-4456-ACDA-A65AEA7FE646}"/>
    <cellStyle name="20% - Accent1 3 3 2 4" xfId="11293" xr:uid="{1C00E89F-6C73-48FF-BBB7-A5B5FD465CDC}"/>
    <cellStyle name="20% - Accent1 3 3 3" xfId="4924" xr:uid="{00000000-0005-0000-0000-00006A000000}"/>
    <cellStyle name="20% - Accent1 3 3 3 2" xfId="21807" xr:uid="{9CD681F4-D000-4171-A4E6-60F6BA2F394E}"/>
    <cellStyle name="20% - Accent1 3 3 3 3" xfId="13366" xr:uid="{031E2D13-739A-46DB-A74C-D161D3FA6D35}"/>
    <cellStyle name="20% - Accent1 3 3 4" xfId="17589" xr:uid="{4DDA7893-49BD-4B2B-AFE6-CFCF635DB95B}"/>
    <cellStyle name="20% - Accent1 3 3 5" xfId="9148" xr:uid="{822047E1-1E36-462B-B0C1-72DB4B64D7A6}"/>
    <cellStyle name="20% - Accent1 3 4" xfId="1028" xr:uid="{00000000-0005-0000-0000-00006B000000}"/>
    <cellStyle name="20% - Accent1 3 4 2" xfId="3259" xr:uid="{00000000-0005-0000-0000-00006C000000}"/>
    <cellStyle name="20% - Accent1 3 4 2 2" xfId="7482" xr:uid="{00000000-0005-0000-0000-00006D000000}"/>
    <cellStyle name="20% - Accent1 3 4 2 2 2" xfId="24365" xr:uid="{D2E86190-29CC-4467-AD4A-6D44F0761D2F}"/>
    <cellStyle name="20% - Accent1 3 4 2 2 3" xfId="15924" xr:uid="{855179CF-56C9-4488-9583-8907C52FD868}"/>
    <cellStyle name="20% - Accent1 3 4 2 3" xfId="20147" xr:uid="{B34C0658-59CB-4A7B-9BCD-820F1EA52C9A}"/>
    <cellStyle name="20% - Accent1 3 4 2 4" xfId="11706" xr:uid="{7B09E948-85ED-4D92-A61F-1463803A2A9B}"/>
    <cellStyle name="20% - Accent1 3 4 3" xfId="5337" xr:uid="{00000000-0005-0000-0000-00006E000000}"/>
    <cellStyle name="20% - Accent1 3 4 3 2" xfId="22220" xr:uid="{53A3963A-D2E2-497A-8D62-523AB0252C36}"/>
    <cellStyle name="20% - Accent1 3 4 3 3" xfId="13779" xr:uid="{18B87A47-F5A0-4759-8E11-7AE33C9BE271}"/>
    <cellStyle name="20% - Accent1 3 4 4" xfId="18002" xr:uid="{B6D64D97-9E2E-42EB-B157-55DF883BBA0F}"/>
    <cellStyle name="20% - Accent1 3 4 5" xfId="9561" xr:uid="{1947AA20-0585-4107-8CE7-217EE0D001CD}"/>
    <cellStyle name="20% - Accent1 3 5" xfId="1442" xr:uid="{00000000-0005-0000-0000-00006F000000}"/>
    <cellStyle name="20% - Accent1 3 5 2" xfId="3672" xr:uid="{00000000-0005-0000-0000-000070000000}"/>
    <cellStyle name="20% - Accent1 3 5 2 2" xfId="7895" xr:uid="{00000000-0005-0000-0000-000071000000}"/>
    <cellStyle name="20% - Accent1 3 5 2 2 2" xfId="24778" xr:uid="{9560BBB5-1C17-4768-A7D5-61D796EEA9C8}"/>
    <cellStyle name="20% - Accent1 3 5 2 2 3" xfId="16337" xr:uid="{E8C320C3-05B7-4AD5-B983-AAFC6FC76FEC}"/>
    <cellStyle name="20% - Accent1 3 5 2 3" xfId="20560" xr:uid="{EFBB1411-5ECB-47F9-B211-9788E349E1DF}"/>
    <cellStyle name="20% - Accent1 3 5 2 4" xfId="12119" xr:uid="{468B515D-16BB-4E67-8A52-3E19512B01C2}"/>
    <cellStyle name="20% - Accent1 3 5 3" xfId="5750" xr:uid="{00000000-0005-0000-0000-000072000000}"/>
    <cellStyle name="20% - Accent1 3 5 3 2" xfId="22633" xr:uid="{3A4FAF6B-7284-45CD-A0B4-0EE384B3DD23}"/>
    <cellStyle name="20% - Accent1 3 5 3 3" xfId="14192" xr:uid="{B0A07EEA-F23A-4444-9A17-9E639D23DF55}"/>
    <cellStyle name="20% - Accent1 3 5 4" xfId="18415" xr:uid="{F7086D05-D60D-4739-984C-E92249364695}"/>
    <cellStyle name="20% - Accent1 3 5 5" xfId="9974" xr:uid="{2D4C6590-D552-402D-9FFA-F751B7C4D93B}"/>
    <cellStyle name="20% - Accent1 3 6" xfId="1856" xr:uid="{00000000-0005-0000-0000-000073000000}"/>
    <cellStyle name="20% - Accent1 3 6 2" xfId="4085" xr:uid="{00000000-0005-0000-0000-000074000000}"/>
    <cellStyle name="20% - Accent1 3 6 2 2" xfId="8308" xr:uid="{00000000-0005-0000-0000-000075000000}"/>
    <cellStyle name="20% - Accent1 3 6 2 2 2" xfId="25191" xr:uid="{56B9A78B-CBAA-4A00-A777-122494442DC6}"/>
    <cellStyle name="20% - Accent1 3 6 2 2 3" xfId="16750" xr:uid="{96400B02-974B-4553-9633-B4C3457EAEC5}"/>
    <cellStyle name="20% - Accent1 3 6 2 3" xfId="20973" xr:uid="{2F9FEAB9-5160-4442-9B13-F553F75F049B}"/>
    <cellStyle name="20% - Accent1 3 6 2 4" xfId="12532" xr:uid="{09354BD6-70D6-4E18-9EA2-717E4C4CF552}"/>
    <cellStyle name="20% - Accent1 3 6 3" xfId="6163" xr:uid="{00000000-0005-0000-0000-000076000000}"/>
    <cellStyle name="20% - Accent1 3 6 3 2" xfId="23046" xr:uid="{39D61576-1989-490E-8C1B-69566829AA00}"/>
    <cellStyle name="20% - Accent1 3 6 3 3" xfId="14605" xr:uid="{FC023673-5003-4EB6-80FB-F39A48EC7CA3}"/>
    <cellStyle name="20% - Accent1 3 6 4" xfId="18828" xr:uid="{8E9B9BA0-83FE-4B83-919D-BCECF216050B}"/>
    <cellStyle name="20% - Accent1 3 6 5" xfId="10387" xr:uid="{1BD2A499-CEED-449B-9FA6-02F953CE6D49}"/>
    <cellStyle name="20% - Accent1 3 7" xfId="2269" xr:uid="{00000000-0005-0000-0000-000077000000}"/>
    <cellStyle name="20% - Accent1 3 7 2" xfId="6576" xr:uid="{00000000-0005-0000-0000-000078000000}"/>
    <cellStyle name="20% - Accent1 3 7 2 2" xfId="23459" xr:uid="{BD40E47D-58E8-4DD7-8CFD-D60CB31066D8}"/>
    <cellStyle name="20% - Accent1 3 7 2 3" xfId="15018" xr:uid="{EED4E650-135C-4E64-A39A-B595E9595508}"/>
    <cellStyle name="20% - Accent1 3 7 3" xfId="19241" xr:uid="{CC333044-BDF2-4079-80E2-751819EE8A9F}"/>
    <cellStyle name="20% - Accent1 3 7 4" xfId="10800" xr:uid="{34321A87-DFFF-4692-9363-23B695E172A1}"/>
    <cellStyle name="20% - Accent1 3 8" xfId="4510" xr:uid="{00000000-0005-0000-0000-000079000000}"/>
    <cellStyle name="20% - Accent1 3 8 2" xfId="21393" xr:uid="{31B0C43D-32BC-4AD8-BB8E-FCC159745050}"/>
    <cellStyle name="20% - Accent1 3 8 3" xfId="12952" xr:uid="{0F138814-DCD7-45A0-B12D-12188752704E}"/>
    <cellStyle name="20% - Accent1 3 9" xfId="17175" xr:uid="{B0EE318A-09D6-4B2A-80A1-BE1CBE66FD85}"/>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23954" xr:uid="{E561DFEF-564C-4D08-8050-2C6910EC2469}"/>
    <cellStyle name="20% - Accent1 4 2 2 2 3" xfId="15513" xr:uid="{7AC39719-0174-4843-81AE-5381032CFE11}"/>
    <cellStyle name="20% - Accent1 4 2 2 3" xfId="19736" xr:uid="{67754616-9E8C-4B27-BBA1-241D602CE314}"/>
    <cellStyle name="20% - Accent1 4 2 2 4" xfId="11295" xr:uid="{52A5786D-2278-4C6D-A325-B4FDE4779021}"/>
    <cellStyle name="20% - Accent1 4 2 3" xfId="4926" xr:uid="{00000000-0005-0000-0000-00007E000000}"/>
    <cellStyle name="20% - Accent1 4 2 3 2" xfId="21809" xr:uid="{003CB0C5-F87F-4C36-8177-048B7C91E46A}"/>
    <cellStyle name="20% - Accent1 4 2 3 3" xfId="13368" xr:uid="{05750D40-DDDA-474C-BA0C-157C20A70811}"/>
    <cellStyle name="20% - Accent1 4 2 4" xfId="17591" xr:uid="{AB5FE3A4-171C-4209-A202-CC3DA821BCE3}"/>
    <cellStyle name="20% - Accent1 4 2 5" xfId="9150" xr:uid="{B92A4179-1749-4E88-B729-08233ADE5FB9}"/>
    <cellStyle name="20% - Accent1 4 3" xfId="1030" xr:uid="{00000000-0005-0000-0000-00007F000000}"/>
    <cellStyle name="20% - Accent1 4 3 2" xfId="3261" xr:uid="{00000000-0005-0000-0000-000080000000}"/>
    <cellStyle name="20% - Accent1 4 3 2 2" xfId="7484" xr:uid="{00000000-0005-0000-0000-000081000000}"/>
    <cellStyle name="20% - Accent1 4 3 2 2 2" xfId="24367" xr:uid="{D157AE9F-6CB0-4786-8CF8-80BB3129189F}"/>
    <cellStyle name="20% - Accent1 4 3 2 2 3" xfId="15926" xr:uid="{728971F8-F773-474E-A855-4A5A4FC45A3A}"/>
    <cellStyle name="20% - Accent1 4 3 2 3" xfId="20149" xr:uid="{A33FFE66-54B9-4FE0-9EC3-001FD7B8B740}"/>
    <cellStyle name="20% - Accent1 4 3 2 4" xfId="11708" xr:uid="{CEAAB5D0-7B40-4E41-BACA-548482DC1042}"/>
    <cellStyle name="20% - Accent1 4 3 3" xfId="5339" xr:uid="{00000000-0005-0000-0000-000082000000}"/>
    <cellStyle name="20% - Accent1 4 3 3 2" xfId="22222" xr:uid="{7EA354AB-9046-4F2C-9DF3-28F6354B1279}"/>
    <cellStyle name="20% - Accent1 4 3 3 3" xfId="13781" xr:uid="{4C52E138-2E62-4335-9770-098C3B71A61E}"/>
    <cellStyle name="20% - Accent1 4 3 4" xfId="18004" xr:uid="{A444A8AA-DE6D-4831-9547-4CD4680443F6}"/>
    <cellStyle name="20% - Accent1 4 3 5" xfId="9563" xr:uid="{C1254232-610B-4245-B567-9ACACDDFE00F}"/>
    <cellStyle name="20% - Accent1 4 4" xfId="1444" xr:uid="{00000000-0005-0000-0000-000083000000}"/>
    <cellStyle name="20% - Accent1 4 4 2" xfId="3674" xr:uid="{00000000-0005-0000-0000-000084000000}"/>
    <cellStyle name="20% - Accent1 4 4 2 2" xfId="7897" xr:uid="{00000000-0005-0000-0000-000085000000}"/>
    <cellStyle name="20% - Accent1 4 4 2 2 2" xfId="24780" xr:uid="{BCC9B74E-C1CC-4725-A761-B3CD87607D3F}"/>
    <cellStyle name="20% - Accent1 4 4 2 2 3" xfId="16339" xr:uid="{E7550575-0251-4DB2-9EAC-DD7EDEFAAE8E}"/>
    <cellStyle name="20% - Accent1 4 4 2 3" xfId="20562" xr:uid="{B5C8BD97-5AE2-4A79-BE17-D3271C55623A}"/>
    <cellStyle name="20% - Accent1 4 4 2 4" xfId="12121" xr:uid="{A3E14697-A2F6-435F-AF1F-B56EB3028F61}"/>
    <cellStyle name="20% - Accent1 4 4 3" xfId="5752" xr:uid="{00000000-0005-0000-0000-000086000000}"/>
    <cellStyle name="20% - Accent1 4 4 3 2" xfId="22635" xr:uid="{83878C6C-66C0-4CD4-A2BC-B9B4F9C18B83}"/>
    <cellStyle name="20% - Accent1 4 4 3 3" xfId="14194" xr:uid="{A73C2437-BCA4-4BC8-9DFB-7ABC5A27CBD9}"/>
    <cellStyle name="20% - Accent1 4 4 4" xfId="18417" xr:uid="{E2248884-7AAA-46D2-AD6E-4FFADA1B5A06}"/>
    <cellStyle name="20% - Accent1 4 4 5" xfId="9976" xr:uid="{6C6333C4-B1B9-444E-A133-DA9A3A37F13D}"/>
    <cellStyle name="20% - Accent1 4 5" xfId="1858" xr:uid="{00000000-0005-0000-0000-000087000000}"/>
    <cellStyle name="20% - Accent1 4 5 2" xfId="4087" xr:uid="{00000000-0005-0000-0000-000088000000}"/>
    <cellStyle name="20% - Accent1 4 5 2 2" xfId="8310" xr:uid="{00000000-0005-0000-0000-000089000000}"/>
    <cellStyle name="20% - Accent1 4 5 2 2 2" xfId="25193" xr:uid="{3F3D4B4F-D00D-478E-B8DE-747F9A52800B}"/>
    <cellStyle name="20% - Accent1 4 5 2 2 3" xfId="16752" xr:uid="{7ED19EA1-1101-47F9-9DEF-61444A3CB112}"/>
    <cellStyle name="20% - Accent1 4 5 2 3" xfId="20975" xr:uid="{379FA4C3-D461-44E2-936D-F6FCFC66480C}"/>
    <cellStyle name="20% - Accent1 4 5 2 4" xfId="12534" xr:uid="{05A514E7-BC2B-4A7D-B0E6-7F608320992C}"/>
    <cellStyle name="20% - Accent1 4 5 3" xfId="6165" xr:uid="{00000000-0005-0000-0000-00008A000000}"/>
    <cellStyle name="20% - Accent1 4 5 3 2" xfId="23048" xr:uid="{5CB88ADC-4A5B-4D51-A4D4-3A0097499F30}"/>
    <cellStyle name="20% - Accent1 4 5 3 3" xfId="14607" xr:uid="{86A0BDCC-2415-4AFA-91C9-36F48F4A029D}"/>
    <cellStyle name="20% - Accent1 4 5 4" xfId="18830" xr:uid="{0DA16092-B79C-434F-B5C7-66E4E9DB2835}"/>
    <cellStyle name="20% - Accent1 4 5 5" xfId="10389" xr:uid="{B60F4D55-73A0-49FC-BB60-499796BCC090}"/>
    <cellStyle name="20% - Accent1 4 6" xfId="2271" xr:uid="{00000000-0005-0000-0000-00008B000000}"/>
    <cellStyle name="20% - Accent1 4 6 2" xfId="6578" xr:uid="{00000000-0005-0000-0000-00008C000000}"/>
    <cellStyle name="20% - Accent1 4 6 2 2" xfId="23461" xr:uid="{C129204D-DEEB-4A68-A638-7426DCF7E018}"/>
    <cellStyle name="20% - Accent1 4 6 2 3" xfId="15020" xr:uid="{682CB751-47D7-422E-9F56-8A30132A69AB}"/>
    <cellStyle name="20% - Accent1 4 6 3" xfId="19243" xr:uid="{A97CAD21-FC4F-4192-9DAF-27AAF54CDED7}"/>
    <cellStyle name="20% - Accent1 4 6 4" xfId="10802" xr:uid="{A4680BC2-A0D6-449D-BD8F-AAF54813B3E5}"/>
    <cellStyle name="20% - Accent1 4 7" xfId="4512" xr:uid="{00000000-0005-0000-0000-00008D000000}"/>
    <cellStyle name="20% - Accent1 4 7 2" xfId="21395" xr:uid="{8455A1E3-3AD9-4FF4-B6B2-A70EA9E1DDB9}"/>
    <cellStyle name="20% - Accent1 4 7 3" xfId="12954" xr:uid="{D246DD26-81B2-4F14-9AEE-45208F626363}"/>
    <cellStyle name="20% - Accent1 4 8" xfId="17177" xr:uid="{48BAB9C7-462A-451D-A1AE-568251811BA6}"/>
    <cellStyle name="20% - Accent1 4 9" xfId="8736" xr:uid="{5237FC41-809B-4A8E-BFD1-DC03F98EBAF2}"/>
    <cellStyle name="20% - Accent1 5" xfId="570" xr:uid="{00000000-0005-0000-0000-00008E000000}"/>
    <cellStyle name="20% - Accent1 5 2" xfId="2841" xr:uid="{00000000-0005-0000-0000-00008F000000}"/>
    <cellStyle name="20% - Accent1 5 2 2" xfId="7064" xr:uid="{00000000-0005-0000-0000-000090000000}"/>
    <cellStyle name="20% - Accent1 5 2 2 2" xfId="23947" xr:uid="{8669C2E9-6A13-4776-AAD2-ADDD3856A155}"/>
    <cellStyle name="20% - Accent1 5 2 2 3" xfId="15506" xr:uid="{C81F15BF-E4A5-423E-85FF-AACA2236D365}"/>
    <cellStyle name="20% - Accent1 5 2 3" xfId="19729" xr:uid="{3E654B41-6D4D-4B97-A5E1-52EA7ACD9EE3}"/>
    <cellStyle name="20% - Accent1 5 2 4" xfId="11288" xr:uid="{436BE017-CA0D-437C-9F2A-CAFE1D709031}"/>
    <cellStyle name="20% - Accent1 5 3" xfId="4919" xr:uid="{00000000-0005-0000-0000-000091000000}"/>
    <cellStyle name="20% - Accent1 5 3 2" xfId="21802" xr:uid="{63C4F16D-6DEA-4641-9CDA-302167F0CE9B}"/>
    <cellStyle name="20% - Accent1 5 3 3" xfId="13361" xr:uid="{BFA86659-123E-4544-9095-CBD38B6B0242}"/>
    <cellStyle name="20% - Accent1 5 4" xfId="17584" xr:uid="{265E8999-BABE-4279-97D8-5DCB4C7758A3}"/>
    <cellStyle name="20% - Accent1 5 5" xfId="9143" xr:uid="{FBEDD7BD-605A-4F47-9640-65C227319C90}"/>
    <cellStyle name="20% - Accent1 6" xfId="1023" xr:uid="{00000000-0005-0000-0000-000092000000}"/>
    <cellStyle name="20% - Accent1 6 2" xfId="3254" xr:uid="{00000000-0005-0000-0000-000093000000}"/>
    <cellStyle name="20% - Accent1 6 2 2" xfId="7477" xr:uid="{00000000-0005-0000-0000-000094000000}"/>
    <cellStyle name="20% - Accent1 6 2 2 2" xfId="24360" xr:uid="{E2E21286-CA36-47F5-B426-28369A5C0B1E}"/>
    <cellStyle name="20% - Accent1 6 2 2 3" xfId="15919" xr:uid="{1287B5B2-2320-4DAA-BCF0-B9C433A22F7E}"/>
    <cellStyle name="20% - Accent1 6 2 3" xfId="20142" xr:uid="{850D442E-D783-4002-9E3C-838BA1C6C12A}"/>
    <cellStyle name="20% - Accent1 6 2 4" xfId="11701" xr:uid="{C3D6D13D-2071-40C6-9F85-437C79CE4312}"/>
    <cellStyle name="20% - Accent1 6 3" xfId="5332" xr:uid="{00000000-0005-0000-0000-000095000000}"/>
    <cellStyle name="20% - Accent1 6 3 2" xfId="22215" xr:uid="{F18FB474-6ADA-4D29-BC8F-7585BD7436A5}"/>
    <cellStyle name="20% - Accent1 6 3 3" xfId="13774" xr:uid="{831F8F5F-D551-433C-A628-78CDC537A17E}"/>
    <cellStyle name="20% - Accent1 6 4" xfId="17997" xr:uid="{26A05C4B-A1B9-4B5C-92D2-43CAE1806D7E}"/>
    <cellStyle name="20% - Accent1 6 5" xfId="9556" xr:uid="{C23AD139-4105-4689-BBEE-19D24C529160}"/>
    <cellStyle name="20% - Accent1 7" xfId="1437" xr:uid="{00000000-0005-0000-0000-000096000000}"/>
    <cellStyle name="20% - Accent1 7 2" xfId="3667" xr:uid="{00000000-0005-0000-0000-000097000000}"/>
    <cellStyle name="20% - Accent1 7 2 2" xfId="7890" xr:uid="{00000000-0005-0000-0000-000098000000}"/>
    <cellStyle name="20% - Accent1 7 2 2 2" xfId="24773" xr:uid="{663C733C-4DD2-43C8-B933-18A459C59B20}"/>
    <cellStyle name="20% - Accent1 7 2 2 3" xfId="16332" xr:uid="{F5F76840-41AA-495A-AE08-05F61C553FA5}"/>
    <cellStyle name="20% - Accent1 7 2 3" xfId="20555" xr:uid="{16FA869A-2292-4626-ADA9-C8BC49E224B5}"/>
    <cellStyle name="20% - Accent1 7 2 4" xfId="12114" xr:uid="{25B86D8A-B25B-4D79-A340-546E63265446}"/>
    <cellStyle name="20% - Accent1 7 3" xfId="5745" xr:uid="{00000000-0005-0000-0000-000099000000}"/>
    <cellStyle name="20% - Accent1 7 3 2" xfId="22628" xr:uid="{06E1FFD5-DB17-43D2-ADE7-66C17D7BBDAD}"/>
    <cellStyle name="20% - Accent1 7 3 3" xfId="14187" xr:uid="{8971A7E1-876E-4E9D-9C03-598BF6D091EF}"/>
    <cellStyle name="20% - Accent1 7 4" xfId="18410" xr:uid="{69707403-742B-4DF3-81A9-427A810293CF}"/>
    <cellStyle name="20% - Accent1 7 5" xfId="9969" xr:uid="{BF12C3F6-8CCA-4DE1-AEE9-D6387066C92D}"/>
    <cellStyle name="20% - Accent1 8" xfId="1851" xr:uid="{00000000-0005-0000-0000-00009A000000}"/>
    <cellStyle name="20% - Accent1 8 2" xfId="4080" xr:uid="{00000000-0005-0000-0000-00009B000000}"/>
    <cellStyle name="20% - Accent1 8 2 2" xfId="8303" xr:uid="{00000000-0005-0000-0000-00009C000000}"/>
    <cellStyle name="20% - Accent1 8 2 2 2" xfId="25186" xr:uid="{9A781623-5165-4AD3-9575-895928FEA949}"/>
    <cellStyle name="20% - Accent1 8 2 2 3" xfId="16745" xr:uid="{AE2DC6D3-50EF-44DD-A57A-EE92E1836A3A}"/>
    <cellStyle name="20% - Accent1 8 2 3" xfId="20968" xr:uid="{FE25F8D4-6BC3-4B6C-93F5-1A692702F568}"/>
    <cellStyle name="20% - Accent1 8 2 4" xfId="12527" xr:uid="{CD1477C8-539D-48D4-94AB-6A5C01EC8353}"/>
    <cellStyle name="20% - Accent1 8 3" xfId="6158" xr:uid="{00000000-0005-0000-0000-00009D000000}"/>
    <cellStyle name="20% - Accent1 8 3 2" xfId="23041" xr:uid="{90525881-719D-46E1-9DEC-52E91AC1918C}"/>
    <cellStyle name="20% - Accent1 8 3 3" xfId="14600" xr:uid="{1ECE255D-BA69-4801-8BD5-A930EBD0C54B}"/>
    <cellStyle name="20% - Accent1 8 4" xfId="18823" xr:uid="{68E1702C-9A76-4711-9D55-99542CE4635A}"/>
    <cellStyle name="20% - Accent1 8 5" xfId="10382" xr:uid="{7594E487-AB1D-4939-B3F2-749FA403F62E}"/>
    <cellStyle name="20% - Accent1 9" xfId="2264" xr:uid="{00000000-0005-0000-0000-00009E000000}"/>
    <cellStyle name="20% - Accent1 9 2" xfId="6571" xr:uid="{00000000-0005-0000-0000-00009F000000}"/>
    <cellStyle name="20% - Accent1 9 2 2" xfId="23454" xr:uid="{6EEE3EFC-6BAD-49AD-B57D-0CDE7EDAFCB1}"/>
    <cellStyle name="20% - Accent1 9 2 3" xfId="15013" xr:uid="{8608AB26-5BDE-4B9D-8D30-C7CB3959C8A3}"/>
    <cellStyle name="20% - Accent1 9 3" xfId="19236" xr:uid="{A57D645A-B66D-4B6D-8DC0-6190AC314AA4}"/>
    <cellStyle name="20% - Accent1 9 4" xfId="10795" xr:uid="{6C1C899C-3970-4F53-92B4-318B2D31EEB8}"/>
    <cellStyle name="20% - Accent2" xfId="9" builtinId="34" customBuiltin="1"/>
    <cellStyle name="20% - Accent2 10" xfId="4513" xr:uid="{00000000-0005-0000-0000-0000A1000000}"/>
    <cellStyle name="20% - Accent2 10 2" xfId="21396" xr:uid="{8E9DF253-7B0D-4A74-A899-C17B6D66F883}"/>
    <cellStyle name="20% - Accent2 10 3" xfId="12955" xr:uid="{438BA9FD-CC2E-4DA0-8ED5-7C98636C1819}"/>
    <cellStyle name="20% - Accent2 11" xfId="17178" xr:uid="{5E4237A2-032D-4C1F-8481-27F3764DF82A}"/>
    <cellStyle name="20% - Accent2 12" xfId="8737" xr:uid="{9BF3121E-83D7-448F-8E2B-5AF657E0CD49}"/>
    <cellStyle name="20% - Accent2 2" xfId="10" xr:uid="{00000000-0005-0000-0000-0000A2000000}"/>
    <cellStyle name="20% - Accent2 2 10" xfId="17179" xr:uid="{ED8D9FF0-1F23-4611-BFEA-34946E5B20A8}"/>
    <cellStyle name="20% - Accent2 2 11" xfId="8738" xr:uid="{3431A533-56A2-4E73-92D2-1596F0D3824C}"/>
    <cellStyle name="20% - Accent2 2 2" xfId="11" xr:uid="{00000000-0005-0000-0000-0000A3000000}"/>
    <cellStyle name="20% - Accent2 2 2 10" xfId="8739" xr:uid="{C0F8D144-D7E8-45C8-9ADA-48D0B4498F81}"/>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23958" xr:uid="{6F5EE404-5CC3-46F0-89CF-AC0817A1687B}"/>
    <cellStyle name="20% - Accent2 2 2 2 2 2 2 3" xfId="15517" xr:uid="{4D30C31D-199E-4665-A635-49F7EF779C80}"/>
    <cellStyle name="20% - Accent2 2 2 2 2 2 3" xfId="19740" xr:uid="{EB18D209-234F-4535-B580-5215AC7E3E53}"/>
    <cellStyle name="20% - Accent2 2 2 2 2 2 4" xfId="11299" xr:uid="{04015F5E-0955-4FF6-A483-5C035E9CA208}"/>
    <cellStyle name="20% - Accent2 2 2 2 2 3" xfId="4930" xr:uid="{00000000-0005-0000-0000-0000A8000000}"/>
    <cellStyle name="20% - Accent2 2 2 2 2 3 2" xfId="21813" xr:uid="{1D796BB0-5EA5-4311-9785-75596034E2C7}"/>
    <cellStyle name="20% - Accent2 2 2 2 2 3 3" xfId="13372" xr:uid="{F3CAD3FB-1B2D-4B76-B034-EB77D82998AF}"/>
    <cellStyle name="20% - Accent2 2 2 2 2 4" xfId="17595" xr:uid="{D5E3B1EB-2350-44F7-BAD9-8437114664C2}"/>
    <cellStyle name="20% - Accent2 2 2 2 2 5" xfId="9154" xr:uid="{E98B2CC1-59FB-4E73-A83D-5BF853330BB1}"/>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24371" xr:uid="{31BD68AE-A207-4127-8578-00457EA13E05}"/>
    <cellStyle name="20% - Accent2 2 2 2 3 2 2 3" xfId="15930" xr:uid="{C11DD97D-B249-4BBD-B1BB-4596A01C0B5E}"/>
    <cellStyle name="20% - Accent2 2 2 2 3 2 3" xfId="20153" xr:uid="{E0B7C22C-4C86-41BE-8E6B-3AA432FBA7C5}"/>
    <cellStyle name="20% - Accent2 2 2 2 3 2 4" xfId="11712" xr:uid="{4A7D019B-9100-4F5A-B1D7-CB6BC456DBFE}"/>
    <cellStyle name="20% - Accent2 2 2 2 3 3" xfId="5343" xr:uid="{00000000-0005-0000-0000-0000AC000000}"/>
    <cellStyle name="20% - Accent2 2 2 2 3 3 2" xfId="22226" xr:uid="{EFE22705-1B84-44F9-883E-318705C0D285}"/>
    <cellStyle name="20% - Accent2 2 2 2 3 3 3" xfId="13785" xr:uid="{1DE93720-F8C2-4AEA-AD7E-683E740276DB}"/>
    <cellStyle name="20% - Accent2 2 2 2 3 4" xfId="18008" xr:uid="{C73740AA-E335-47F3-9356-839E7733DF21}"/>
    <cellStyle name="20% - Accent2 2 2 2 3 5" xfId="9567" xr:uid="{3E873CCF-ED95-4E95-8199-96127E8FB084}"/>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24784" xr:uid="{8893C0AE-48EF-45CF-BDD8-A85AB69568CC}"/>
    <cellStyle name="20% - Accent2 2 2 2 4 2 2 3" xfId="16343" xr:uid="{0F085A55-CC64-4A54-80EF-EE031AAEAF90}"/>
    <cellStyle name="20% - Accent2 2 2 2 4 2 3" xfId="20566" xr:uid="{516A9188-CE46-4203-84C8-6A9B19AF50B9}"/>
    <cellStyle name="20% - Accent2 2 2 2 4 2 4" xfId="12125" xr:uid="{34974D24-D33A-40BE-810F-DEA066DB80EE}"/>
    <cellStyle name="20% - Accent2 2 2 2 4 3" xfId="5756" xr:uid="{00000000-0005-0000-0000-0000B0000000}"/>
    <cellStyle name="20% - Accent2 2 2 2 4 3 2" xfId="22639" xr:uid="{5C8B248E-21C3-4925-A8E2-E9246B0546CE}"/>
    <cellStyle name="20% - Accent2 2 2 2 4 3 3" xfId="14198" xr:uid="{386D79DD-132A-40F2-88E9-FE02806B0665}"/>
    <cellStyle name="20% - Accent2 2 2 2 4 4" xfId="18421" xr:uid="{4D9135F0-131A-4168-B2D2-657D52A12D26}"/>
    <cellStyle name="20% - Accent2 2 2 2 4 5" xfId="9980" xr:uid="{9C832404-5F35-4E2F-B0DB-DA06EC0A2CAE}"/>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25197" xr:uid="{9F72E96B-E96A-4E44-A8FF-6E63F2B61423}"/>
    <cellStyle name="20% - Accent2 2 2 2 5 2 2 3" xfId="16756" xr:uid="{45AFBBB1-6156-4682-955E-78BFACD8DC8A}"/>
    <cellStyle name="20% - Accent2 2 2 2 5 2 3" xfId="20979" xr:uid="{381A25BE-BE72-40DC-A563-7D86A72EBD0E}"/>
    <cellStyle name="20% - Accent2 2 2 2 5 2 4" xfId="12538" xr:uid="{B9F011A5-B6BA-48FF-8207-37852875CB9F}"/>
    <cellStyle name="20% - Accent2 2 2 2 5 3" xfId="6169" xr:uid="{00000000-0005-0000-0000-0000B4000000}"/>
    <cellStyle name="20% - Accent2 2 2 2 5 3 2" xfId="23052" xr:uid="{4D70B645-0230-4469-9447-73A9A14AE76A}"/>
    <cellStyle name="20% - Accent2 2 2 2 5 3 3" xfId="14611" xr:uid="{77C85D22-BE6B-4057-8A17-7991786B6F80}"/>
    <cellStyle name="20% - Accent2 2 2 2 5 4" xfId="18834" xr:uid="{EB9D7D79-46CA-4A13-994E-A8A3A31CE722}"/>
    <cellStyle name="20% - Accent2 2 2 2 5 5" xfId="10393" xr:uid="{9D30525B-A75E-4A25-89A2-F24E9464F664}"/>
    <cellStyle name="20% - Accent2 2 2 2 6" xfId="2275" xr:uid="{00000000-0005-0000-0000-0000B5000000}"/>
    <cellStyle name="20% - Accent2 2 2 2 6 2" xfId="6582" xr:uid="{00000000-0005-0000-0000-0000B6000000}"/>
    <cellStyle name="20% - Accent2 2 2 2 6 2 2" xfId="23465" xr:uid="{37CB4B1A-ED3C-4882-9BD8-A9387930820A}"/>
    <cellStyle name="20% - Accent2 2 2 2 6 2 3" xfId="15024" xr:uid="{068C3DAC-01B1-4807-9080-51D43716C97A}"/>
    <cellStyle name="20% - Accent2 2 2 2 6 3" xfId="19247" xr:uid="{A47B6CAF-940D-4C2D-ADD8-8021B8174433}"/>
    <cellStyle name="20% - Accent2 2 2 2 6 4" xfId="10806" xr:uid="{DED4E9A6-F9AC-4869-9182-5EEFD20FC067}"/>
    <cellStyle name="20% - Accent2 2 2 2 7" xfId="4516" xr:uid="{00000000-0005-0000-0000-0000B7000000}"/>
    <cellStyle name="20% - Accent2 2 2 2 7 2" xfId="21399" xr:uid="{F438C5B0-B945-4404-BD4B-F99F4CF80FE7}"/>
    <cellStyle name="20% - Accent2 2 2 2 7 3" xfId="12958" xr:uid="{7643D4ED-E2C2-4DAB-AAA1-794E1D42E3F2}"/>
    <cellStyle name="20% - Accent2 2 2 2 8" xfId="17181" xr:uid="{D18E254F-C7A6-45B3-9E8F-20F37FE622D4}"/>
    <cellStyle name="20% - Accent2 2 2 2 9" xfId="8740" xr:uid="{8391E48F-056D-441A-9712-23B5E812EF1C}"/>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23957" xr:uid="{0205E892-2DED-489E-88AF-F5A294843889}"/>
    <cellStyle name="20% - Accent2 2 2 3 2 2 3" xfId="15516" xr:uid="{2EE5E1F0-857F-47AF-AE93-3EE25C104C1F}"/>
    <cellStyle name="20% - Accent2 2 2 3 2 3" xfId="19739" xr:uid="{51AED5AB-B4FB-41AD-8837-C6BCDB929C0A}"/>
    <cellStyle name="20% - Accent2 2 2 3 2 4" xfId="11298" xr:uid="{02169ADB-FC8C-4490-85E0-E3146F36E1E6}"/>
    <cellStyle name="20% - Accent2 2 2 3 3" xfId="4929" xr:uid="{00000000-0005-0000-0000-0000BB000000}"/>
    <cellStyle name="20% - Accent2 2 2 3 3 2" xfId="21812" xr:uid="{1C3EB490-CBD7-4F30-B29D-476AF3BF9BD8}"/>
    <cellStyle name="20% - Accent2 2 2 3 3 3" xfId="13371" xr:uid="{15C28CC3-5FCB-4D0E-A6A8-439138AB5CDA}"/>
    <cellStyle name="20% - Accent2 2 2 3 4" xfId="17594" xr:uid="{471D7C75-8471-4790-832D-0E10E7AE4B13}"/>
    <cellStyle name="20% - Accent2 2 2 3 5" xfId="9153" xr:uid="{5DD7388D-C677-410D-AA5E-767112AD94AF}"/>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24370" xr:uid="{B9C9592E-0A4D-41D9-84EF-025997784F65}"/>
    <cellStyle name="20% - Accent2 2 2 4 2 2 3" xfId="15929" xr:uid="{1B1BA71C-4152-4275-9B27-DE45F19BB4D3}"/>
    <cellStyle name="20% - Accent2 2 2 4 2 3" xfId="20152" xr:uid="{C5FCC5ED-284E-458C-B76A-2392BE6A7636}"/>
    <cellStyle name="20% - Accent2 2 2 4 2 4" xfId="11711" xr:uid="{6D17A5F9-09C6-46FF-A9D7-96127A6F5D7D}"/>
    <cellStyle name="20% - Accent2 2 2 4 3" xfId="5342" xr:uid="{00000000-0005-0000-0000-0000BF000000}"/>
    <cellStyle name="20% - Accent2 2 2 4 3 2" xfId="22225" xr:uid="{208CC696-1F6C-4301-9D9B-2817797000BC}"/>
    <cellStyle name="20% - Accent2 2 2 4 3 3" xfId="13784" xr:uid="{8119E237-6085-4A33-B18D-CA5A6A460573}"/>
    <cellStyle name="20% - Accent2 2 2 4 4" xfId="18007" xr:uid="{2A698D4E-D3B2-452A-A297-C82C9A12A27C}"/>
    <cellStyle name="20% - Accent2 2 2 4 5" xfId="9566" xr:uid="{CCEF8D2A-5923-44B3-AEB8-68396A571D59}"/>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24783" xr:uid="{12263472-1D41-41B3-8121-1518D6D5D4FD}"/>
    <cellStyle name="20% - Accent2 2 2 5 2 2 3" xfId="16342" xr:uid="{B2311615-4F13-482E-B2DD-B927503C00E5}"/>
    <cellStyle name="20% - Accent2 2 2 5 2 3" xfId="20565" xr:uid="{32559D91-9555-4CDF-9E08-F735AFAFDA60}"/>
    <cellStyle name="20% - Accent2 2 2 5 2 4" xfId="12124" xr:uid="{FB5773B7-46FF-4E34-8DB1-1ABC8598DAF0}"/>
    <cellStyle name="20% - Accent2 2 2 5 3" xfId="5755" xr:uid="{00000000-0005-0000-0000-0000C3000000}"/>
    <cellStyle name="20% - Accent2 2 2 5 3 2" xfId="22638" xr:uid="{123B349D-9685-470F-93E3-2E466A5ED0AE}"/>
    <cellStyle name="20% - Accent2 2 2 5 3 3" xfId="14197" xr:uid="{E63A51D4-F881-4ACB-9D99-82CC693FEE33}"/>
    <cellStyle name="20% - Accent2 2 2 5 4" xfId="18420" xr:uid="{F4CAE6D2-343B-4613-9B4E-D748EC3D22A0}"/>
    <cellStyle name="20% - Accent2 2 2 5 5" xfId="9979" xr:uid="{DA987126-AD68-447B-9DF9-0B3536FBAF1E}"/>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25196" xr:uid="{176DEDC5-8AF5-4B70-A906-6E9E8F997B1C}"/>
    <cellStyle name="20% - Accent2 2 2 6 2 2 3" xfId="16755" xr:uid="{20C5C5DB-3658-4D64-9603-A9E644A0871B}"/>
    <cellStyle name="20% - Accent2 2 2 6 2 3" xfId="20978" xr:uid="{151C4456-D106-4A47-951B-F4E093F8C44D}"/>
    <cellStyle name="20% - Accent2 2 2 6 2 4" xfId="12537" xr:uid="{31B63383-253E-472A-945F-330D3A1E0385}"/>
    <cellStyle name="20% - Accent2 2 2 6 3" xfId="6168" xr:uid="{00000000-0005-0000-0000-0000C7000000}"/>
    <cellStyle name="20% - Accent2 2 2 6 3 2" xfId="23051" xr:uid="{1E374AEF-67C9-4D47-983C-8419698E90EB}"/>
    <cellStyle name="20% - Accent2 2 2 6 3 3" xfId="14610" xr:uid="{CEAFCEF8-305B-4258-A2D6-D5DB166A2184}"/>
    <cellStyle name="20% - Accent2 2 2 6 4" xfId="18833" xr:uid="{36980DED-9081-4A28-9657-FD78A52848FB}"/>
    <cellStyle name="20% - Accent2 2 2 6 5" xfId="10392" xr:uid="{CC4CD9DB-5EA7-4343-A3A6-926A43BD36B9}"/>
    <cellStyle name="20% - Accent2 2 2 7" xfId="2274" xr:uid="{00000000-0005-0000-0000-0000C8000000}"/>
    <cellStyle name="20% - Accent2 2 2 7 2" xfId="6581" xr:uid="{00000000-0005-0000-0000-0000C9000000}"/>
    <cellStyle name="20% - Accent2 2 2 7 2 2" xfId="23464" xr:uid="{2F8FE3A4-386D-4C2D-9E7B-A5C4B0C92FFD}"/>
    <cellStyle name="20% - Accent2 2 2 7 2 3" xfId="15023" xr:uid="{A9DDCE64-2BFC-4B88-B51F-26BEA19A945B}"/>
    <cellStyle name="20% - Accent2 2 2 7 3" xfId="19246" xr:uid="{ED8DB2FF-3284-4A25-8802-A5BEF6A59EDC}"/>
    <cellStyle name="20% - Accent2 2 2 7 4" xfId="10805" xr:uid="{12AFA92C-D749-4653-9270-1CD48595C496}"/>
    <cellStyle name="20% - Accent2 2 2 8" xfId="4515" xr:uid="{00000000-0005-0000-0000-0000CA000000}"/>
    <cellStyle name="20% - Accent2 2 2 8 2" xfId="21398" xr:uid="{F42ED7BB-C297-4438-A1DA-A9DF69F9A638}"/>
    <cellStyle name="20% - Accent2 2 2 8 3" xfId="12957" xr:uid="{5E61A0F2-6E3B-4F72-AF81-F2EFB02163A0}"/>
    <cellStyle name="20% - Accent2 2 2 9" xfId="17180" xr:uid="{EC1777D0-3C53-41F8-B605-21793E6CC02E}"/>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23959" xr:uid="{8FB7A62B-9955-40B6-B890-F5891E2A7C1E}"/>
    <cellStyle name="20% - Accent2 2 3 2 2 2 3" xfId="15518" xr:uid="{A77CB894-BD51-401A-B8AC-F65F04C0E3BC}"/>
    <cellStyle name="20% - Accent2 2 3 2 2 3" xfId="19741" xr:uid="{3CB751A5-636D-4732-AE82-AB261A04FB6A}"/>
    <cellStyle name="20% - Accent2 2 3 2 2 4" xfId="11300" xr:uid="{5B360DB3-7C1C-4CE3-9423-3A40B036F91A}"/>
    <cellStyle name="20% - Accent2 2 3 2 3" xfId="4931" xr:uid="{00000000-0005-0000-0000-0000CF000000}"/>
    <cellStyle name="20% - Accent2 2 3 2 3 2" xfId="21814" xr:uid="{0B325FF3-690C-42DA-B29F-3274FE856820}"/>
    <cellStyle name="20% - Accent2 2 3 2 3 3" xfId="13373" xr:uid="{2722D55E-86E8-485C-89C5-F083FAB2437A}"/>
    <cellStyle name="20% - Accent2 2 3 2 4" xfId="17596" xr:uid="{0FB5BB24-401A-42EB-ADFF-D2E72752819D}"/>
    <cellStyle name="20% - Accent2 2 3 2 5" xfId="9155" xr:uid="{CF3FC410-53DE-478C-9342-A629951F287E}"/>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24372" xr:uid="{8F5B8BED-3D1B-4986-92C5-9D0F2CD294B4}"/>
    <cellStyle name="20% - Accent2 2 3 3 2 2 3" xfId="15931" xr:uid="{47A6181D-79BA-48DF-B3C8-527DFEA7248D}"/>
    <cellStyle name="20% - Accent2 2 3 3 2 3" xfId="20154" xr:uid="{405DB382-2156-4956-8C5B-73B4D9340532}"/>
    <cellStyle name="20% - Accent2 2 3 3 2 4" xfId="11713" xr:uid="{6B6B46B0-CCDC-42DE-826B-DACAC6B53DED}"/>
    <cellStyle name="20% - Accent2 2 3 3 3" xfId="5344" xr:uid="{00000000-0005-0000-0000-0000D3000000}"/>
    <cellStyle name="20% - Accent2 2 3 3 3 2" xfId="22227" xr:uid="{D7253A8E-5477-4B0F-A219-D0F88B16AEE3}"/>
    <cellStyle name="20% - Accent2 2 3 3 3 3" xfId="13786" xr:uid="{43A0CE98-364D-49BD-AA29-329B175287E7}"/>
    <cellStyle name="20% - Accent2 2 3 3 4" xfId="18009" xr:uid="{8893F7D5-7C67-4F1A-9D2B-9311C52246ED}"/>
    <cellStyle name="20% - Accent2 2 3 3 5" xfId="9568" xr:uid="{260AF33A-D250-4DD7-A646-6B6C245F9A69}"/>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24785" xr:uid="{6CD0CDB6-83E2-4E94-B1C2-8E2142F3F3BB}"/>
    <cellStyle name="20% - Accent2 2 3 4 2 2 3" xfId="16344" xr:uid="{F23E93C1-74EA-4669-BEFA-55C0CB661C96}"/>
    <cellStyle name="20% - Accent2 2 3 4 2 3" xfId="20567" xr:uid="{F77C2B17-AE67-49F6-BFFC-C13B8FEADF27}"/>
    <cellStyle name="20% - Accent2 2 3 4 2 4" xfId="12126" xr:uid="{BD594F67-9B8C-433C-AA95-EEDC1703782B}"/>
    <cellStyle name="20% - Accent2 2 3 4 3" xfId="5757" xr:uid="{00000000-0005-0000-0000-0000D7000000}"/>
    <cellStyle name="20% - Accent2 2 3 4 3 2" xfId="22640" xr:uid="{A94574EC-0AAF-4BF9-8049-0724780C6AF3}"/>
    <cellStyle name="20% - Accent2 2 3 4 3 3" xfId="14199" xr:uid="{BFC0F381-5CC4-4381-8C75-46B8DF98E303}"/>
    <cellStyle name="20% - Accent2 2 3 4 4" xfId="18422" xr:uid="{26C70A03-59B2-441F-B3F1-3464A8F6E520}"/>
    <cellStyle name="20% - Accent2 2 3 4 5" xfId="9981" xr:uid="{60910839-26AD-4EE0-B62D-73621DBD88F2}"/>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25198" xr:uid="{C8294881-0850-4CCC-AB79-85794035F4F9}"/>
    <cellStyle name="20% - Accent2 2 3 5 2 2 3" xfId="16757" xr:uid="{A49313C4-9FEF-4FFF-8323-5B4E4E8E1F5C}"/>
    <cellStyle name="20% - Accent2 2 3 5 2 3" xfId="20980" xr:uid="{382B8D72-A053-4ECF-B345-14BBA9C44245}"/>
    <cellStyle name="20% - Accent2 2 3 5 2 4" xfId="12539" xr:uid="{3F9619D9-CB1F-4807-9669-3C19D044ABCD}"/>
    <cellStyle name="20% - Accent2 2 3 5 3" xfId="6170" xr:uid="{00000000-0005-0000-0000-0000DB000000}"/>
    <cellStyle name="20% - Accent2 2 3 5 3 2" xfId="23053" xr:uid="{2716F83A-7561-46F2-9FF2-8A8CBAD7BD01}"/>
    <cellStyle name="20% - Accent2 2 3 5 3 3" xfId="14612" xr:uid="{FB13C157-2B50-46AB-9858-6A30651C7A27}"/>
    <cellStyle name="20% - Accent2 2 3 5 4" xfId="18835" xr:uid="{561D7125-CBAB-4777-8E02-D150CA47FA8E}"/>
    <cellStyle name="20% - Accent2 2 3 5 5" xfId="10394" xr:uid="{6A0A27DA-5DB2-479D-BD2B-4E537D2DFE8B}"/>
    <cellStyle name="20% - Accent2 2 3 6" xfId="2276" xr:uid="{00000000-0005-0000-0000-0000DC000000}"/>
    <cellStyle name="20% - Accent2 2 3 6 2" xfId="6583" xr:uid="{00000000-0005-0000-0000-0000DD000000}"/>
    <cellStyle name="20% - Accent2 2 3 6 2 2" xfId="23466" xr:uid="{9A1483CC-B924-47A6-BB7A-C126FA6D7457}"/>
    <cellStyle name="20% - Accent2 2 3 6 2 3" xfId="15025" xr:uid="{ABC56299-40A8-48C9-B211-912C46977D63}"/>
    <cellStyle name="20% - Accent2 2 3 6 3" xfId="19248" xr:uid="{8A7A7882-8A92-4D1B-967D-E9435AA1DE32}"/>
    <cellStyle name="20% - Accent2 2 3 6 4" xfId="10807" xr:uid="{F76DE3D5-05B7-4C4B-9DCD-6B8F89DF3AB9}"/>
    <cellStyle name="20% - Accent2 2 3 7" xfId="4517" xr:uid="{00000000-0005-0000-0000-0000DE000000}"/>
    <cellStyle name="20% - Accent2 2 3 7 2" xfId="21400" xr:uid="{D3932EC7-25CA-4C17-81B5-C5B40BCEABDF}"/>
    <cellStyle name="20% - Accent2 2 3 7 3" xfId="12959" xr:uid="{FC8F599D-4539-4A6C-B291-F1F15B263D2D}"/>
    <cellStyle name="20% - Accent2 2 3 8" xfId="17182" xr:uid="{686D7014-652C-45DC-9511-E2F468761F03}"/>
    <cellStyle name="20% - Accent2 2 3 9" xfId="8741" xr:uid="{1B09C2E9-7273-4B1B-81D9-01726B004F8E}"/>
    <cellStyle name="20% - Accent2 2 4" xfId="579" xr:uid="{00000000-0005-0000-0000-0000DF000000}"/>
    <cellStyle name="20% - Accent2 2 4 2" xfId="2850" xr:uid="{00000000-0005-0000-0000-0000E0000000}"/>
    <cellStyle name="20% - Accent2 2 4 2 2" xfId="7073" xr:uid="{00000000-0005-0000-0000-0000E1000000}"/>
    <cellStyle name="20% - Accent2 2 4 2 2 2" xfId="23956" xr:uid="{BD154922-E4DC-4B5D-91E2-45DA1570C91A}"/>
    <cellStyle name="20% - Accent2 2 4 2 2 3" xfId="15515" xr:uid="{8CBE2005-FCF8-476C-AC14-97C552773B16}"/>
    <cellStyle name="20% - Accent2 2 4 2 3" xfId="19738" xr:uid="{D6BA9080-0956-4579-9DE4-1A358929D790}"/>
    <cellStyle name="20% - Accent2 2 4 2 4" xfId="11297" xr:uid="{9EA4F4B6-AA1C-4B3E-ABFE-EFF84F886BAC}"/>
    <cellStyle name="20% - Accent2 2 4 3" xfId="4928" xr:uid="{00000000-0005-0000-0000-0000E2000000}"/>
    <cellStyle name="20% - Accent2 2 4 3 2" xfId="21811" xr:uid="{A70BFA16-8AA1-42AE-84F6-5E5241EB41D3}"/>
    <cellStyle name="20% - Accent2 2 4 3 3" xfId="13370" xr:uid="{CD6B3854-5834-4412-BEE3-BFEDD3B5663F}"/>
    <cellStyle name="20% - Accent2 2 4 4" xfId="17593" xr:uid="{5840834D-788B-4081-AF97-B6D3EDD571D8}"/>
    <cellStyle name="20% - Accent2 2 4 5" xfId="9152" xr:uid="{2BD18ED6-1D13-44D0-85AD-11BA89AA5223}"/>
    <cellStyle name="20% - Accent2 2 5" xfId="1032" xr:uid="{00000000-0005-0000-0000-0000E3000000}"/>
    <cellStyle name="20% - Accent2 2 5 2" xfId="3263" xr:uid="{00000000-0005-0000-0000-0000E4000000}"/>
    <cellStyle name="20% - Accent2 2 5 2 2" xfId="7486" xr:uid="{00000000-0005-0000-0000-0000E5000000}"/>
    <cellStyle name="20% - Accent2 2 5 2 2 2" xfId="24369" xr:uid="{4306E46D-4E6F-4E12-BD0B-2EF880B9D53A}"/>
    <cellStyle name="20% - Accent2 2 5 2 2 3" xfId="15928" xr:uid="{F6FE8C88-7647-4E6B-9FD4-062A559EE051}"/>
    <cellStyle name="20% - Accent2 2 5 2 3" xfId="20151" xr:uid="{6A2E7D76-ACCB-44EE-974A-7ED336DD7683}"/>
    <cellStyle name="20% - Accent2 2 5 2 4" xfId="11710" xr:uid="{621E97A1-271A-4DCD-9351-921763BB7434}"/>
    <cellStyle name="20% - Accent2 2 5 3" xfId="5341" xr:uid="{00000000-0005-0000-0000-0000E6000000}"/>
    <cellStyle name="20% - Accent2 2 5 3 2" xfId="22224" xr:uid="{207432A0-E534-474F-BA88-654EEED156E2}"/>
    <cellStyle name="20% - Accent2 2 5 3 3" xfId="13783" xr:uid="{CD175659-60BD-4754-888A-A847477C61ED}"/>
    <cellStyle name="20% - Accent2 2 5 4" xfId="18006" xr:uid="{BE13C3FA-1B8F-429E-BF5B-B3EB71D813BA}"/>
    <cellStyle name="20% - Accent2 2 5 5" xfId="9565" xr:uid="{128E2360-18BD-4069-ACE3-D12DE57F4782}"/>
    <cellStyle name="20% - Accent2 2 6" xfId="1446" xr:uid="{00000000-0005-0000-0000-0000E7000000}"/>
    <cellStyle name="20% - Accent2 2 6 2" xfId="3676" xr:uid="{00000000-0005-0000-0000-0000E8000000}"/>
    <cellStyle name="20% - Accent2 2 6 2 2" xfId="7899" xr:uid="{00000000-0005-0000-0000-0000E9000000}"/>
    <cellStyle name="20% - Accent2 2 6 2 2 2" xfId="24782" xr:uid="{2AE9B833-701A-4A56-A758-9595E4FDB617}"/>
    <cellStyle name="20% - Accent2 2 6 2 2 3" xfId="16341" xr:uid="{41DC5679-7E2C-4652-BE5C-B7412C49972B}"/>
    <cellStyle name="20% - Accent2 2 6 2 3" xfId="20564" xr:uid="{18A53C9D-416B-465D-BB06-D0958C20BD0A}"/>
    <cellStyle name="20% - Accent2 2 6 2 4" xfId="12123" xr:uid="{66300947-3820-4F0E-828A-582272D1DE6C}"/>
    <cellStyle name="20% - Accent2 2 6 3" xfId="5754" xr:uid="{00000000-0005-0000-0000-0000EA000000}"/>
    <cellStyle name="20% - Accent2 2 6 3 2" xfId="22637" xr:uid="{D412B9E1-DB05-4AFA-AF16-54D674B188D8}"/>
    <cellStyle name="20% - Accent2 2 6 3 3" xfId="14196" xr:uid="{6FA7A171-164D-47AD-BA10-BC1A2E9D94BC}"/>
    <cellStyle name="20% - Accent2 2 6 4" xfId="18419" xr:uid="{F317E898-0892-4F79-A9BA-320BD4F9E51C}"/>
    <cellStyle name="20% - Accent2 2 6 5" xfId="9978" xr:uid="{3EF0A41A-4918-4618-AD3A-3BEEBD3AD01F}"/>
    <cellStyle name="20% - Accent2 2 7" xfId="1860" xr:uid="{00000000-0005-0000-0000-0000EB000000}"/>
    <cellStyle name="20% - Accent2 2 7 2" xfId="4089" xr:uid="{00000000-0005-0000-0000-0000EC000000}"/>
    <cellStyle name="20% - Accent2 2 7 2 2" xfId="8312" xr:uid="{00000000-0005-0000-0000-0000ED000000}"/>
    <cellStyle name="20% - Accent2 2 7 2 2 2" xfId="25195" xr:uid="{75F17217-F41D-48DD-91D1-1F4A0F5BBB87}"/>
    <cellStyle name="20% - Accent2 2 7 2 2 3" xfId="16754" xr:uid="{60F8EAA9-2249-483C-B681-B163CEDD3503}"/>
    <cellStyle name="20% - Accent2 2 7 2 3" xfId="20977" xr:uid="{2F7672FC-3ACE-4848-819C-863E8425E21B}"/>
    <cellStyle name="20% - Accent2 2 7 2 4" xfId="12536" xr:uid="{FC077E1F-2095-4C04-90FF-D90AA12C3997}"/>
    <cellStyle name="20% - Accent2 2 7 3" xfId="6167" xr:uid="{00000000-0005-0000-0000-0000EE000000}"/>
    <cellStyle name="20% - Accent2 2 7 3 2" xfId="23050" xr:uid="{8EDFFE8E-64B7-4CBD-951C-B733F2E34E2C}"/>
    <cellStyle name="20% - Accent2 2 7 3 3" xfId="14609" xr:uid="{D704B4BA-333D-4D83-AC6E-20590748C96C}"/>
    <cellStyle name="20% - Accent2 2 7 4" xfId="18832" xr:uid="{61552B63-8407-4236-944F-BB4B2E13AC51}"/>
    <cellStyle name="20% - Accent2 2 7 5" xfId="10391" xr:uid="{933DEE4C-40EE-4D64-9C3C-88FA033B93AF}"/>
    <cellStyle name="20% - Accent2 2 8" xfId="2273" xr:uid="{00000000-0005-0000-0000-0000EF000000}"/>
    <cellStyle name="20% - Accent2 2 8 2" xfId="6580" xr:uid="{00000000-0005-0000-0000-0000F0000000}"/>
    <cellStyle name="20% - Accent2 2 8 2 2" xfId="23463" xr:uid="{0F273C4E-1ABA-49DD-9081-BD4A5538FEB7}"/>
    <cellStyle name="20% - Accent2 2 8 2 3" xfId="15022" xr:uid="{307AA2BA-FFA5-423E-AB3A-2474571C6A4A}"/>
    <cellStyle name="20% - Accent2 2 8 3" xfId="19245" xr:uid="{1AF53555-E6CA-441C-A98A-F3E8A09D3D42}"/>
    <cellStyle name="20% - Accent2 2 8 4" xfId="10804" xr:uid="{5F7AA43B-A1C3-42A8-AB39-AC85D7EF2025}"/>
    <cellStyle name="20% - Accent2 2 9" xfId="4514" xr:uid="{00000000-0005-0000-0000-0000F1000000}"/>
    <cellStyle name="20% - Accent2 2 9 2" xfId="21397" xr:uid="{99D17100-2884-4165-9241-4543A4E93800}"/>
    <cellStyle name="20% - Accent2 2 9 3" xfId="12956" xr:uid="{A3033F34-2371-44C5-AC7D-78810C2E99BC}"/>
    <cellStyle name="20% - Accent2 3" xfId="14" xr:uid="{00000000-0005-0000-0000-0000F2000000}"/>
    <cellStyle name="20% - Accent2 3 10" xfId="8742" xr:uid="{14B64197-448C-423A-9692-41A9F00B1992}"/>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23961" xr:uid="{1844316B-0F58-4A26-8B32-281C6357E98F}"/>
    <cellStyle name="20% - Accent2 3 2 2 2 2 3" xfId="15520" xr:uid="{B838B76A-F9FC-4A72-8ABC-7DB5401854CE}"/>
    <cellStyle name="20% - Accent2 3 2 2 2 3" xfId="19743" xr:uid="{FA3BA386-4F9B-48A9-A412-97EC29667DF7}"/>
    <cellStyle name="20% - Accent2 3 2 2 2 4" xfId="11302" xr:uid="{40D3C4F1-5162-4F47-9FFB-57AB6E1791C2}"/>
    <cellStyle name="20% - Accent2 3 2 2 3" xfId="4933" xr:uid="{00000000-0005-0000-0000-0000F7000000}"/>
    <cellStyle name="20% - Accent2 3 2 2 3 2" xfId="21816" xr:uid="{D8FA23CE-EFDF-4DEC-8B7F-F5491E0D1B53}"/>
    <cellStyle name="20% - Accent2 3 2 2 3 3" xfId="13375" xr:uid="{E750A29F-9A5B-4416-A3D2-370735F665AA}"/>
    <cellStyle name="20% - Accent2 3 2 2 4" xfId="17598" xr:uid="{6A6AD621-AFF7-4E1C-844C-BA5B619932F9}"/>
    <cellStyle name="20% - Accent2 3 2 2 5" xfId="9157" xr:uid="{74DF3A5C-99A1-4DEF-B3D3-88CB7C0139EA}"/>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24374" xr:uid="{7D246A68-2715-4FB6-A064-9938E61FE2A3}"/>
    <cellStyle name="20% - Accent2 3 2 3 2 2 3" xfId="15933" xr:uid="{5021AC81-2319-41E5-8C2C-AAEC3FE0C93C}"/>
    <cellStyle name="20% - Accent2 3 2 3 2 3" xfId="20156" xr:uid="{0C376F1C-9509-4CFA-BEED-D202EAB762C7}"/>
    <cellStyle name="20% - Accent2 3 2 3 2 4" xfId="11715" xr:uid="{FC5E204C-CEE6-4729-8006-3B5C7123CFA3}"/>
    <cellStyle name="20% - Accent2 3 2 3 3" xfId="5346" xr:uid="{00000000-0005-0000-0000-0000FB000000}"/>
    <cellStyle name="20% - Accent2 3 2 3 3 2" xfId="22229" xr:uid="{CADADCA7-97CC-48A1-81ED-2D9A03A8C7B1}"/>
    <cellStyle name="20% - Accent2 3 2 3 3 3" xfId="13788" xr:uid="{0E339639-EA89-4AB9-A1B5-E75B15E9E6B9}"/>
    <cellStyle name="20% - Accent2 3 2 3 4" xfId="18011" xr:uid="{3491E66E-85B3-42E5-9C37-6FB7A4A39BBB}"/>
    <cellStyle name="20% - Accent2 3 2 3 5" xfId="9570" xr:uid="{5649E111-EBC1-4399-96C3-5C7F979D9AD0}"/>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24787" xr:uid="{EB1830E4-0D84-47B3-81AD-D3DA2191B4E2}"/>
    <cellStyle name="20% - Accent2 3 2 4 2 2 3" xfId="16346" xr:uid="{24D9ABAD-A101-4D9F-87D3-72DDEDAD6AB7}"/>
    <cellStyle name="20% - Accent2 3 2 4 2 3" xfId="20569" xr:uid="{D772EFEB-8A56-4A1E-8406-5D8DEA1C7E90}"/>
    <cellStyle name="20% - Accent2 3 2 4 2 4" xfId="12128" xr:uid="{EF3716C9-B061-4A37-A5A2-889702042110}"/>
    <cellStyle name="20% - Accent2 3 2 4 3" xfId="5759" xr:uid="{00000000-0005-0000-0000-0000FF000000}"/>
    <cellStyle name="20% - Accent2 3 2 4 3 2" xfId="22642" xr:uid="{0A2BD8E7-9529-4BA5-9B8E-C45EF13A7D03}"/>
    <cellStyle name="20% - Accent2 3 2 4 3 3" xfId="14201" xr:uid="{9D985F57-08B0-45A1-A4E7-2F2DCE5C82E6}"/>
    <cellStyle name="20% - Accent2 3 2 4 4" xfId="18424" xr:uid="{A98BA930-A93D-48DE-89DB-6AF84D427EE0}"/>
    <cellStyle name="20% - Accent2 3 2 4 5" xfId="9983" xr:uid="{67B9E466-8CC5-412D-9EC1-99B2B518D663}"/>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25200" xr:uid="{4A534BD8-3296-406A-BC24-0C8D3D46598E}"/>
    <cellStyle name="20% - Accent2 3 2 5 2 2 3" xfId="16759" xr:uid="{FBB55D6F-1DC2-43AA-B377-FD3ADE74A928}"/>
    <cellStyle name="20% - Accent2 3 2 5 2 3" xfId="20982" xr:uid="{D1908E28-E861-41B8-888C-F13DC42DC6A4}"/>
    <cellStyle name="20% - Accent2 3 2 5 2 4" xfId="12541" xr:uid="{91EC7EBD-9E33-46A8-8E8F-90F350505992}"/>
    <cellStyle name="20% - Accent2 3 2 5 3" xfId="6172" xr:uid="{00000000-0005-0000-0000-000003010000}"/>
    <cellStyle name="20% - Accent2 3 2 5 3 2" xfId="23055" xr:uid="{65977C64-465C-43CB-8413-5AD231E98567}"/>
    <cellStyle name="20% - Accent2 3 2 5 3 3" xfId="14614" xr:uid="{A7C4180A-8631-4D6A-8908-643B0F9798D2}"/>
    <cellStyle name="20% - Accent2 3 2 5 4" xfId="18837" xr:uid="{85C65C27-C8B0-431F-B383-AEEF77466020}"/>
    <cellStyle name="20% - Accent2 3 2 5 5" xfId="10396" xr:uid="{D7C0C505-A3D3-47FF-97C7-D3BD9F21A4E7}"/>
    <cellStyle name="20% - Accent2 3 2 6" xfId="2278" xr:uid="{00000000-0005-0000-0000-000004010000}"/>
    <cellStyle name="20% - Accent2 3 2 6 2" xfId="6585" xr:uid="{00000000-0005-0000-0000-000005010000}"/>
    <cellStyle name="20% - Accent2 3 2 6 2 2" xfId="23468" xr:uid="{422257C3-92A6-4C7D-A44D-E3AE9B5C13BA}"/>
    <cellStyle name="20% - Accent2 3 2 6 2 3" xfId="15027" xr:uid="{F6FB01ED-6F98-409B-8F77-198CFEC40A09}"/>
    <cellStyle name="20% - Accent2 3 2 6 3" xfId="19250" xr:uid="{7DADD390-8939-42E4-9FE4-0E20CDBEE650}"/>
    <cellStyle name="20% - Accent2 3 2 6 4" xfId="10809" xr:uid="{F86F04E0-8D86-4770-BD73-BB42313163BC}"/>
    <cellStyle name="20% - Accent2 3 2 7" xfId="4519" xr:uid="{00000000-0005-0000-0000-000006010000}"/>
    <cellStyle name="20% - Accent2 3 2 7 2" xfId="21402" xr:uid="{0F8C0AF6-8C31-47C0-A840-0C3082CB4EE4}"/>
    <cellStyle name="20% - Accent2 3 2 7 3" xfId="12961" xr:uid="{A070126B-49FB-444F-A426-7EF649700542}"/>
    <cellStyle name="20% - Accent2 3 2 8" xfId="17184" xr:uid="{A14CDD00-393D-40C2-BF3D-50A24AE7BEDE}"/>
    <cellStyle name="20% - Accent2 3 2 9" xfId="8743" xr:uid="{1992071C-92C0-44B7-B37B-5AE2093D78CA}"/>
    <cellStyle name="20% - Accent2 3 3" xfId="583" xr:uid="{00000000-0005-0000-0000-000007010000}"/>
    <cellStyle name="20% - Accent2 3 3 2" xfId="2854" xr:uid="{00000000-0005-0000-0000-000008010000}"/>
    <cellStyle name="20% - Accent2 3 3 2 2" xfId="7077" xr:uid="{00000000-0005-0000-0000-000009010000}"/>
    <cellStyle name="20% - Accent2 3 3 2 2 2" xfId="23960" xr:uid="{BCB4152E-2117-48B2-AECA-D8F0B8173CB6}"/>
    <cellStyle name="20% - Accent2 3 3 2 2 3" xfId="15519" xr:uid="{AF531B71-E639-43F6-88AD-A737A03BA723}"/>
    <cellStyle name="20% - Accent2 3 3 2 3" xfId="19742" xr:uid="{BA7ED280-9CF0-477C-A167-C1ADFE292004}"/>
    <cellStyle name="20% - Accent2 3 3 2 4" xfId="11301" xr:uid="{E8332D0B-806B-448D-B082-5B709AAD884C}"/>
    <cellStyle name="20% - Accent2 3 3 3" xfId="4932" xr:uid="{00000000-0005-0000-0000-00000A010000}"/>
    <cellStyle name="20% - Accent2 3 3 3 2" xfId="21815" xr:uid="{B1E0D00E-7AD6-47C7-9F59-BF6549684598}"/>
    <cellStyle name="20% - Accent2 3 3 3 3" xfId="13374" xr:uid="{03800BFF-68AA-449F-830C-1E8048F4DF68}"/>
    <cellStyle name="20% - Accent2 3 3 4" xfId="17597" xr:uid="{DC8555C9-54AD-4BDC-A5A0-CF850CF4AB21}"/>
    <cellStyle name="20% - Accent2 3 3 5" xfId="9156" xr:uid="{9BF6F013-5F01-46AE-A9F5-1536AEE9FBE5}"/>
    <cellStyle name="20% - Accent2 3 4" xfId="1036" xr:uid="{00000000-0005-0000-0000-00000B010000}"/>
    <cellStyle name="20% - Accent2 3 4 2" xfId="3267" xr:uid="{00000000-0005-0000-0000-00000C010000}"/>
    <cellStyle name="20% - Accent2 3 4 2 2" xfId="7490" xr:uid="{00000000-0005-0000-0000-00000D010000}"/>
    <cellStyle name="20% - Accent2 3 4 2 2 2" xfId="24373" xr:uid="{BCDD48B3-BC33-4954-B955-B99A134825E2}"/>
    <cellStyle name="20% - Accent2 3 4 2 2 3" xfId="15932" xr:uid="{575CB8EA-9DD5-4817-ABDB-877F64816234}"/>
    <cellStyle name="20% - Accent2 3 4 2 3" xfId="20155" xr:uid="{1EE22C5D-CB83-4865-BA1A-6A5EDBC751E2}"/>
    <cellStyle name="20% - Accent2 3 4 2 4" xfId="11714" xr:uid="{B9BDB9B4-C074-4EAF-B7B7-3A54DA01408A}"/>
    <cellStyle name="20% - Accent2 3 4 3" xfId="5345" xr:uid="{00000000-0005-0000-0000-00000E010000}"/>
    <cellStyle name="20% - Accent2 3 4 3 2" xfId="22228" xr:uid="{522C66F5-1D69-4A8E-9B71-5F8030C9C937}"/>
    <cellStyle name="20% - Accent2 3 4 3 3" xfId="13787" xr:uid="{1B1CADB3-E958-46A1-82EA-C442FAC2428A}"/>
    <cellStyle name="20% - Accent2 3 4 4" xfId="18010" xr:uid="{57105D68-23F6-4E79-816C-E0AF6C5F451D}"/>
    <cellStyle name="20% - Accent2 3 4 5" xfId="9569" xr:uid="{952DDAAC-336E-47C4-806A-B3161B7DCA8E}"/>
    <cellStyle name="20% - Accent2 3 5" xfId="1450" xr:uid="{00000000-0005-0000-0000-00000F010000}"/>
    <cellStyle name="20% - Accent2 3 5 2" xfId="3680" xr:uid="{00000000-0005-0000-0000-000010010000}"/>
    <cellStyle name="20% - Accent2 3 5 2 2" xfId="7903" xr:uid="{00000000-0005-0000-0000-000011010000}"/>
    <cellStyle name="20% - Accent2 3 5 2 2 2" xfId="24786" xr:uid="{B28C602C-3284-4D57-93FB-A65F43A355AE}"/>
    <cellStyle name="20% - Accent2 3 5 2 2 3" xfId="16345" xr:uid="{FAFE9DAD-A6CF-4B50-B83F-8E559953D821}"/>
    <cellStyle name="20% - Accent2 3 5 2 3" xfId="20568" xr:uid="{FC2315AA-BE60-43C8-9C16-B2C36082F33B}"/>
    <cellStyle name="20% - Accent2 3 5 2 4" xfId="12127" xr:uid="{10774632-CC3E-4E3C-A4D7-4F86C0E688BE}"/>
    <cellStyle name="20% - Accent2 3 5 3" xfId="5758" xr:uid="{00000000-0005-0000-0000-000012010000}"/>
    <cellStyle name="20% - Accent2 3 5 3 2" xfId="22641" xr:uid="{7F8924C2-0FE0-4AE9-B7FD-82A74588301E}"/>
    <cellStyle name="20% - Accent2 3 5 3 3" xfId="14200" xr:uid="{94C9E0C2-1981-4DB0-9AC0-58BC8995174D}"/>
    <cellStyle name="20% - Accent2 3 5 4" xfId="18423" xr:uid="{8BC4E0AA-63B7-4C41-B989-327BAA1C454E}"/>
    <cellStyle name="20% - Accent2 3 5 5" xfId="9982" xr:uid="{103FF672-3804-4838-AB70-0912983CD6D3}"/>
    <cellStyle name="20% - Accent2 3 6" xfId="1864" xr:uid="{00000000-0005-0000-0000-000013010000}"/>
    <cellStyle name="20% - Accent2 3 6 2" xfId="4093" xr:uid="{00000000-0005-0000-0000-000014010000}"/>
    <cellStyle name="20% - Accent2 3 6 2 2" xfId="8316" xr:uid="{00000000-0005-0000-0000-000015010000}"/>
    <cellStyle name="20% - Accent2 3 6 2 2 2" xfId="25199" xr:uid="{A6D7EBA8-F512-476F-B855-668E6BAF97DB}"/>
    <cellStyle name="20% - Accent2 3 6 2 2 3" xfId="16758" xr:uid="{AD67F027-C66E-45D9-83AE-84F633F89FE4}"/>
    <cellStyle name="20% - Accent2 3 6 2 3" xfId="20981" xr:uid="{1029BAD6-A09A-47FF-879F-90205017C466}"/>
    <cellStyle name="20% - Accent2 3 6 2 4" xfId="12540" xr:uid="{FDDBEF79-B45D-4947-A2A8-B1C7CD8CFCC9}"/>
    <cellStyle name="20% - Accent2 3 6 3" xfId="6171" xr:uid="{00000000-0005-0000-0000-000016010000}"/>
    <cellStyle name="20% - Accent2 3 6 3 2" xfId="23054" xr:uid="{6BE2AD80-FA31-4342-A28C-57CD066B6714}"/>
    <cellStyle name="20% - Accent2 3 6 3 3" xfId="14613" xr:uid="{9E186676-6A64-443E-9574-D9F96F7774CF}"/>
    <cellStyle name="20% - Accent2 3 6 4" xfId="18836" xr:uid="{9291ED70-BCFC-4A5B-B917-0BC46FCF32D5}"/>
    <cellStyle name="20% - Accent2 3 6 5" xfId="10395" xr:uid="{C759AE3A-713E-4BA5-B893-090B509A2281}"/>
    <cellStyle name="20% - Accent2 3 7" xfId="2277" xr:uid="{00000000-0005-0000-0000-000017010000}"/>
    <cellStyle name="20% - Accent2 3 7 2" xfId="6584" xr:uid="{00000000-0005-0000-0000-000018010000}"/>
    <cellStyle name="20% - Accent2 3 7 2 2" xfId="23467" xr:uid="{55AE931B-A0FC-437C-93CA-FB34C25AC82C}"/>
    <cellStyle name="20% - Accent2 3 7 2 3" xfId="15026" xr:uid="{BBBDEC22-FBE9-42F7-8FF1-E9303A103D0D}"/>
    <cellStyle name="20% - Accent2 3 7 3" xfId="19249" xr:uid="{A99EE9E3-88F3-4F11-A975-A4F7D8D02981}"/>
    <cellStyle name="20% - Accent2 3 7 4" xfId="10808" xr:uid="{CD9736BF-4299-4C2D-A3FB-EBCCA886392D}"/>
    <cellStyle name="20% - Accent2 3 8" xfId="4518" xr:uid="{00000000-0005-0000-0000-000019010000}"/>
    <cellStyle name="20% - Accent2 3 8 2" xfId="21401" xr:uid="{1265B126-A7E2-4D2B-BCFC-7CD48C0D3D3F}"/>
    <cellStyle name="20% - Accent2 3 8 3" xfId="12960" xr:uid="{D2DD766C-276A-4661-A84F-886508EFFA03}"/>
    <cellStyle name="20% - Accent2 3 9" xfId="17183" xr:uid="{475AF03A-3168-4118-A43F-6C49DB595835}"/>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23962" xr:uid="{4B6F8C13-4F64-40CC-B577-187C50F4C4E5}"/>
    <cellStyle name="20% - Accent2 4 2 2 2 3" xfId="15521" xr:uid="{29A8BADA-2C0D-4AF8-9DF9-98E71122206F}"/>
    <cellStyle name="20% - Accent2 4 2 2 3" xfId="19744" xr:uid="{00CAC1F9-22BB-47D2-A7F1-952E5808B6DA}"/>
    <cellStyle name="20% - Accent2 4 2 2 4" xfId="11303" xr:uid="{42DF1DD4-BBB8-4BBE-BF2E-719E495A932A}"/>
    <cellStyle name="20% - Accent2 4 2 3" xfId="4934" xr:uid="{00000000-0005-0000-0000-00001E010000}"/>
    <cellStyle name="20% - Accent2 4 2 3 2" xfId="21817" xr:uid="{BAF4887E-A221-43BA-81DA-4167EA576B88}"/>
    <cellStyle name="20% - Accent2 4 2 3 3" xfId="13376" xr:uid="{3C965822-64B4-4206-B19C-E495E7ACA9A1}"/>
    <cellStyle name="20% - Accent2 4 2 4" xfId="17599" xr:uid="{3CE016F5-5C1C-421B-A020-9078AD1C1581}"/>
    <cellStyle name="20% - Accent2 4 2 5" xfId="9158" xr:uid="{B3356CFC-A058-429C-8A7C-6EB05E3134E7}"/>
    <cellStyle name="20% - Accent2 4 3" xfId="1038" xr:uid="{00000000-0005-0000-0000-00001F010000}"/>
    <cellStyle name="20% - Accent2 4 3 2" xfId="3269" xr:uid="{00000000-0005-0000-0000-000020010000}"/>
    <cellStyle name="20% - Accent2 4 3 2 2" xfId="7492" xr:uid="{00000000-0005-0000-0000-000021010000}"/>
    <cellStyle name="20% - Accent2 4 3 2 2 2" xfId="24375" xr:uid="{02D56850-904D-4A43-84AD-C75C285E6796}"/>
    <cellStyle name="20% - Accent2 4 3 2 2 3" xfId="15934" xr:uid="{972A1A81-581A-488D-96B2-072C5BC42C3A}"/>
    <cellStyle name="20% - Accent2 4 3 2 3" xfId="20157" xr:uid="{93C2777B-1AC8-4895-A0F8-1110508AE984}"/>
    <cellStyle name="20% - Accent2 4 3 2 4" xfId="11716" xr:uid="{E91D3FD7-A75D-4FAC-9A2B-F30ACDBC4D0B}"/>
    <cellStyle name="20% - Accent2 4 3 3" xfId="5347" xr:uid="{00000000-0005-0000-0000-000022010000}"/>
    <cellStyle name="20% - Accent2 4 3 3 2" xfId="22230" xr:uid="{DB6D31AE-177C-4006-8DAF-3F389CEE234C}"/>
    <cellStyle name="20% - Accent2 4 3 3 3" xfId="13789" xr:uid="{487262BE-8EF5-4CD4-9892-579AA174441A}"/>
    <cellStyle name="20% - Accent2 4 3 4" xfId="18012" xr:uid="{46AECBAE-9AFE-4DFB-9FC4-6041C1B54399}"/>
    <cellStyle name="20% - Accent2 4 3 5" xfId="9571" xr:uid="{99745041-5805-453E-B22F-6A5BF68AE512}"/>
    <cellStyle name="20% - Accent2 4 4" xfId="1452" xr:uid="{00000000-0005-0000-0000-000023010000}"/>
    <cellStyle name="20% - Accent2 4 4 2" xfId="3682" xr:uid="{00000000-0005-0000-0000-000024010000}"/>
    <cellStyle name="20% - Accent2 4 4 2 2" xfId="7905" xr:uid="{00000000-0005-0000-0000-000025010000}"/>
    <cellStyle name="20% - Accent2 4 4 2 2 2" xfId="24788" xr:uid="{A9658AC4-7057-4196-9FD3-9B504401095E}"/>
    <cellStyle name="20% - Accent2 4 4 2 2 3" xfId="16347" xr:uid="{5784D876-CE6A-4AEF-A724-DFB964543920}"/>
    <cellStyle name="20% - Accent2 4 4 2 3" xfId="20570" xr:uid="{A710FB50-87B8-44F9-84D2-838532C7DCBE}"/>
    <cellStyle name="20% - Accent2 4 4 2 4" xfId="12129" xr:uid="{06780157-4DAB-4BCC-981C-9087264AD73C}"/>
    <cellStyle name="20% - Accent2 4 4 3" xfId="5760" xr:uid="{00000000-0005-0000-0000-000026010000}"/>
    <cellStyle name="20% - Accent2 4 4 3 2" xfId="22643" xr:uid="{3F349F28-66D3-4AF2-A10D-96232FF2A126}"/>
    <cellStyle name="20% - Accent2 4 4 3 3" xfId="14202" xr:uid="{804A25FC-D62A-468E-8C5A-3A646BB48B78}"/>
    <cellStyle name="20% - Accent2 4 4 4" xfId="18425" xr:uid="{0331D555-9F81-4BC0-B553-616E2FBD6780}"/>
    <cellStyle name="20% - Accent2 4 4 5" xfId="9984" xr:uid="{807F5B3A-6614-4055-A828-985754F62CAD}"/>
    <cellStyle name="20% - Accent2 4 5" xfId="1866" xr:uid="{00000000-0005-0000-0000-000027010000}"/>
    <cellStyle name="20% - Accent2 4 5 2" xfId="4095" xr:uid="{00000000-0005-0000-0000-000028010000}"/>
    <cellStyle name="20% - Accent2 4 5 2 2" xfId="8318" xr:uid="{00000000-0005-0000-0000-000029010000}"/>
    <cellStyle name="20% - Accent2 4 5 2 2 2" xfId="25201" xr:uid="{AAFF7A42-E5B2-44B5-ABBA-24033B8F2B1A}"/>
    <cellStyle name="20% - Accent2 4 5 2 2 3" xfId="16760" xr:uid="{F7CD13B8-0820-4D25-AF21-C0599DF2EFEA}"/>
    <cellStyle name="20% - Accent2 4 5 2 3" xfId="20983" xr:uid="{A53C26AF-F191-4C36-A25E-50072F3E3DF3}"/>
    <cellStyle name="20% - Accent2 4 5 2 4" xfId="12542" xr:uid="{B3CB36A0-2C75-4A1D-8B63-C60BC2E9CABF}"/>
    <cellStyle name="20% - Accent2 4 5 3" xfId="6173" xr:uid="{00000000-0005-0000-0000-00002A010000}"/>
    <cellStyle name="20% - Accent2 4 5 3 2" xfId="23056" xr:uid="{789BE7F4-5154-48E8-A2EC-F485FBDDB043}"/>
    <cellStyle name="20% - Accent2 4 5 3 3" xfId="14615" xr:uid="{D252EAFA-8841-4FDB-ADDA-94AE2F47BFB2}"/>
    <cellStyle name="20% - Accent2 4 5 4" xfId="18838" xr:uid="{6B2431B3-1BAB-407B-9988-C662D47FC4EF}"/>
    <cellStyle name="20% - Accent2 4 5 5" xfId="10397" xr:uid="{F8A8DCE5-A7F1-444F-9518-0142C4B1211D}"/>
    <cellStyle name="20% - Accent2 4 6" xfId="2279" xr:uid="{00000000-0005-0000-0000-00002B010000}"/>
    <cellStyle name="20% - Accent2 4 6 2" xfId="6586" xr:uid="{00000000-0005-0000-0000-00002C010000}"/>
    <cellStyle name="20% - Accent2 4 6 2 2" xfId="23469" xr:uid="{A1FD97BC-BCEB-412E-8516-E73C5F0D2BF1}"/>
    <cellStyle name="20% - Accent2 4 6 2 3" xfId="15028" xr:uid="{8183085D-DF94-4671-AC5E-0EB68B4195C6}"/>
    <cellStyle name="20% - Accent2 4 6 3" xfId="19251" xr:uid="{73949787-C67E-4BE6-9A2D-59F27575A892}"/>
    <cellStyle name="20% - Accent2 4 6 4" xfId="10810" xr:uid="{BB1B6BEB-49D4-4BC8-94D5-2410400D25E7}"/>
    <cellStyle name="20% - Accent2 4 7" xfId="4520" xr:uid="{00000000-0005-0000-0000-00002D010000}"/>
    <cellStyle name="20% - Accent2 4 7 2" xfId="21403" xr:uid="{7BB19875-6A66-4DF8-8E86-CAD1BB594841}"/>
    <cellStyle name="20% - Accent2 4 7 3" xfId="12962" xr:uid="{85546676-0B5E-4233-8993-490BF0124BEB}"/>
    <cellStyle name="20% - Accent2 4 8" xfId="17185" xr:uid="{978A98EB-7BE6-4209-AD62-001C8DE847AE}"/>
    <cellStyle name="20% - Accent2 4 9" xfId="8744" xr:uid="{844B3D38-23B5-4DFD-9C3E-59ABFB9DC4D3}"/>
    <cellStyle name="20% - Accent2 5" xfId="578" xr:uid="{00000000-0005-0000-0000-00002E010000}"/>
    <cellStyle name="20% - Accent2 5 2" xfId="2849" xr:uid="{00000000-0005-0000-0000-00002F010000}"/>
    <cellStyle name="20% - Accent2 5 2 2" xfId="7072" xr:uid="{00000000-0005-0000-0000-000030010000}"/>
    <cellStyle name="20% - Accent2 5 2 2 2" xfId="23955" xr:uid="{152878F3-15E9-4196-AB73-B5055B85DD5F}"/>
    <cellStyle name="20% - Accent2 5 2 2 3" xfId="15514" xr:uid="{0D5A2C94-5E11-405A-8CB6-934321D0F091}"/>
    <cellStyle name="20% - Accent2 5 2 3" xfId="19737" xr:uid="{0712120E-88F9-4705-8715-D8B90262CADE}"/>
    <cellStyle name="20% - Accent2 5 2 4" xfId="11296" xr:uid="{51CA5FAC-0467-4C76-97D0-87DD0239FD78}"/>
    <cellStyle name="20% - Accent2 5 3" xfId="4927" xr:uid="{00000000-0005-0000-0000-000031010000}"/>
    <cellStyle name="20% - Accent2 5 3 2" xfId="21810" xr:uid="{8D2B8D19-6D9F-4F3D-9CEF-82D4F436545B}"/>
    <cellStyle name="20% - Accent2 5 3 3" xfId="13369" xr:uid="{CA1A88A8-FBC0-4459-8390-8AF2F7811C66}"/>
    <cellStyle name="20% - Accent2 5 4" xfId="17592" xr:uid="{4423038C-AD83-4515-B9E3-CE4125D3A6FB}"/>
    <cellStyle name="20% - Accent2 5 5" xfId="9151" xr:uid="{0391F8A2-5D60-4949-B98D-DCCFD7DF4FC8}"/>
    <cellStyle name="20% - Accent2 6" xfId="1031" xr:uid="{00000000-0005-0000-0000-000032010000}"/>
    <cellStyle name="20% - Accent2 6 2" xfId="3262" xr:uid="{00000000-0005-0000-0000-000033010000}"/>
    <cellStyle name="20% - Accent2 6 2 2" xfId="7485" xr:uid="{00000000-0005-0000-0000-000034010000}"/>
    <cellStyle name="20% - Accent2 6 2 2 2" xfId="24368" xr:uid="{B6BFB41B-991E-4ABC-834A-A13C9C0EDDD6}"/>
    <cellStyle name="20% - Accent2 6 2 2 3" xfId="15927" xr:uid="{BCC1E615-AAA5-41AA-A808-CBD70F2C0276}"/>
    <cellStyle name="20% - Accent2 6 2 3" xfId="20150" xr:uid="{02A78F1B-C3B1-4BE5-886A-33782E350E17}"/>
    <cellStyle name="20% - Accent2 6 2 4" xfId="11709" xr:uid="{2BA72AFC-66A5-4E8C-803D-DFB8BA92670F}"/>
    <cellStyle name="20% - Accent2 6 3" xfId="5340" xr:uid="{00000000-0005-0000-0000-000035010000}"/>
    <cellStyle name="20% - Accent2 6 3 2" xfId="22223" xr:uid="{7C71A875-340C-4CB1-BA32-F40A3A93AC20}"/>
    <cellStyle name="20% - Accent2 6 3 3" xfId="13782" xr:uid="{91EFA3ED-5299-4945-BB6E-857C8E13F741}"/>
    <cellStyle name="20% - Accent2 6 4" xfId="18005" xr:uid="{6FC7F4B3-496B-4506-BF30-3BDE5AE075F8}"/>
    <cellStyle name="20% - Accent2 6 5" xfId="9564" xr:uid="{24C1270B-D7AB-4A5F-80E8-F8C86DDC98B6}"/>
    <cellStyle name="20% - Accent2 7" xfId="1445" xr:uid="{00000000-0005-0000-0000-000036010000}"/>
    <cellStyle name="20% - Accent2 7 2" xfId="3675" xr:uid="{00000000-0005-0000-0000-000037010000}"/>
    <cellStyle name="20% - Accent2 7 2 2" xfId="7898" xr:uid="{00000000-0005-0000-0000-000038010000}"/>
    <cellStyle name="20% - Accent2 7 2 2 2" xfId="24781" xr:uid="{547ECE06-205A-46CC-BD29-7BB14C920ACA}"/>
    <cellStyle name="20% - Accent2 7 2 2 3" xfId="16340" xr:uid="{43496072-09BE-4BB1-AB61-033B7C1A9B0D}"/>
    <cellStyle name="20% - Accent2 7 2 3" xfId="20563" xr:uid="{19ABF5AC-E0D4-4470-98F2-A828D81FE084}"/>
    <cellStyle name="20% - Accent2 7 2 4" xfId="12122" xr:uid="{A44B4BCE-2B2F-43FF-8457-3C3B1F3E3826}"/>
    <cellStyle name="20% - Accent2 7 3" xfId="5753" xr:uid="{00000000-0005-0000-0000-000039010000}"/>
    <cellStyle name="20% - Accent2 7 3 2" xfId="22636" xr:uid="{304276AE-C096-452A-AA55-554B4A927F87}"/>
    <cellStyle name="20% - Accent2 7 3 3" xfId="14195" xr:uid="{83611C26-5234-4F56-9DAD-16DCC400AFB7}"/>
    <cellStyle name="20% - Accent2 7 4" xfId="18418" xr:uid="{BFF6CB00-629F-40C5-8E4C-F955B3F08388}"/>
    <cellStyle name="20% - Accent2 7 5" xfId="9977" xr:uid="{2ABAD992-B5C0-45DC-9348-5E7396F153CC}"/>
    <cellStyle name="20% - Accent2 8" xfId="1859" xr:uid="{00000000-0005-0000-0000-00003A010000}"/>
    <cellStyle name="20% - Accent2 8 2" xfId="4088" xr:uid="{00000000-0005-0000-0000-00003B010000}"/>
    <cellStyle name="20% - Accent2 8 2 2" xfId="8311" xr:uid="{00000000-0005-0000-0000-00003C010000}"/>
    <cellStyle name="20% - Accent2 8 2 2 2" xfId="25194" xr:uid="{A7929D97-7561-445E-A7FE-C67BB47D58BD}"/>
    <cellStyle name="20% - Accent2 8 2 2 3" xfId="16753" xr:uid="{B0736799-840A-468E-A6BE-A9ECC8112267}"/>
    <cellStyle name="20% - Accent2 8 2 3" xfId="20976" xr:uid="{B4468F3E-E9C1-4E13-8846-FF4080F70EBE}"/>
    <cellStyle name="20% - Accent2 8 2 4" xfId="12535" xr:uid="{BC2961B9-F5EE-4765-88F5-6D2BE0C40372}"/>
    <cellStyle name="20% - Accent2 8 3" xfId="6166" xr:uid="{00000000-0005-0000-0000-00003D010000}"/>
    <cellStyle name="20% - Accent2 8 3 2" xfId="23049" xr:uid="{48C028EC-4803-4C61-8ADC-98E1D695C10B}"/>
    <cellStyle name="20% - Accent2 8 3 3" xfId="14608" xr:uid="{276146E2-2037-4D0D-8FA6-3116B9A14E8A}"/>
    <cellStyle name="20% - Accent2 8 4" xfId="18831" xr:uid="{38E3923C-F85B-47A7-AB99-58E99F4E0521}"/>
    <cellStyle name="20% - Accent2 8 5" xfId="10390" xr:uid="{7F0F372A-DF0B-400B-90FF-C2C2E742C841}"/>
    <cellStyle name="20% - Accent2 9" xfId="2272" xr:uid="{00000000-0005-0000-0000-00003E010000}"/>
    <cellStyle name="20% - Accent2 9 2" xfId="6579" xr:uid="{00000000-0005-0000-0000-00003F010000}"/>
    <cellStyle name="20% - Accent2 9 2 2" xfId="23462" xr:uid="{4924BD5D-7811-481E-A679-304BD2DD1C49}"/>
    <cellStyle name="20% - Accent2 9 2 3" xfId="15021" xr:uid="{E9F3A2A4-436E-4D78-87EE-D79BA3D802ED}"/>
    <cellStyle name="20% - Accent2 9 3" xfId="19244" xr:uid="{99C9AE8D-F409-4D01-A41A-ADE6B35545A5}"/>
    <cellStyle name="20% - Accent2 9 4" xfId="10803" xr:uid="{79FA58E6-587F-4C85-A053-13E8B8D7D0DC}"/>
    <cellStyle name="20% - Accent3" xfId="17" builtinId="38" customBuiltin="1"/>
    <cellStyle name="20% - Accent3 10" xfId="4521" xr:uid="{00000000-0005-0000-0000-000041010000}"/>
    <cellStyle name="20% - Accent3 10 2" xfId="21404" xr:uid="{C159C35F-12FC-4B86-9A6B-854A77080B3B}"/>
    <cellStyle name="20% - Accent3 10 3" xfId="12963" xr:uid="{5FFB1ECB-9F5F-446A-A121-DBEAD9F703C9}"/>
    <cellStyle name="20% - Accent3 11" xfId="17186" xr:uid="{A4937000-02DE-47BF-A0CE-B1FE0BFD5F24}"/>
    <cellStyle name="20% - Accent3 12" xfId="8745" xr:uid="{45831215-A45E-41A3-A5BB-A2C5DFAA064B}"/>
    <cellStyle name="20% - Accent3 2" xfId="18" xr:uid="{00000000-0005-0000-0000-000042010000}"/>
    <cellStyle name="20% - Accent3 2 10" xfId="17187" xr:uid="{4508E522-9B3E-42D4-BB09-C027E118EF4C}"/>
    <cellStyle name="20% - Accent3 2 11" xfId="8746" xr:uid="{5BE9F7B9-96C6-431C-B1B9-9E07B16095DA}"/>
    <cellStyle name="20% - Accent3 2 2" xfId="19" xr:uid="{00000000-0005-0000-0000-000043010000}"/>
    <cellStyle name="20% - Accent3 2 2 10" xfId="8747" xr:uid="{66EC81B7-6C16-4EC8-9777-CE841EB13F4B}"/>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23966" xr:uid="{05BAF63A-ED72-42A0-A434-0C3FB5F4F5BC}"/>
    <cellStyle name="20% - Accent3 2 2 2 2 2 2 3" xfId="15525" xr:uid="{220429B2-7BFB-49AB-8FF7-56DC788B2287}"/>
    <cellStyle name="20% - Accent3 2 2 2 2 2 3" xfId="19748" xr:uid="{D787B335-AFA4-47BE-A981-BAB3901B7862}"/>
    <cellStyle name="20% - Accent3 2 2 2 2 2 4" xfId="11307" xr:uid="{42B779B8-27CF-4228-B80E-0F92861C5B9F}"/>
    <cellStyle name="20% - Accent3 2 2 2 2 3" xfId="4938" xr:uid="{00000000-0005-0000-0000-000048010000}"/>
    <cellStyle name="20% - Accent3 2 2 2 2 3 2" xfId="21821" xr:uid="{CE525EFA-28F0-4B1D-99F7-E0496274C567}"/>
    <cellStyle name="20% - Accent3 2 2 2 2 3 3" xfId="13380" xr:uid="{01E19634-25E6-4BF3-89B6-7EF3F7D16FE3}"/>
    <cellStyle name="20% - Accent3 2 2 2 2 4" xfId="17603" xr:uid="{80E10988-D237-407D-B62A-FF8A4DCF7F8A}"/>
    <cellStyle name="20% - Accent3 2 2 2 2 5" xfId="9162" xr:uid="{7EC2F3C5-68E3-4F13-BD03-6EA7BC7F3799}"/>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24379" xr:uid="{EFB4BAB4-6305-4716-B03B-48B4117150CC}"/>
    <cellStyle name="20% - Accent3 2 2 2 3 2 2 3" xfId="15938" xr:uid="{B5FD2DAF-D187-4955-B3F8-0AF6FC75542E}"/>
    <cellStyle name="20% - Accent3 2 2 2 3 2 3" xfId="20161" xr:uid="{7125D940-678E-48AA-B26E-E61305A10EDC}"/>
    <cellStyle name="20% - Accent3 2 2 2 3 2 4" xfId="11720" xr:uid="{CA695144-5C76-4C14-A08A-8CBAC7674E0F}"/>
    <cellStyle name="20% - Accent3 2 2 2 3 3" xfId="5351" xr:uid="{00000000-0005-0000-0000-00004C010000}"/>
    <cellStyle name="20% - Accent3 2 2 2 3 3 2" xfId="22234" xr:uid="{4D8D80C7-1024-4DE4-9254-9A15532D1A87}"/>
    <cellStyle name="20% - Accent3 2 2 2 3 3 3" xfId="13793" xr:uid="{B4BA2F10-7269-45EC-AA88-82AFEEA008C9}"/>
    <cellStyle name="20% - Accent3 2 2 2 3 4" xfId="18016" xr:uid="{89DD9BE4-F5E2-4665-AFB6-55F4219C39D2}"/>
    <cellStyle name="20% - Accent3 2 2 2 3 5" xfId="9575" xr:uid="{A32060C7-D1B0-4A31-8986-33CB08578CD2}"/>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24792" xr:uid="{2634A335-B862-405F-9601-73EB7AC1C922}"/>
    <cellStyle name="20% - Accent3 2 2 2 4 2 2 3" xfId="16351" xr:uid="{8101694D-23AE-4160-A898-2D9ABC0E43AF}"/>
    <cellStyle name="20% - Accent3 2 2 2 4 2 3" xfId="20574" xr:uid="{5397D06A-C831-4007-A199-DA91EF957F18}"/>
    <cellStyle name="20% - Accent3 2 2 2 4 2 4" xfId="12133" xr:uid="{60FA4F46-9BC4-4097-85C9-3FB509417B37}"/>
    <cellStyle name="20% - Accent3 2 2 2 4 3" xfId="5764" xr:uid="{00000000-0005-0000-0000-000050010000}"/>
    <cellStyle name="20% - Accent3 2 2 2 4 3 2" xfId="22647" xr:uid="{835AEB78-F11D-4771-A013-6D9424CC425E}"/>
    <cellStyle name="20% - Accent3 2 2 2 4 3 3" xfId="14206" xr:uid="{0A1DDF2F-C095-47B3-9BD5-D8D7F0306974}"/>
    <cellStyle name="20% - Accent3 2 2 2 4 4" xfId="18429" xr:uid="{193454B6-7EF4-46F4-B105-D7125044DB62}"/>
    <cellStyle name="20% - Accent3 2 2 2 4 5" xfId="9988" xr:uid="{F71AF457-70AA-470C-B7AE-BC3F46782CCF}"/>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25205" xr:uid="{763FD88F-199E-473F-971D-45B1ACC41AED}"/>
    <cellStyle name="20% - Accent3 2 2 2 5 2 2 3" xfId="16764" xr:uid="{1B05E05A-6706-4BA1-9BB8-CA444A5CEF64}"/>
    <cellStyle name="20% - Accent3 2 2 2 5 2 3" xfId="20987" xr:uid="{EB4235B7-B9DF-4929-902E-55D836D576CC}"/>
    <cellStyle name="20% - Accent3 2 2 2 5 2 4" xfId="12546" xr:uid="{22C1D2ED-1B98-44FB-810E-FFBAB2E7B767}"/>
    <cellStyle name="20% - Accent3 2 2 2 5 3" xfId="6177" xr:uid="{00000000-0005-0000-0000-000054010000}"/>
    <cellStyle name="20% - Accent3 2 2 2 5 3 2" xfId="23060" xr:uid="{835955E5-2B10-4052-AFA0-5FD3B66FD703}"/>
    <cellStyle name="20% - Accent3 2 2 2 5 3 3" xfId="14619" xr:uid="{E4DA1171-333C-4349-8B2A-6EDBE8FF137C}"/>
    <cellStyle name="20% - Accent3 2 2 2 5 4" xfId="18842" xr:uid="{67AA0FCC-A64E-40F9-9B28-340E2B67099E}"/>
    <cellStyle name="20% - Accent3 2 2 2 5 5" xfId="10401" xr:uid="{37A1F80D-4D61-4D2F-BDD6-8909DEE68159}"/>
    <cellStyle name="20% - Accent3 2 2 2 6" xfId="2283" xr:uid="{00000000-0005-0000-0000-000055010000}"/>
    <cellStyle name="20% - Accent3 2 2 2 6 2" xfId="6590" xr:uid="{00000000-0005-0000-0000-000056010000}"/>
    <cellStyle name="20% - Accent3 2 2 2 6 2 2" xfId="23473" xr:uid="{8001ACC0-4335-4C38-9783-4C45DC30B162}"/>
    <cellStyle name="20% - Accent3 2 2 2 6 2 3" xfId="15032" xr:uid="{F1529272-842E-422D-92EA-0AF4D5AF5A34}"/>
    <cellStyle name="20% - Accent3 2 2 2 6 3" xfId="19255" xr:uid="{3568EE6C-7C2E-459A-8ECF-99451649DF9C}"/>
    <cellStyle name="20% - Accent3 2 2 2 6 4" xfId="10814" xr:uid="{00CA7C92-EC50-4EF3-AD74-7719F3BE46D5}"/>
    <cellStyle name="20% - Accent3 2 2 2 7" xfId="4524" xr:uid="{00000000-0005-0000-0000-000057010000}"/>
    <cellStyle name="20% - Accent3 2 2 2 7 2" xfId="21407" xr:uid="{85450468-2639-4FE4-B049-B163EFD072ED}"/>
    <cellStyle name="20% - Accent3 2 2 2 7 3" xfId="12966" xr:uid="{00458677-4183-410B-8871-384F52ECD290}"/>
    <cellStyle name="20% - Accent3 2 2 2 8" xfId="17189" xr:uid="{808697FB-A4F4-42A3-8DDD-011702F86C7B}"/>
    <cellStyle name="20% - Accent3 2 2 2 9" xfId="8748" xr:uid="{0D6151B5-40A9-4A16-9DB5-ED7883F8C89A}"/>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23965" xr:uid="{0FB08CAD-6891-4F15-911E-10B03FEB1C83}"/>
    <cellStyle name="20% - Accent3 2 2 3 2 2 3" xfId="15524" xr:uid="{879752C4-18CC-4A41-847A-95E14EA5663C}"/>
    <cellStyle name="20% - Accent3 2 2 3 2 3" xfId="19747" xr:uid="{050FD8D5-3FFF-46E6-B7C0-C70B63857C70}"/>
    <cellStyle name="20% - Accent3 2 2 3 2 4" xfId="11306" xr:uid="{0F4A5E38-30C1-4E95-9578-7DE2D5681D40}"/>
    <cellStyle name="20% - Accent3 2 2 3 3" xfId="4937" xr:uid="{00000000-0005-0000-0000-00005B010000}"/>
    <cellStyle name="20% - Accent3 2 2 3 3 2" xfId="21820" xr:uid="{58F1C7BE-7CAB-4912-9788-2D5D8EB054E5}"/>
    <cellStyle name="20% - Accent3 2 2 3 3 3" xfId="13379" xr:uid="{C1927448-2FA0-4DCC-9D67-3BAFAC4892B9}"/>
    <cellStyle name="20% - Accent3 2 2 3 4" xfId="17602" xr:uid="{1D690410-D0A6-41AB-A067-6EDCE49FB514}"/>
    <cellStyle name="20% - Accent3 2 2 3 5" xfId="9161" xr:uid="{EF7A73CC-F3BD-4336-8BBD-A4BA6C970D68}"/>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24378" xr:uid="{D63AA843-08DA-4E5C-ADB5-6E25F958E193}"/>
    <cellStyle name="20% - Accent3 2 2 4 2 2 3" xfId="15937" xr:uid="{BAC2F100-5F11-4A1F-A000-8503948A2AA6}"/>
    <cellStyle name="20% - Accent3 2 2 4 2 3" xfId="20160" xr:uid="{45D23F33-6CC4-4594-BF2B-C1B72ED580ED}"/>
    <cellStyle name="20% - Accent3 2 2 4 2 4" xfId="11719" xr:uid="{DD9FB5DD-1579-4810-86CC-D799597E490B}"/>
    <cellStyle name="20% - Accent3 2 2 4 3" xfId="5350" xr:uid="{00000000-0005-0000-0000-00005F010000}"/>
    <cellStyle name="20% - Accent3 2 2 4 3 2" xfId="22233" xr:uid="{FDB39697-07A8-4B99-9531-A0E425E72FA7}"/>
    <cellStyle name="20% - Accent3 2 2 4 3 3" xfId="13792" xr:uid="{7FED8557-43C9-430E-91E6-81D70C0D83E7}"/>
    <cellStyle name="20% - Accent3 2 2 4 4" xfId="18015" xr:uid="{591C9A64-50BD-4EC6-893A-E0B5826A9D0A}"/>
    <cellStyle name="20% - Accent3 2 2 4 5" xfId="9574" xr:uid="{92DDF8EA-5F7D-4C7A-AEF8-5265F352F08B}"/>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24791" xr:uid="{C1725452-2919-4CB8-8624-4193E44FFBBB}"/>
    <cellStyle name="20% - Accent3 2 2 5 2 2 3" xfId="16350" xr:uid="{78AB1791-CE4D-42E9-8E60-BAD2B3ABBDFC}"/>
    <cellStyle name="20% - Accent3 2 2 5 2 3" xfId="20573" xr:uid="{E11AF5AE-175B-4C58-A1A6-5F7189C9B735}"/>
    <cellStyle name="20% - Accent3 2 2 5 2 4" xfId="12132" xr:uid="{52BD3770-689E-4733-98BE-4D45D64CDAD6}"/>
    <cellStyle name="20% - Accent3 2 2 5 3" xfId="5763" xr:uid="{00000000-0005-0000-0000-000063010000}"/>
    <cellStyle name="20% - Accent3 2 2 5 3 2" xfId="22646" xr:uid="{24FD2B0C-0204-4CF0-AD02-602A8D7F2EDF}"/>
    <cellStyle name="20% - Accent3 2 2 5 3 3" xfId="14205" xr:uid="{80683492-91F2-431E-8BBD-D6DC7F57065E}"/>
    <cellStyle name="20% - Accent3 2 2 5 4" xfId="18428" xr:uid="{E8F150F4-EA76-4401-97D1-29679FB8B103}"/>
    <cellStyle name="20% - Accent3 2 2 5 5" xfId="9987" xr:uid="{92382963-D566-4CEE-B972-2E0AD00C9D73}"/>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25204" xr:uid="{34121959-0663-4580-8513-6076D0AB3B58}"/>
    <cellStyle name="20% - Accent3 2 2 6 2 2 3" xfId="16763" xr:uid="{67ED2DF9-8384-48A0-BDE2-9588DA5B3954}"/>
    <cellStyle name="20% - Accent3 2 2 6 2 3" xfId="20986" xr:uid="{29111D33-D117-4999-B5B6-A836DC357240}"/>
    <cellStyle name="20% - Accent3 2 2 6 2 4" xfId="12545" xr:uid="{23FC8970-2F89-4F31-984D-E6309360E5F3}"/>
    <cellStyle name="20% - Accent3 2 2 6 3" xfId="6176" xr:uid="{00000000-0005-0000-0000-000067010000}"/>
    <cellStyle name="20% - Accent3 2 2 6 3 2" xfId="23059" xr:uid="{5C4E15B8-2432-4E10-A4FA-00DFF011C74F}"/>
    <cellStyle name="20% - Accent3 2 2 6 3 3" xfId="14618" xr:uid="{BFDA6640-2910-4423-9975-89F70C2EA74A}"/>
    <cellStyle name="20% - Accent3 2 2 6 4" xfId="18841" xr:uid="{5026A482-3DA1-4B63-A2DC-4DEB3D01984E}"/>
    <cellStyle name="20% - Accent3 2 2 6 5" xfId="10400" xr:uid="{DBFA54AF-1396-4D88-9B79-7B72D1196A24}"/>
    <cellStyle name="20% - Accent3 2 2 7" xfId="2282" xr:uid="{00000000-0005-0000-0000-000068010000}"/>
    <cellStyle name="20% - Accent3 2 2 7 2" xfId="6589" xr:uid="{00000000-0005-0000-0000-000069010000}"/>
    <cellStyle name="20% - Accent3 2 2 7 2 2" xfId="23472" xr:uid="{5F5EFDA2-C806-49E6-A135-D640DA6E88A9}"/>
    <cellStyle name="20% - Accent3 2 2 7 2 3" xfId="15031" xr:uid="{3BA582C8-123F-4513-ABF6-C723F57A8A48}"/>
    <cellStyle name="20% - Accent3 2 2 7 3" xfId="19254" xr:uid="{335F24E2-D577-45E1-B77B-BF100460CB21}"/>
    <cellStyle name="20% - Accent3 2 2 7 4" xfId="10813" xr:uid="{BDEC8C54-D626-4CE3-A2C6-3A40BB3F3670}"/>
    <cellStyle name="20% - Accent3 2 2 8" xfId="4523" xr:uid="{00000000-0005-0000-0000-00006A010000}"/>
    <cellStyle name="20% - Accent3 2 2 8 2" xfId="21406" xr:uid="{EA9388C3-BBC6-46C7-9386-12D3F2A61DA8}"/>
    <cellStyle name="20% - Accent3 2 2 8 3" xfId="12965" xr:uid="{FD3421E0-1A58-4FDA-AA0C-6556D882E7F2}"/>
    <cellStyle name="20% - Accent3 2 2 9" xfId="17188" xr:uid="{6900D71C-E414-41DD-A47A-D77FC0F99C7D}"/>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23967" xr:uid="{12B54627-E27F-443C-8109-D94C64367329}"/>
    <cellStyle name="20% - Accent3 2 3 2 2 2 3" xfId="15526" xr:uid="{CB531B21-8F96-4A68-A717-3BCA48AA43F0}"/>
    <cellStyle name="20% - Accent3 2 3 2 2 3" xfId="19749" xr:uid="{B2A2AB71-C5CC-4227-ABB2-B160FC9D95FD}"/>
    <cellStyle name="20% - Accent3 2 3 2 2 4" xfId="11308" xr:uid="{7B3FF732-5A00-4620-920F-7F0BB6319078}"/>
    <cellStyle name="20% - Accent3 2 3 2 3" xfId="4939" xr:uid="{00000000-0005-0000-0000-00006F010000}"/>
    <cellStyle name="20% - Accent3 2 3 2 3 2" xfId="21822" xr:uid="{C281F2CB-C1C7-4D39-BF36-7114C5CA76AB}"/>
    <cellStyle name="20% - Accent3 2 3 2 3 3" xfId="13381" xr:uid="{8DF382DC-A919-4A1F-A0D7-CC0066028EB2}"/>
    <cellStyle name="20% - Accent3 2 3 2 4" xfId="17604" xr:uid="{EBACDF65-7C54-412D-800F-3FD2F01906C5}"/>
    <cellStyle name="20% - Accent3 2 3 2 5" xfId="9163" xr:uid="{5F32E6C5-8F3B-4670-99F2-2D385F22053D}"/>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24380" xr:uid="{EB67DC2B-0DE7-4FAA-9117-6D9DDC71C053}"/>
    <cellStyle name="20% - Accent3 2 3 3 2 2 3" xfId="15939" xr:uid="{F5790965-1B4A-4FD7-BB45-C835C7CD33DE}"/>
    <cellStyle name="20% - Accent3 2 3 3 2 3" xfId="20162" xr:uid="{FBA1A393-E81D-4EC0-84D6-773C831E5696}"/>
    <cellStyle name="20% - Accent3 2 3 3 2 4" xfId="11721" xr:uid="{CC03066D-04D8-4187-BA1C-FF46853D64B3}"/>
    <cellStyle name="20% - Accent3 2 3 3 3" xfId="5352" xr:uid="{00000000-0005-0000-0000-000073010000}"/>
    <cellStyle name="20% - Accent3 2 3 3 3 2" xfId="22235" xr:uid="{6E65C90F-C9FB-41D0-A143-D8DF75D7CBA3}"/>
    <cellStyle name="20% - Accent3 2 3 3 3 3" xfId="13794" xr:uid="{E7FCA1B5-6784-4EC0-AED2-171BC3A125F3}"/>
    <cellStyle name="20% - Accent3 2 3 3 4" xfId="18017" xr:uid="{029B42DF-8952-4309-B2D8-3BBB783EE85B}"/>
    <cellStyle name="20% - Accent3 2 3 3 5" xfId="9576" xr:uid="{AECC8DDC-2CEF-42F9-9FF4-48783E587343}"/>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24793" xr:uid="{8DA6F4A9-C46A-48AE-9086-F0BCC35D05E6}"/>
    <cellStyle name="20% - Accent3 2 3 4 2 2 3" xfId="16352" xr:uid="{18C04BE0-3BDA-4B97-99B3-45D2ED3E28CD}"/>
    <cellStyle name="20% - Accent3 2 3 4 2 3" xfId="20575" xr:uid="{D5A48BD4-1C69-44A4-9075-5AEA72353D23}"/>
    <cellStyle name="20% - Accent3 2 3 4 2 4" xfId="12134" xr:uid="{8AA2F2AF-F513-47B5-9E72-D9F71BF46E54}"/>
    <cellStyle name="20% - Accent3 2 3 4 3" xfId="5765" xr:uid="{00000000-0005-0000-0000-000077010000}"/>
    <cellStyle name="20% - Accent3 2 3 4 3 2" xfId="22648" xr:uid="{82AB77B6-67BE-4765-B65F-144D59609FD5}"/>
    <cellStyle name="20% - Accent3 2 3 4 3 3" xfId="14207" xr:uid="{22C0ABA4-86E7-4FDE-82F4-234D0B056DBE}"/>
    <cellStyle name="20% - Accent3 2 3 4 4" xfId="18430" xr:uid="{7ADD01D1-12BA-4BC3-801E-0FAE3C01E20B}"/>
    <cellStyle name="20% - Accent3 2 3 4 5" xfId="9989" xr:uid="{93341476-F6E8-4251-8CAF-D8C3D9CFBEBC}"/>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25206" xr:uid="{6204CC0B-F29F-4642-B30F-39368DADB041}"/>
    <cellStyle name="20% - Accent3 2 3 5 2 2 3" xfId="16765" xr:uid="{30301AED-1BB0-4704-965A-5A3665CD9A0A}"/>
    <cellStyle name="20% - Accent3 2 3 5 2 3" xfId="20988" xr:uid="{579FDF60-27C9-4CD6-9CB2-F38A8583BF5B}"/>
    <cellStyle name="20% - Accent3 2 3 5 2 4" xfId="12547" xr:uid="{4BBFECF7-CAD4-45A9-93DD-5D25844F16F6}"/>
    <cellStyle name="20% - Accent3 2 3 5 3" xfId="6178" xr:uid="{00000000-0005-0000-0000-00007B010000}"/>
    <cellStyle name="20% - Accent3 2 3 5 3 2" xfId="23061" xr:uid="{28D083A5-259E-4BC3-8176-73F5B4CCCC9B}"/>
    <cellStyle name="20% - Accent3 2 3 5 3 3" xfId="14620" xr:uid="{57C5DBDF-07C1-4B8A-8140-D99985DA7E3B}"/>
    <cellStyle name="20% - Accent3 2 3 5 4" xfId="18843" xr:uid="{FFAE9731-58BE-45FD-89C3-5FB86C753820}"/>
    <cellStyle name="20% - Accent3 2 3 5 5" xfId="10402" xr:uid="{D6ECC1CA-C456-4E19-9279-EEEE4B0DDD76}"/>
    <cellStyle name="20% - Accent3 2 3 6" xfId="2284" xr:uid="{00000000-0005-0000-0000-00007C010000}"/>
    <cellStyle name="20% - Accent3 2 3 6 2" xfId="6591" xr:uid="{00000000-0005-0000-0000-00007D010000}"/>
    <cellStyle name="20% - Accent3 2 3 6 2 2" xfId="23474" xr:uid="{F875E9D6-340F-45D6-AB91-3F7D74A8E191}"/>
    <cellStyle name="20% - Accent3 2 3 6 2 3" xfId="15033" xr:uid="{A5242F1A-1589-4590-8212-221BBC06C500}"/>
    <cellStyle name="20% - Accent3 2 3 6 3" xfId="19256" xr:uid="{6EFE0306-75EA-4913-A76D-C1595FCED76E}"/>
    <cellStyle name="20% - Accent3 2 3 6 4" xfId="10815" xr:uid="{0391FF0C-BF63-4D1F-9A52-0D7798D26F8A}"/>
    <cellStyle name="20% - Accent3 2 3 7" xfId="4525" xr:uid="{00000000-0005-0000-0000-00007E010000}"/>
    <cellStyle name="20% - Accent3 2 3 7 2" xfId="21408" xr:uid="{3ED08B3B-5AE9-4857-B0FE-D7048254D499}"/>
    <cellStyle name="20% - Accent3 2 3 7 3" xfId="12967" xr:uid="{EA1665CB-70F3-48A6-B5A1-BDB9E8F73029}"/>
    <cellStyle name="20% - Accent3 2 3 8" xfId="17190" xr:uid="{932C79B2-BF10-43B4-AF08-7CC18B385914}"/>
    <cellStyle name="20% - Accent3 2 3 9" xfId="8749" xr:uid="{8BB41637-77C3-4B60-9AE8-2D30840176A9}"/>
    <cellStyle name="20% - Accent3 2 4" xfId="587" xr:uid="{00000000-0005-0000-0000-00007F010000}"/>
    <cellStyle name="20% - Accent3 2 4 2" xfId="2858" xr:uid="{00000000-0005-0000-0000-000080010000}"/>
    <cellStyle name="20% - Accent3 2 4 2 2" xfId="7081" xr:uid="{00000000-0005-0000-0000-000081010000}"/>
    <cellStyle name="20% - Accent3 2 4 2 2 2" xfId="23964" xr:uid="{CBF102B2-BCB5-4358-9832-DDE18E94487F}"/>
    <cellStyle name="20% - Accent3 2 4 2 2 3" xfId="15523" xr:uid="{BB087AE2-1D73-42F4-9F03-62FFDFF21A4C}"/>
    <cellStyle name="20% - Accent3 2 4 2 3" xfId="19746" xr:uid="{AE106C0F-F439-461E-A2A6-F00BD92F3A13}"/>
    <cellStyle name="20% - Accent3 2 4 2 4" xfId="11305" xr:uid="{A59CECFC-7732-4C6B-A571-78307166CB93}"/>
    <cellStyle name="20% - Accent3 2 4 3" xfId="4936" xr:uid="{00000000-0005-0000-0000-000082010000}"/>
    <cellStyle name="20% - Accent3 2 4 3 2" xfId="21819" xr:uid="{1037F460-4DCD-4A64-B865-CEAA2B266E3A}"/>
    <cellStyle name="20% - Accent3 2 4 3 3" xfId="13378" xr:uid="{97011C81-42A0-45F1-8190-41CBC34B0E03}"/>
    <cellStyle name="20% - Accent3 2 4 4" xfId="17601" xr:uid="{B2FFC43F-451C-4CC0-8B15-C720898C1942}"/>
    <cellStyle name="20% - Accent3 2 4 5" xfId="9160" xr:uid="{6F009FE0-ACD3-43BC-BD7C-FF5308F01E44}"/>
    <cellStyle name="20% - Accent3 2 5" xfId="1040" xr:uid="{00000000-0005-0000-0000-000083010000}"/>
    <cellStyle name="20% - Accent3 2 5 2" xfId="3271" xr:uid="{00000000-0005-0000-0000-000084010000}"/>
    <cellStyle name="20% - Accent3 2 5 2 2" xfId="7494" xr:uid="{00000000-0005-0000-0000-000085010000}"/>
    <cellStyle name="20% - Accent3 2 5 2 2 2" xfId="24377" xr:uid="{6100C01A-F87D-4EB2-BA8E-00AA2B758615}"/>
    <cellStyle name="20% - Accent3 2 5 2 2 3" xfId="15936" xr:uid="{DD05B644-773A-4ED5-BABB-9DB23D70CF59}"/>
    <cellStyle name="20% - Accent3 2 5 2 3" xfId="20159" xr:uid="{93043AD3-01BE-4B2D-A9ED-B153CE337F36}"/>
    <cellStyle name="20% - Accent3 2 5 2 4" xfId="11718" xr:uid="{1448EC32-07D7-4E68-AD5A-D3C6528F4EBD}"/>
    <cellStyle name="20% - Accent3 2 5 3" xfId="5349" xr:uid="{00000000-0005-0000-0000-000086010000}"/>
    <cellStyle name="20% - Accent3 2 5 3 2" xfId="22232" xr:uid="{C12FCC96-DD27-4903-A9E5-EBA7015929C9}"/>
    <cellStyle name="20% - Accent3 2 5 3 3" xfId="13791" xr:uid="{BC6483C9-E309-4AF2-B600-1A8609C2EA84}"/>
    <cellStyle name="20% - Accent3 2 5 4" xfId="18014" xr:uid="{B365BCA1-982E-4865-88BF-342753D54CF4}"/>
    <cellStyle name="20% - Accent3 2 5 5" xfId="9573" xr:uid="{0E80D45D-EB86-495D-88A0-55554BD7B811}"/>
    <cellStyle name="20% - Accent3 2 6" xfId="1454" xr:uid="{00000000-0005-0000-0000-000087010000}"/>
    <cellStyle name="20% - Accent3 2 6 2" xfId="3684" xr:uid="{00000000-0005-0000-0000-000088010000}"/>
    <cellStyle name="20% - Accent3 2 6 2 2" xfId="7907" xr:uid="{00000000-0005-0000-0000-000089010000}"/>
    <cellStyle name="20% - Accent3 2 6 2 2 2" xfId="24790" xr:uid="{72AD620E-66B2-49AD-B116-0CF817F4422D}"/>
    <cellStyle name="20% - Accent3 2 6 2 2 3" xfId="16349" xr:uid="{BDB18559-45C5-4035-A139-2786989C0ACA}"/>
    <cellStyle name="20% - Accent3 2 6 2 3" xfId="20572" xr:uid="{6DFDA292-5FE9-48EA-8F86-1A9026446D5D}"/>
    <cellStyle name="20% - Accent3 2 6 2 4" xfId="12131" xr:uid="{8A8C117E-E78C-4499-A763-DE37B72371E2}"/>
    <cellStyle name="20% - Accent3 2 6 3" xfId="5762" xr:uid="{00000000-0005-0000-0000-00008A010000}"/>
    <cellStyle name="20% - Accent3 2 6 3 2" xfId="22645" xr:uid="{BA998735-2A22-42D8-8B82-25E886937A58}"/>
    <cellStyle name="20% - Accent3 2 6 3 3" xfId="14204" xr:uid="{915F2CE5-5511-4693-A904-F035D9CE6C48}"/>
    <cellStyle name="20% - Accent3 2 6 4" xfId="18427" xr:uid="{1802F45E-C612-41D4-A253-21E63EC32821}"/>
    <cellStyle name="20% - Accent3 2 6 5" xfId="9986" xr:uid="{70979CD5-1043-490B-BB77-71B7B36717A8}"/>
    <cellStyle name="20% - Accent3 2 7" xfId="1868" xr:uid="{00000000-0005-0000-0000-00008B010000}"/>
    <cellStyle name="20% - Accent3 2 7 2" xfId="4097" xr:uid="{00000000-0005-0000-0000-00008C010000}"/>
    <cellStyle name="20% - Accent3 2 7 2 2" xfId="8320" xr:uid="{00000000-0005-0000-0000-00008D010000}"/>
    <cellStyle name="20% - Accent3 2 7 2 2 2" xfId="25203" xr:uid="{4E2E40AC-28E3-4DF1-8F33-E6EBE8D83047}"/>
    <cellStyle name="20% - Accent3 2 7 2 2 3" xfId="16762" xr:uid="{23A86755-83C4-43F3-B2A7-BD5412C56566}"/>
    <cellStyle name="20% - Accent3 2 7 2 3" xfId="20985" xr:uid="{E4700EF3-7781-4CEB-ADD7-0147872B9179}"/>
    <cellStyle name="20% - Accent3 2 7 2 4" xfId="12544" xr:uid="{607E7DDA-06A0-4DB5-82E6-B14B3D2E579F}"/>
    <cellStyle name="20% - Accent3 2 7 3" xfId="6175" xr:uid="{00000000-0005-0000-0000-00008E010000}"/>
    <cellStyle name="20% - Accent3 2 7 3 2" xfId="23058" xr:uid="{EC16783D-ECDD-49D7-B1BE-59348DDBE8C8}"/>
    <cellStyle name="20% - Accent3 2 7 3 3" xfId="14617" xr:uid="{2EED0635-7875-4A14-A64D-5663D2F35860}"/>
    <cellStyle name="20% - Accent3 2 7 4" xfId="18840" xr:uid="{2F29E76B-0626-4F82-988C-B6E8D76563D1}"/>
    <cellStyle name="20% - Accent3 2 7 5" xfId="10399" xr:uid="{CD512CC3-FE2E-4CD6-8478-45BA1B497DD2}"/>
    <cellStyle name="20% - Accent3 2 8" xfId="2281" xr:uid="{00000000-0005-0000-0000-00008F010000}"/>
    <cellStyle name="20% - Accent3 2 8 2" xfId="6588" xr:uid="{00000000-0005-0000-0000-000090010000}"/>
    <cellStyle name="20% - Accent3 2 8 2 2" xfId="23471" xr:uid="{3C82ADBE-7788-40B1-B570-45CB3A53EFCB}"/>
    <cellStyle name="20% - Accent3 2 8 2 3" xfId="15030" xr:uid="{41DEF4C8-F476-4B38-A30A-B24AAF1FDAAD}"/>
    <cellStyle name="20% - Accent3 2 8 3" xfId="19253" xr:uid="{A703CBCC-2DB5-48F4-A74F-819218B9F599}"/>
    <cellStyle name="20% - Accent3 2 8 4" xfId="10812" xr:uid="{6FB7012A-7AB4-49D7-A2A9-03B2362A103D}"/>
    <cellStyle name="20% - Accent3 2 9" xfId="4522" xr:uid="{00000000-0005-0000-0000-000091010000}"/>
    <cellStyle name="20% - Accent3 2 9 2" xfId="21405" xr:uid="{FCF45EFA-234D-4EDF-9822-840E9A25C7E1}"/>
    <cellStyle name="20% - Accent3 2 9 3" xfId="12964" xr:uid="{2DC7342D-B59A-4A3B-BB3C-5CE7A7721C0A}"/>
    <cellStyle name="20% - Accent3 3" xfId="22" xr:uid="{00000000-0005-0000-0000-000092010000}"/>
    <cellStyle name="20% - Accent3 3 10" xfId="8750" xr:uid="{BBAA123F-D698-41A0-AD2D-CA8F3B00148A}"/>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23969" xr:uid="{A1F42D93-0B5C-4CF0-9108-D47B112A6305}"/>
    <cellStyle name="20% - Accent3 3 2 2 2 2 3" xfId="15528" xr:uid="{F65DB24D-A54A-495E-BF1B-9996F8CBDDA0}"/>
    <cellStyle name="20% - Accent3 3 2 2 2 3" xfId="19751" xr:uid="{4DCC711B-A1CD-4338-BC0B-CAF87F6F5419}"/>
    <cellStyle name="20% - Accent3 3 2 2 2 4" xfId="11310" xr:uid="{15071AA0-04C0-4648-8B2C-16EA22708CD3}"/>
    <cellStyle name="20% - Accent3 3 2 2 3" xfId="4941" xr:uid="{00000000-0005-0000-0000-000097010000}"/>
    <cellStyle name="20% - Accent3 3 2 2 3 2" xfId="21824" xr:uid="{89C3B2B6-14A6-45B1-B388-3BDA8A25B72E}"/>
    <cellStyle name="20% - Accent3 3 2 2 3 3" xfId="13383" xr:uid="{85FFD5F8-6A1F-45E6-AEDA-29499D61AA31}"/>
    <cellStyle name="20% - Accent3 3 2 2 4" xfId="17606" xr:uid="{1CEDFFC8-D8B4-4C62-9F13-782A6C856C40}"/>
    <cellStyle name="20% - Accent3 3 2 2 5" xfId="9165" xr:uid="{A5F1EE63-9167-4D25-8FEE-2A09F40232E9}"/>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24382" xr:uid="{C187E0A0-FA10-440D-BAB0-8F56C746A566}"/>
    <cellStyle name="20% - Accent3 3 2 3 2 2 3" xfId="15941" xr:uid="{45272976-7F89-4C39-931D-8FA47C64DB09}"/>
    <cellStyle name="20% - Accent3 3 2 3 2 3" xfId="20164" xr:uid="{19B78DEE-EEBC-49F5-AA22-4A03627FA128}"/>
    <cellStyle name="20% - Accent3 3 2 3 2 4" xfId="11723" xr:uid="{AC9CDE30-F668-470F-83A1-74B1B2113D51}"/>
    <cellStyle name="20% - Accent3 3 2 3 3" xfId="5354" xr:uid="{00000000-0005-0000-0000-00009B010000}"/>
    <cellStyle name="20% - Accent3 3 2 3 3 2" xfId="22237" xr:uid="{175D504D-69C7-4159-95FF-2504B0170002}"/>
    <cellStyle name="20% - Accent3 3 2 3 3 3" xfId="13796" xr:uid="{70D92072-84B7-43AF-9454-D8CA7193E3DB}"/>
    <cellStyle name="20% - Accent3 3 2 3 4" xfId="18019" xr:uid="{59B66B07-7018-453E-ABC5-5CC753FCF01C}"/>
    <cellStyle name="20% - Accent3 3 2 3 5" xfId="9578" xr:uid="{0A1F6F71-1DA0-4196-852E-7621488000A2}"/>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24795" xr:uid="{2A41089D-B0FE-46EB-8278-122957726D3D}"/>
    <cellStyle name="20% - Accent3 3 2 4 2 2 3" xfId="16354" xr:uid="{44429507-1DBC-4363-8D00-411C1D810A0A}"/>
    <cellStyle name="20% - Accent3 3 2 4 2 3" xfId="20577" xr:uid="{2F144D8F-8FFB-4C41-B874-73BC13397BC8}"/>
    <cellStyle name="20% - Accent3 3 2 4 2 4" xfId="12136" xr:uid="{ADAA854D-AB58-419C-9347-47182718C005}"/>
    <cellStyle name="20% - Accent3 3 2 4 3" xfId="5767" xr:uid="{00000000-0005-0000-0000-00009F010000}"/>
    <cellStyle name="20% - Accent3 3 2 4 3 2" xfId="22650" xr:uid="{76C81D5B-5EBD-4A6D-BBD1-DC645D503EFF}"/>
    <cellStyle name="20% - Accent3 3 2 4 3 3" xfId="14209" xr:uid="{46A71E5C-CB36-41B6-9D48-C212A19D1E66}"/>
    <cellStyle name="20% - Accent3 3 2 4 4" xfId="18432" xr:uid="{A6C4939C-8B19-4027-B1A7-66837C12F095}"/>
    <cellStyle name="20% - Accent3 3 2 4 5" xfId="9991" xr:uid="{9F9C9B1F-6D5C-497A-AA42-E41BEC049110}"/>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25208" xr:uid="{AE651995-4B69-44FC-9A8F-88A65B0DEF55}"/>
    <cellStyle name="20% - Accent3 3 2 5 2 2 3" xfId="16767" xr:uid="{D0B585AB-5EB2-4471-8B49-4B19A9C32CFB}"/>
    <cellStyle name="20% - Accent3 3 2 5 2 3" xfId="20990" xr:uid="{F60F31B5-F897-419C-AFF2-2FAD58F8355D}"/>
    <cellStyle name="20% - Accent3 3 2 5 2 4" xfId="12549" xr:uid="{2D189DE0-E1BA-478D-9063-D99F548CA75E}"/>
    <cellStyle name="20% - Accent3 3 2 5 3" xfId="6180" xr:uid="{00000000-0005-0000-0000-0000A3010000}"/>
    <cellStyle name="20% - Accent3 3 2 5 3 2" xfId="23063" xr:uid="{7C3E64C5-6849-4375-B216-E63AC0A56EA0}"/>
    <cellStyle name="20% - Accent3 3 2 5 3 3" xfId="14622" xr:uid="{02C53BCC-766B-4BD4-BE70-EA2725683145}"/>
    <cellStyle name="20% - Accent3 3 2 5 4" xfId="18845" xr:uid="{713030DE-F6B2-4994-A55A-D475D7873853}"/>
    <cellStyle name="20% - Accent3 3 2 5 5" xfId="10404" xr:uid="{516CFC26-14EB-4FD7-8F8D-3795A5C8F81A}"/>
    <cellStyle name="20% - Accent3 3 2 6" xfId="2286" xr:uid="{00000000-0005-0000-0000-0000A4010000}"/>
    <cellStyle name="20% - Accent3 3 2 6 2" xfId="6593" xr:uid="{00000000-0005-0000-0000-0000A5010000}"/>
    <cellStyle name="20% - Accent3 3 2 6 2 2" xfId="23476" xr:uid="{061860E9-6B32-4BB6-BD27-F5D0115D02DA}"/>
    <cellStyle name="20% - Accent3 3 2 6 2 3" xfId="15035" xr:uid="{E9ADFF41-058D-4233-9250-71726A246CF9}"/>
    <cellStyle name="20% - Accent3 3 2 6 3" xfId="19258" xr:uid="{29D03F9D-8C46-4DA4-BD04-5724F6EBF102}"/>
    <cellStyle name="20% - Accent3 3 2 6 4" xfId="10817" xr:uid="{38D8C226-4504-4EEB-BDDF-EB573EB9CF74}"/>
    <cellStyle name="20% - Accent3 3 2 7" xfId="4527" xr:uid="{00000000-0005-0000-0000-0000A6010000}"/>
    <cellStyle name="20% - Accent3 3 2 7 2" xfId="21410" xr:uid="{4E192518-3D92-41CE-AF59-B4AD7B9461CD}"/>
    <cellStyle name="20% - Accent3 3 2 7 3" xfId="12969" xr:uid="{4700D539-FD2A-43B9-AA73-BC1041FCA8EA}"/>
    <cellStyle name="20% - Accent3 3 2 8" xfId="17192" xr:uid="{4A6D4271-167E-4036-B0CC-29AEDA2B06EB}"/>
    <cellStyle name="20% - Accent3 3 2 9" xfId="8751" xr:uid="{CE7FD77B-6D29-4822-8E89-EC14CB7F223D}"/>
    <cellStyle name="20% - Accent3 3 3" xfId="591" xr:uid="{00000000-0005-0000-0000-0000A7010000}"/>
    <cellStyle name="20% - Accent3 3 3 2" xfId="2862" xr:uid="{00000000-0005-0000-0000-0000A8010000}"/>
    <cellStyle name="20% - Accent3 3 3 2 2" xfId="7085" xr:uid="{00000000-0005-0000-0000-0000A9010000}"/>
    <cellStyle name="20% - Accent3 3 3 2 2 2" xfId="23968" xr:uid="{E43F8A01-9829-4079-AEE5-60F1B4C0718B}"/>
    <cellStyle name="20% - Accent3 3 3 2 2 3" xfId="15527" xr:uid="{743AFE86-0BFF-4A79-8091-254434A9384B}"/>
    <cellStyle name="20% - Accent3 3 3 2 3" xfId="19750" xr:uid="{81CE86A2-6F5A-44DD-AB18-CCF10C781957}"/>
    <cellStyle name="20% - Accent3 3 3 2 4" xfId="11309" xr:uid="{4AC524DF-093D-4840-A4AE-AB3804C18253}"/>
    <cellStyle name="20% - Accent3 3 3 3" xfId="4940" xr:uid="{00000000-0005-0000-0000-0000AA010000}"/>
    <cellStyle name="20% - Accent3 3 3 3 2" xfId="21823" xr:uid="{A86978C4-902C-4D2D-8BE0-3D0C1ABB9B53}"/>
    <cellStyle name="20% - Accent3 3 3 3 3" xfId="13382" xr:uid="{44A4C1C3-3602-492B-B86A-D05E2739124D}"/>
    <cellStyle name="20% - Accent3 3 3 4" xfId="17605" xr:uid="{F44CB3BD-5E3C-4ECF-BF9F-45E0FE85E0F7}"/>
    <cellStyle name="20% - Accent3 3 3 5" xfId="9164" xr:uid="{D6EF427B-B0BA-46CC-9FB7-9BF873C90D4D}"/>
    <cellStyle name="20% - Accent3 3 4" xfId="1044" xr:uid="{00000000-0005-0000-0000-0000AB010000}"/>
    <cellStyle name="20% - Accent3 3 4 2" xfId="3275" xr:uid="{00000000-0005-0000-0000-0000AC010000}"/>
    <cellStyle name="20% - Accent3 3 4 2 2" xfId="7498" xr:uid="{00000000-0005-0000-0000-0000AD010000}"/>
    <cellStyle name="20% - Accent3 3 4 2 2 2" xfId="24381" xr:uid="{98886F93-6CC8-42A0-85D1-3A8396F09E3C}"/>
    <cellStyle name="20% - Accent3 3 4 2 2 3" xfId="15940" xr:uid="{AC7705D0-41BD-4DE6-A1D2-FEA80E6155F9}"/>
    <cellStyle name="20% - Accent3 3 4 2 3" xfId="20163" xr:uid="{5D3B4342-E3E1-4A53-9ABA-881082421380}"/>
    <cellStyle name="20% - Accent3 3 4 2 4" xfId="11722" xr:uid="{533F2175-71B2-4F29-82BF-3F8D2AB599E0}"/>
    <cellStyle name="20% - Accent3 3 4 3" xfId="5353" xr:uid="{00000000-0005-0000-0000-0000AE010000}"/>
    <cellStyle name="20% - Accent3 3 4 3 2" xfId="22236" xr:uid="{EEDDA8FD-0C3A-4CCC-A37D-31A2A69D0208}"/>
    <cellStyle name="20% - Accent3 3 4 3 3" xfId="13795" xr:uid="{01F27D93-54AD-4442-9865-41F7FE496AAA}"/>
    <cellStyle name="20% - Accent3 3 4 4" xfId="18018" xr:uid="{C4F4F9C6-8B9A-48DE-AF85-0BD82BADE94A}"/>
    <cellStyle name="20% - Accent3 3 4 5" xfId="9577" xr:uid="{CCEED096-43EC-4E42-A0AE-33B0B71156B2}"/>
    <cellStyle name="20% - Accent3 3 5" xfId="1458" xr:uid="{00000000-0005-0000-0000-0000AF010000}"/>
    <cellStyle name="20% - Accent3 3 5 2" xfId="3688" xr:uid="{00000000-0005-0000-0000-0000B0010000}"/>
    <cellStyle name="20% - Accent3 3 5 2 2" xfId="7911" xr:uid="{00000000-0005-0000-0000-0000B1010000}"/>
    <cellStyle name="20% - Accent3 3 5 2 2 2" xfId="24794" xr:uid="{246AAB30-6ABB-43CD-8DFC-385226704AE2}"/>
    <cellStyle name="20% - Accent3 3 5 2 2 3" xfId="16353" xr:uid="{A015E0E1-8153-455E-B4F3-572BD122EE35}"/>
    <cellStyle name="20% - Accent3 3 5 2 3" xfId="20576" xr:uid="{A3201579-CBB6-40F6-8B99-75210921ED02}"/>
    <cellStyle name="20% - Accent3 3 5 2 4" xfId="12135" xr:uid="{20EB6DA6-D263-4CF7-808B-E56274622D56}"/>
    <cellStyle name="20% - Accent3 3 5 3" xfId="5766" xr:uid="{00000000-0005-0000-0000-0000B2010000}"/>
    <cellStyle name="20% - Accent3 3 5 3 2" xfId="22649" xr:uid="{2B299C5A-522D-40C9-B493-59E87DA497EE}"/>
    <cellStyle name="20% - Accent3 3 5 3 3" xfId="14208" xr:uid="{8976D3FD-7EB5-421A-AC41-C70C88223C66}"/>
    <cellStyle name="20% - Accent3 3 5 4" xfId="18431" xr:uid="{BABDCB91-7910-4EEE-ADD8-20C939811DC9}"/>
    <cellStyle name="20% - Accent3 3 5 5" xfId="9990" xr:uid="{F420D161-16D9-4E2F-BB8A-1A8E42D32764}"/>
    <cellStyle name="20% - Accent3 3 6" xfId="1872" xr:uid="{00000000-0005-0000-0000-0000B3010000}"/>
    <cellStyle name="20% - Accent3 3 6 2" xfId="4101" xr:uid="{00000000-0005-0000-0000-0000B4010000}"/>
    <cellStyle name="20% - Accent3 3 6 2 2" xfId="8324" xr:uid="{00000000-0005-0000-0000-0000B5010000}"/>
    <cellStyle name="20% - Accent3 3 6 2 2 2" xfId="25207" xr:uid="{18049937-3149-44BA-AB85-987B78266661}"/>
    <cellStyle name="20% - Accent3 3 6 2 2 3" xfId="16766" xr:uid="{30AD6057-BEEA-44B0-958F-355035C3CF86}"/>
    <cellStyle name="20% - Accent3 3 6 2 3" xfId="20989" xr:uid="{DB1E9618-A4F0-40C0-868C-2E12B253B7DD}"/>
    <cellStyle name="20% - Accent3 3 6 2 4" xfId="12548" xr:uid="{96392272-51A3-4A3E-BF1F-63C3EBE811CF}"/>
    <cellStyle name="20% - Accent3 3 6 3" xfId="6179" xr:uid="{00000000-0005-0000-0000-0000B6010000}"/>
    <cellStyle name="20% - Accent3 3 6 3 2" xfId="23062" xr:uid="{9A59C0CA-3DB2-4E5C-A55E-865822D93870}"/>
    <cellStyle name="20% - Accent3 3 6 3 3" xfId="14621" xr:uid="{972578A1-1F30-4830-9201-22F6005EE430}"/>
    <cellStyle name="20% - Accent3 3 6 4" xfId="18844" xr:uid="{5E35F45A-128B-444D-B501-3FC755440D0B}"/>
    <cellStyle name="20% - Accent3 3 6 5" xfId="10403" xr:uid="{B1CA4E50-B1AA-421F-88AF-9B499A7C1819}"/>
    <cellStyle name="20% - Accent3 3 7" xfId="2285" xr:uid="{00000000-0005-0000-0000-0000B7010000}"/>
    <cellStyle name="20% - Accent3 3 7 2" xfId="6592" xr:uid="{00000000-0005-0000-0000-0000B8010000}"/>
    <cellStyle name="20% - Accent3 3 7 2 2" xfId="23475" xr:uid="{057DC431-C5CD-4D53-8B2A-A1D4F03A6E3E}"/>
    <cellStyle name="20% - Accent3 3 7 2 3" xfId="15034" xr:uid="{2C090082-7C3D-44DE-83E6-BFFA3AE94960}"/>
    <cellStyle name="20% - Accent3 3 7 3" xfId="19257" xr:uid="{D8FBD580-8C42-49D1-8CB3-00638F53A855}"/>
    <cellStyle name="20% - Accent3 3 7 4" xfId="10816" xr:uid="{864FC2DE-0B96-4DD7-BABD-1E3A95462108}"/>
    <cellStyle name="20% - Accent3 3 8" xfId="4526" xr:uid="{00000000-0005-0000-0000-0000B9010000}"/>
    <cellStyle name="20% - Accent3 3 8 2" xfId="21409" xr:uid="{5C9AD5AE-226C-4823-9DF6-4F35A5F23D23}"/>
    <cellStyle name="20% - Accent3 3 8 3" xfId="12968" xr:uid="{64B36A3B-F29E-4B05-B9F0-AD1B1F0869ED}"/>
    <cellStyle name="20% - Accent3 3 9" xfId="17191" xr:uid="{A3127FC2-A687-48AE-87BB-A6AAA2189AC1}"/>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23970" xr:uid="{75B59020-CE48-4D82-9771-475ACAF85853}"/>
    <cellStyle name="20% - Accent3 4 2 2 2 3" xfId="15529" xr:uid="{2C6FF95C-7E76-4185-830A-9FE6CF51BC48}"/>
    <cellStyle name="20% - Accent3 4 2 2 3" xfId="19752" xr:uid="{EB0D5EE3-ECCB-4B58-89DA-E7005D9BC2D2}"/>
    <cellStyle name="20% - Accent3 4 2 2 4" xfId="11311" xr:uid="{676F2C4E-EB81-4E1B-8DAF-C4E65DF2CE84}"/>
    <cellStyle name="20% - Accent3 4 2 3" xfId="4942" xr:uid="{00000000-0005-0000-0000-0000BE010000}"/>
    <cellStyle name="20% - Accent3 4 2 3 2" xfId="21825" xr:uid="{AE73439A-B8CD-4D1A-B0BA-063F4CA3DD43}"/>
    <cellStyle name="20% - Accent3 4 2 3 3" xfId="13384" xr:uid="{43BA0BAA-09D1-462F-AEEB-B82BCBD48FAB}"/>
    <cellStyle name="20% - Accent3 4 2 4" xfId="17607" xr:uid="{6533B1FC-6B28-4EFB-8C13-C3D6A2F9F76D}"/>
    <cellStyle name="20% - Accent3 4 2 5" xfId="9166" xr:uid="{A4CB01AA-66C7-410D-9D85-AEC5622F83A8}"/>
    <cellStyle name="20% - Accent3 4 3" xfId="1046" xr:uid="{00000000-0005-0000-0000-0000BF010000}"/>
    <cellStyle name="20% - Accent3 4 3 2" xfId="3277" xr:uid="{00000000-0005-0000-0000-0000C0010000}"/>
    <cellStyle name="20% - Accent3 4 3 2 2" xfId="7500" xr:uid="{00000000-0005-0000-0000-0000C1010000}"/>
    <cellStyle name="20% - Accent3 4 3 2 2 2" xfId="24383" xr:uid="{191BF6F4-3577-4DC5-B690-1B3B53EA9AE9}"/>
    <cellStyle name="20% - Accent3 4 3 2 2 3" xfId="15942" xr:uid="{1DBAA452-56DE-4626-B424-640FD955E45C}"/>
    <cellStyle name="20% - Accent3 4 3 2 3" xfId="20165" xr:uid="{1CF9187E-FC37-49E5-98BF-8BD3902383D4}"/>
    <cellStyle name="20% - Accent3 4 3 2 4" xfId="11724" xr:uid="{579CBDA2-33FB-43E4-A487-162AE1AF46A2}"/>
    <cellStyle name="20% - Accent3 4 3 3" xfId="5355" xr:uid="{00000000-0005-0000-0000-0000C2010000}"/>
    <cellStyle name="20% - Accent3 4 3 3 2" xfId="22238" xr:uid="{096BED13-8DD2-4D3E-8B5C-84BE524DB957}"/>
    <cellStyle name="20% - Accent3 4 3 3 3" xfId="13797" xr:uid="{73319397-A110-412B-B64E-89E312E3B0B0}"/>
    <cellStyle name="20% - Accent3 4 3 4" xfId="18020" xr:uid="{747A8EE0-7270-4BF2-B897-E10B96B79F43}"/>
    <cellStyle name="20% - Accent3 4 3 5" xfId="9579" xr:uid="{26E3E3D3-55AA-47B9-A629-B58DF93E09F1}"/>
    <cellStyle name="20% - Accent3 4 4" xfId="1460" xr:uid="{00000000-0005-0000-0000-0000C3010000}"/>
    <cellStyle name="20% - Accent3 4 4 2" xfId="3690" xr:uid="{00000000-0005-0000-0000-0000C4010000}"/>
    <cellStyle name="20% - Accent3 4 4 2 2" xfId="7913" xr:uid="{00000000-0005-0000-0000-0000C5010000}"/>
    <cellStyle name="20% - Accent3 4 4 2 2 2" xfId="24796" xr:uid="{DCB087D5-E11C-456B-86D8-B7A36625811A}"/>
    <cellStyle name="20% - Accent3 4 4 2 2 3" xfId="16355" xr:uid="{8EA68452-8C9A-4364-AC84-0E623B80F989}"/>
    <cellStyle name="20% - Accent3 4 4 2 3" xfId="20578" xr:uid="{3B76BDE0-2E23-45B6-BC0F-CBA41CCCADEF}"/>
    <cellStyle name="20% - Accent3 4 4 2 4" xfId="12137" xr:uid="{C1A6A414-4461-42B4-96E9-2AC571385F0D}"/>
    <cellStyle name="20% - Accent3 4 4 3" xfId="5768" xr:uid="{00000000-0005-0000-0000-0000C6010000}"/>
    <cellStyle name="20% - Accent3 4 4 3 2" xfId="22651" xr:uid="{76E258CB-2556-4771-AEE9-35F4C1A18F95}"/>
    <cellStyle name="20% - Accent3 4 4 3 3" xfId="14210" xr:uid="{611416D3-C4AA-4645-8CC8-CD1328EA1964}"/>
    <cellStyle name="20% - Accent3 4 4 4" xfId="18433" xr:uid="{E34CDC4F-7F65-4392-A68F-5498AC4AEB38}"/>
    <cellStyle name="20% - Accent3 4 4 5" xfId="9992" xr:uid="{C5BC0BB7-F804-494E-9B33-CA10A205998C}"/>
    <cellStyle name="20% - Accent3 4 5" xfId="1874" xr:uid="{00000000-0005-0000-0000-0000C7010000}"/>
    <cellStyle name="20% - Accent3 4 5 2" xfId="4103" xr:uid="{00000000-0005-0000-0000-0000C8010000}"/>
    <cellStyle name="20% - Accent3 4 5 2 2" xfId="8326" xr:uid="{00000000-0005-0000-0000-0000C9010000}"/>
    <cellStyle name="20% - Accent3 4 5 2 2 2" xfId="25209" xr:uid="{8E0792FB-00BE-4CE2-B383-FE9CC2EA3E1F}"/>
    <cellStyle name="20% - Accent3 4 5 2 2 3" xfId="16768" xr:uid="{FEA0B964-A872-4148-81DE-9884DE2FF01F}"/>
    <cellStyle name="20% - Accent3 4 5 2 3" xfId="20991" xr:uid="{04629BAC-1188-45B7-8B17-210B2D8FCA7E}"/>
    <cellStyle name="20% - Accent3 4 5 2 4" xfId="12550" xr:uid="{B26DE8ED-CDCC-4DAA-95B4-097DFD47B398}"/>
    <cellStyle name="20% - Accent3 4 5 3" xfId="6181" xr:uid="{00000000-0005-0000-0000-0000CA010000}"/>
    <cellStyle name="20% - Accent3 4 5 3 2" xfId="23064" xr:uid="{E91FB1DE-622E-442C-94D5-99C806246560}"/>
    <cellStyle name="20% - Accent3 4 5 3 3" xfId="14623" xr:uid="{E816C7D9-078B-425B-8C89-A7F8421A0A60}"/>
    <cellStyle name="20% - Accent3 4 5 4" xfId="18846" xr:uid="{A618D64B-0B0D-4FA0-A00E-074167F59F88}"/>
    <cellStyle name="20% - Accent3 4 5 5" xfId="10405" xr:uid="{959ED5BE-9A0F-4F28-A366-6945D666C860}"/>
    <cellStyle name="20% - Accent3 4 6" xfId="2287" xr:uid="{00000000-0005-0000-0000-0000CB010000}"/>
    <cellStyle name="20% - Accent3 4 6 2" xfId="6594" xr:uid="{00000000-0005-0000-0000-0000CC010000}"/>
    <cellStyle name="20% - Accent3 4 6 2 2" xfId="23477" xr:uid="{DF8CB000-092A-4BA6-9971-1968499189A5}"/>
    <cellStyle name="20% - Accent3 4 6 2 3" xfId="15036" xr:uid="{C5893F7D-41C3-40E6-B627-1A7F95439E79}"/>
    <cellStyle name="20% - Accent3 4 6 3" xfId="19259" xr:uid="{D0263E10-342B-4AAB-9B17-9747CBED7EAA}"/>
    <cellStyle name="20% - Accent3 4 6 4" xfId="10818" xr:uid="{AA5681A2-3F68-4EA8-814A-9456552245F8}"/>
    <cellStyle name="20% - Accent3 4 7" xfId="4528" xr:uid="{00000000-0005-0000-0000-0000CD010000}"/>
    <cellStyle name="20% - Accent3 4 7 2" xfId="21411" xr:uid="{CD2AED0F-BCB8-41C1-A852-D1BE080AB989}"/>
    <cellStyle name="20% - Accent3 4 7 3" xfId="12970" xr:uid="{0293D7D1-A661-4513-9081-F0DD28BB7B1C}"/>
    <cellStyle name="20% - Accent3 4 8" xfId="17193" xr:uid="{E267EE1D-2B7B-463F-9025-BCF1AA14A109}"/>
    <cellStyle name="20% - Accent3 4 9" xfId="8752" xr:uid="{A4DE184D-B226-469A-AB11-965D3A525578}"/>
    <cellStyle name="20% - Accent3 5" xfId="586" xr:uid="{00000000-0005-0000-0000-0000CE010000}"/>
    <cellStyle name="20% - Accent3 5 2" xfId="2857" xr:uid="{00000000-0005-0000-0000-0000CF010000}"/>
    <cellStyle name="20% - Accent3 5 2 2" xfId="7080" xr:uid="{00000000-0005-0000-0000-0000D0010000}"/>
    <cellStyle name="20% - Accent3 5 2 2 2" xfId="23963" xr:uid="{31C8DEFD-26B6-47B4-99F8-2DC5A5E8EFA0}"/>
    <cellStyle name="20% - Accent3 5 2 2 3" xfId="15522" xr:uid="{A573E3D4-08EA-45E3-8583-6DC8C79F30E9}"/>
    <cellStyle name="20% - Accent3 5 2 3" xfId="19745" xr:uid="{C31C8120-3151-45FB-8F31-F195058017CA}"/>
    <cellStyle name="20% - Accent3 5 2 4" xfId="11304" xr:uid="{EDB18A35-6189-4DAC-BED0-5BEF1157F576}"/>
    <cellStyle name="20% - Accent3 5 3" xfId="4935" xr:uid="{00000000-0005-0000-0000-0000D1010000}"/>
    <cellStyle name="20% - Accent3 5 3 2" xfId="21818" xr:uid="{33A59386-6BE4-4CAD-8A1E-537557C1B434}"/>
    <cellStyle name="20% - Accent3 5 3 3" xfId="13377" xr:uid="{ED5B9CEA-7A9A-4DF8-B176-DA8B19D6FE3C}"/>
    <cellStyle name="20% - Accent3 5 4" xfId="17600" xr:uid="{19984055-2044-49FC-9B9A-EEF5DCAA0764}"/>
    <cellStyle name="20% - Accent3 5 5" xfId="9159" xr:uid="{6DA92D0D-BBE4-418F-A45A-208984D16E5B}"/>
    <cellStyle name="20% - Accent3 6" xfId="1039" xr:uid="{00000000-0005-0000-0000-0000D2010000}"/>
    <cellStyle name="20% - Accent3 6 2" xfId="3270" xr:uid="{00000000-0005-0000-0000-0000D3010000}"/>
    <cellStyle name="20% - Accent3 6 2 2" xfId="7493" xr:uid="{00000000-0005-0000-0000-0000D4010000}"/>
    <cellStyle name="20% - Accent3 6 2 2 2" xfId="24376" xr:uid="{742C9167-E8E9-402C-B725-A1A074E12DDD}"/>
    <cellStyle name="20% - Accent3 6 2 2 3" xfId="15935" xr:uid="{FB5FB25D-F126-4EDE-84F4-5E06CCA1F1AE}"/>
    <cellStyle name="20% - Accent3 6 2 3" xfId="20158" xr:uid="{56E48215-34A5-4A09-BD9D-01055DAD2E74}"/>
    <cellStyle name="20% - Accent3 6 2 4" xfId="11717" xr:uid="{BDFB5E53-CCB0-4A63-B61B-085D7D59B35E}"/>
    <cellStyle name="20% - Accent3 6 3" xfId="5348" xr:uid="{00000000-0005-0000-0000-0000D5010000}"/>
    <cellStyle name="20% - Accent3 6 3 2" xfId="22231" xr:uid="{18ACDB15-0D33-4658-9F06-6BCBDB2081DF}"/>
    <cellStyle name="20% - Accent3 6 3 3" xfId="13790" xr:uid="{69295950-A1CD-4113-B4BE-4A2CE50BF0BE}"/>
    <cellStyle name="20% - Accent3 6 4" xfId="18013" xr:uid="{C600FAB4-001C-4D5D-A733-435B157ADF62}"/>
    <cellStyle name="20% - Accent3 6 5" xfId="9572" xr:uid="{6840083C-17B3-458B-A64C-C38B9189F67A}"/>
    <cellStyle name="20% - Accent3 7" xfId="1453" xr:uid="{00000000-0005-0000-0000-0000D6010000}"/>
    <cellStyle name="20% - Accent3 7 2" xfId="3683" xr:uid="{00000000-0005-0000-0000-0000D7010000}"/>
    <cellStyle name="20% - Accent3 7 2 2" xfId="7906" xr:uid="{00000000-0005-0000-0000-0000D8010000}"/>
    <cellStyle name="20% - Accent3 7 2 2 2" xfId="24789" xr:uid="{4F3A41FB-728E-4297-A7C1-BEC7422909F7}"/>
    <cellStyle name="20% - Accent3 7 2 2 3" xfId="16348" xr:uid="{D44BC7B1-55C2-4BB9-86D6-A14EB39415F8}"/>
    <cellStyle name="20% - Accent3 7 2 3" xfId="20571" xr:uid="{3B150E26-9F19-4E02-801C-6378BE923D43}"/>
    <cellStyle name="20% - Accent3 7 2 4" xfId="12130" xr:uid="{CF6AAD18-D2D7-4330-A4D9-D660E11D1F93}"/>
    <cellStyle name="20% - Accent3 7 3" xfId="5761" xr:uid="{00000000-0005-0000-0000-0000D9010000}"/>
    <cellStyle name="20% - Accent3 7 3 2" xfId="22644" xr:uid="{856F3958-485C-4B2A-B2CA-1A2BE43F6F70}"/>
    <cellStyle name="20% - Accent3 7 3 3" xfId="14203" xr:uid="{16E5AA6F-C99D-4C73-A209-7F0457E42BF8}"/>
    <cellStyle name="20% - Accent3 7 4" xfId="18426" xr:uid="{1D0B1EBD-5D24-4B89-9F75-FA88C2EA4A91}"/>
    <cellStyle name="20% - Accent3 7 5" xfId="9985" xr:uid="{9C96ABCD-6EE1-4230-B310-5E51A7E7A558}"/>
    <cellStyle name="20% - Accent3 8" xfId="1867" xr:uid="{00000000-0005-0000-0000-0000DA010000}"/>
    <cellStyle name="20% - Accent3 8 2" xfId="4096" xr:uid="{00000000-0005-0000-0000-0000DB010000}"/>
    <cellStyle name="20% - Accent3 8 2 2" xfId="8319" xr:uid="{00000000-0005-0000-0000-0000DC010000}"/>
    <cellStyle name="20% - Accent3 8 2 2 2" xfId="25202" xr:uid="{EAD6E6A7-EF23-4D1E-900D-981537E7438F}"/>
    <cellStyle name="20% - Accent3 8 2 2 3" xfId="16761" xr:uid="{0D98B944-9818-4E49-B503-4FB69EBEAC4C}"/>
    <cellStyle name="20% - Accent3 8 2 3" xfId="20984" xr:uid="{7B439D63-2B4E-4D13-B5F7-B59B01E6583C}"/>
    <cellStyle name="20% - Accent3 8 2 4" xfId="12543" xr:uid="{14C097C5-43A2-44A2-90F6-D4E785A0D9CD}"/>
    <cellStyle name="20% - Accent3 8 3" xfId="6174" xr:uid="{00000000-0005-0000-0000-0000DD010000}"/>
    <cellStyle name="20% - Accent3 8 3 2" xfId="23057" xr:uid="{1C1F9E97-0B99-4C82-B576-75D0602297CA}"/>
    <cellStyle name="20% - Accent3 8 3 3" xfId="14616" xr:uid="{8A271EE4-463A-48B1-AB4A-687CBFB19B30}"/>
    <cellStyle name="20% - Accent3 8 4" xfId="18839" xr:uid="{947EC59A-EE57-46FB-ABAB-74FB2F5E0DD8}"/>
    <cellStyle name="20% - Accent3 8 5" xfId="10398" xr:uid="{5DF2776C-B8E0-44AF-A136-6058DE4BCB31}"/>
    <cellStyle name="20% - Accent3 9" xfId="2280" xr:uid="{00000000-0005-0000-0000-0000DE010000}"/>
    <cellStyle name="20% - Accent3 9 2" xfId="6587" xr:uid="{00000000-0005-0000-0000-0000DF010000}"/>
    <cellStyle name="20% - Accent3 9 2 2" xfId="23470" xr:uid="{12AAFA26-5338-4BA6-BBA3-84D94F08594B}"/>
    <cellStyle name="20% - Accent3 9 2 3" xfId="15029" xr:uid="{561810E7-3E3F-40C5-A0F0-4D09C75AB58C}"/>
    <cellStyle name="20% - Accent3 9 3" xfId="19252" xr:uid="{4796C3C5-BAF9-4374-BC83-7B358A5AA189}"/>
    <cellStyle name="20% - Accent3 9 4" xfId="10811" xr:uid="{D9BFBF7A-37F4-49E6-951E-41DD40CB3134}"/>
    <cellStyle name="20% - Accent4" xfId="25" builtinId="42" customBuiltin="1"/>
    <cellStyle name="20% - Accent4 10" xfId="4529" xr:uid="{00000000-0005-0000-0000-0000E1010000}"/>
    <cellStyle name="20% - Accent4 10 2" xfId="21412" xr:uid="{4DBBF1A4-48CE-4BBB-A759-2F8765E0E655}"/>
    <cellStyle name="20% - Accent4 10 3" xfId="12971" xr:uid="{4DBCD63D-7B81-43C3-9944-33FE6A12720E}"/>
    <cellStyle name="20% - Accent4 11" xfId="17194" xr:uid="{97ACD3CD-08F1-441F-9884-004C76C2D909}"/>
    <cellStyle name="20% - Accent4 12" xfId="8753" xr:uid="{EF89184B-B203-4223-A9DB-340CFCBE685D}"/>
    <cellStyle name="20% - Accent4 2" xfId="26" xr:uid="{00000000-0005-0000-0000-0000E2010000}"/>
    <cellStyle name="20% - Accent4 2 10" xfId="17195" xr:uid="{FB78C6DF-57DB-4AC6-8D78-A08BCEC68F09}"/>
    <cellStyle name="20% - Accent4 2 11" xfId="8754" xr:uid="{143B9236-C136-4A16-8829-77BAF9C46F63}"/>
    <cellStyle name="20% - Accent4 2 2" xfId="27" xr:uid="{00000000-0005-0000-0000-0000E3010000}"/>
    <cellStyle name="20% - Accent4 2 2 10" xfId="8755" xr:uid="{1D2A3197-06B4-4E27-A645-F8DF00740BB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23974" xr:uid="{654E0621-B361-4048-97AC-8D84F2C22396}"/>
    <cellStyle name="20% - Accent4 2 2 2 2 2 2 3" xfId="15533" xr:uid="{1A8059E9-4638-423B-B91A-A2475BAA587F}"/>
    <cellStyle name="20% - Accent4 2 2 2 2 2 3" xfId="19756" xr:uid="{163AAA04-E266-43B5-AC60-4A36F3620C6F}"/>
    <cellStyle name="20% - Accent4 2 2 2 2 2 4" xfId="11315" xr:uid="{726F23D3-FD88-4815-A11C-B19CD8719C27}"/>
    <cellStyle name="20% - Accent4 2 2 2 2 3" xfId="4946" xr:uid="{00000000-0005-0000-0000-0000E8010000}"/>
    <cellStyle name="20% - Accent4 2 2 2 2 3 2" xfId="21829" xr:uid="{DDB3501F-A869-4727-9E4B-1567E7919397}"/>
    <cellStyle name="20% - Accent4 2 2 2 2 3 3" xfId="13388" xr:uid="{52DF8DEF-52FF-470A-8844-C0AE67E0E806}"/>
    <cellStyle name="20% - Accent4 2 2 2 2 4" xfId="17611" xr:uid="{1C9D05F4-B2FC-4EBA-AA21-E4112B422CF2}"/>
    <cellStyle name="20% - Accent4 2 2 2 2 5" xfId="9170" xr:uid="{7A18CE27-2B02-444C-90F8-6B1A9E58EE82}"/>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24387" xr:uid="{2C21B827-9D17-4DC5-A3AB-C4A9EDA09327}"/>
    <cellStyle name="20% - Accent4 2 2 2 3 2 2 3" xfId="15946" xr:uid="{D03C3EA7-3B77-4960-8EBD-9B5DD3218BA8}"/>
    <cellStyle name="20% - Accent4 2 2 2 3 2 3" xfId="20169" xr:uid="{7167E3D5-FC50-4990-8B7A-39ACC20C4213}"/>
    <cellStyle name="20% - Accent4 2 2 2 3 2 4" xfId="11728" xr:uid="{06973547-01AE-43B2-9856-B077FB1DF5CC}"/>
    <cellStyle name="20% - Accent4 2 2 2 3 3" xfId="5359" xr:uid="{00000000-0005-0000-0000-0000EC010000}"/>
    <cellStyle name="20% - Accent4 2 2 2 3 3 2" xfId="22242" xr:uid="{5ED07AEF-15C4-47F1-9CEA-D9D04391DD9F}"/>
    <cellStyle name="20% - Accent4 2 2 2 3 3 3" xfId="13801" xr:uid="{0B7DD5F4-37EF-44C5-8C9D-FEDD236EE05D}"/>
    <cellStyle name="20% - Accent4 2 2 2 3 4" xfId="18024" xr:uid="{D38FBA82-7593-4F0E-A86A-E9038BA9BBEF}"/>
    <cellStyle name="20% - Accent4 2 2 2 3 5" xfId="9583" xr:uid="{2D4894B4-A7BE-4812-BFFC-AD6CDDA311A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24800" xr:uid="{996613B8-A413-4DBA-B2A9-F037D93A789E}"/>
    <cellStyle name="20% - Accent4 2 2 2 4 2 2 3" xfId="16359" xr:uid="{85236E38-80F4-48DC-93DF-7FAFA9203057}"/>
    <cellStyle name="20% - Accent4 2 2 2 4 2 3" xfId="20582" xr:uid="{8D8F8B99-8933-4786-85C5-8AAF5FB74705}"/>
    <cellStyle name="20% - Accent4 2 2 2 4 2 4" xfId="12141" xr:uid="{2D2E0A71-30B8-4FFB-B9B8-8E218FDA14DE}"/>
    <cellStyle name="20% - Accent4 2 2 2 4 3" xfId="5772" xr:uid="{00000000-0005-0000-0000-0000F0010000}"/>
    <cellStyle name="20% - Accent4 2 2 2 4 3 2" xfId="22655" xr:uid="{A8F30D28-8553-45E6-9762-F753C78A5F96}"/>
    <cellStyle name="20% - Accent4 2 2 2 4 3 3" xfId="14214" xr:uid="{84EC0B2C-1D53-4856-ACAF-0BD11573E4D0}"/>
    <cellStyle name="20% - Accent4 2 2 2 4 4" xfId="18437" xr:uid="{3CEF9592-968A-4C7B-9C32-69897829134C}"/>
    <cellStyle name="20% - Accent4 2 2 2 4 5" xfId="9996" xr:uid="{7CF00C14-990B-4A2E-8571-266CF3BED80E}"/>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25213" xr:uid="{B56F0B62-F5C5-4B1A-AA4E-4584C53CA590}"/>
    <cellStyle name="20% - Accent4 2 2 2 5 2 2 3" xfId="16772" xr:uid="{AF91F520-0D46-4F32-BC4F-9FC1D5F170D7}"/>
    <cellStyle name="20% - Accent4 2 2 2 5 2 3" xfId="20995" xr:uid="{6A1F7685-A854-4D82-8D7E-EEDEB9AC2083}"/>
    <cellStyle name="20% - Accent4 2 2 2 5 2 4" xfId="12554" xr:uid="{42CACD98-82CB-4BD9-9E3A-4B4F0006CE24}"/>
    <cellStyle name="20% - Accent4 2 2 2 5 3" xfId="6185" xr:uid="{00000000-0005-0000-0000-0000F4010000}"/>
    <cellStyle name="20% - Accent4 2 2 2 5 3 2" xfId="23068" xr:uid="{83693C6A-5EAA-4EF5-9D45-7B47962FA67C}"/>
    <cellStyle name="20% - Accent4 2 2 2 5 3 3" xfId="14627" xr:uid="{1A18568D-8E6C-4050-99C4-1D6AAFAA3AD3}"/>
    <cellStyle name="20% - Accent4 2 2 2 5 4" xfId="18850" xr:uid="{EDC12941-8C9B-4065-9452-095FAFEF1781}"/>
    <cellStyle name="20% - Accent4 2 2 2 5 5" xfId="10409" xr:uid="{F3E91A68-E252-43C2-8772-2B2D72E5A0D6}"/>
    <cellStyle name="20% - Accent4 2 2 2 6" xfId="2291" xr:uid="{00000000-0005-0000-0000-0000F5010000}"/>
    <cellStyle name="20% - Accent4 2 2 2 6 2" xfId="6598" xr:uid="{00000000-0005-0000-0000-0000F6010000}"/>
    <cellStyle name="20% - Accent4 2 2 2 6 2 2" xfId="23481" xr:uid="{5C96ADEF-2F12-4DD3-A20C-D00FE0A7DD43}"/>
    <cellStyle name="20% - Accent4 2 2 2 6 2 3" xfId="15040" xr:uid="{83772C60-5BC1-491F-8E9F-781FC0100986}"/>
    <cellStyle name="20% - Accent4 2 2 2 6 3" xfId="19263" xr:uid="{0F80862B-12FD-475A-A3BA-D5E1AEEFE77B}"/>
    <cellStyle name="20% - Accent4 2 2 2 6 4" xfId="10822" xr:uid="{7176A72A-27CC-4156-9009-19C1A8930C6D}"/>
    <cellStyle name="20% - Accent4 2 2 2 7" xfId="4532" xr:uid="{00000000-0005-0000-0000-0000F7010000}"/>
    <cellStyle name="20% - Accent4 2 2 2 7 2" xfId="21415" xr:uid="{A26307E1-50DE-40D1-9999-69BED5158389}"/>
    <cellStyle name="20% - Accent4 2 2 2 7 3" xfId="12974" xr:uid="{22B846BD-31C2-44F1-A55D-A12029873445}"/>
    <cellStyle name="20% - Accent4 2 2 2 8" xfId="17197" xr:uid="{E2F70DDD-A78A-4815-9E51-89E7CF4CED47}"/>
    <cellStyle name="20% - Accent4 2 2 2 9" xfId="8756" xr:uid="{26A97BB5-F2B6-44FA-824E-367A4045AD3B}"/>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23973" xr:uid="{69C834B2-4D9C-428D-9074-049AB03D09CF}"/>
    <cellStyle name="20% - Accent4 2 2 3 2 2 3" xfId="15532" xr:uid="{7E1B5DF7-D3CE-457A-BF0E-EE94EC2001DD}"/>
    <cellStyle name="20% - Accent4 2 2 3 2 3" xfId="19755" xr:uid="{1567A8CB-318F-4015-9375-AF0C8A98CE1A}"/>
    <cellStyle name="20% - Accent4 2 2 3 2 4" xfId="11314" xr:uid="{1EEA612E-9E02-4934-8531-7D5F7EAE936E}"/>
    <cellStyle name="20% - Accent4 2 2 3 3" xfId="4945" xr:uid="{00000000-0005-0000-0000-0000FB010000}"/>
    <cellStyle name="20% - Accent4 2 2 3 3 2" xfId="21828" xr:uid="{5A9B6A39-517E-4F2A-8869-3566F756FE4B}"/>
    <cellStyle name="20% - Accent4 2 2 3 3 3" xfId="13387" xr:uid="{D9D7CAB7-AE37-475C-B409-BCC5782ECFDC}"/>
    <cellStyle name="20% - Accent4 2 2 3 4" xfId="17610" xr:uid="{A328B67B-F846-4406-BA9F-ACD795BA8A27}"/>
    <cellStyle name="20% - Accent4 2 2 3 5" xfId="9169" xr:uid="{79FC036F-E83F-451A-8E70-BC4E7466AA88}"/>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24386" xr:uid="{E64A5168-452A-4BFB-A32E-697112CC5986}"/>
    <cellStyle name="20% - Accent4 2 2 4 2 2 3" xfId="15945" xr:uid="{A99D104D-B333-486C-B0ED-4D9C4A895E8C}"/>
    <cellStyle name="20% - Accent4 2 2 4 2 3" xfId="20168" xr:uid="{33A060FC-862B-4C91-AF38-8D9EA1192283}"/>
    <cellStyle name="20% - Accent4 2 2 4 2 4" xfId="11727" xr:uid="{6605A7E1-03CF-4B43-AB62-774F6254F0D8}"/>
    <cellStyle name="20% - Accent4 2 2 4 3" xfId="5358" xr:uid="{00000000-0005-0000-0000-0000FF010000}"/>
    <cellStyle name="20% - Accent4 2 2 4 3 2" xfId="22241" xr:uid="{6EFC4765-A3E4-44A9-BAA1-9AC8E19E48BA}"/>
    <cellStyle name="20% - Accent4 2 2 4 3 3" xfId="13800" xr:uid="{DFD31612-5805-4ABD-9F1B-CA2ACECBA860}"/>
    <cellStyle name="20% - Accent4 2 2 4 4" xfId="18023" xr:uid="{E71E9DD9-5BAC-4A00-A13E-9D3CEA9EBD04}"/>
    <cellStyle name="20% - Accent4 2 2 4 5" xfId="9582" xr:uid="{21C99C5F-0E1F-4915-BDBD-069907EFC918}"/>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24799" xr:uid="{65F843E8-B35D-4A97-B561-C535599AD3DC}"/>
    <cellStyle name="20% - Accent4 2 2 5 2 2 3" xfId="16358" xr:uid="{714B1124-B252-4134-A383-9F1D56B4AFB5}"/>
    <cellStyle name="20% - Accent4 2 2 5 2 3" xfId="20581" xr:uid="{8F295415-0AD5-4EAB-989B-36CF8464A923}"/>
    <cellStyle name="20% - Accent4 2 2 5 2 4" xfId="12140" xr:uid="{8DE17191-B8B5-48DC-B307-0FC11C258438}"/>
    <cellStyle name="20% - Accent4 2 2 5 3" xfId="5771" xr:uid="{00000000-0005-0000-0000-000003020000}"/>
    <cellStyle name="20% - Accent4 2 2 5 3 2" xfId="22654" xr:uid="{9491787A-48EA-45B0-ABDD-3518B173228B}"/>
    <cellStyle name="20% - Accent4 2 2 5 3 3" xfId="14213" xr:uid="{A51361FB-6AA5-4538-BEF2-E7465292A4FC}"/>
    <cellStyle name="20% - Accent4 2 2 5 4" xfId="18436" xr:uid="{EF1A71C2-6E14-4DE2-AD16-6641AA9FC7EC}"/>
    <cellStyle name="20% - Accent4 2 2 5 5" xfId="9995" xr:uid="{5F558D6B-380B-4494-9BBC-939D763F538B}"/>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25212" xr:uid="{65C1C6F6-5A7C-469E-B35D-C4F869C00F7E}"/>
    <cellStyle name="20% - Accent4 2 2 6 2 2 3" xfId="16771" xr:uid="{AA28DAF5-F53F-478D-B6FF-C5BA5812291E}"/>
    <cellStyle name="20% - Accent4 2 2 6 2 3" xfId="20994" xr:uid="{25B80398-23FD-467F-A5F8-7B120E38F4D2}"/>
    <cellStyle name="20% - Accent4 2 2 6 2 4" xfId="12553" xr:uid="{350B4AFE-C85B-4EE4-A429-2DC4E5B237B2}"/>
    <cellStyle name="20% - Accent4 2 2 6 3" xfId="6184" xr:uid="{00000000-0005-0000-0000-000007020000}"/>
    <cellStyle name="20% - Accent4 2 2 6 3 2" xfId="23067" xr:uid="{27A3F3B9-14A3-48F0-8F49-2BF622B6E2B0}"/>
    <cellStyle name="20% - Accent4 2 2 6 3 3" xfId="14626" xr:uid="{9FFF92FA-85BD-4E93-8BA2-A9B5FC34B2FA}"/>
    <cellStyle name="20% - Accent4 2 2 6 4" xfId="18849" xr:uid="{0381DAB6-F16C-43EF-9511-7FD9E6CDEFCA}"/>
    <cellStyle name="20% - Accent4 2 2 6 5" xfId="10408" xr:uid="{40A885A3-F5E3-492C-911E-1AD63FCC3283}"/>
    <cellStyle name="20% - Accent4 2 2 7" xfId="2290" xr:uid="{00000000-0005-0000-0000-000008020000}"/>
    <cellStyle name="20% - Accent4 2 2 7 2" xfId="6597" xr:uid="{00000000-0005-0000-0000-000009020000}"/>
    <cellStyle name="20% - Accent4 2 2 7 2 2" xfId="23480" xr:uid="{892290B9-43CF-41E8-B155-B859EB763F5E}"/>
    <cellStyle name="20% - Accent4 2 2 7 2 3" xfId="15039" xr:uid="{280830D6-74AB-4178-913E-7E15C5B790E1}"/>
    <cellStyle name="20% - Accent4 2 2 7 3" xfId="19262" xr:uid="{B267432C-031A-44BC-A448-572F142F2617}"/>
    <cellStyle name="20% - Accent4 2 2 7 4" xfId="10821" xr:uid="{C2077BE8-9ABE-4F7E-92F4-40BF07C245C4}"/>
    <cellStyle name="20% - Accent4 2 2 8" xfId="4531" xr:uid="{00000000-0005-0000-0000-00000A020000}"/>
    <cellStyle name="20% - Accent4 2 2 8 2" xfId="21414" xr:uid="{E527D6B5-CAFF-4777-91C4-3753EFCDCC52}"/>
    <cellStyle name="20% - Accent4 2 2 8 3" xfId="12973" xr:uid="{6B1E2AFE-4CAD-4F35-B389-B70BEE06B7B4}"/>
    <cellStyle name="20% - Accent4 2 2 9" xfId="17196" xr:uid="{725E0E7E-D3B1-43B7-AA81-BF4F210AE8F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23975" xr:uid="{A4DDCAC3-3377-4B9E-A87D-3EE5CE09F4DB}"/>
    <cellStyle name="20% - Accent4 2 3 2 2 2 3" xfId="15534" xr:uid="{F9F14B55-E9E6-498A-9BC7-03D58654C4E4}"/>
    <cellStyle name="20% - Accent4 2 3 2 2 3" xfId="19757" xr:uid="{2BE73C62-9804-43C6-BD8E-D32AB3CF66FD}"/>
    <cellStyle name="20% - Accent4 2 3 2 2 4" xfId="11316" xr:uid="{D8CB0555-E2C1-4E3C-A891-AB456475E13E}"/>
    <cellStyle name="20% - Accent4 2 3 2 3" xfId="4947" xr:uid="{00000000-0005-0000-0000-00000F020000}"/>
    <cellStyle name="20% - Accent4 2 3 2 3 2" xfId="21830" xr:uid="{8D28536A-845B-4800-918D-B7FF660ECE5E}"/>
    <cellStyle name="20% - Accent4 2 3 2 3 3" xfId="13389" xr:uid="{C27C6402-D588-4D43-8FAD-A5B046669DC3}"/>
    <cellStyle name="20% - Accent4 2 3 2 4" xfId="17612" xr:uid="{D2839524-3C60-434A-B9F0-E832B2FBD377}"/>
    <cellStyle name="20% - Accent4 2 3 2 5" xfId="9171" xr:uid="{E42ECF98-DA04-4D4D-BB99-B66849A8B04F}"/>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24388" xr:uid="{77E64CC5-E84A-4F41-980E-6B79137BE3C4}"/>
    <cellStyle name="20% - Accent4 2 3 3 2 2 3" xfId="15947" xr:uid="{D5C63BF4-2F7B-4E73-AEA0-A8E6E46A92D6}"/>
    <cellStyle name="20% - Accent4 2 3 3 2 3" xfId="20170" xr:uid="{A35F864B-5E5A-4329-B357-602633E2A6EA}"/>
    <cellStyle name="20% - Accent4 2 3 3 2 4" xfId="11729" xr:uid="{CF4B9389-A680-4F5C-BC07-8000E3E792A3}"/>
    <cellStyle name="20% - Accent4 2 3 3 3" xfId="5360" xr:uid="{00000000-0005-0000-0000-000013020000}"/>
    <cellStyle name="20% - Accent4 2 3 3 3 2" xfId="22243" xr:uid="{12407FA1-5ABE-4903-AC95-C491EFAE3EF8}"/>
    <cellStyle name="20% - Accent4 2 3 3 3 3" xfId="13802" xr:uid="{7C2D16E3-0EB8-47E9-981A-51E7B59E7747}"/>
    <cellStyle name="20% - Accent4 2 3 3 4" xfId="18025" xr:uid="{4DD85557-D120-4515-89B8-F80F6CD5955D}"/>
    <cellStyle name="20% - Accent4 2 3 3 5" xfId="9584" xr:uid="{1175135E-4546-4CC0-84FB-6CEAD207E2FE}"/>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24801" xr:uid="{2C247C7A-DEE9-405A-A3E5-A1282553AC03}"/>
    <cellStyle name="20% - Accent4 2 3 4 2 2 3" xfId="16360" xr:uid="{7D28803F-31CD-4A1F-A626-51A40CF41EF7}"/>
    <cellStyle name="20% - Accent4 2 3 4 2 3" xfId="20583" xr:uid="{E9BB58B1-099B-4F13-9E9D-8AA3DC1442EB}"/>
    <cellStyle name="20% - Accent4 2 3 4 2 4" xfId="12142" xr:uid="{3BB55A8B-DBC4-4EAD-95F5-1EDBDAAAE6FC}"/>
    <cellStyle name="20% - Accent4 2 3 4 3" xfId="5773" xr:uid="{00000000-0005-0000-0000-000017020000}"/>
    <cellStyle name="20% - Accent4 2 3 4 3 2" xfId="22656" xr:uid="{34E9830A-C781-439B-A2A2-EBE854CA1474}"/>
    <cellStyle name="20% - Accent4 2 3 4 3 3" xfId="14215" xr:uid="{EB29F784-67A2-4431-985C-E6A8F5E5BAF4}"/>
    <cellStyle name="20% - Accent4 2 3 4 4" xfId="18438" xr:uid="{98509C11-2384-434E-8A9E-0F236510E798}"/>
    <cellStyle name="20% - Accent4 2 3 4 5" xfId="9997" xr:uid="{ACA39AFC-FA23-44E3-B63B-E43E84F2367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25214" xr:uid="{9D4046C8-FD00-4C24-83E0-B9DD9F2EDA9B}"/>
    <cellStyle name="20% - Accent4 2 3 5 2 2 3" xfId="16773" xr:uid="{85411602-42D8-447B-91E7-303819A657A0}"/>
    <cellStyle name="20% - Accent4 2 3 5 2 3" xfId="20996" xr:uid="{47F0049A-1047-42F5-83F9-5D2FAF92447B}"/>
    <cellStyle name="20% - Accent4 2 3 5 2 4" xfId="12555" xr:uid="{E36C596C-6616-4480-9B09-8A964F6871EC}"/>
    <cellStyle name="20% - Accent4 2 3 5 3" xfId="6186" xr:uid="{00000000-0005-0000-0000-00001B020000}"/>
    <cellStyle name="20% - Accent4 2 3 5 3 2" xfId="23069" xr:uid="{532E03D4-8F8C-4C64-98D7-B8B15EB15A44}"/>
    <cellStyle name="20% - Accent4 2 3 5 3 3" xfId="14628" xr:uid="{5B754F63-3596-4DE4-AD1D-D841768FD9BA}"/>
    <cellStyle name="20% - Accent4 2 3 5 4" xfId="18851" xr:uid="{3477E0CF-446F-43F3-86C8-F4DA83D7D1C1}"/>
    <cellStyle name="20% - Accent4 2 3 5 5" xfId="10410" xr:uid="{E1E8C0D6-7C7D-4C69-BD23-F3648F3C670D}"/>
    <cellStyle name="20% - Accent4 2 3 6" xfId="2292" xr:uid="{00000000-0005-0000-0000-00001C020000}"/>
    <cellStyle name="20% - Accent4 2 3 6 2" xfId="6599" xr:uid="{00000000-0005-0000-0000-00001D020000}"/>
    <cellStyle name="20% - Accent4 2 3 6 2 2" xfId="23482" xr:uid="{D29B6788-50A8-4EFB-B8CB-C9F4073C8FEF}"/>
    <cellStyle name="20% - Accent4 2 3 6 2 3" xfId="15041" xr:uid="{E16E5301-0694-430A-A65F-945B58140594}"/>
    <cellStyle name="20% - Accent4 2 3 6 3" xfId="19264" xr:uid="{1ED066A9-02CE-4363-A98C-B044AE534A55}"/>
    <cellStyle name="20% - Accent4 2 3 6 4" xfId="10823" xr:uid="{FC2215CB-DB0F-44CE-B378-067BDD338600}"/>
    <cellStyle name="20% - Accent4 2 3 7" xfId="4533" xr:uid="{00000000-0005-0000-0000-00001E020000}"/>
    <cellStyle name="20% - Accent4 2 3 7 2" xfId="21416" xr:uid="{EE91679D-9ED2-4D56-88A9-B8EB3DD7DA97}"/>
    <cellStyle name="20% - Accent4 2 3 7 3" xfId="12975" xr:uid="{641E713B-9A7B-4706-A2F0-27CDA766A3CA}"/>
    <cellStyle name="20% - Accent4 2 3 8" xfId="17198" xr:uid="{ADDA0980-6EE3-4652-9958-B7A32295BF04}"/>
    <cellStyle name="20% - Accent4 2 3 9" xfId="8757" xr:uid="{56FE9D51-6E2C-41E8-BBC1-EB9E4CAD27D8}"/>
    <cellStyle name="20% - Accent4 2 4" xfId="595" xr:uid="{00000000-0005-0000-0000-00001F020000}"/>
    <cellStyle name="20% - Accent4 2 4 2" xfId="2866" xr:uid="{00000000-0005-0000-0000-000020020000}"/>
    <cellStyle name="20% - Accent4 2 4 2 2" xfId="7089" xr:uid="{00000000-0005-0000-0000-000021020000}"/>
    <cellStyle name="20% - Accent4 2 4 2 2 2" xfId="23972" xr:uid="{BA65F56E-9598-4253-9C39-96F0258FC95E}"/>
    <cellStyle name="20% - Accent4 2 4 2 2 3" xfId="15531" xr:uid="{3A176913-D340-4BDF-AED9-B6A4BEB78A4E}"/>
    <cellStyle name="20% - Accent4 2 4 2 3" xfId="19754" xr:uid="{5DC55483-10DD-4B67-B5F6-E79E821DDB64}"/>
    <cellStyle name="20% - Accent4 2 4 2 4" xfId="11313" xr:uid="{952459DE-CFAF-4182-BF1D-C7C5479BB046}"/>
    <cellStyle name="20% - Accent4 2 4 3" xfId="4944" xr:uid="{00000000-0005-0000-0000-000022020000}"/>
    <cellStyle name="20% - Accent4 2 4 3 2" xfId="21827" xr:uid="{17E9030C-E36C-458D-A9FC-CD59131924BD}"/>
    <cellStyle name="20% - Accent4 2 4 3 3" xfId="13386" xr:uid="{D64151EB-F2FE-4623-866A-9C1A44B4ED5B}"/>
    <cellStyle name="20% - Accent4 2 4 4" xfId="17609" xr:uid="{1D6837D8-61DF-403D-8D6B-AE2E460E6054}"/>
    <cellStyle name="20% - Accent4 2 4 5" xfId="9168" xr:uid="{5E172451-D4ED-4C41-B132-1590705E9C23}"/>
    <cellStyle name="20% - Accent4 2 5" xfId="1048" xr:uid="{00000000-0005-0000-0000-000023020000}"/>
    <cellStyle name="20% - Accent4 2 5 2" xfId="3279" xr:uid="{00000000-0005-0000-0000-000024020000}"/>
    <cellStyle name="20% - Accent4 2 5 2 2" xfId="7502" xr:uid="{00000000-0005-0000-0000-000025020000}"/>
    <cellStyle name="20% - Accent4 2 5 2 2 2" xfId="24385" xr:uid="{0399019A-D11F-414E-85AE-19EF7697626B}"/>
    <cellStyle name="20% - Accent4 2 5 2 2 3" xfId="15944" xr:uid="{B3C7BE58-49ED-4C41-8C54-8A5C25E90609}"/>
    <cellStyle name="20% - Accent4 2 5 2 3" xfId="20167" xr:uid="{359A9C78-2818-4FC1-8418-EF5D8E22D516}"/>
    <cellStyle name="20% - Accent4 2 5 2 4" xfId="11726" xr:uid="{EF9CBAF7-935F-49A2-B1B5-A595F2E1E9DB}"/>
    <cellStyle name="20% - Accent4 2 5 3" xfId="5357" xr:uid="{00000000-0005-0000-0000-000026020000}"/>
    <cellStyle name="20% - Accent4 2 5 3 2" xfId="22240" xr:uid="{94D42CA6-1221-4480-B502-D3DB6F2A42DC}"/>
    <cellStyle name="20% - Accent4 2 5 3 3" xfId="13799" xr:uid="{A16AE599-07EE-4D5B-9EF5-4E84CECF52DD}"/>
    <cellStyle name="20% - Accent4 2 5 4" xfId="18022" xr:uid="{34F2FCB2-6DC8-4245-9DC8-570C973B7474}"/>
    <cellStyle name="20% - Accent4 2 5 5" xfId="9581" xr:uid="{A84BA67A-6450-43E7-BFE8-0097510647C7}"/>
    <cellStyle name="20% - Accent4 2 6" xfId="1462" xr:uid="{00000000-0005-0000-0000-000027020000}"/>
    <cellStyle name="20% - Accent4 2 6 2" xfId="3692" xr:uid="{00000000-0005-0000-0000-000028020000}"/>
    <cellStyle name="20% - Accent4 2 6 2 2" xfId="7915" xr:uid="{00000000-0005-0000-0000-000029020000}"/>
    <cellStyle name="20% - Accent4 2 6 2 2 2" xfId="24798" xr:uid="{A8B15D16-A346-48CD-AD2D-1BBA8A5FDCE1}"/>
    <cellStyle name="20% - Accent4 2 6 2 2 3" xfId="16357" xr:uid="{E7654861-FC21-4280-87B4-9F1D60CCFF55}"/>
    <cellStyle name="20% - Accent4 2 6 2 3" xfId="20580" xr:uid="{5CA0AF25-D275-4CDC-AAA0-A4B0275FCB3A}"/>
    <cellStyle name="20% - Accent4 2 6 2 4" xfId="12139" xr:uid="{1EAA572D-4507-4D85-93CD-2D9015941204}"/>
    <cellStyle name="20% - Accent4 2 6 3" xfId="5770" xr:uid="{00000000-0005-0000-0000-00002A020000}"/>
    <cellStyle name="20% - Accent4 2 6 3 2" xfId="22653" xr:uid="{59BB7FAF-81BE-40BC-8AFD-4A16D9FCA80E}"/>
    <cellStyle name="20% - Accent4 2 6 3 3" xfId="14212" xr:uid="{165DF880-5CC8-491A-96D0-B1B790FF41AF}"/>
    <cellStyle name="20% - Accent4 2 6 4" xfId="18435" xr:uid="{E321F502-66EF-4D86-96C9-7F101C9111FD}"/>
    <cellStyle name="20% - Accent4 2 6 5" xfId="9994" xr:uid="{66147FF6-9A80-481F-8AC9-54D956253F1E}"/>
    <cellStyle name="20% - Accent4 2 7" xfId="1876" xr:uid="{00000000-0005-0000-0000-00002B020000}"/>
    <cellStyle name="20% - Accent4 2 7 2" xfId="4105" xr:uid="{00000000-0005-0000-0000-00002C020000}"/>
    <cellStyle name="20% - Accent4 2 7 2 2" xfId="8328" xr:uid="{00000000-0005-0000-0000-00002D020000}"/>
    <cellStyle name="20% - Accent4 2 7 2 2 2" xfId="25211" xr:uid="{C0A45697-5AC0-42CF-AC31-2A752B83B384}"/>
    <cellStyle name="20% - Accent4 2 7 2 2 3" xfId="16770" xr:uid="{17EA43F5-3F5C-4886-ABB6-BF35CF4FF975}"/>
    <cellStyle name="20% - Accent4 2 7 2 3" xfId="20993" xr:uid="{CF2DAB8A-25F8-4A99-ABCD-25784EFFF88B}"/>
    <cellStyle name="20% - Accent4 2 7 2 4" xfId="12552" xr:uid="{416F718A-9752-4DAD-8CFD-CFA5A03C4486}"/>
    <cellStyle name="20% - Accent4 2 7 3" xfId="6183" xr:uid="{00000000-0005-0000-0000-00002E020000}"/>
    <cellStyle name="20% - Accent4 2 7 3 2" xfId="23066" xr:uid="{BE45A7E3-FD2C-4AD7-88AF-BF8AFA1CD222}"/>
    <cellStyle name="20% - Accent4 2 7 3 3" xfId="14625" xr:uid="{E1DB6445-57F9-4D34-BD28-A1ED3989D28F}"/>
    <cellStyle name="20% - Accent4 2 7 4" xfId="18848" xr:uid="{E95743FB-F2B2-4539-840F-DA3045830A8A}"/>
    <cellStyle name="20% - Accent4 2 7 5" xfId="10407" xr:uid="{97C33642-2A37-44D1-A6E2-05C2A3E38D33}"/>
    <cellStyle name="20% - Accent4 2 8" xfId="2289" xr:uid="{00000000-0005-0000-0000-00002F020000}"/>
    <cellStyle name="20% - Accent4 2 8 2" xfId="6596" xr:uid="{00000000-0005-0000-0000-000030020000}"/>
    <cellStyle name="20% - Accent4 2 8 2 2" xfId="23479" xr:uid="{F2B50960-7AC3-4000-9C50-FF1336173FA3}"/>
    <cellStyle name="20% - Accent4 2 8 2 3" xfId="15038" xr:uid="{93473065-21A6-448B-A9F3-D8F829A27338}"/>
    <cellStyle name="20% - Accent4 2 8 3" xfId="19261" xr:uid="{80AEB76E-D411-4087-94F8-B68468E65B5C}"/>
    <cellStyle name="20% - Accent4 2 8 4" xfId="10820" xr:uid="{8D3AD90D-E70F-4894-B122-913FDE8E4E32}"/>
    <cellStyle name="20% - Accent4 2 9" xfId="4530" xr:uid="{00000000-0005-0000-0000-000031020000}"/>
    <cellStyle name="20% - Accent4 2 9 2" xfId="21413" xr:uid="{BCEA1FC5-9670-4C4D-923B-0B519B696015}"/>
    <cellStyle name="20% - Accent4 2 9 3" xfId="12972" xr:uid="{52BE44E8-9D59-4B14-86F3-CE00ECDB96F7}"/>
    <cellStyle name="20% - Accent4 3" xfId="30" xr:uid="{00000000-0005-0000-0000-000032020000}"/>
    <cellStyle name="20% - Accent4 3 10" xfId="8758" xr:uid="{7181D668-B043-45DD-B6DD-6B799B58B49C}"/>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23977" xr:uid="{DD1961FA-229D-4110-866F-9CDAD562733C}"/>
    <cellStyle name="20% - Accent4 3 2 2 2 2 3" xfId="15536" xr:uid="{CE1E8CAA-5F5C-4C9B-B4EB-E943060AB30A}"/>
    <cellStyle name="20% - Accent4 3 2 2 2 3" xfId="19759" xr:uid="{067FAC71-C987-40D7-9FB7-2654197995AA}"/>
    <cellStyle name="20% - Accent4 3 2 2 2 4" xfId="11318" xr:uid="{BECC8497-3BC1-4463-A080-5C7FB20F153B}"/>
    <cellStyle name="20% - Accent4 3 2 2 3" xfId="4949" xr:uid="{00000000-0005-0000-0000-000037020000}"/>
    <cellStyle name="20% - Accent4 3 2 2 3 2" xfId="21832" xr:uid="{E9633777-0F20-405C-8100-26DBA5D03705}"/>
    <cellStyle name="20% - Accent4 3 2 2 3 3" xfId="13391" xr:uid="{ACB9A5A0-2604-4C76-AB86-AA140725C6FE}"/>
    <cellStyle name="20% - Accent4 3 2 2 4" xfId="17614" xr:uid="{A1F57E53-15E0-47FB-A717-36CDFF73DF03}"/>
    <cellStyle name="20% - Accent4 3 2 2 5" xfId="9173" xr:uid="{79A0D2CF-787D-44CB-8E7B-62ED554D8DB3}"/>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24390" xr:uid="{BFE696E2-CC48-4B78-B979-D4CC01EC846A}"/>
    <cellStyle name="20% - Accent4 3 2 3 2 2 3" xfId="15949" xr:uid="{28192D01-D772-4A35-90B7-BE1F19FBC19C}"/>
    <cellStyle name="20% - Accent4 3 2 3 2 3" xfId="20172" xr:uid="{C07D157F-4742-4007-AABB-3D3914565F35}"/>
    <cellStyle name="20% - Accent4 3 2 3 2 4" xfId="11731" xr:uid="{8FC115C6-C025-4610-B6B0-FC7E8E5A0733}"/>
    <cellStyle name="20% - Accent4 3 2 3 3" xfId="5362" xr:uid="{00000000-0005-0000-0000-00003B020000}"/>
    <cellStyle name="20% - Accent4 3 2 3 3 2" xfId="22245" xr:uid="{3201D61E-F444-4821-9A07-31EB87F256A8}"/>
    <cellStyle name="20% - Accent4 3 2 3 3 3" xfId="13804" xr:uid="{F8A39BE6-0C8E-41F4-8735-FF5FDD1123B6}"/>
    <cellStyle name="20% - Accent4 3 2 3 4" xfId="18027" xr:uid="{F9F836F7-02B5-4D6D-9348-603E3D08DB60}"/>
    <cellStyle name="20% - Accent4 3 2 3 5" xfId="9586" xr:uid="{B59EA105-889C-4849-8A6D-04D5DF1E7345}"/>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24803" xr:uid="{1A2B2DFD-9FB2-4145-98E9-E67BEEBD5F73}"/>
    <cellStyle name="20% - Accent4 3 2 4 2 2 3" xfId="16362" xr:uid="{0B4A2E82-574F-467B-93C6-3482F356F4E4}"/>
    <cellStyle name="20% - Accent4 3 2 4 2 3" xfId="20585" xr:uid="{F5DBF6A8-4431-4864-8847-F44D6579C262}"/>
    <cellStyle name="20% - Accent4 3 2 4 2 4" xfId="12144" xr:uid="{84483455-4F02-4AC9-8C5A-4E52FE176B9D}"/>
    <cellStyle name="20% - Accent4 3 2 4 3" xfId="5775" xr:uid="{00000000-0005-0000-0000-00003F020000}"/>
    <cellStyle name="20% - Accent4 3 2 4 3 2" xfId="22658" xr:uid="{1A57604A-6276-4132-8438-3A838CE2C703}"/>
    <cellStyle name="20% - Accent4 3 2 4 3 3" xfId="14217" xr:uid="{80F92D0A-0E20-4EA9-9FF5-C5C0FA2FF7C3}"/>
    <cellStyle name="20% - Accent4 3 2 4 4" xfId="18440" xr:uid="{8A9F4F2D-4736-47A3-8118-99F6FFE7ED41}"/>
    <cellStyle name="20% - Accent4 3 2 4 5" xfId="9999" xr:uid="{2E768E04-51EF-4E54-9FF6-E39135FAF1D1}"/>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25216" xr:uid="{01EF23C5-2D2F-46E2-A969-BEF9A8074BCC}"/>
    <cellStyle name="20% - Accent4 3 2 5 2 2 3" xfId="16775" xr:uid="{4BDB5878-2EDA-4AD4-9696-FCAD994DF14E}"/>
    <cellStyle name="20% - Accent4 3 2 5 2 3" xfId="20998" xr:uid="{87328A95-679A-4844-B081-FB0F916EFD0B}"/>
    <cellStyle name="20% - Accent4 3 2 5 2 4" xfId="12557" xr:uid="{B035FA17-76DB-4A4B-B749-3601A427D6FB}"/>
    <cellStyle name="20% - Accent4 3 2 5 3" xfId="6188" xr:uid="{00000000-0005-0000-0000-000043020000}"/>
    <cellStyle name="20% - Accent4 3 2 5 3 2" xfId="23071" xr:uid="{DD8E72AA-3F37-4899-8EE9-8773D0DF6DF6}"/>
    <cellStyle name="20% - Accent4 3 2 5 3 3" xfId="14630" xr:uid="{CAEE72E3-4E08-493D-93D2-E67D51731291}"/>
    <cellStyle name="20% - Accent4 3 2 5 4" xfId="18853" xr:uid="{450AE4B1-0662-4E70-A861-4A51E8575A01}"/>
    <cellStyle name="20% - Accent4 3 2 5 5" xfId="10412" xr:uid="{49936985-9DA9-4ED7-9B6C-EE607A9E2DCB}"/>
    <cellStyle name="20% - Accent4 3 2 6" xfId="2294" xr:uid="{00000000-0005-0000-0000-000044020000}"/>
    <cellStyle name="20% - Accent4 3 2 6 2" xfId="6601" xr:uid="{00000000-0005-0000-0000-000045020000}"/>
    <cellStyle name="20% - Accent4 3 2 6 2 2" xfId="23484" xr:uid="{3D83B6F0-2CF1-48D2-8244-157FD5863E43}"/>
    <cellStyle name="20% - Accent4 3 2 6 2 3" xfId="15043" xr:uid="{73F5177A-DA34-44EE-9A51-2114C02A4ED7}"/>
    <cellStyle name="20% - Accent4 3 2 6 3" xfId="19266" xr:uid="{6F61565A-EABF-4418-B578-5B408614FA28}"/>
    <cellStyle name="20% - Accent4 3 2 6 4" xfId="10825" xr:uid="{5655CE43-C777-479F-8283-483D0A2DFBED}"/>
    <cellStyle name="20% - Accent4 3 2 7" xfId="4535" xr:uid="{00000000-0005-0000-0000-000046020000}"/>
    <cellStyle name="20% - Accent4 3 2 7 2" xfId="21418" xr:uid="{996EE6A4-6D81-4275-B5DB-4AA9A91B47D4}"/>
    <cellStyle name="20% - Accent4 3 2 7 3" xfId="12977" xr:uid="{D4AAAD8C-A84F-4249-807C-E8E52518E394}"/>
    <cellStyle name="20% - Accent4 3 2 8" xfId="17200" xr:uid="{044431FB-6C13-44A5-95BA-C9B36DF1BE68}"/>
    <cellStyle name="20% - Accent4 3 2 9" xfId="8759" xr:uid="{0D8ECBC1-63D4-4EF6-9C17-08B3C335D21D}"/>
    <cellStyle name="20% - Accent4 3 3" xfId="599" xr:uid="{00000000-0005-0000-0000-000047020000}"/>
    <cellStyle name="20% - Accent4 3 3 2" xfId="2870" xr:uid="{00000000-0005-0000-0000-000048020000}"/>
    <cellStyle name="20% - Accent4 3 3 2 2" xfId="7093" xr:uid="{00000000-0005-0000-0000-000049020000}"/>
    <cellStyle name="20% - Accent4 3 3 2 2 2" xfId="23976" xr:uid="{5F0223F1-A1AE-49F9-B1EE-F5EFEBF8077D}"/>
    <cellStyle name="20% - Accent4 3 3 2 2 3" xfId="15535" xr:uid="{15EB577A-D849-4482-A6D4-3EE79B2CBD20}"/>
    <cellStyle name="20% - Accent4 3 3 2 3" xfId="19758" xr:uid="{AABCD9A5-3731-48BA-B068-3F88913D8274}"/>
    <cellStyle name="20% - Accent4 3 3 2 4" xfId="11317" xr:uid="{52B468EC-EBF9-4A33-AED0-16233C1B2B8C}"/>
    <cellStyle name="20% - Accent4 3 3 3" xfId="4948" xr:uid="{00000000-0005-0000-0000-00004A020000}"/>
    <cellStyle name="20% - Accent4 3 3 3 2" xfId="21831" xr:uid="{599DFE87-CE14-43D0-A3A5-98FEA8441086}"/>
    <cellStyle name="20% - Accent4 3 3 3 3" xfId="13390" xr:uid="{D624EB02-F405-4984-85EF-4154B123C2A3}"/>
    <cellStyle name="20% - Accent4 3 3 4" xfId="17613" xr:uid="{B0CA9F4C-A7AF-4852-A770-82E2DC1FCE8A}"/>
    <cellStyle name="20% - Accent4 3 3 5" xfId="9172" xr:uid="{7AE4A9A4-2CA9-486E-9777-9733D6F0E9BB}"/>
    <cellStyle name="20% - Accent4 3 4" xfId="1052" xr:uid="{00000000-0005-0000-0000-00004B020000}"/>
    <cellStyle name="20% - Accent4 3 4 2" xfId="3283" xr:uid="{00000000-0005-0000-0000-00004C020000}"/>
    <cellStyle name="20% - Accent4 3 4 2 2" xfId="7506" xr:uid="{00000000-0005-0000-0000-00004D020000}"/>
    <cellStyle name="20% - Accent4 3 4 2 2 2" xfId="24389" xr:uid="{1D2A0BCC-4183-4DB4-A3EC-4348CC8BD11C}"/>
    <cellStyle name="20% - Accent4 3 4 2 2 3" xfId="15948" xr:uid="{01AF8EC7-919A-43B4-ABE0-99163CAC9D58}"/>
    <cellStyle name="20% - Accent4 3 4 2 3" xfId="20171" xr:uid="{C506AD89-F68F-476E-98F6-62D181B74650}"/>
    <cellStyle name="20% - Accent4 3 4 2 4" xfId="11730" xr:uid="{8FEBBA77-9111-44B6-803F-C7A0EEB39897}"/>
    <cellStyle name="20% - Accent4 3 4 3" xfId="5361" xr:uid="{00000000-0005-0000-0000-00004E020000}"/>
    <cellStyle name="20% - Accent4 3 4 3 2" xfId="22244" xr:uid="{490C9CCD-22D5-42B4-B92A-7824C72E3B3D}"/>
    <cellStyle name="20% - Accent4 3 4 3 3" xfId="13803" xr:uid="{0CC3255C-E796-412A-B2D0-1A58C07CE4AF}"/>
    <cellStyle name="20% - Accent4 3 4 4" xfId="18026" xr:uid="{9164219F-EB8A-44DE-AA4B-649C6B503352}"/>
    <cellStyle name="20% - Accent4 3 4 5" xfId="9585" xr:uid="{79D32487-DD36-4035-8607-D187D40D9AE2}"/>
    <cellStyle name="20% - Accent4 3 5" xfId="1466" xr:uid="{00000000-0005-0000-0000-00004F020000}"/>
    <cellStyle name="20% - Accent4 3 5 2" xfId="3696" xr:uid="{00000000-0005-0000-0000-000050020000}"/>
    <cellStyle name="20% - Accent4 3 5 2 2" xfId="7919" xr:uid="{00000000-0005-0000-0000-000051020000}"/>
    <cellStyle name="20% - Accent4 3 5 2 2 2" xfId="24802" xr:uid="{348DE4A8-9CDC-4123-AFC5-1D7D1381F62C}"/>
    <cellStyle name="20% - Accent4 3 5 2 2 3" xfId="16361" xr:uid="{BBF51761-394A-4557-A9C2-2E06418C0328}"/>
    <cellStyle name="20% - Accent4 3 5 2 3" xfId="20584" xr:uid="{55A7B654-17F2-45AA-9414-5DF529EA501B}"/>
    <cellStyle name="20% - Accent4 3 5 2 4" xfId="12143" xr:uid="{13E85966-B86B-47A4-855D-1FD043DFF1BC}"/>
    <cellStyle name="20% - Accent4 3 5 3" xfId="5774" xr:uid="{00000000-0005-0000-0000-000052020000}"/>
    <cellStyle name="20% - Accent4 3 5 3 2" xfId="22657" xr:uid="{CE878868-F633-4143-8FE7-865477CF4110}"/>
    <cellStyle name="20% - Accent4 3 5 3 3" xfId="14216" xr:uid="{D6BC170E-4B6C-4AAB-AC84-A6BE773ABB31}"/>
    <cellStyle name="20% - Accent4 3 5 4" xfId="18439" xr:uid="{8CBD9C01-A931-4781-BFF8-C9B5928E0801}"/>
    <cellStyle name="20% - Accent4 3 5 5" xfId="9998" xr:uid="{56DC3251-7896-41D4-A7EE-E5DFA7E4A072}"/>
    <cellStyle name="20% - Accent4 3 6" xfId="1880" xr:uid="{00000000-0005-0000-0000-000053020000}"/>
    <cellStyle name="20% - Accent4 3 6 2" xfId="4109" xr:uid="{00000000-0005-0000-0000-000054020000}"/>
    <cellStyle name="20% - Accent4 3 6 2 2" xfId="8332" xr:uid="{00000000-0005-0000-0000-000055020000}"/>
    <cellStyle name="20% - Accent4 3 6 2 2 2" xfId="25215" xr:uid="{6BA46557-5A0B-496B-A961-C16B7D622017}"/>
    <cellStyle name="20% - Accent4 3 6 2 2 3" xfId="16774" xr:uid="{CC46B544-3B54-4A2F-B045-20AE864F2504}"/>
    <cellStyle name="20% - Accent4 3 6 2 3" xfId="20997" xr:uid="{84C42723-35E6-447E-97B1-1DB28D6E97C5}"/>
    <cellStyle name="20% - Accent4 3 6 2 4" xfId="12556" xr:uid="{B58D200E-F7DD-49AF-A68B-4B08C51798F5}"/>
    <cellStyle name="20% - Accent4 3 6 3" xfId="6187" xr:uid="{00000000-0005-0000-0000-000056020000}"/>
    <cellStyle name="20% - Accent4 3 6 3 2" xfId="23070" xr:uid="{E4DFDED5-78C4-42DF-8CFB-9A56545981E3}"/>
    <cellStyle name="20% - Accent4 3 6 3 3" xfId="14629" xr:uid="{CC596D0F-4751-43F5-B561-FFCCE7FCA662}"/>
    <cellStyle name="20% - Accent4 3 6 4" xfId="18852" xr:uid="{B0D2ACF9-FB5A-4B2A-893E-8D7442DAEECD}"/>
    <cellStyle name="20% - Accent4 3 6 5" xfId="10411" xr:uid="{CC6ED6FD-DE6A-4848-9339-851D88C6AC49}"/>
    <cellStyle name="20% - Accent4 3 7" xfId="2293" xr:uid="{00000000-0005-0000-0000-000057020000}"/>
    <cellStyle name="20% - Accent4 3 7 2" xfId="6600" xr:uid="{00000000-0005-0000-0000-000058020000}"/>
    <cellStyle name="20% - Accent4 3 7 2 2" xfId="23483" xr:uid="{6981F568-41F1-4F68-90F3-6ECB3FABD6E0}"/>
    <cellStyle name="20% - Accent4 3 7 2 3" xfId="15042" xr:uid="{4EBE6252-6BD9-47AE-A0B7-7FC2949A9E3C}"/>
    <cellStyle name="20% - Accent4 3 7 3" xfId="19265" xr:uid="{2C5AC2BD-4239-429D-B435-B0B6A553F83F}"/>
    <cellStyle name="20% - Accent4 3 7 4" xfId="10824" xr:uid="{798C06C5-7BFC-4D08-BC24-EE5A531B2A21}"/>
    <cellStyle name="20% - Accent4 3 8" xfId="4534" xr:uid="{00000000-0005-0000-0000-000059020000}"/>
    <cellStyle name="20% - Accent4 3 8 2" xfId="21417" xr:uid="{68B870A9-E691-447A-93D4-50A5F389ECBA}"/>
    <cellStyle name="20% - Accent4 3 8 3" xfId="12976" xr:uid="{F42E7403-921D-4079-B226-5387D7C08813}"/>
    <cellStyle name="20% - Accent4 3 9" xfId="17199" xr:uid="{9873FF3D-4749-4C52-ADB7-0EACC032D84F}"/>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23978" xr:uid="{AEAA4048-B83B-4E2C-BAC2-233C41D8CC23}"/>
    <cellStyle name="20% - Accent4 4 2 2 2 3" xfId="15537" xr:uid="{BD12CB90-8930-4D8A-B44A-9539EDC85CCC}"/>
    <cellStyle name="20% - Accent4 4 2 2 3" xfId="19760" xr:uid="{7AE2470C-2C7A-42D9-A57B-37CF95A10FA4}"/>
    <cellStyle name="20% - Accent4 4 2 2 4" xfId="11319" xr:uid="{D5FA3520-A5C3-42AD-8387-13661E182323}"/>
    <cellStyle name="20% - Accent4 4 2 3" xfId="4950" xr:uid="{00000000-0005-0000-0000-00005E020000}"/>
    <cellStyle name="20% - Accent4 4 2 3 2" xfId="21833" xr:uid="{2C90D903-8A18-4EE6-8D17-0A03538B50FE}"/>
    <cellStyle name="20% - Accent4 4 2 3 3" xfId="13392" xr:uid="{752DFD95-49F5-469A-AC6C-238B34C959DE}"/>
    <cellStyle name="20% - Accent4 4 2 4" xfId="17615" xr:uid="{B3458D77-5D37-473D-86EA-89B148736CCB}"/>
    <cellStyle name="20% - Accent4 4 2 5" xfId="9174" xr:uid="{77B164A3-3FD7-4950-A3BC-218AC77C7F4F}"/>
    <cellStyle name="20% - Accent4 4 3" xfId="1054" xr:uid="{00000000-0005-0000-0000-00005F020000}"/>
    <cellStyle name="20% - Accent4 4 3 2" xfId="3285" xr:uid="{00000000-0005-0000-0000-000060020000}"/>
    <cellStyle name="20% - Accent4 4 3 2 2" xfId="7508" xr:uid="{00000000-0005-0000-0000-000061020000}"/>
    <cellStyle name="20% - Accent4 4 3 2 2 2" xfId="24391" xr:uid="{72A08215-94EF-4676-81F2-68FED947E3BF}"/>
    <cellStyle name="20% - Accent4 4 3 2 2 3" xfId="15950" xr:uid="{955C38AA-4E45-45EE-A562-22517F4CD11A}"/>
    <cellStyle name="20% - Accent4 4 3 2 3" xfId="20173" xr:uid="{91A66330-222C-4488-B202-74102FFE8534}"/>
    <cellStyle name="20% - Accent4 4 3 2 4" xfId="11732" xr:uid="{D9165CBF-AB4E-424A-A045-4131B2D47FE3}"/>
    <cellStyle name="20% - Accent4 4 3 3" xfId="5363" xr:uid="{00000000-0005-0000-0000-000062020000}"/>
    <cellStyle name="20% - Accent4 4 3 3 2" xfId="22246" xr:uid="{F0984560-A602-4962-9367-4912EA04771C}"/>
    <cellStyle name="20% - Accent4 4 3 3 3" xfId="13805" xr:uid="{F6D09DEA-0E59-429F-9975-EAC53926C6FD}"/>
    <cellStyle name="20% - Accent4 4 3 4" xfId="18028" xr:uid="{FEC497D9-966C-4E26-919B-B4E915AF31FB}"/>
    <cellStyle name="20% - Accent4 4 3 5" xfId="9587" xr:uid="{A1B85223-95B7-4941-A6B0-943F13A1CF6F}"/>
    <cellStyle name="20% - Accent4 4 4" xfId="1468" xr:uid="{00000000-0005-0000-0000-000063020000}"/>
    <cellStyle name="20% - Accent4 4 4 2" xfId="3698" xr:uid="{00000000-0005-0000-0000-000064020000}"/>
    <cellStyle name="20% - Accent4 4 4 2 2" xfId="7921" xr:uid="{00000000-0005-0000-0000-000065020000}"/>
    <cellStyle name="20% - Accent4 4 4 2 2 2" xfId="24804" xr:uid="{3EA064DA-BA7D-4381-A135-39B141F4835A}"/>
    <cellStyle name="20% - Accent4 4 4 2 2 3" xfId="16363" xr:uid="{720AEF81-AFF6-47F8-A1C7-E06572BDDD3F}"/>
    <cellStyle name="20% - Accent4 4 4 2 3" xfId="20586" xr:uid="{92D49418-3F29-4E84-80E6-8BAC383DCE71}"/>
    <cellStyle name="20% - Accent4 4 4 2 4" xfId="12145" xr:uid="{E13D9B00-69FA-47BB-9FE2-7910648731FB}"/>
    <cellStyle name="20% - Accent4 4 4 3" xfId="5776" xr:uid="{00000000-0005-0000-0000-000066020000}"/>
    <cellStyle name="20% - Accent4 4 4 3 2" xfId="22659" xr:uid="{1FF33983-B1E9-4858-83E9-B2CB4FF13625}"/>
    <cellStyle name="20% - Accent4 4 4 3 3" xfId="14218" xr:uid="{F5513983-8B23-4F5A-8B9A-178224E505EC}"/>
    <cellStyle name="20% - Accent4 4 4 4" xfId="18441" xr:uid="{66E0ABD7-8464-4C94-911D-C7467888B064}"/>
    <cellStyle name="20% - Accent4 4 4 5" xfId="10000" xr:uid="{18FCECCF-18B2-4149-9169-B4D876D558B9}"/>
    <cellStyle name="20% - Accent4 4 5" xfId="1882" xr:uid="{00000000-0005-0000-0000-000067020000}"/>
    <cellStyle name="20% - Accent4 4 5 2" xfId="4111" xr:uid="{00000000-0005-0000-0000-000068020000}"/>
    <cellStyle name="20% - Accent4 4 5 2 2" xfId="8334" xr:uid="{00000000-0005-0000-0000-000069020000}"/>
    <cellStyle name="20% - Accent4 4 5 2 2 2" xfId="25217" xr:uid="{C3F258BA-65C7-4AC9-B332-2843CECA75E7}"/>
    <cellStyle name="20% - Accent4 4 5 2 2 3" xfId="16776" xr:uid="{0239185C-7E2E-41DE-9A3C-30631D8B8658}"/>
    <cellStyle name="20% - Accent4 4 5 2 3" xfId="20999" xr:uid="{475BD527-E874-4BBA-8B34-133393F26226}"/>
    <cellStyle name="20% - Accent4 4 5 2 4" xfId="12558" xr:uid="{5FE445CF-0A91-4EB3-944B-CBA2E6A88669}"/>
    <cellStyle name="20% - Accent4 4 5 3" xfId="6189" xr:uid="{00000000-0005-0000-0000-00006A020000}"/>
    <cellStyle name="20% - Accent4 4 5 3 2" xfId="23072" xr:uid="{08D53026-544F-4EDC-845B-7B671306A97E}"/>
    <cellStyle name="20% - Accent4 4 5 3 3" xfId="14631" xr:uid="{7E93B61F-AC13-4F02-A726-9AE49FF7FC35}"/>
    <cellStyle name="20% - Accent4 4 5 4" xfId="18854" xr:uid="{C4E1784D-0B24-4E25-B24C-1671560BF568}"/>
    <cellStyle name="20% - Accent4 4 5 5" xfId="10413" xr:uid="{1E9707DD-30CD-407E-84D8-DED2EFFB43B9}"/>
    <cellStyle name="20% - Accent4 4 6" xfId="2295" xr:uid="{00000000-0005-0000-0000-00006B020000}"/>
    <cellStyle name="20% - Accent4 4 6 2" xfId="6602" xr:uid="{00000000-0005-0000-0000-00006C020000}"/>
    <cellStyle name="20% - Accent4 4 6 2 2" xfId="23485" xr:uid="{33635561-EA60-4322-B6AD-AE7FF8AAB668}"/>
    <cellStyle name="20% - Accent4 4 6 2 3" xfId="15044" xr:uid="{1F76A90E-C879-4B03-87F9-F6F4E4590131}"/>
    <cellStyle name="20% - Accent4 4 6 3" xfId="19267" xr:uid="{860AD669-2CB1-4373-B6E5-20A7221401CB}"/>
    <cellStyle name="20% - Accent4 4 6 4" xfId="10826" xr:uid="{48BB0B2F-E27B-4055-9C76-A5BEC415949C}"/>
    <cellStyle name="20% - Accent4 4 7" xfId="4536" xr:uid="{00000000-0005-0000-0000-00006D020000}"/>
    <cellStyle name="20% - Accent4 4 7 2" xfId="21419" xr:uid="{69DC88E6-07B5-4964-8480-3E45502B5F66}"/>
    <cellStyle name="20% - Accent4 4 7 3" xfId="12978" xr:uid="{7B9E4D44-267B-4DA8-A718-EBAEB21514C7}"/>
    <cellStyle name="20% - Accent4 4 8" xfId="17201" xr:uid="{E7BB10E2-3002-412A-BD1E-D1A4692298DF}"/>
    <cellStyle name="20% - Accent4 4 9" xfId="8760" xr:uid="{7F7B14EA-B201-4BB1-ABFE-805F06CBFC1A}"/>
    <cellStyle name="20% - Accent4 5" xfId="594" xr:uid="{00000000-0005-0000-0000-00006E020000}"/>
    <cellStyle name="20% - Accent4 5 2" xfId="2865" xr:uid="{00000000-0005-0000-0000-00006F020000}"/>
    <cellStyle name="20% - Accent4 5 2 2" xfId="7088" xr:uid="{00000000-0005-0000-0000-000070020000}"/>
    <cellStyle name="20% - Accent4 5 2 2 2" xfId="23971" xr:uid="{EC55EEAE-0F5C-426F-968E-496B5ABD8989}"/>
    <cellStyle name="20% - Accent4 5 2 2 3" xfId="15530" xr:uid="{9B7B09FB-D4FB-4424-A04F-A596BDDB4250}"/>
    <cellStyle name="20% - Accent4 5 2 3" xfId="19753" xr:uid="{E8A86B7F-1607-4623-952A-A059772AD71B}"/>
    <cellStyle name="20% - Accent4 5 2 4" xfId="11312" xr:uid="{1AFB8B01-9228-4318-8174-209F82A5EFF1}"/>
    <cellStyle name="20% - Accent4 5 3" xfId="4943" xr:uid="{00000000-0005-0000-0000-000071020000}"/>
    <cellStyle name="20% - Accent4 5 3 2" xfId="21826" xr:uid="{5066D72D-AAAD-4E0E-AEFF-07B5ACF303AE}"/>
    <cellStyle name="20% - Accent4 5 3 3" xfId="13385" xr:uid="{2B41E7D8-677E-46D4-9A35-EC0AFECB665A}"/>
    <cellStyle name="20% - Accent4 5 4" xfId="17608" xr:uid="{E6E8B1F5-8625-4CFF-A5AB-DF9DD91BFDD6}"/>
    <cellStyle name="20% - Accent4 5 5" xfId="9167" xr:uid="{F58F800F-4CAA-4FFE-8A6A-5D1B13BE3BCC}"/>
    <cellStyle name="20% - Accent4 6" xfId="1047" xr:uid="{00000000-0005-0000-0000-000072020000}"/>
    <cellStyle name="20% - Accent4 6 2" xfId="3278" xr:uid="{00000000-0005-0000-0000-000073020000}"/>
    <cellStyle name="20% - Accent4 6 2 2" xfId="7501" xr:uid="{00000000-0005-0000-0000-000074020000}"/>
    <cellStyle name="20% - Accent4 6 2 2 2" xfId="24384" xr:uid="{6876BAA6-27CA-435A-AF02-0EB505320382}"/>
    <cellStyle name="20% - Accent4 6 2 2 3" xfId="15943" xr:uid="{21E9CE96-57A3-4216-AC91-202584973D49}"/>
    <cellStyle name="20% - Accent4 6 2 3" xfId="20166" xr:uid="{36339CD4-E953-4687-836F-EDFAA98D78A1}"/>
    <cellStyle name="20% - Accent4 6 2 4" xfId="11725" xr:uid="{5076C864-C206-4D58-927A-741DD948C4E5}"/>
    <cellStyle name="20% - Accent4 6 3" xfId="5356" xr:uid="{00000000-0005-0000-0000-000075020000}"/>
    <cellStyle name="20% - Accent4 6 3 2" xfId="22239" xr:uid="{5C8301B9-E9DD-46BD-B429-13234BF71453}"/>
    <cellStyle name="20% - Accent4 6 3 3" xfId="13798" xr:uid="{CE85F3DF-616E-452C-9DB8-1C4ED12A567F}"/>
    <cellStyle name="20% - Accent4 6 4" xfId="18021" xr:uid="{544CAB79-4EE9-4D6E-98EB-8D8C1A2F7BBA}"/>
    <cellStyle name="20% - Accent4 6 5" xfId="9580" xr:uid="{937C42E4-F85F-40D5-8E4C-D38928C6102C}"/>
    <cellStyle name="20% - Accent4 7" xfId="1461" xr:uid="{00000000-0005-0000-0000-000076020000}"/>
    <cellStyle name="20% - Accent4 7 2" xfId="3691" xr:uid="{00000000-0005-0000-0000-000077020000}"/>
    <cellStyle name="20% - Accent4 7 2 2" xfId="7914" xr:uid="{00000000-0005-0000-0000-000078020000}"/>
    <cellStyle name="20% - Accent4 7 2 2 2" xfId="24797" xr:uid="{31E7B6B1-E4A1-4777-A27B-E1D12CF198DA}"/>
    <cellStyle name="20% - Accent4 7 2 2 3" xfId="16356" xr:uid="{2855E5D5-48D1-4358-AACC-F85A82B6AD03}"/>
    <cellStyle name="20% - Accent4 7 2 3" xfId="20579" xr:uid="{C4A0E437-288D-4617-A1E8-A3738276D111}"/>
    <cellStyle name="20% - Accent4 7 2 4" xfId="12138" xr:uid="{840339FD-0D31-4DFA-B747-F148450DC765}"/>
    <cellStyle name="20% - Accent4 7 3" xfId="5769" xr:uid="{00000000-0005-0000-0000-000079020000}"/>
    <cellStyle name="20% - Accent4 7 3 2" xfId="22652" xr:uid="{7F531F0B-7228-4CC2-86CC-297622C36F65}"/>
    <cellStyle name="20% - Accent4 7 3 3" xfId="14211" xr:uid="{D8230405-611F-4AF1-8539-0A56A5C603FA}"/>
    <cellStyle name="20% - Accent4 7 4" xfId="18434" xr:uid="{6DC907C0-6AD5-49F9-8C91-9DB1467A416E}"/>
    <cellStyle name="20% - Accent4 7 5" xfId="9993" xr:uid="{F299DB54-DF93-42D1-88B6-A3A4E8E44072}"/>
    <cellStyle name="20% - Accent4 8" xfId="1875" xr:uid="{00000000-0005-0000-0000-00007A020000}"/>
    <cellStyle name="20% - Accent4 8 2" xfId="4104" xr:uid="{00000000-0005-0000-0000-00007B020000}"/>
    <cellStyle name="20% - Accent4 8 2 2" xfId="8327" xr:uid="{00000000-0005-0000-0000-00007C020000}"/>
    <cellStyle name="20% - Accent4 8 2 2 2" xfId="25210" xr:uid="{E40BB863-F735-4158-88D8-0013203C8CF8}"/>
    <cellStyle name="20% - Accent4 8 2 2 3" xfId="16769" xr:uid="{8AC38BAD-D5D8-40DB-A900-47D25E268A8C}"/>
    <cellStyle name="20% - Accent4 8 2 3" xfId="20992" xr:uid="{AA042A2B-F757-4876-975B-BF79D4C18D61}"/>
    <cellStyle name="20% - Accent4 8 2 4" xfId="12551" xr:uid="{B0CFA415-7DDB-4773-9886-701245905C8F}"/>
    <cellStyle name="20% - Accent4 8 3" xfId="6182" xr:uid="{00000000-0005-0000-0000-00007D020000}"/>
    <cellStyle name="20% - Accent4 8 3 2" xfId="23065" xr:uid="{FFD632D6-6325-4EF0-8B80-E170867EDB2C}"/>
    <cellStyle name="20% - Accent4 8 3 3" xfId="14624" xr:uid="{CCC7A814-0509-42AD-8A37-F82690A31211}"/>
    <cellStyle name="20% - Accent4 8 4" xfId="18847" xr:uid="{034A6758-AAE7-497E-8A40-0117813D2BA5}"/>
    <cellStyle name="20% - Accent4 8 5" xfId="10406" xr:uid="{86FE1845-67BE-4D83-A4B6-4EF13A7AB4D0}"/>
    <cellStyle name="20% - Accent4 9" xfId="2288" xr:uid="{00000000-0005-0000-0000-00007E020000}"/>
    <cellStyle name="20% - Accent4 9 2" xfId="6595" xr:uid="{00000000-0005-0000-0000-00007F020000}"/>
    <cellStyle name="20% - Accent4 9 2 2" xfId="23478" xr:uid="{39800ADA-E4C0-4AB4-966C-6B546539E92D}"/>
    <cellStyle name="20% - Accent4 9 2 3" xfId="15037" xr:uid="{8D335852-A1E3-472E-8357-94E605D10B49}"/>
    <cellStyle name="20% - Accent4 9 3" xfId="19260" xr:uid="{44D165EA-AAE7-4B0B-81B4-A085EDFBBF97}"/>
    <cellStyle name="20% - Accent4 9 4" xfId="10819" xr:uid="{7B661B05-A650-4474-A0CE-04F83EEF53B4}"/>
    <cellStyle name="20% - Accent5" xfId="33" builtinId="46" customBuiltin="1"/>
    <cellStyle name="20% - Accent5 10" xfId="4537" xr:uid="{00000000-0005-0000-0000-000081020000}"/>
    <cellStyle name="20% - Accent5 10 2" xfId="21420" xr:uid="{82C3B4DC-8A60-43EB-AB86-29B45BBA6FB5}"/>
    <cellStyle name="20% - Accent5 10 3" xfId="12979" xr:uid="{BC27F32F-15FE-4399-A18F-5D8784B41A0F}"/>
    <cellStyle name="20% - Accent5 11" xfId="17202" xr:uid="{4C026122-90F6-475F-9838-05DD827ABA9B}"/>
    <cellStyle name="20% - Accent5 12" xfId="8761" xr:uid="{CC369E3F-9D7A-4AC6-A1FD-99A4D9910F56}"/>
    <cellStyle name="20% - Accent5 2" xfId="34" xr:uid="{00000000-0005-0000-0000-000082020000}"/>
    <cellStyle name="20% - Accent5 2 10" xfId="17203" xr:uid="{4086B1CE-B1C2-49E8-9149-5C9D07B7696F}"/>
    <cellStyle name="20% - Accent5 2 11" xfId="8762" xr:uid="{34719DC4-C4B6-4D29-B187-2AAFB01EEAD9}"/>
    <cellStyle name="20% - Accent5 2 2" xfId="35" xr:uid="{00000000-0005-0000-0000-000083020000}"/>
    <cellStyle name="20% - Accent5 2 2 10" xfId="8763" xr:uid="{F0B8C327-5F88-4CB2-9C08-9A9B223FD0CC}"/>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23982" xr:uid="{0E4E83E9-E37D-4019-934C-FE1BFBE33178}"/>
    <cellStyle name="20% - Accent5 2 2 2 2 2 2 3" xfId="15541" xr:uid="{BC2DC2F7-D4D4-4D95-8EB6-170E71721D7F}"/>
    <cellStyle name="20% - Accent5 2 2 2 2 2 3" xfId="19764" xr:uid="{05A1EBA8-7344-4F75-802F-5ED7B8BF0B92}"/>
    <cellStyle name="20% - Accent5 2 2 2 2 2 4" xfId="11323" xr:uid="{22E6163D-6EBE-4B2D-B93D-EF3F03EADC30}"/>
    <cellStyle name="20% - Accent5 2 2 2 2 3" xfId="4954" xr:uid="{00000000-0005-0000-0000-000088020000}"/>
    <cellStyle name="20% - Accent5 2 2 2 2 3 2" xfId="21837" xr:uid="{787B6490-CCA7-403F-A27C-5373E680CB18}"/>
    <cellStyle name="20% - Accent5 2 2 2 2 3 3" xfId="13396" xr:uid="{8D15D448-9E6D-4360-9FAA-F4D7E455EFF2}"/>
    <cellStyle name="20% - Accent5 2 2 2 2 4" xfId="17619" xr:uid="{DB29B172-36F7-4131-9E96-59A62AE03346}"/>
    <cellStyle name="20% - Accent5 2 2 2 2 5" xfId="9178" xr:uid="{B26CC407-9188-4FF0-AEBC-612EDFF258B4}"/>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24395" xr:uid="{A550F7F1-2CE2-460E-BF56-2CD4A9235600}"/>
    <cellStyle name="20% - Accent5 2 2 2 3 2 2 3" xfId="15954" xr:uid="{7EA087E7-A67A-4330-A7AB-BC314A5D17EB}"/>
    <cellStyle name="20% - Accent5 2 2 2 3 2 3" xfId="20177" xr:uid="{E79C564D-20DC-4660-A7CD-DF5AC24051E1}"/>
    <cellStyle name="20% - Accent5 2 2 2 3 2 4" xfId="11736" xr:uid="{7692EBCF-ABA3-4D04-9895-77B36361CAD5}"/>
    <cellStyle name="20% - Accent5 2 2 2 3 3" xfId="5367" xr:uid="{00000000-0005-0000-0000-00008C020000}"/>
    <cellStyle name="20% - Accent5 2 2 2 3 3 2" xfId="22250" xr:uid="{8A092626-5370-4714-9F55-93F0547F26F5}"/>
    <cellStyle name="20% - Accent5 2 2 2 3 3 3" xfId="13809" xr:uid="{EA60BDCF-CBA4-4666-91B9-6FD874A2740F}"/>
    <cellStyle name="20% - Accent5 2 2 2 3 4" xfId="18032" xr:uid="{D827729B-F7B2-4B8B-A45E-14930D4EBB08}"/>
    <cellStyle name="20% - Accent5 2 2 2 3 5" xfId="9591" xr:uid="{CCF90AAF-B0BE-43FA-BB00-11C0AECF184B}"/>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24808" xr:uid="{70FB1262-4B43-4A9B-A656-6265B12F89B4}"/>
    <cellStyle name="20% - Accent5 2 2 2 4 2 2 3" xfId="16367" xr:uid="{6BD5F8EA-CA74-412E-A7FF-45306AC1B9A4}"/>
    <cellStyle name="20% - Accent5 2 2 2 4 2 3" xfId="20590" xr:uid="{ACD91AA6-6531-430E-9CCC-9ADD2DCB3815}"/>
    <cellStyle name="20% - Accent5 2 2 2 4 2 4" xfId="12149" xr:uid="{E7E45A42-4DD6-44F2-AA56-2702353597F0}"/>
    <cellStyle name="20% - Accent5 2 2 2 4 3" xfId="5780" xr:uid="{00000000-0005-0000-0000-000090020000}"/>
    <cellStyle name="20% - Accent5 2 2 2 4 3 2" xfId="22663" xr:uid="{116140C0-8007-4A39-BFDA-86CA588377B6}"/>
    <cellStyle name="20% - Accent5 2 2 2 4 3 3" xfId="14222" xr:uid="{17939C12-E07F-43E0-A375-D3F2C2ECAD71}"/>
    <cellStyle name="20% - Accent5 2 2 2 4 4" xfId="18445" xr:uid="{FC166647-365F-4728-90A2-70136710EEB2}"/>
    <cellStyle name="20% - Accent5 2 2 2 4 5" xfId="10004" xr:uid="{1CE89C5C-1FF9-44B8-9055-791018104182}"/>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25221" xr:uid="{84148058-54CF-4669-8622-9AA0B5631642}"/>
    <cellStyle name="20% - Accent5 2 2 2 5 2 2 3" xfId="16780" xr:uid="{A34BBEBA-3479-42BC-AC6C-6B6D8D5B4C69}"/>
    <cellStyle name="20% - Accent5 2 2 2 5 2 3" xfId="21003" xr:uid="{DBEECC81-7A66-401D-9104-AC7C495A46F2}"/>
    <cellStyle name="20% - Accent5 2 2 2 5 2 4" xfId="12562" xr:uid="{78A65429-A5BA-44D8-A7BE-6ECF26FC20D7}"/>
    <cellStyle name="20% - Accent5 2 2 2 5 3" xfId="6193" xr:uid="{00000000-0005-0000-0000-000094020000}"/>
    <cellStyle name="20% - Accent5 2 2 2 5 3 2" xfId="23076" xr:uid="{EB8378A8-C94A-4D3D-9FB8-E2092AEC57F4}"/>
    <cellStyle name="20% - Accent5 2 2 2 5 3 3" xfId="14635" xr:uid="{6144F7AF-08AF-4F7D-8326-21CC31CC13C3}"/>
    <cellStyle name="20% - Accent5 2 2 2 5 4" xfId="18858" xr:uid="{4BF25D40-9A0A-4A7B-8D03-697028C38322}"/>
    <cellStyle name="20% - Accent5 2 2 2 5 5" xfId="10417" xr:uid="{A13CB75E-A510-4E8F-A1A0-A57852C1FB32}"/>
    <cellStyle name="20% - Accent5 2 2 2 6" xfId="2299" xr:uid="{00000000-0005-0000-0000-000095020000}"/>
    <cellStyle name="20% - Accent5 2 2 2 6 2" xfId="6606" xr:uid="{00000000-0005-0000-0000-000096020000}"/>
    <cellStyle name="20% - Accent5 2 2 2 6 2 2" xfId="23489" xr:uid="{B7133784-F5CB-4746-B20F-E695B7931A2A}"/>
    <cellStyle name="20% - Accent5 2 2 2 6 2 3" xfId="15048" xr:uid="{13AE4EA2-58B8-46FE-BB63-2F470522737A}"/>
    <cellStyle name="20% - Accent5 2 2 2 6 3" xfId="19271" xr:uid="{BF59CAE8-5745-40C0-BACE-06678D8B0D90}"/>
    <cellStyle name="20% - Accent5 2 2 2 6 4" xfId="10830" xr:uid="{89B31FFC-1ACE-496A-A956-F0E3E40DDD73}"/>
    <cellStyle name="20% - Accent5 2 2 2 7" xfId="4540" xr:uid="{00000000-0005-0000-0000-000097020000}"/>
    <cellStyle name="20% - Accent5 2 2 2 7 2" xfId="21423" xr:uid="{A10BCBB2-C724-4B7B-8CF9-BEAF5C71E3F8}"/>
    <cellStyle name="20% - Accent5 2 2 2 7 3" xfId="12982" xr:uid="{35D0C37E-B88F-4FE1-8DD8-82091D1C1B23}"/>
    <cellStyle name="20% - Accent5 2 2 2 8" xfId="17205" xr:uid="{33313FD9-F5E3-46C9-AAEC-ED4F461B90AF}"/>
    <cellStyle name="20% - Accent5 2 2 2 9" xfId="8764" xr:uid="{9E68E50B-899E-4104-89BD-0BEE05458482}"/>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23981" xr:uid="{04681152-AB48-45AE-8EF1-D38CCB90031F}"/>
    <cellStyle name="20% - Accent5 2 2 3 2 2 3" xfId="15540" xr:uid="{C25C59A5-0E5C-412F-AF8D-05F1A863EF23}"/>
    <cellStyle name="20% - Accent5 2 2 3 2 3" xfId="19763" xr:uid="{232C3C81-770E-4378-80B2-1AA968EC6F5A}"/>
    <cellStyle name="20% - Accent5 2 2 3 2 4" xfId="11322" xr:uid="{C7CA53BC-A88F-4302-9407-AB04674CDE25}"/>
    <cellStyle name="20% - Accent5 2 2 3 3" xfId="4953" xr:uid="{00000000-0005-0000-0000-00009B020000}"/>
    <cellStyle name="20% - Accent5 2 2 3 3 2" xfId="21836" xr:uid="{9CD66BEA-A36D-4431-BD9C-6864BC6A4E53}"/>
    <cellStyle name="20% - Accent5 2 2 3 3 3" xfId="13395" xr:uid="{AF07BAC9-CEFE-43C5-9182-5AD95E64AB35}"/>
    <cellStyle name="20% - Accent5 2 2 3 4" xfId="17618" xr:uid="{196D88C5-7779-4277-9113-A25E444E6717}"/>
    <cellStyle name="20% - Accent5 2 2 3 5" xfId="9177" xr:uid="{B63B2B8A-8166-44A5-B09B-253BCDE3B384}"/>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24394" xr:uid="{F9C12BCA-EF76-484A-9725-CDE6C3E522EE}"/>
    <cellStyle name="20% - Accent5 2 2 4 2 2 3" xfId="15953" xr:uid="{ABB87C00-165A-4699-9169-049755263CFE}"/>
    <cellStyle name="20% - Accent5 2 2 4 2 3" xfId="20176" xr:uid="{FF3B69B7-3620-4379-BF77-F1FCD8EEEB6B}"/>
    <cellStyle name="20% - Accent5 2 2 4 2 4" xfId="11735" xr:uid="{8E6D3CEC-854D-48FC-9443-B127FE121820}"/>
    <cellStyle name="20% - Accent5 2 2 4 3" xfId="5366" xr:uid="{00000000-0005-0000-0000-00009F020000}"/>
    <cellStyle name="20% - Accent5 2 2 4 3 2" xfId="22249" xr:uid="{8ABB9336-7262-4F0A-BBB4-C299031F33BF}"/>
    <cellStyle name="20% - Accent5 2 2 4 3 3" xfId="13808" xr:uid="{BFDC082F-B28F-4519-861E-9E0B2ED5CC74}"/>
    <cellStyle name="20% - Accent5 2 2 4 4" xfId="18031" xr:uid="{130CC0AD-BF8A-400B-9399-5EB806E0F997}"/>
    <cellStyle name="20% - Accent5 2 2 4 5" xfId="9590" xr:uid="{075D4E64-FC02-40F3-8EBE-E325CBD6FA8B}"/>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24807" xr:uid="{87B91598-10E6-49F1-91DA-F40ACE98FA6E}"/>
    <cellStyle name="20% - Accent5 2 2 5 2 2 3" xfId="16366" xr:uid="{7166AAC4-FA4D-442A-B768-5DC87B08BF1B}"/>
    <cellStyle name="20% - Accent5 2 2 5 2 3" xfId="20589" xr:uid="{47028AEA-15DB-456E-9149-D4899FCEAA1C}"/>
    <cellStyle name="20% - Accent5 2 2 5 2 4" xfId="12148" xr:uid="{29AD1E94-8655-4EAA-99CE-5EE97FC8C6D8}"/>
    <cellStyle name="20% - Accent5 2 2 5 3" xfId="5779" xr:uid="{00000000-0005-0000-0000-0000A3020000}"/>
    <cellStyle name="20% - Accent5 2 2 5 3 2" xfId="22662" xr:uid="{D2B4B273-A48F-42BC-869A-A20B8F255A23}"/>
    <cellStyle name="20% - Accent5 2 2 5 3 3" xfId="14221" xr:uid="{9D57B254-DAE4-4CA2-AAB0-3CBD0EE8E1CE}"/>
    <cellStyle name="20% - Accent5 2 2 5 4" xfId="18444" xr:uid="{7E2B7F6B-8A80-4134-8B2D-6F71DE4C2624}"/>
    <cellStyle name="20% - Accent5 2 2 5 5" xfId="10003" xr:uid="{1ED817D3-7D19-4BD1-95C1-841522292B49}"/>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25220" xr:uid="{33291741-0523-4150-89BA-DE712E3D6E6F}"/>
    <cellStyle name="20% - Accent5 2 2 6 2 2 3" xfId="16779" xr:uid="{A7443C39-6AC3-4383-88A9-F73C1E89F95E}"/>
    <cellStyle name="20% - Accent5 2 2 6 2 3" xfId="21002" xr:uid="{1A0281A6-DE97-44C4-BFBA-C697569E6271}"/>
    <cellStyle name="20% - Accent5 2 2 6 2 4" xfId="12561" xr:uid="{4BA7965A-7307-49CD-9E51-578CC05DA721}"/>
    <cellStyle name="20% - Accent5 2 2 6 3" xfId="6192" xr:uid="{00000000-0005-0000-0000-0000A7020000}"/>
    <cellStyle name="20% - Accent5 2 2 6 3 2" xfId="23075" xr:uid="{CDC6810E-F089-4167-A099-59D4637FFD90}"/>
    <cellStyle name="20% - Accent5 2 2 6 3 3" xfId="14634" xr:uid="{20A84F94-08EC-4789-A853-F10ADF8F7794}"/>
    <cellStyle name="20% - Accent5 2 2 6 4" xfId="18857" xr:uid="{9923FE8C-AD70-4FED-9947-A0DFF7AF3633}"/>
    <cellStyle name="20% - Accent5 2 2 6 5" xfId="10416" xr:uid="{73411221-3663-4648-9851-7C161671F80C}"/>
    <cellStyle name="20% - Accent5 2 2 7" xfId="2298" xr:uid="{00000000-0005-0000-0000-0000A8020000}"/>
    <cellStyle name="20% - Accent5 2 2 7 2" xfId="6605" xr:uid="{00000000-0005-0000-0000-0000A9020000}"/>
    <cellStyle name="20% - Accent5 2 2 7 2 2" xfId="23488" xr:uid="{58513BD8-EE4B-4F1C-85AA-5B59D8118498}"/>
    <cellStyle name="20% - Accent5 2 2 7 2 3" xfId="15047" xr:uid="{E3200342-EB10-4088-90F6-5541AB74DB7C}"/>
    <cellStyle name="20% - Accent5 2 2 7 3" xfId="19270" xr:uid="{479367D6-0528-492C-861B-08B3F1420C77}"/>
    <cellStyle name="20% - Accent5 2 2 7 4" xfId="10829" xr:uid="{6DFF40A3-F57E-4527-ACAA-82425AF12E23}"/>
    <cellStyle name="20% - Accent5 2 2 8" xfId="4539" xr:uid="{00000000-0005-0000-0000-0000AA020000}"/>
    <cellStyle name="20% - Accent5 2 2 8 2" xfId="21422" xr:uid="{96657AA8-64BA-42B0-8800-4F9011DAFF97}"/>
    <cellStyle name="20% - Accent5 2 2 8 3" xfId="12981" xr:uid="{B72A36C7-B36B-49BE-A106-36C4C2301664}"/>
    <cellStyle name="20% - Accent5 2 2 9" xfId="17204" xr:uid="{FF6011C8-CDDB-4707-8C1E-172D2C105C0C}"/>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23983" xr:uid="{402DF4CC-A054-46C7-AC40-4AEF5B2D7CF8}"/>
    <cellStyle name="20% - Accent5 2 3 2 2 2 3" xfId="15542" xr:uid="{AC41C8A9-B8D3-41FD-9B5B-F2CBC5C27248}"/>
    <cellStyle name="20% - Accent5 2 3 2 2 3" xfId="19765" xr:uid="{316BD331-2D43-4222-B395-4603C1146658}"/>
    <cellStyle name="20% - Accent5 2 3 2 2 4" xfId="11324" xr:uid="{6935140D-B603-44E1-9E72-E4CD04E0BC7C}"/>
    <cellStyle name="20% - Accent5 2 3 2 3" xfId="4955" xr:uid="{00000000-0005-0000-0000-0000AF020000}"/>
    <cellStyle name="20% - Accent5 2 3 2 3 2" xfId="21838" xr:uid="{ADAAE50D-617D-476C-BEF7-0F134ED33EEE}"/>
    <cellStyle name="20% - Accent5 2 3 2 3 3" xfId="13397" xr:uid="{28B28C03-F0E3-4DA9-9A93-8AD0BA46A57B}"/>
    <cellStyle name="20% - Accent5 2 3 2 4" xfId="17620" xr:uid="{42F05DC8-6815-45F1-849A-A1A62B6DC0B4}"/>
    <cellStyle name="20% - Accent5 2 3 2 5" xfId="9179" xr:uid="{AE5CE10E-11C9-4402-A5D8-C926CBD676EC}"/>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24396" xr:uid="{6FD1766C-76BD-42D7-AB11-FE1DF11B6A94}"/>
    <cellStyle name="20% - Accent5 2 3 3 2 2 3" xfId="15955" xr:uid="{A2AD69CF-8857-4D2C-BD5F-D55311D65242}"/>
    <cellStyle name="20% - Accent5 2 3 3 2 3" xfId="20178" xr:uid="{80C2D699-A49D-4032-BCFC-6AA9480EA578}"/>
    <cellStyle name="20% - Accent5 2 3 3 2 4" xfId="11737" xr:uid="{5954CFC1-0998-40C2-A7E6-C74C2772837A}"/>
    <cellStyle name="20% - Accent5 2 3 3 3" xfId="5368" xr:uid="{00000000-0005-0000-0000-0000B3020000}"/>
    <cellStyle name="20% - Accent5 2 3 3 3 2" xfId="22251" xr:uid="{75D08CCF-513B-42FA-97A6-764885C84AB2}"/>
    <cellStyle name="20% - Accent5 2 3 3 3 3" xfId="13810" xr:uid="{976A7BE1-85FF-4390-9D3D-FE7C6290BEED}"/>
    <cellStyle name="20% - Accent5 2 3 3 4" xfId="18033" xr:uid="{ED664E1D-1A77-4CAF-AB1C-F43C3E78E770}"/>
    <cellStyle name="20% - Accent5 2 3 3 5" xfId="9592" xr:uid="{314F87FB-DBFB-44B3-856C-497A53757929}"/>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24809" xr:uid="{E219CA90-ECD9-44FE-890B-91C807C76AC9}"/>
    <cellStyle name="20% - Accent5 2 3 4 2 2 3" xfId="16368" xr:uid="{39895E8A-AA43-4331-90B3-86E3BC3B4561}"/>
    <cellStyle name="20% - Accent5 2 3 4 2 3" xfId="20591" xr:uid="{BE5D6161-4C6A-4A44-8C12-7FB3851EF64B}"/>
    <cellStyle name="20% - Accent5 2 3 4 2 4" xfId="12150" xr:uid="{937F1483-D691-44E2-B14A-72A2465BF084}"/>
    <cellStyle name="20% - Accent5 2 3 4 3" xfId="5781" xr:uid="{00000000-0005-0000-0000-0000B7020000}"/>
    <cellStyle name="20% - Accent5 2 3 4 3 2" xfId="22664" xr:uid="{64C66CD7-9FE2-4BDC-86F2-829C58B2E967}"/>
    <cellStyle name="20% - Accent5 2 3 4 3 3" xfId="14223" xr:uid="{875D9FB2-B8CE-4841-ACDF-FE5E0101BB86}"/>
    <cellStyle name="20% - Accent5 2 3 4 4" xfId="18446" xr:uid="{914331C7-A02A-4E0D-B3B5-4B8203A55789}"/>
    <cellStyle name="20% - Accent5 2 3 4 5" xfId="10005" xr:uid="{F3842F5C-7BC4-4A8D-90A2-0F15A257C2E8}"/>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25222" xr:uid="{0711CE13-C121-4392-8F74-D80A0EEB548A}"/>
    <cellStyle name="20% - Accent5 2 3 5 2 2 3" xfId="16781" xr:uid="{9016271A-8897-45CE-81A9-CEBDC0DA6613}"/>
    <cellStyle name="20% - Accent5 2 3 5 2 3" xfId="21004" xr:uid="{DD144585-99EB-4D55-AF9D-A3A574E03245}"/>
    <cellStyle name="20% - Accent5 2 3 5 2 4" xfId="12563" xr:uid="{38062B6C-625A-4F23-97F8-063020F1C61D}"/>
    <cellStyle name="20% - Accent5 2 3 5 3" xfId="6194" xr:uid="{00000000-0005-0000-0000-0000BB020000}"/>
    <cellStyle name="20% - Accent5 2 3 5 3 2" xfId="23077" xr:uid="{24E71D0A-7BA4-4CE9-88F0-95A1ADA7CAE5}"/>
    <cellStyle name="20% - Accent5 2 3 5 3 3" xfId="14636" xr:uid="{FC402B4F-560B-4F25-9FF6-79D074829E8E}"/>
    <cellStyle name="20% - Accent5 2 3 5 4" xfId="18859" xr:uid="{3662476C-7AF6-42DF-92AE-5B75E289DF53}"/>
    <cellStyle name="20% - Accent5 2 3 5 5" xfId="10418" xr:uid="{A4110040-F627-4CF8-BBCE-5EA353F5802F}"/>
    <cellStyle name="20% - Accent5 2 3 6" xfId="2300" xr:uid="{00000000-0005-0000-0000-0000BC020000}"/>
    <cellStyle name="20% - Accent5 2 3 6 2" xfId="6607" xr:uid="{00000000-0005-0000-0000-0000BD020000}"/>
    <cellStyle name="20% - Accent5 2 3 6 2 2" xfId="23490" xr:uid="{973617C3-E481-4BD2-885A-95321E2489B3}"/>
    <cellStyle name="20% - Accent5 2 3 6 2 3" xfId="15049" xr:uid="{C1917980-ECD5-4F12-81A1-1DCA4E8B0296}"/>
    <cellStyle name="20% - Accent5 2 3 6 3" xfId="19272" xr:uid="{6608C6A3-B2E0-4685-B919-19846722DAE5}"/>
    <cellStyle name="20% - Accent5 2 3 6 4" xfId="10831" xr:uid="{DD7EF97A-F0AC-41AC-A03A-A3CD5E23B592}"/>
    <cellStyle name="20% - Accent5 2 3 7" xfId="4541" xr:uid="{00000000-0005-0000-0000-0000BE020000}"/>
    <cellStyle name="20% - Accent5 2 3 7 2" xfId="21424" xr:uid="{010967BD-F501-4ED1-AD8C-D1F8879476D2}"/>
    <cellStyle name="20% - Accent5 2 3 7 3" xfId="12983" xr:uid="{0F17EB6A-692C-4872-81BE-39D780D265B4}"/>
    <cellStyle name="20% - Accent5 2 3 8" xfId="17206" xr:uid="{FAD186E8-5DFA-41C0-B309-BDD51CA9B024}"/>
    <cellStyle name="20% - Accent5 2 3 9" xfId="8765" xr:uid="{24E40489-F0B1-4336-A789-492E84714742}"/>
    <cellStyle name="20% - Accent5 2 4" xfId="603" xr:uid="{00000000-0005-0000-0000-0000BF020000}"/>
    <cellStyle name="20% - Accent5 2 4 2" xfId="2874" xr:uid="{00000000-0005-0000-0000-0000C0020000}"/>
    <cellStyle name="20% - Accent5 2 4 2 2" xfId="7097" xr:uid="{00000000-0005-0000-0000-0000C1020000}"/>
    <cellStyle name="20% - Accent5 2 4 2 2 2" xfId="23980" xr:uid="{3EE89916-D431-4919-899C-C46430774B5D}"/>
    <cellStyle name="20% - Accent5 2 4 2 2 3" xfId="15539" xr:uid="{CD921946-EF09-4E7F-A269-0D7AC0D14815}"/>
    <cellStyle name="20% - Accent5 2 4 2 3" xfId="19762" xr:uid="{F18B7C97-F2F0-4ECF-BDA6-CB2C3EF16B27}"/>
    <cellStyle name="20% - Accent5 2 4 2 4" xfId="11321" xr:uid="{0E0B1FC1-A10E-40FA-988B-A3EFB6DA1B40}"/>
    <cellStyle name="20% - Accent5 2 4 3" xfId="4952" xr:uid="{00000000-0005-0000-0000-0000C2020000}"/>
    <cellStyle name="20% - Accent5 2 4 3 2" xfId="21835" xr:uid="{EF19E048-6F2A-43CA-BAF5-3F8C68199238}"/>
    <cellStyle name="20% - Accent5 2 4 3 3" xfId="13394" xr:uid="{4A1FA7A9-69DB-4DD4-9261-D7B41056E86B}"/>
    <cellStyle name="20% - Accent5 2 4 4" xfId="17617" xr:uid="{1C88AF62-F5F4-4D96-B7C7-8C883C3D40FA}"/>
    <cellStyle name="20% - Accent5 2 4 5" xfId="9176" xr:uid="{85304D13-0A74-46DB-A6DF-D814B9CE284B}"/>
    <cellStyle name="20% - Accent5 2 5" xfId="1056" xr:uid="{00000000-0005-0000-0000-0000C3020000}"/>
    <cellStyle name="20% - Accent5 2 5 2" xfId="3287" xr:uid="{00000000-0005-0000-0000-0000C4020000}"/>
    <cellStyle name="20% - Accent5 2 5 2 2" xfId="7510" xr:uid="{00000000-0005-0000-0000-0000C5020000}"/>
    <cellStyle name="20% - Accent5 2 5 2 2 2" xfId="24393" xr:uid="{A279619C-6A6B-4370-A7C7-5C25AD512478}"/>
    <cellStyle name="20% - Accent5 2 5 2 2 3" xfId="15952" xr:uid="{312F3942-AF92-40EA-9522-3532512E505E}"/>
    <cellStyle name="20% - Accent5 2 5 2 3" xfId="20175" xr:uid="{83555379-75B8-49E6-B5DC-A5F2C1B53241}"/>
    <cellStyle name="20% - Accent5 2 5 2 4" xfId="11734" xr:uid="{120D9912-0C2E-4986-9339-F7D7411FE68A}"/>
    <cellStyle name="20% - Accent5 2 5 3" xfId="5365" xr:uid="{00000000-0005-0000-0000-0000C6020000}"/>
    <cellStyle name="20% - Accent5 2 5 3 2" xfId="22248" xr:uid="{99356F12-CBE1-4742-919F-8E9B6F337C93}"/>
    <cellStyle name="20% - Accent5 2 5 3 3" xfId="13807" xr:uid="{98FC38FB-53B3-4BBA-B2EA-27001D3406F2}"/>
    <cellStyle name="20% - Accent5 2 5 4" xfId="18030" xr:uid="{A4B9FA45-1726-4911-9998-BA4AA962C6FF}"/>
    <cellStyle name="20% - Accent5 2 5 5" xfId="9589" xr:uid="{DD81DC99-A11C-4BE4-9B19-5C941F0BAD32}"/>
    <cellStyle name="20% - Accent5 2 6" xfId="1470" xr:uid="{00000000-0005-0000-0000-0000C7020000}"/>
    <cellStyle name="20% - Accent5 2 6 2" xfId="3700" xr:uid="{00000000-0005-0000-0000-0000C8020000}"/>
    <cellStyle name="20% - Accent5 2 6 2 2" xfId="7923" xr:uid="{00000000-0005-0000-0000-0000C9020000}"/>
    <cellStyle name="20% - Accent5 2 6 2 2 2" xfId="24806" xr:uid="{29F0D2E4-F341-4AEC-87BC-32A7CFF55D84}"/>
    <cellStyle name="20% - Accent5 2 6 2 2 3" xfId="16365" xr:uid="{9F45062C-FD13-45F9-A927-08E54B4A3985}"/>
    <cellStyle name="20% - Accent5 2 6 2 3" xfId="20588" xr:uid="{94246141-C506-4040-A1DD-0C2F15548914}"/>
    <cellStyle name="20% - Accent5 2 6 2 4" xfId="12147" xr:uid="{A974DA92-902B-49A3-B830-1D331ED1D512}"/>
    <cellStyle name="20% - Accent5 2 6 3" xfId="5778" xr:uid="{00000000-0005-0000-0000-0000CA020000}"/>
    <cellStyle name="20% - Accent5 2 6 3 2" xfId="22661" xr:uid="{3DF4115A-3F99-4111-8FA9-34AA9CDE4EFE}"/>
    <cellStyle name="20% - Accent5 2 6 3 3" xfId="14220" xr:uid="{A74D42F1-2543-477C-80A6-02E515C6B203}"/>
    <cellStyle name="20% - Accent5 2 6 4" xfId="18443" xr:uid="{037340CE-5613-4AD0-9C96-D9D7DEAB4A76}"/>
    <cellStyle name="20% - Accent5 2 6 5" xfId="10002" xr:uid="{3B88AB3D-AAE4-478A-B457-6702E17C7F7A}"/>
    <cellStyle name="20% - Accent5 2 7" xfId="1884" xr:uid="{00000000-0005-0000-0000-0000CB020000}"/>
    <cellStyle name="20% - Accent5 2 7 2" xfId="4113" xr:uid="{00000000-0005-0000-0000-0000CC020000}"/>
    <cellStyle name="20% - Accent5 2 7 2 2" xfId="8336" xr:uid="{00000000-0005-0000-0000-0000CD020000}"/>
    <cellStyle name="20% - Accent5 2 7 2 2 2" xfId="25219" xr:uid="{130D7217-2CB6-4671-A216-3C1BCFCBCD9D}"/>
    <cellStyle name="20% - Accent5 2 7 2 2 3" xfId="16778" xr:uid="{ECF8F05D-D6DD-41B7-B1C0-4FE1256E961E}"/>
    <cellStyle name="20% - Accent5 2 7 2 3" xfId="21001" xr:uid="{614E9AE4-67B7-4D71-8A3A-7F8ED471F67D}"/>
    <cellStyle name="20% - Accent5 2 7 2 4" xfId="12560" xr:uid="{51700013-5CE8-4B9B-B5F4-6D6B2BDD440C}"/>
    <cellStyle name="20% - Accent5 2 7 3" xfId="6191" xr:uid="{00000000-0005-0000-0000-0000CE020000}"/>
    <cellStyle name="20% - Accent5 2 7 3 2" xfId="23074" xr:uid="{4A38C531-2FA4-46AE-9658-4F2D45CE880D}"/>
    <cellStyle name="20% - Accent5 2 7 3 3" xfId="14633" xr:uid="{8AD15AD9-9ECA-4D2F-A1A1-FB253D0C6D7E}"/>
    <cellStyle name="20% - Accent5 2 7 4" xfId="18856" xr:uid="{9449AD3C-0CB9-4CB1-A916-9799168FFEE6}"/>
    <cellStyle name="20% - Accent5 2 7 5" xfId="10415" xr:uid="{29B7915F-C871-4F76-B0AB-78521CA9012B}"/>
    <cellStyle name="20% - Accent5 2 8" xfId="2297" xr:uid="{00000000-0005-0000-0000-0000CF020000}"/>
    <cellStyle name="20% - Accent5 2 8 2" xfId="6604" xr:uid="{00000000-0005-0000-0000-0000D0020000}"/>
    <cellStyle name="20% - Accent5 2 8 2 2" xfId="23487" xr:uid="{7344CD16-DB7A-4831-BE24-F8EE61548594}"/>
    <cellStyle name="20% - Accent5 2 8 2 3" xfId="15046" xr:uid="{241D1DF7-B588-463E-B2B9-0E904586F908}"/>
    <cellStyle name="20% - Accent5 2 8 3" xfId="19269" xr:uid="{3860CB2C-7176-42B8-93E2-F5EC75E84239}"/>
    <cellStyle name="20% - Accent5 2 8 4" xfId="10828" xr:uid="{E8F8E6B7-456D-44A0-B030-7075410B5D1B}"/>
    <cellStyle name="20% - Accent5 2 9" xfId="4538" xr:uid="{00000000-0005-0000-0000-0000D1020000}"/>
    <cellStyle name="20% - Accent5 2 9 2" xfId="21421" xr:uid="{F4F8E3BA-5F10-49EA-A8F9-186F51E3B29D}"/>
    <cellStyle name="20% - Accent5 2 9 3" xfId="12980" xr:uid="{69EE9129-EB91-4797-A2D4-26EDD6EA810D}"/>
    <cellStyle name="20% - Accent5 3" xfId="38" xr:uid="{00000000-0005-0000-0000-0000D2020000}"/>
    <cellStyle name="20% - Accent5 3 10" xfId="8766" xr:uid="{58B95AA7-8C61-4C94-8330-87BF49D38941}"/>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23985" xr:uid="{7C590765-B248-4B29-8330-643395E985C2}"/>
    <cellStyle name="20% - Accent5 3 2 2 2 2 3" xfId="15544" xr:uid="{5EAE7081-1388-4623-9A54-FD59D81A25DF}"/>
    <cellStyle name="20% - Accent5 3 2 2 2 3" xfId="19767" xr:uid="{55AAF06F-D705-436D-B5DF-4CEACF8927A0}"/>
    <cellStyle name="20% - Accent5 3 2 2 2 4" xfId="11326" xr:uid="{52FA7560-87D8-4CC9-8D52-2DAADE00109A}"/>
    <cellStyle name="20% - Accent5 3 2 2 3" xfId="4957" xr:uid="{00000000-0005-0000-0000-0000D7020000}"/>
    <cellStyle name="20% - Accent5 3 2 2 3 2" xfId="21840" xr:uid="{D2215C25-0FD9-49ED-B64E-0F77AA789DA3}"/>
    <cellStyle name="20% - Accent5 3 2 2 3 3" xfId="13399" xr:uid="{1B998AE3-7967-474F-B6A6-DC685E5EDDD1}"/>
    <cellStyle name="20% - Accent5 3 2 2 4" xfId="17622" xr:uid="{9B9C8A10-F793-45EF-ADB4-0682AB95012B}"/>
    <cellStyle name="20% - Accent5 3 2 2 5" xfId="9181" xr:uid="{90D53732-52CC-4AFC-9346-139F0253517A}"/>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24398" xr:uid="{090F933F-CC86-4CEF-A5A4-8631520C0E48}"/>
    <cellStyle name="20% - Accent5 3 2 3 2 2 3" xfId="15957" xr:uid="{1EF3835D-A0D5-4D68-B9AF-B6C21C55F88C}"/>
    <cellStyle name="20% - Accent5 3 2 3 2 3" xfId="20180" xr:uid="{DCBE7331-81A6-4BAD-87DF-42C565814122}"/>
    <cellStyle name="20% - Accent5 3 2 3 2 4" xfId="11739" xr:uid="{726278C2-9199-4490-AE30-9551E65BD165}"/>
    <cellStyle name="20% - Accent5 3 2 3 3" xfId="5370" xr:uid="{00000000-0005-0000-0000-0000DB020000}"/>
    <cellStyle name="20% - Accent5 3 2 3 3 2" xfId="22253" xr:uid="{C4E9CF15-8AFB-4E95-B0DE-1B1A91D8C59F}"/>
    <cellStyle name="20% - Accent5 3 2 3 3 3" xfId="13812" xr:uid="{AA9176F5-A5D3-4FA8-945E-68A949F4B093}"/>
    <cellStyle name="20% - Accent5 3 2 3 4" xfId="18035" xr:uid="{7EB4DA2D-BBFC-456C-BEBB-D668401FD1B8}"/>
    <cellStyle name="20% - Accent5 3 2 3 5" xfId="9594" xr:uid="{0E4282CF-71F9-4412-AA8F-8630AEC83F85}"/>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24811" xr:uid="{161FEA31-032A-41FA-A3E2-D7DD057DC7DE}"/>
    <cellStyle name="20% - Accent5 3 2 4 2 2 3" xfId="16370" xr:uid="{EF4D68FD-37B5-4166-B923-97F982ED6345}"/>
    <cellStyle name="20% - Accent5 3 2 4 2 3" xfId="20593" xr:uid="{B3359031-D925-497D-80F0-A7E8C4727F32}"/>
    <cellStyle name="20% - Accent5 3 2 4 2 4" xfId="12152" xr:uid="{57217D34-9DA4-4D20-A7BF-122E80CCCB08}"/>
    <cellStyle name="20% - Accent5 3 2 4 3" xfId="5783" xr:uid="{00000000-0005-0000-0000-0000DF020000}"/>
    <cellStyle name="20% - Accent5 3 2 4 3 2" xfId="22666" xr:uid="{5379AAFC-F9CA-461A-99AF-54DB44C915D8}"/>
    <cellStyle name="20% - Accent5 3 2 4 3 3" xfId="14225" xr:uid="{AFAE931C-88C1-4372-A2BC-D010319E57C6}"/>
    <cellStyle name="20% - Accent5 3 2 4 4" xfId="18448" xr:uid="{80F6F52F-7DFD-40C4-9F9A-BE0416946538}"/>
    <cellStyle name="20% - Accent5 3 2 4 5" xfId="10007" xr:uid="{1B49F72F-D290-4BC8-9714-C2A2E7B10E5D}"/>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25224" xr:uid="{4293BD4E-2DD5-4C67-A919-0B7E14BEE091}"/>
    <cellStyle name="20% - Accent5 3 2 5 2 2 3" xfId="16783" xr:uid="{CD8F674B-BF2B-48F7-866F-3AE3F1D82C07}"/>
    <cellStyle name="20% - Accent5 3 2 5 2 3" xfId="21006" xr:uid="{6935F152-0261-4583-B3FC-DA3EF0284C2B}"/>
    <cellStyle name="20% - Accent5 3 2 5 2 4" xfId="12565" xr:uid="{3EB13BA8-A57B-481B-A425-28FF9CD95EA0}"/>
    <cellStyle name="20% - Accent5 3 2 5 3" xfId="6196" xr:uid="{00000000-0005-0000-0000-0000E3020000}"/>
    <cellStyle name="20% - Accent5 3 2 5 3 2" xfId="23079" xr:uid="{91E87C70-269D-4CFD-9B4A-96D70419AB31}"/>
    <cellStyle name="20% - Accent5 3 2 5 3 3" xfId="14638" xr:uid="{5E524CF1-5F73-4220-AF26-2E0ECC145D2F}"/>
    <cellStyle name="20% - Accent5 3 2 5 4" xfId="18861" xr:uid="{2CEF42FF-7C60-42BB-9064-C520114AEA70}"/>
    <cellStyle name="20% - Accent5 3 2 5 5" xfId="10420" xr:uid="{A4CE7B7C-57C0-4237-9BD2-A399C1CC4BDC}"/>
    <cellStyle name="20% - Accent5 3 2 6" xfId="2302" xr:uid="{00000000-0005-0000-0000-0000E4020000}"/>
    <cellStyle name="20% - Accent5 3 2 6 2" xfId="6609" xr:uid="{00000000-0005-0000-0000-0000E5020000}"/>
    <cellStyle name="20% - Accent5 3 2 6 2 2" xfId="23492" xr:uid="{D8A3717C-88AF-4973-AC61-EAE9D8FD46F6}"/>
    <cellStyle name="20% - Accent5 3 2 6 2 3" xfId="15051" xr:uid="{56482F3F-A12D-4EFE-94AA-32F6CEAAAA96}"/>
    <cellStyle name="20% - Accent5 3 2 6 3" xfId="19274" xr:uid="{1B70EAC1-9F72-4F3F-8756-B45AC0FDD45A}"/>
    <cellStyle name="20% - Accent5 3 2 6 4" xfId="10833" xr:uid="{96CB175D-B1A0-4250-9DB7-2450F3B7FE11}"/>
    <cellStyle name="20% - Accent5 3 2 7" xfId="4543" xr:uid="{00000000-0005-0000-0000-0000E6020000}"/>
    <cellStyle name="20% - Accent5 3 2 7 2" xfId="21426" xr:uid="{6AAEB58E-5644-40EA-93C7-C2C95DCB7468}"/>
    <cellStyle name="20% - Accent5 3 2 7 3" xfId="12985" xr:uid="{E6306CDB-7339-4BD6-8D24-0F765015CFE3}"/>
    <cellStyle name="20% - Accent5 3 2 8" xfId="17208" xr:uid="{D38EE1A6-E6D5-488C-9FC7-1DB1DB8F4450}"/>
    <cellStyle name="20% - Accent5 3 2 9" xfId="8767" xr:uid="{A10CCFF7-46CE-407A-A9DF-0F9442BCC635}"/>
    <cellStyle name="20% - Accent5 3 3" xfId="607" xr:uid="{00000000-0005-0000-0000-0000E7020000}"/>
    <cellStyle name="20% - Accent5 3 3 2" xfId="2878" xr:uid="{00000000-0005-0000-0000-0000E8020000}"/>
    <cellStyle name="20% - Accent5 3 3 2 2" xfId="7101" xr:uid="{00000000-0005-0000-0000-0000E9020000}"/>
    <cellStyle name="20% - Accent5 3 3 2 2 2" xfId="23984" xr:uid="{A6AC864D-C2EB-46B8-9D5E-8E50194610F8}"/>
    <cellStyle name="20% - Accent5 3 3 2 2 3" xfId="15543" xr:uid="{4F4CE790-7D0F-4A56-AC24-8CF4398EB0B4}"/>
    <cellStyle name="20% - Accent5 3 3 2 3" xfId="19766" xr:uid="{8F18AF6B-2FAB-4397-BEEE-8615B8B9BAEB}"/>
    <cellStyle name="20% - Accent5 3 3 2 4" xfId="11325" xr:uid="{050DB104-9B74-4E38-AE9E-FD85F1D73CB3}"/>
    <cellStyle name="20% - Accent5 3 3 3" xfId="4956" xr:uid="{00000000-0005-0000-0000-0000EA020000}"/>
    <cellStyle name="20% - Accent5 3 3 3 2" xfId="21839" xr:uid="{C404428C-C0FC-4127-A7DC-6887721CCF6F}"/>
    <cellStyle name="20% - Accent5 3 3 3 3" xfId="13398" xr:uid="{B8817DD0-A1B9-47F8-B8E9-9FB9B02C2DE9}"/>
    <cellStyle name="20% - Accent5 3 3 4" xfId="17621" xr:uid="{F7480B0D-1E6E-4C69-BAFE-9B4F46AE88E9}"/>
    <cellStyle name="20% - Accent5 3 3 5" xfId="9180" xr:uid="{455BC87F-4CD0-471C-984C-494410089F4D}"/>
    <cellStyle name="20% - Accent5 3 4" xfId="1060" xr:uid="{00000000-0005-0000-0000-0000EB020000}"/>
    <cellStyle name="20% - Accent5 3 4 2" xfId="3291" xr:uid="{00000000-0005-0000-0000-0000EC020000}"/>
    <cellStyle name="20% - Accent5 3 4 2 2" xfId="7514" xr:uid="{00000000-0005-0000-0000-0000ED020000}"/>
    <cellStyle name="20% - Accent5 3 4 2 2 2" xfId="24397" xr:uid="{9C610279-6267-4551-B117-62AF559BC573}"/>
    <cellStyle name="20% - Accent5 3 4 2 2 3" xfId="15956" xr:uid="{C079A0B1-F9CB-40B2-997F-30C966F891F9}"/>
    <cellStyle name="20% - Accent5 3 4 2 3" xfId="20179" xr:uid="{C9C72804-809F-4669-A93E-C12BAA4FA411}"/>
    <cellStyle name="20% - Accent5 3 4 2 4" xfId="11738" xr:uid="{365DE764-8D8A-41AC-BF7E-3504FECAE607}"/>
    <cellStyle name="20% - Accent5 3 4 3" xfId="5369" xr:uid="{00000000-0005-0000-0000-0000EE020000}"/>
    <cellStyle name="20% - Accent5 3 4 3 2" xfId="22252" xr:uid="{60A92C89-EDB2-4CF3-AE29-BC46238A84F9}"/>
    <cellStyle name="20% - Accent5 3 4 3 3" xfId="13811" xr:uid="{0AEACBBD-14F4-41EB-9833-A0252BB616C5}"/>
    <cellStyle name="20% - Accent5 3 4 4" xfId="18034" xr:uid="{DDE95AB2-79C4-4F94-9A46-AE64B25EC942}"/>
    <cellStyle name="20% - Accent5 3 4 5" xfId="9593" xr:uid="{166E09C1-6414-44B0-BAF2-766464A5375B}"/>
    <cellStyle name="20% - Accent5 3 5" xfId="1474" xr:uid="{00000000-0005-0000-0000-0000EF020000}"/>
    <cellStyle name="20% - Accent5 3 5 2" xfId="3704" xr:uid="{00000000-0005-0000-0000-0000F0020000}"/>
    <cellStyle name="20% - Accent5 3 5 2 2" xfId="7927" xr:uid="{00000000-0005-0000-0000-0000F1020000}"/>
    <cellStyle name="20% - Accent5 3 5 2 2 2" xfId="24810" xr:uid="{D487FAF4-2408-4436-8905-A0FB1A935585}"/>
    <cellStyle name="20% - Accent5 3 5 2 2 3" xfId="16369" xr:uid="{7F9FA86F-B20A-45CC-A099-6627FE0D214B}"/>
    <cellStyle name="20% - Accent5 3 5 2 3" xfId="20592" xr:uid="{09550C84-0FE5-43A3-8A31-F1F418689362}"/>
    <cellStyle name="20% - Accent5 3 5 2 4" xfId="12151" xr:uid="{70D8B387-A196-4CA6-A2C3-342F3AAFAC36}"/>
    <cellStyle name="20% - Accent5 3 5 3" xfId="5782" xr:uid="{00000000-0005-0000-0000-0000F2020000}"/>
    <cellStyle name="20% - Accent5 3 5 3 2" xfId="22665" xr:uid="{E73E0D0F-703F-4178-A3B4-BF145DBECB0A}"/>
    <cellStyle name="20% - Accent5 3 5 3 3" xfId="14224" xr:uid="{23F78215-AF18-4A38-BBAB-6C552ED88887}"/>
    <cellStyle name="20% - Accent5 3 5 4" xfId="18447" xr:uid="{6E3E299B-91E3-41C7-808F-CA5A2491D013}"/>
    <cellStyle name="20% - Accent5 3 5 5" xfId="10006" xr:uid="{18FBE1FB-7DD7-492C-A260-965D8BEC1F4B}"/>
    <cellStyle name="20% - Accent5 3 6" xfId="1888" xr:uid="{00000000-0005-0000-0000-0000F3020000}"/>
    <cellStyle name="20% - Accent5 3 6 2" xfId="4117" xr:uid="{00000000-0005-0000-0000-0000F4020000}"/>
    <cellStyle name="20% - Accent5 3 6 2 2" xfId="8340" xr:uid="{00000000-0005-0000-0000-0000F5020000}"/>
    <cellStyle name="20% - Accent5 3 6 2 2 2" xfId="25223" xr:uid="{06903152-DD9C-4F97-8D6C-8B457D9FFDCA}"/>
    <cellStyle name="20% - Accent5 3 6 2 2 3" xfId="16782" xr:uid="{79264A07-E2E1-4130-BADC-953848110B3F}"/>
    <cellStyle name="20% - Accent5 3 6 2 3" xfId="21005" xr:uid="{002DA4E0-FC39-4A33-BE73-60E42BD3BB53}"/>
    <cellStyle name="20% - Accent5 3 6 2 4" xfId="12564" xr:uid="{DC8BCB62-99F6-40FD-9BDE-016A007C7D68}"/>
    <cellStyle name="20% - Accent5 3 6 3" xfId="6195" xr:uid="{00000000-0005-0000-0000-0000F6020000}"/>
    <cellStyle name="20% - Accent5 3 6 3 2" xfId="23078" xr:uid="{A3271CDE-8D0C-4762-BB56-B322B19A0516}"/>
    <cellStyle name="20% - Accent5 3 6 3 3" xfId="14637" xr:uid="{7688488D-0DD0-47CA-986B-AE7A3282684C}"/>
    <cellStyle name="20% - Accent5 3 6 4" xfId="18860" xr:uid="{FD1D2198-6EEB-49F9-8E4A-B61416718599}"/>
    <cellStyle name="20% - Accent5 3 6 5" xfId="10419" xr:uid="{365D7AF5-0BED-4260-B588-99AA49AC6629}"/>
    <cellStyle name="20% - Accent5 3 7" xfId="2301" xr:uid="{00000000-0005-0000-0000-0000F7020000}"/>
    <cellStyle name="20% - Accent5 3 7 2" xfId="6608" xr:uid="{00000000-0005-0000-0000-0000F8020000}"/>
    <cellStyle name="20% - Accent5 3 7 2 2" xfId="23491" xr:uid="{4E0631EF-0D43-43D4-859F-7D4D608A6508}"/>
    <cellStyle name="20% - Accent5 3 7 2 3" xfId="15050" xr:uid="{B86EA102-2DD0-4E4E-8B9A-597AB390E2C0}"/>
    <cellStyle name="20% - Accent5 3 7 3" xfId="19273" xr:uid="{74598513-CA2D-4CE3-BFF5-4521AD61990C}"/>
    <cellStyle name="20% - Accent5 3 7 4" xfId="10832" xr:uid="{70F36042-3592-42D2-9DF4-1DC7ED43A160}"/>
    <cellStyle name="20% - Accent5 3 8" xfId="4542" xr:uid="{00000000-0005-0000-0000-0000F9020000}"/>
    <cellStyle name="20% - Accent5 3 8 2" xfId="21425" xr:uid="{681A3CF3-BC75-44E5-9225-36A3DF5F69B8}"/>
    <cellStyle name="20% - Accent5 3 8 3" xfId="12984" xr:uid="{582D1A46-9526-4C69-BB32-0E1C169A47AD}"/>
    <cellStyle name="20% - Accent5 3 9" xfId="17207" xr:uid="{8E3F07DF-894B-45D7-B12E-944D453EFADB}"/>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23986" xr:uid="{3282FDED-E3ED-44DA-8C31-1F48E1F3FA0E}"/>
    <cellStyle name="20% - Accent5 4 2 2 2 3" xfId="15545" xr:uid="{20E57183-F597-4B0C-8C6B-4C64EB22C7B7}"/>
    <cellStyle name="20% - Accent5 4 2 2 3" xfId="19768" xr:uid="{6C82A918-E391-404D-962F-7A74A093A193}"/>
    <cellStyle name="20% - Accent5 4 2 2 4" xfId="11327" xr:uid="{24C76C9D-2CBF-47BB-88C5-9FF98DAAAB94}"/>
    <cellStyle name="20% - Accent5 4 2 3" xfId="4958" xr:uid="{00000000-0005-0000-0000-0000FE020000}"/>
    <cellStyle name="20% - Accent5 4 2 3 2" xfId="21841" xr:uid="{E744254C-D38F-479B-A9C3-2E40946EC1A4}"/>
    <cellStyle name="20% - Accent5 4 2 3 3" xfId="13400" xr:uid="{E7EB986F-29BA-4D0E-8559-8BA7324C5E58}"/>
    <cellStyle name="20% - Accent5 4 2 4" xfId="17623" xr:uid="{E3333256-1FB5-4AED-818B-BF9E091AD3E8}"/>
    <cellStyle name="20% - Accent5 4 2 5" xfId="9182" xr:uid="{72BB84F7-4F05-48C4-A1B8-7B276EE02E92}"/>
    <cellStyle name="20% - Accent5 4 3" xfId="1062" xr:uid="{00000000-0005-0000-0000-0000FF020000}"/>
    <cellStyle name="20% - Accent5 4 3 2" xfId="3293" xr:uid="{00000000-0005-0000-0000-000000030000}"/>
    <cellStyle name="20% - Accent5 4 3 2 2" xfId="7516" xr:uid="{00000000-0005-0000-0000-000001030000}"/>
    <cellStyle name="20% - Accent5 4 3 2 2 2" xfId="24399" xr:uid="{19AA9E69-C290-4802-B629-9F2763CFD986}"/>
    <cellStyle name="20% - Accent5 4 3 2 2 3" xfId="15958" xr:uid="{17E9BE99-DAB4-4280-99E5-10043B67A380}"/>
    <cellStyle name="20% - Accent5 4 3 2 3" xfId="20181" xr:uid="{C3C04400-18B2-4951-BCE0-EDE1E74D4BB1}"/>
    <cellStyle name="20% - Accent5 4 3 2 4" xfId="11740" xr:uid="{864C49A6-B6DD-4C72-B1D5-5125E3E7D791}"/>
    <cellStyle name="20% - Accent5 4 3 3" xfId="5371" xr:uid="{00000000-0005-0000-0000-000002030000}"/>
    <cellStyle name="20% - Accent5 4 3 3 2" xfId="22254" xr:uid="{F368FD24-D6E3-48FA-BFDF-D128C0972D2D}"/>
    <cellStyle name="20% - Accent5 4 3 3 3" xfId="13813" xr:uid="{B3E3DD18-7D72-4C23-ADB5-3F2BCC7749F4}"/>
    <cellStyle name="20% - Accent5 4 3 4" xfId="18036" xr:uid="{5535CF8D-2F99-468F-9FBF-BEC74DFAD73F}"/>
    <cellStyle name="20% - Accent5 4 3 5" xfId="9595" xr:uid="{DD93656B-6559-478E-8457-A417C833BC2C}"/>
    <cellStyle name="20% - Accent5 4 4" xfId="1476" xr:uid="{00000000-0005-0000-0000-000003030000}"/>
    <cellStyle name="20% - Accent5 4 4 2" xfId="3706" xr:uid="{00000000-0005-0000-0000-000004030000}"/>
    <cellStyle name="20% - Accent5 4 4 2 2" xfId="7929" xr:uid="{00000000-0005-0000-0000-000005030000}"/>
    <cellStyle name="20% - Accent5 4 4 2 2 2" xfId="24812" xr:uid="{8886AD2E-A0EF-4A73-AA3B-C8D1A6974C04}"/>
    <cellStyle name="20% - Accent5 4 4 2 2 3" xfId="16371" xr:uid="{59F6CE62-8BEF-4932-A468-FF017A2982E5}"/>
    <cellStyle name="20% - Accent5 4 4 2 3" xfId="20594" xr:uid="{B24C5744-EB20-40CC-BBB1-D98CB73D167F}"/>
    <cellStyle name="20% - Accent5 4 4 2 4" xfId="12153" xr:uid="{77F93C87-0DF2-4F27-BC1E-8BE7D62E8F5E}"/>
    <cellStyle name="20% - Accent5 4 4 3" xfId="5784" xr:uid="{00000000-0005-0000-0000-000006030000}"/>
    <cellStyle name="20% - Accent5 4 4 3 2" xfId="22667" xr:uid="{AF54D780-6BBC-4BCC-9516-E7E0204B53C4}"/>
    <cellStyle name="20% - Accent5 4 4 3 3" xfId="14226" xr:uid="{AA705A5D-4DD8-494F-8748-E588C02682CB}"/>
    <cellStyle name="20% - Accent5 4 4 4" xfId="18449" xr:uid="{56D6CCCD-CCAC-41EB-8628-CBAE2A841209}"/>
    <cellStyle name="20% - Accent5 4 4 5" xfId="10008" xr:uid="{5BC0DA0B-B5C4-4F69-9128-366DD1C0F4BD}"/>
    <cellStyle name="20% - Accent5 4 5" xfId="1890" xr:uid="{00000000-0005-0000-0000-000007030000}"/>
    <cellStyle name="20% - Accent5 4 5 2" xfId="4119" xr:uid="{00000000-0005-0000-0000-000008030000}"/>
    <cellStyle name="20% - Accent5 4 5 2 2" xfId="8342" xr:uid="{00000000-0005-0000-0000-000009030000}"/>
    <cellStyle name="20% - Accent5 4 5 2 2 2" xfId="25225" xr:uid="{F1C5900B-64EB-4785-9A7C-82937F916B81}"/>
    <cellStyle name="20% - Accent5 4 5 2 2 3" xfId="16784" xr:uid="{92CD91CB-E60F-4CEE-9167-A7DCDDE0E527}"/>
    <cellStyle name="20% - Accent5 4 5 2 3" xfId="21007" xr:uid="{21801D57-92F1-4006-B282-FB1213EC5FFD}"/>
    <cellStyle name="20% - Accent5 4 5 2 4" xfId="12566" xr:uid="{86D7F897-38B9-4D14-BD9E-927B15E1E49E}"/>
    <cellStyle name="20% - Accent5 4 5 3" xfId="6197" xr:uid="{00000000-0005-0000-0000-00000A030000}"/>
    <cellStyle name="20% - Accent5 4 5 3 2" xfId="23080" xr:uid="{96D9B90B-81D8-447D-B571-A154544184D9}"/>
    <cellStyle name="20% - Accent5 4 5 3 3" xfId="14639" xr:uid="{DEBEECDE-29EF-4D25-99F6-EC022C7B6A17}"/>
    <cellStyle name="20% - Accent5 4 5 4" xfId="18862" xr:uid="{C9D1D140-EDEE-436A-ABAB-CF77BF94EA20}"/>
    <cellStyle name="20% - Accent5 4 5 5" xfId="10421" xr:uid="{585C8E1F-A2CC-4B74-AED1-13C25ECF7599}"/>
    <cellStyle name="20% - Accent5 4 6" xfId="2303" xr:uid="{00000000-0005-0000-0000-00000B030000}"/>
    <cellStyle name="20% - Accent5 4 6 2" xfId="6610" xr:uid="{00000000-0005-0000-0000-00000C030000}"/>
    <cellStyle name="20% - Accent5 4 6 2 2" xfId="23493" xr:uid="{67B4CCEA-CABE-4EF0-8FC0-1874E2F6FFD9}"/>
    <cellStyle name="20% - Accent5 4 6 2 3" xfId="15052" xr:uid="{91A010C0-593E-4917-B376-EE7166A3537D}"/>
    <cellStyle name="20% - Accent5 4 6 3" xfId="19275" xr:uid="{B593185C-185D-472E-BCF0-4B7BBF23894C}"/>
    <cellStyle name="20% - Accent5 4 6 4" xfId="10834" xr:uid="{BD7BDD0E-997B-4E41-94A7-E3BC2E319162}"/>
    <cellStyle name="20% - Accent5 4 7" xfId="4544" xr:uid="{00000000-0005-0000-0000-00000D030000}"/>
    <cellStyle name="20% - Accent5 4 7 2" xfId="21427" xr:uid="{F5111BA5-BA5C-4AB2-A4EB-330E4DD1B060}"/>
    <cellStyle name="20% - Accent5 4 7 3" xfId="12986" xr:uid="{22806F60-C069-49F6-8C6A-AF9D31F56292}"/>
    <cellStyle name="20% - Accent5 4 8" xfId="17209" xr:uid="{2318B8F2-97DB-4C1B-8522-1EC08520B90A}"/>
    <cellStyle name="20% - Accent5 4 9" xfId="8768" xr:uid="{14F03F37-4DF8-429B-AE7F-E0E16DC467CA}"/>
    <cellStyle name="20% - Accent5 5" xfId="602" xr:uid="{00000000-0005-0000-0000-00000E030000}"/>
    <cellStyle name="20% - Accent5 5 2" xfId="2873" xr:uid="{00000000-0005-0000-0000-00000F030000}"/>
    <cellStyle name="20% - Accent5 5 2 2" xfId="7096" xr:uid="{00000000-0005-0000-0000-000010030000}"/>
    <cellStyle name="20% - Accent5 5 2 2 2" xfId="23979" xr:uid="{0C458E3E-BE2C-43AD-8A5F-FD08C059FB73}"/>
    <cellStyle name="20% - Accent5 5 2 2 3" xfId="15538" xr:uid="{20F84625-C048-41E7-BA5F-DF97A4056F30}"/>
    <cellStyle name="20% - Accent5 5 2 3" xfId="19761" xr:uid="{835EB796-9809-40C3-A60A-D55A222CCDA1}"/>
    <cellStyle name="20% - Accent5 5 2 4" xfId="11320" xr:uid="{5EF2C61F-DF1D-4FA5-B882-13A239F52DCE}"/>
    <cellStyle name="20% - Accent5 5 3" xfId="4951" xr:uid="{00000000-0005-0000-0000-000011030000}"/>
    <cellStyle name="20% - Accent5 5 3 2" xfId="21834" xr:uid="{74DE245D-F8D1-4BDF-8BAB-FB26C750DA1C}"/>
    <cellStyle name="20% - Accent5 5 3 3" xfId="13393" xr:uid="{652E1A47-4130-4F2C-9BBD-86DDD016C027}"/>
    <cellStyle name="20% - Accent5 5 4" xfId="17616" xr:uid="{8CD48693-89CE-4769-B965-ACF298A8EE2B}"/>
    <cellStyle name="20% - Accent5 5 5" xfId="9175" xr:uid="{75D00F59-3572-4973-9B71-93E04D093390}"/>
    <cellStyle name="20% - Accent5 6" xfId="1055" xr:uid="{00000000-0005-0000-0000-000012030000}"/>
    <cellStyle name="20% - Accent5 6 2" xfId="3286" xr:uid="{00000000-0005-0000-0000-000013030000}"/>
    <cellStyle name="20% - Accent5 6 2 2" xfId="7509" xr:uid="{00000000-0005-0000-0000-000014030000}"/>
    <cellStyle name="20% - Accent5 6 2 2 2" xfId="24392" xr:uid="{F0FAE4E5-072A-4C82-9424-6BABFAFED8B2}"/>
    <cellStyle name="20% - Accent5 6 2 2 3" xfId="15951" xr:uid="{DB4370E8-4BA4-4E31-97CE-95E5B780986D}"/>
    <cellStyle name="20% - Accent5 6 2 3" xfId="20174" xr:uid="{74549DF5-A5D3-4B64-8E5A-E996F32A6952}"/>
    <cellStyle name="20% - Accent5 6 2 4" xfId="11733" xr:uid="{70D35F02-9209-4E6E-9AE5-CD834DBABB07}"/>
    <cellStyle name="20% - Accent5 6 3" xfId="5364" xr:uid="{00000000-0005-0000-0000-000015030000}"/>
    <cellStyle name="20% - Accent5 6 3 2" xfId="22247" xr:uid="{27C2D693-0F1D-47CE-91D7-5896CB2F6479}"/>
    <cellStyle name="20% - Accent5 6 3 3" xfId="13806" xr:uid="{F617FF25-BFE1-49DB-B09E-E3270F69E58F}"/>
    <cellStyle name="20% - Accent5 6 4" xfId="18029" xr:uid="{D37238DD-32FC-4A5D-B383-34017570B4EC}"/>
    <cellStyle name="20% - Accent5 6 5" xfId="9588" xr:uid="{370A1968-551B-473E-ACFE-6CC4A4643A3B}"/>
    <cellStyle name="20% - Accent5 7" xfId="1469" xr:uid="{00000000-0005-0000-0000-000016030000}"/>
    <cellStyle name="20% - Accent5 7 2" xfId="3699" xr:uid="{00000000-0005-0000-0000-000017030000}"/>
    <cellStyle name="20% - Accent5 7 2 2" xfId="7922" xr:uid="{00000000-0005-0000-0000-000018030000}"/>
    <cellStyle name="20% - Accent5 7 2 2 2" xfId="24805" xr:uid="{33DB57BC-7203-4DB8-B70E-01DAD0CB39A2}"/>
    <cellStyle name="20% - Accent5 7 2 2 3" xfId="16364" xr:uid="{40A1D027-E91F-4E92-AE1A-F6CAE3258D73}"/>
    <cellStyle name="20% - Accent5 7 2 3" xfId="20587" xr:uid="{7817CE63-43C2-4530-BC3B-EF02C97BC8F0}"/>
    <cellStyle name="20% - Accent5 7 2 4" xfId="12146" xr:uid="{BE7134F3-138B-4C5F-A2F2-5896DC43401B}"/>
    <cellStyle name="20% - Accent5 7 3" xfId="5777" xr:uid="{00000000-0005-0000-0000-000019030000}"/>
    <cellStyle name="20% - Accent5 7 3 2" xfId="22660" xr:uid="{AA4CCCCF-9060-41A5-B1CB-504C00638547}"/>
    <cellStyle name="20% - Accent5 7 3 3" xfId="14219" xr:uid="{8BD07E81-584D-4F9F-A48F-AC632C45254C}"/>
    <cellStyle name="20% - Accent5 7 4" xfId="18442" xr:uid="{440C4A28-78A3-49AA-9553-1A02993E1084}"/>
    <cellStyle name="20% - Accent5 7 5" xfId="10001" xr:uid="{BBAFA60B-CF93-4CB8-BB2A-FD51EE369A33}"/>
    <cellStyle name="20% - Accent5 8" xfId="1883" xr:uid="{00000000-0005-0000-0000-00001A030000}"/>
    <cellStyle name="20% - Accent5 8 2" xfId="4112" xr:uid="{00000000-0005-0000-0000-00001B030000}"/>
    <cellStyle name="20% - Accent5 8 2 2" xfId="8335" xr:uid="{00000000-0005-0000-0000-00001C030000}"/>
    <cellStyle name="20% - Accent5 8 2 2 2" xfId="25218" xr:uid="{DC6965FA-E7F5-4512-9F25-E99ADB3A2579}"/>
    <cellStyle name="20% - Accent5 8 2 2 3" xfId="16777" xr:uid="{348E0479-B891-4D33-9DBE-58DFFA9BC45F}"/>
    <cellStyle name="20% - Accent5 8 2 3" xfId="21000" xr:uid="{A6CC3F1B-476F-4494-8280-EBD510785AE1}"/>
    <cellStyle name="20% - Accent5 8 2 4" xfId="12559" xr:uid="{56DE1B0E-5CDA-49BA-96D2-9C315DBFE866}"/>
    <cellStyle name="20% - Accent5 8 3" xfId="6190" xr:uid="{00000000-0005-0000-0000-00001D030000}"/>
    <cellStyle name="20% - Accent5 8 3 2" xfId="23073" xr:uid="{CA9A8060-3432-4AC4-A2DF-2F8F0747D84B}"/>
    <cellStyle name="20% - Accent5 8 3 3" xfId="14632" xr:uid="{18ADF05F-792D-4DD9-937E-7B869A0405BC}"/>
    <cellStyle name="20% - Accent5 8 4" xfId="18855" xr:uid="{33309045-F6C5-4E86-9FF0-5D1E97DA6AD4}"/>
    <cellStyle name="20% - Accent5 8 5" xfId="10414" xr:uid="{887B9581-83F2-4550-84D2-F9E43EC31FD4}"/>
    <cellStyle name="20% - Accent5 9" xfId="2296" xr:uid="{00000000-0005-0000-0000-00001E030000}"/>
    <cellStyle name="20% - Accent5 9 2" xfId="6603" xr:uid="{00000000-0005-0000-0000-00001F030000}"/>
    <cellStyle name="20% - Accent5 9 2 2" xfId="23486" xr:uid="{F45A4056-591D-43E0-B921-E84C3BF63951}"/>
    <cellStyle name="20% - Accent5 9 2 3" xfId="15045" xr:uid="{4B22B774-3DC3-4461-AC77-C78FB01AE107}"/>
    <cellStyle name="20% - Accent5 9 3" xfId="19268" xr:uid="{2BD3A612-CF64-48A6-9C7A-2CFDC9F6753E}"/>
    <cellStyle name="20% - Accent5 9 4" xfId="10827" xr:uid="{9FB3FBE8-8D02-48A8-B297-6C2BFE027F80}"/>
    <cellStyle name="20% - Accent6" xfId="41" builtinId="50" customBuiltin="1"/>
    <cellStyle name="20% - Accent6 10" xfId="4545" xr:uid="{00000000-0005-0000-0000-000021030000}"/>
    <cellStyle name="20% - Accent6 10 2" xfId="21428" xr:uid="{41CDD936-1697-466C-BC16-101079C97DDF}"/>
    <cellStyle name="20% - Accent6 10 3" xfId="12987" xr:uid="{B908375F-EB30-44C7-889A-8D19BE5D8514}"/>
    <cellStyle name="20% - Accent6 11" xfId="17210" xr:uid="{865AA7E1-B7AD-46D7-BF53-AF69FE8847AB}"/>
    <cellStyle name="20% - Accent6 12" xfId="8769" xr:uid="{EAD1352E-84CD-484C-8102-E7311791C00A}"/>
    <cellStyle name="20% - Accent6 2" xfId="42" xr:uid="{00000000-0005-0000-0000-000022030000}"/>
    <cellStyle name="20% - Accent6 2 10" xfId="17211" xr:uid="{C631E461-3090-4D77-98AB-5C5D503EE3F8}"/>
    <cellStyle name="20% - Accent6 2 11" xfId="8770" xr:uid="{2217D8AA-282E-4EF6-8042-A82F524F065B}"/>
    <cellStyle name="20% - Accent6 2 2" xfId="43" xr:uid="{00000000-0005-0000-0000-000023030000}"/>
    <cellStyle name="20% - Accent6 2 2 10" xfId="8771" xr:uid="{91720EEB-B6DD-4F60-B108-B9144228E5A4}"/>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23990" xr:uid="{F9AF9106-5E32-4370-8961-EBBCD49BEBAA}"/>
    <cellStyle name="20% - Accent6 2 2 2 2 2 2 3" xfId="15549" xr:uid="{0C45E52F-F32E-4956-9595-746A7A9729BD}"/>
    <cellStyle name="20% - Accent6 2 2 2 2 2 3" xfId="19772" xr:uid="{0EB7B46A-E2E6-4E55-B419-5514519CDF73}"/>
    <cellStyle name="20% - Accent6 2 2 2 2 2 4" xfId="11331" xr:uid="{D2CEA1EE-16E8-4DBB-8E14-576182106975}"/>
    <cellStyle name="20% - Accent6 2 2 2 2 3" xfId="4962" xr:uid="{00000000-0005-0000-0000-000028030000}"/>
    <cellStyle name="20% - Accent6 2 2 2 2 3 2" xfId="21845" xr:uid="{71B476D8-F379-4A67-A878-26DA939C3B3E}"/>
    <cellStyle name="20% - Accent6 2 2 2 2 3 3" xfId="13404" xr:uid="{3A559138-E830-4EE6-877B-BDF896E1FB16}"/>
    <cellStyle name="20% - Accent6 2 2 2 2 4" xfId="17627" xr:uid="{1BEC4B21-D0DA-42EB-8916-E6D12D337FAC}"/>
    <cellStyle name="20% - Accent6 2 2 2 2 5" xfId="9186" xr:uid="{3D694C39-22C3-4867-89BA-1862110CAE59}"/>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24403" xr:uid="{E5598AF1-654A-432B-9C53-D18A6849230B}"/>
    <cellStyle name="20% - Accent6 2 2 2 3 2 2 3" xfId="15962" xr:uid="{E0F22C37-0521-4710-B891-3B6FB0E6594D}"/>
    <cellStyle name="20% - Accent6 2 2 2 3 2 3" xfId="20185" xr:uid="{010D9701-D028-44E0-9576-E10A22AE32D1}"/>
    <cellStyle name="20% - Accent6 2 2 2 3 2 4" xfId="11744" xr:uid="{65E088DC-0EDC-483B-9797-66012B743D31}"/>
    <cellStyle name="20% - Accent6 2 2 2 3 3" xfId="5375" xr:uid="{00000000-0005-0000-0000-00002C030000}"/>
    <cellStyle name="20% - Accent6 2 2 2 3 3 2" xfId="22258" xr:uid="{E95F10DA-5AC2-46BC-B88A-88B061FDBB7A}"/>
    <cellStyle name="20% - Accent6 2 2 2 3 3 3" xfId="13817" xr:uid="{7B6DA80D-F6B1-4DC1-9E3E-C1876DD5E4D9}"/>
    <cellStyle name="20% - Accent6 2 2 2 3 4" xfId="18040" xr:uid="{57A0942C-77CA-4EA8-8F9B-1BD4834FDEAD}"/>
    <cellStyle name="20% - Accent6 2 2 2 3 5" xfId="9599" xr:uid="{27F541F1-BD62-48F7-85BA-1C9850667664}"/>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24816" xr:uid="{6B07151A-8391-4A25-9822-643E48098378}"/>
    <cellStyle name="20% - Accent6 2 2 2 4 2 2 3" xfId="16375" xr:uid="{56F3EC51-8945-45C0-9697-8FA836B155E8}"/>
    <cellStyle name="20% - Accent6 2 2 2 4 2 3" xfId="20598" xr:uid="{CF507821-0EE9-45BE-8A1D-2DC69D9659BB}"/>
    <cellStyle name="20% - Accent6 2 2 2 4 2 4" xfId="12157" xr:uid="{F4D5B567-60C2-45F9-9FB8-961CADAAB94A}"/>
    <cellStyle name="20% - Accent6 2 2 2 4 3" xfId="5788" xr:uid="{00000000-0005-0000-0000-000030030000}"/>
    <cellStyle name="20% - Accent6 2 2 2 4 3 2" xfId="22671" xr:uid="{3A6A4839-0D22-4808-B5A2-7F8B2A8DC681}"/>
    <cellStyle name="20% - Accent6 2 2 2 4 3 3" xfId="14230" xr:uid="{290C1F66-9CF5-4DC2-890B-F9218B675472}"/>
    <cellStyle name="20% - Accent6 2 2 2 4 4" xfId="18453" xr:uid="{6CB6A845-E1CD-43D0-9276-69862BBE7E98}"/>
    <cellStyle name="20% - Accent6 2 2 2 4 5" xfId="10012" xr:uid="{0447938E-E60B-4B47-A51B-426E2CE5A382}"/>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25229" xr:uid="{3339D695-21B1-4709-B875-DDC433E3AE53}"/>
    <cellStyle name="20% - Accent6 2 2 2 5 2 2 3" xfId="16788" xr:uid="{CE62349C-8742-4BD4-8C18-91CFE2C9986C}"/>
    <cellStyle name="20% - Accent6 2 2 2 5 2 3" xfId="21011" xr:uid="{C02A46A0-3D26-49C9-B912-C4EFCEFBE241}"/>
    <cellStyle name="20% - Accent6 2 2 2 5 2 4" xfId="12570" xr:uid="{DDE01BE2-73AB-4FA3-A8AA-38B96E216D31}"/>
    <cellStyle name="20% - Accent6 2 2 2 5 3" xfId="6201" xr:uid="{00000000-0005-0000-0000-000034030000}"/>
    <cellStyle name="20% - Accent6 2 2 2 5 3 2" xfId="23084" xr:uid="{BA29D5C2-21F2-41CF-9DC0-81681F7C5853}"/>
    <cellStyle name="20% - Accent6 2 2 2 5 3 3" xfId="14643" xr:uid="{983E444B-E358-44A3-BA26-301BA7FC3827}"/>
    <cellStyle name="20% - Accent6 2 2 2 5 4" xfId="18866" xr:uid="{CEA9402A-512D-4ADB-9BDC-5C407BE2C0D4}"/>
    <cellStyle name="20% - Accent6 2 2 2 5 5" xfId="10425" xr:uid="{42E50902-0686-4076-91B9-524792EDB040}"/>
    <cellStyle name="20% - Accent6 2 2 2 6" xfId="2307" xr:uid="{00000000-0005-0000-0000-000035030000}"/>
    <cellStyle name="20% - Accent6 2 2 2 6 2" xfId="6614" xr:uid="{00000000-0005-0000-0000-000036030000}"/>
    <cellStyle name="20% - Accent6 2 2 2 6 2 2" xfId="23497" xr:uid="{612CE1DF-6D8F-45ED-8F0B-400776E47835}"/>
    <cellStyle name="20% - Accent6 2 2 2 6 2 3" xfId="15056" xr:uid="{80CB4AD8-5A57-4ACB-8D85-F7533F40AD99}"/>
    <cellStyle name="20% - Accent6 2 2 2 6 3" xfId="19279" xr:uid="{C1519A00-591B-412A-9783-2277E3BD14D9}"/>
    <cellStyle name="20% - Accent6 2 2 2 6 4" xfId="10838" xr:uid="{A59EFC99-7980-4D25-8D13-CB84BBB0AF2A}"/>
    <cellStyle name="20% - Accent6 2 2 2 7" xfId="4548" xr:uid="{00000000-0005-0000-0000-000037030000}"/>
    <cellStyle name="20% - Accent6 2 2 2 7 2" xfId="21431" xr:uid="{4F840895-F148-408F-BAB1-733AF7515FDD}"/>
    <cellStyle name="20% - Accent6 2 2 2 7 3" xfId="12990" xr:uid="{C8DE5538-EE8F-49E2-9156-A9E6E5788FC3}"/>
    <cellStyle name="20% - Accent6 2 2 2 8" xfId="17213" xr:uid="{AFD88761-6FEF-4949-BC31-3BB7CA0C75C5}"/>
    <cellStyle name="20% - Accent6 2 2 2 9" xfId="8772" xr:uid="{8516BFCC-8E07-4AD1-A798-9E7E65065D06}"/>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23989" xr:uid="{E1C1136A-E469-455B-803C-E9029B397657}"/>
    <cellStyle name="20% - Accent6 2 2 3 2 2 3" xfId="15548" xr:uid="{9B9B1CB5-8A63-4612-B3E1-8099BD85B1F9}"/>
    <cellStyle name="20% - Accent6 2 2 3 2 3" xfId="19771" xr:uid="{C43D37C2-32F0-4A11-B578-DDE7BD2F6AA3}"/>
    <cellStyle name="20% - Accent6 2 2 3 2 4" xfId="11330" xr:uid="{6BE137E0-9133-44AF-BBED-0024D5789D3F}"/>
    <cellStyle name="20% - Accent6 2 2 3 3" xfId="4961" xr:uid="{00000000-0005-0000-0000-00003B030000}"/>
    <cellStyle name="20% - Accent6 2 2 3 3 2" xfId="21844" xr:uid="{441F78F1-E83F-4E4E-B67D-2406BFA470D9}"/>
    <cellStyle name="20% - Accent6 2 2 3 3 3" xfId="13403" xr:uid="{4F8F22C1-D155-4588-9EA7-C3B948C97762}"/>
    <cellStyle name="20% - Accent6 2 2 3 4" xfId="17626" xr:uid="{491978AD-6029-4AE9-B189-D7C19FC7F760}"/>
    <cellStyle name="20% - Accent6 2 2 3 5" xfId="9185" xr:uid="{2D03593E-3CD0-4FA4-96F3-CB3F2D5A8F4C}"/>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24402" xr:uid="{E3C545CE-3A4F-4E67-89E4-FADFDCD603B0}"/>
    <cellStyle name="20% - Accent6 2 2 4 2 2 3" xfId="15961" xr:uid="{6F2F7A5E-E3D9-4B92-BDA3-30108AB64963}"/>
    <cellStyle name="20% - Accent6 2 2 4 2 3" xfId="20184" xr:uid="{72E3A80B-D8A9-4F06-8D9A-096BE366C531}"/>
    <cellStyle name="20% - Accent6 2 2 4 2 4" xfId="11743" xr:uid="{6EA0E370-DF98-44DA-B73E-5D793F4B3791}"/>
    <cellStyle name="20% - Accent6 2 2 4 3" xfId="5374" xr:uid="{00000000-0005-0000-0000-00003F030000}"/>
    <cellStyle name="20% - Accent6 2 2 4 3 2" xfId="22257" xr:uid="{27945959-E0DB-4D55-B671-962166257567}"/>
    <cellStyle name="20% - Accent6 2 2 4 3 3" xfId="13816" xr:uid="{0B041672-47F8-4B11-9CAA-F60943F5DDFB}"/>
    <cellStyle name="20% - Accent6 2 2 4 4" xfId="18039" xr:uid="{F8D6FE2C-7B4F-49BC-BDE2-EB4D8B3C1CD7}"/>
    <cellStyle name="20% - Accent6 2 2 4 5" xfId="9598" xr:uid="{32DCC39E-6C21-4FAF-B4F0-47FDEE57D133}"/>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24815" xr:uid="{78CF2AB9-49F0-46E1-A2E3-52B7631E75BC}"/>
    <cellStyle name="20% - Accent6 2 2 5 2 2 3" xfId="16374" xr:uid="{04E624E5-BCA3-4EF2-B23A-BB6FDBB38D44}"/>
    <cellStyle name="20% - Accent6 2 2 5 2 3" xfId="20597" xr:uid="{8D4BDBDE-0842-4FA4-A5DA-C02CCF9FE741}"/>
    <cellStyle name="20% - Accent6 2 2 5 2 4" xfId="12156" xr:uid="{458F4EA6-AB38-428C-8C11-BF7457007E31}"/>
    <cellStyle name="20% - Accent6 2 2 5 3" xfId="5787" xr:uid="{00000000-0005-0000-0000-000043030000}"/>
    <cellStyle name="20% - Accent6 2 2 5 3 2" xfId="22670" xr:uid="{99DA97F0-F837-424A-B20D-9EFA380DBAB2}"/>
    <cellStyle name="20% - Accent6 2 2 5 3 3" xfId="14229" xr:uid="{9F0BAE2F-0151-4457-A53F-D3B6A40305BB}"/>
    <cellStyle name="20% - Accent6 2 2 5 4" xfId="18452" xr:uid="{284C199D-255B-45E8-8EAE-B7D443579157}"/>
    <cellStyle name="20% - Accent6 2 2 5 5" xfId="10011" xr:uid="{B9A2A14C-798C-4553-99C4-E6678C86BBCC}"/>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25228" xr:uid="{BA40EAC0-1F48-45BC-8CC5-D981199D1280}"/>
    <cellStyle name="20% - Accent6 2 2 6 2 2 3" xfId="16787" xr:uid="{C4FDBCAC-F32E-4534-80B7-46FAE60BFCDC}"/>
    <cellStyle name="20% - Accent6 2 2 6 2 3" xfId="21010" xr:uid="{12FEB3B9-1E20-4403-AFFD-179A84FEEA69}"/>
    <cellStyle name="20% - Accent6 2 2 6 2 4" xfId="12569" xr:uid="{AD13A8D3-ED82-431A-91E9-B7BBA86A3CE5}"/>
    <cellStyle name="20% - Accent6 2 2 6 3" xfId="6200" xr:uid="{00000000-0005-0000-0000-000047030000}"/>
    <cellStyle name="20% - Accent6 2 2 6 3 2" xfId="23083" xr:uid="{15FEA394-D4F5-4EEA-9EFE-66433A816B28}"/>
    <cellStyle name="20% - Accent6 2 2 6 3 3" xfId="14642" xr:uid="{D660E511-D701-41C9-B369-3C4361EE90C3}"/>
    <cellStyle name="20% - Accent6 2 2 6 4" xfId="18865" xr:uid="{C241B96E-FA53-4E41-9EDB-84A279A75AC5}"/>
    <cellStyle name="20% - Accent6 2 2 6 5" xfId="10424" xr:uid="{438D1158-24CC-4EC6-AB36-B2B21878046A}"/>
    <cellStyle name="20% - Accent6 2 2 7" xfId="2306" xr:uid="{00000000-0005-0000-0000-000048030000}"/>
    <cellStyle name="20% - Accent6 2 2 7 2" xfId="6613" xr:uid="{00000000-0005-0000-0000-000049030000}"/>
    <cellStyle name="20% - Accent6 2 2 7 2 2" xfId="23496" xr:uid="{AB0E03EF-D65E-46A5-B9ED-E39DC68384D6}"/>
    <cellStyle name="20% - Accent6 2 2 7 2 3" xfId="15055" xr:uid="{5575D5D3-1E38-4A9E-B064-210712922974}"/>
    <cellStyle name="20% - Accent6 2 2 7 3" xfId="19278" xr:uid="{FA07C5DE-778A-405D-A141-1E198F34F0F8}"/>
    <cellStyle name="20% - Accent6 2 2 7 4" xfId="10837" xr:uid="{A3AE685C-B6B1-4839-B08C-1E487407132E}"/>
    <cellStyle name="20% - Accent6 2 2 8" xfId="4547" xr:uid="{00000000-0005-0000-0000-00004A030000}"/>
    <cellStyle name="20% - Accent6 2 2 8 2" xfId="21430" xr:uid="{B7CD6097-2B3E-4724-B2AA-E0A689822484}"/>
    <cellStyle name="20% - Accent6 2 2 8 3" xfId="12989" xr:uid="{4123E947-8C32-410F-A3DC-24C742C6A797}"/>
    <cellStyle name="20% - Accent6 2 2 9" xfId="17212" xr:uid="{0F930D76-7226-4839-8D6D-6783DE6D1D65}"/>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23991" xr:uid="{9883C647-FADA-4EED-A814-EBB77244A319}"/>
    <cellStyle name="20% - Accent6 2 3 2 2 2 3" xfId="15550" xr:uid="{B58414FD-5EE0-4966-B911-5BC7E42C6A5B}"/>
    <cellStyle name="20% - Accent6 2 3 2 2 3" xfId="19773" xr:uid="{7EE6465D-E4D5-4340-BBE1-43A24B9A735E}"/>
    <cellStyle name="20% - Accent6 2 3 2 2 4" xfId="11332" xr:uid="{8F904351-D381-43BF-95A1-2295F38A64FD}"/>
    <cellStyle name="20% - Accent6 2 3 2 3" xfId="4963" xr:uid="{00000000-0005-0000-0000-00004F030000}"/>
    <cellStyle name="20% - Accent6 2 3 2 3 2" xfId="21846" xr:uid="{0359C775-D84E-45A9-972F-1D9A3C1DA761}"/>
    <cellStyle name="20% - Accent6 2 3 2 3 3" xfId="13405" xr:uid="{9DFB8D01-BC99-44BC-8753-DD46662B08AA}"/>
    <cellStyle name="20% - Accent6 2 3 2 4" xfId="17628" xr:uid="{94ACAAA3-EF82-42AB-8631-A853662C2B25}"/>
    <cellStyle name="20% - Accent6 2 3 2 5" xfId="9187" xr:uid="{1C3FEA5A-7E97-4D00-B4E1-92DAC03634CA}"/>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24404" xr:uid="{BB040459-CEA6-4555-8707-01922D351202}"/>
    <cellStyle name="20% - Accent6 2 3 3 2 2 3" xfId="15963" xr:uid="{3022F3B5-CA3A-428C-B2F4-13D0A3242DE2}"/>
    <cellStyle name="20% - Accent6 2 3 3 2 3" xfId="20186" xr:uid="{356C1679-DFDC-4F93-8322-FEEA1A469C2E}"/>
    <cellStyle name="20% - Accent6 2 3 3 2 4" xfId="11745" xr:uid="{3B195ACB-13F2-4087-88AC-7386B6ED152C}"/>
    <cellStyle name="20% - Accent6 2 3 3 3" xfId="5376" xr:uid="{00000000-0005-0000-0000-000053030000}"/>
    <cellStyle name="20% - Accent6 2 3 3 3 2" xfId="22259" xr:uid="{917FD8EF-B64D-4253-989C-CF6D00BC1420}"/>
    <cellStyle name="20% - Accent6 2 3 3 3 3" xfId="13818" xr:uid="{CC90522F-B8B8-47B2-9640-14AF1A4A5E45}"/>
    <cellStyle name="20% - Accent6 2 3 3 4" xfId="18041" xr:uid="{5145FBC5-A5FB-4299-B897-ECEABEC3114D}"/>
    <cellStyle name="20% - Accent6 2 3 3 5" xfId="9600" xr:uid="{86A86A89-F31C-47C7-94C0-A84B85F70813}"/>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24817" xr:uid="{1553D9AA-07A7-430F-9BB3-5AC92D52105C}"/>
    <cellStyle name="20% - Accent6 2 3 4 2 2 3" xfId="16376" xr:uid="{8BB9B5F6-800A-406F-B1F7-EE00727B455B}"/>
    <cellStyle name="20% - Accent6 2 3 4 2 3" xfId="20599" xr:uid="{5824B800-0272-4A47-924A-4B9D973A7679}"/>
    <cellStyle name="20% - Accent6 2 3 4 2 4" xfId="12158" xr:uid="{27E0FB1B-E39F-412F-8D13-3728170390AF}"/>
    <cellStyle name="20% - Accent6 2 3 4 3" xfId="5789" xr:uid="{00000000-0005-0000-0000-000057030000}"/>
    <cellStyle name="20% - Accent6 2 3 4 3 2" xfId="22672" xr:uid="{B40A6220-B0C7-489E-B906-3FDF9B492A8B}"/>
    <cellStyle name="20% - Accent6 2 3 4 3 3" xfId="14231" xr:uid="{6BA54D81-A953-48C6-8A15-497BDE89B07F}"/>
    <cellStyle name="20% - Accent6 2 3 4 4" xfId="18454" xr:uid="{149D150D-0A8D-4567-AFAC-0C89869A1301}"/>
    <cellStyle name="20% - Accent6 2 3 4 5" xfId="10013" xr:uid="{B30C23EF-39F0-4C7D-A65E-46818899450C}"/>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25230" xr:uid="{34B513B9-204D-4FC2-9540-2AC5010C9AAC}"/>
    <cellStyle name="20% - Accent6 2 3 5 2 2 3" xfId="16789" xr:uid="{79396F2D-34E1-4FF2-97DA-28D8EA3CD434}"/>
    <cellStyle name="20% - Accent6 2 3 5 2 3" xfId="21012" xr:uid="{D5FAA9F1-CB95-4ADD-8096-81CD37476FEC}"/>
    <cellStyle name="20% - Accent6 2 3 5 2 4" xfId="12571" xr:uid="{CBD26759-4404-4F4E-A33E-A51122297621}"/>
    <cellStyle name="20% - Accent6 2 3 5 3" xfId="6202" xr:uid="{00000000-0005-0000-0000-00005B030000}"/>
    <cellStyle name="20% - Accent6 2 3 5 3 2" xfId="23085" xr:uid="{3AF3FA30-9CAA-4A04-951D-058A04366BFF}"/>
    <cellStyle name="20% - Accent6 2 3 5 3 3" xfId="14644" xr:uid="{591DE7DB-E1CB-4B46-B909-E7D2BEDE066A}"/>
    <cellStyle name="20% - Accent6 2 3 5 4" xfId="18867" xr:uid="{96F7D268-D09D-4B94-8434-CB69262B8555}"/>
    <cellStyle name="20% - Accent6 2 3 5 5" xfId="10426" xr:uid="{D4841AE0-AFDC-4960-958B-17ED6D40CB22}"/>
    <cellStyle name="20% - Accent6 2 3 6" xfId="2308" xr:uid="{00000000-0005-0000-0000-00005C030000}"/>
    <cellStyle name="20% - Accent6 2 3 6 2" xfId="6615" xr:uid="{00000000-0005-0000-0000-00005D030000}"/>
    <cellStyle name="20% - Accent6 2 3 6 2 2" xfId="23498" xr:uid="{545FE394-6A94-4A42-8235-70AA4FF46765}"/>
    <cellStyle name="20% - Accent6 2 3 6 2 3" xfId="15057" xr:uid="{88FA3B5F-00F9-458F-9EC4-93CA73AC9AB4}"/>
    <cellStyle name="20% - Accent6 2 3 6 3" xfId="19280" xr:uid="{34FD5CC6-21E6-44F7-9F17-D3C8236CFA7B}"/>
    <cellStyle name="20% - Accent6 2 3 6 4" xfId="10839" xr:uid="{ABE3DA11-8BAB-4A3C-8624-72070871EDF5}"/>
    <cellStyle name="20% - Accent6 2 3 7" xfId="4549" xr:uid="{00000000-0005-0000-0000-00005E030000}"/>
    <cellStyle name="20% - Accent6 2 3 7 2" xfId="21432" xr:uid="{AB4903E1-7141-4227-8400-E85DCBC787C3}"/>
    <cellStyle name="20% - Accent6 2 3 7 3" xfId="12991" xr:uid="{E3A84FD7-E435-4E8D-8C10-2A63162B46BA}"/>
    <cellStyle name="20% - Accent6 2 3 8" xfId="17214" xr:uid="{2C9348BC-CE72-48D2-9403-B782E0AC1E05}"/>
    <cellStyle name="20% - Accent6 2 3 9" xfId="8773" xr:uid="{D4C8F2E5-97D6-43E2-8703-97D7AA9F35AB}"/>
    <cellStyle name="20% - Accent6 2 4" xfId="611" xr:uid="{00000000-0005-0000-0000-00005F030000}"/>
    <cellStyle name="20% - Accent6 2 4 2" xfId="2882" xr:uid="{00000000-0005-0000-0000-000060030000}"/>
    <cellStyle name="20% - Accent6 2 4 2 2" xfId="7105" xr:uid="{00000000-0005-0000-0000-000061030000}"/>
    <cellStyle name="20% - Accent6 2 4 2 2 2" xfId="23988" xr:uid="{D9ECBB74-F553-46A8-91D4-EE8F901DDB56}"/>
    <cellStyle name="20% - Accent6 2 4 2 2 3" xfId="15547" xr:uid="{7D34887B-617E-4E3D-92CC-4D90F467A975}"/>
    <cellStyle name="20% - Accent6 2 4 2 3" xfId="19770" xr:uid="{64841621-FBA9-408C-9ECD-BE8644550DA4}"/>
    <cellStyle name="20% - Accent6 2 4 2 4" xfId="11329" xr:uid="{C6226834-DC80-4D07-B33B-2D2C5A326F14}"/>
    <cellStyle name="20% - Accent6 2 4 3" xfId="4960" xr:uid="{00000000-0005-0000-0000-000062030000}"/>
    <cellStyle name="20% - Accent6 2 4 3 2" xfId="21843" xr:uid="{635FBBD6-C540-47FA-B0EC-746FCA207CF2}"/>
    <cellStyle name="20% - Accent6 2 4 3 3" xfId="13402" xr:uid="{7C825FCC-2C0C-43D0-92FC-00DD6FDD8F7B}"/>
    <cellStyle name="20% - Accent6 2 4 4" xfId="17625" xr:uid="{DDA7D3A7-215D-4665-8C7D-E8FEE4437325}"/>
    <cellStyle name="20% - Accent6 2 4 5" xfId="9184" xr:uid="{15322594-407A-4D2C-A0AA-D5D7693D534E}"/>
    <cellStyle name="20% - Accent6 2 5" xfId="1064" xr:uid="{00000000-0005-0000-0000-000063030000}"/>
    <cellStyle name="20% - Accent6 2 5 2" xfId="3295" xr:uid="{00000000-0005-0000-0000-000064030000}"/>
    <cellStyle name="20% - Accent6 2 5 2 2" xfId="7518" xr:uid="{00000000-0005-0000-0000-000065030000}"/>
    <cellStyle name="20% - Accent6 2 5 2 2 2" xfId="24401" xr:uid="{220E3E15-D228-4B97-B8EF-5AE319EA5820}"/>
    <cellStyle name="20% - Accent6 2 5 2 2 3" xfId="15960" xr:uid="{4D5FF68C-6B1F-4756-9B60-8C1AA8417828}"/>
    <cellStyle name="20% - Accent6 2 5 2 3" xfId="20183" xr:uid="{5D5720C1-716E-4B3F-9F38-B6328BEB9289}"/>
    <cellStyle name="20% - Accent6 2 5 2 4" xfId="11742" xr:uid="{291F9E8A-C480-4A38-804E-590A2F70A3FB}"/>
    <cellStyle name="20% - Accent6 2 5 3" xfId="5373" xr:uid="{00000000-0005-0000-0000-000066030000}"/>
    <cellStyle name="20% - Accent6 2 5 3 2" xfId="22256" xr:uid="{55D96AC8-6EC7-428A-A356-4A3AE7B087BD}"/>
    <cellStyle name="20% - Accent6 2 5 3 3" xfId="13815" xr:uid="{083CDDE4-DB31-44AD-BEAA-3AA956EC6F11}"/>
    <cellStyle name="20% - Accent6 2 5 4" xfId="18038" xr:uid="{57F3E3FF-B537-4A5D-97CB-CCDDD8F958CB}"/>
    <cellStyle name="20% - Accent6 2 5 5" xfId="9597" xr:uid="{C991650A-21AC-4DE5-9AC3-897A5922A186}"/>
    <cellStyle name="20% - Accent6 2 6" xfId="1478" xr:uid="{00000000-0005-0000-0000-000067030000}"/>
    <cellStyle name="20% - Accent6 2 6 2" xfId="3708" xr:uid="{00000000-0005-0000-0000-000068030000}"/>
    <cellStyle name="20% - Accent6 2 6 2 2" xfId="7931" xr:uid="{00000000-0005-0000-0000-000069030000}"/>
    <cellStyle name="20% - Accent6 2 6 2 2 2" xfId="24814" xr:uid="{53CB61AD-809A-4A26-8752-234224BA3FB2}"/>
    <cellStyle name="20% - Accent6 2 6 2 2 3" xfId="16373" xr:uid="{8F4219DC-2DE5-4138-BF44-C4AE3DA74DEF}"/>
    <cellStyle name="20% - Accent6 2 6 2 3" xfId="20596" xr:uid="{7E0C29C6-7509-43D8-A7B6-56E1C1C4CD77}"/>
    <cellStyle name="20% - Accent6 2 6 2 4" xfId="12155" xr:uid="{8112DC0D-8FDA-41B2-893B-D07CD4150479}"/>
    <cellStyle name="20% - Accent6 2 6 3" xfId="5786" xr:uid="{00000000-0005-0000-0000-00006A030000}"/>
    <cellStyle name="20% - Accent6 2 6 3 2" xfId="22669" xr:uid="{3D200FB7-730F-4097-8C1C-E7C1DA64F456}"/>
    <cellStyle name="20% - Accent6 2 6 3 3" xfId="14228" xr:uid="{EE5005BD-EF49-4187-BBE2-CD48D530D5B1}"/>
    <cellStyle name="20% - Accent6 2 6 4" xfId="18451" xr:uid="{99F4A2BF-31DA-4339-9F09-2D692BE8BD48}"/>
    <cellStyle name="20% - Accent6 2 6 5" xfId="10010" xr:uid="{CA2D28A7-2C7F-4661-A04F-9308B8C01517}"/>
    <cellStyle name="20% - Accent6 2 7" xfId="1892" xr:uid="{00000000-0005-0000-0000-00006B030000}"/>
    <cellStyle name="20% - Accent6 2 7 2" xfId="4121" xr:uid="{00000000-0005-0000-0000-00006C030000}"/>
    <cellStyle name="20% - Accent6 2 7 2 2" xfId="8344" xr:uid="{00000000-0005-0000-0000-00006D030000}"/>
    <cellStyle name="20% - Accent6 2 7 2 2 2" xfId="25227" xr:uid="{3DBD963F-ED30-4FD9-B664-4618EF00993B}"/>
    <cellStyle name="20% - Accent6 2 7 2 2 3" xfId="16786" xr:uid="{B4942118-9A7E-4F17-B1B2-E4810677B976}"/>
    <cellStyle name="20% - Accent6 2 7 2 3" xfId="21009" xr:uid="{6C015FD4-6ABF-4E36-A6A9-2ADF6AF9314A}"/>
    <cellStyle name="20% - Accent6 2 7 2 4" xfId="12568" xr:uid="{C691DCC9-B433-41B2-A7D5-623366B374E1}"/>
    <cellStyle name="20% - Accent6 2 7 3" xfId="6199" xr:uid="{00000000-0005-0000-0000-00006E030000}"/>
    <cellStyle name="20% - Accent6 2 7 3 2" xfId="23082" xr:uid="{CBEF8875-0D5F-4137-9597-DC9B952C8D1B}"/>
    <cellStyle name="20% - Accent6 2 7 3 3" xfId="14641" xr:uid="{4F936321-7402-4BFB-8091-C55D0A65BE3F}"/>
    <cellStyle name="20% - Accent6 2 7 4" xfId="18864" xr:uid="{2DE289FC-7BDD-4EDC-A852-CD0C0A058B20}"/>
    <cellStyle name="20% - Accent6 2 7 5" xfId="10423" xr:uid="{C3B88D4B-27B0-498E-BAF9-732A67350293}"/>
    <cellStyle name="20% - Accent6 2 8" xfId="2305" xr:uid="{00000000-0005-0000-0000-00006F030000}"/>
    <cellStyle name="20% - Accent6 2 8 2" xfId="6612" xr:uid="{00000000-0005-0000-0000-000070030000}"/>
    <cellStyle name="20% - Accent6 2 8 2 2" xfId="23495" xr:uid="{2B166025-FF7E-4166-971E-096CBB483907}"/>
    <cellStyle name="20% - Accent6 2 8 2 3" xfId="15054" xr:uid="{1ECDD6C5-E88F-4A1E-8AF9-6BB763F98112}"/>
    <cellStyle name="20% - Accent6 2 8 3" xfId="19277" xr:uid="{FE7E8049-6C22-430F-9104-C806F29C1303}"/>
    <cellStyle name="20% - Accent6 2 8 4" xfId="10836" xr:uid="{0C493DC4-731F-4788-A817-D2661A252749}"/>
    <cellStyle name="20% - Accent6 2 9" xfId="4546" xr:uid="{00000000-0005-0000-0000-000071030000}"/>
    <cellStyle name="20% - Accent6 2 9 2" xfId="21429" xr:uid="{F91F41C0-B1DD-49F9-B443-0977B8E7BFBC}"/>
    <cellStyle name="20% - Accent6 2 9 3" xfId="12988" xr:uid="{B9865741-E4FD-4B49-B881-A7DA0A6051F6}"/>
    <cellStyle name="20% - Accent6 3" xfId="46" xr:uid="{00000000-0005-0000-0000-000072030000}"/>
    <cellStyle name="20% - Accent6 3 10" xfId="8774" xr:uid="{BF999B08-84BA-4AAA-A7C7-16F01FA0FD63}"/>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23993" xr:uid="{C50218F0-C671-4F85-9A40-4392779F9533}"/>
    <cellStyle name="20% - Accent6 3 2 2 2 2 3" xfId="15552" xr:uid="{A5504E8F-E8DA-445B-91C0-C0C6F87F7E30}"/>
    <cellStyle name="20% - Accent6 3 2 2 2 3" xfId="19775" xr:uid="{E56F79D0-667C-4805-A442-E6138297552F}"/>
    <cellStyle name="20% - Accent6 3 2 2 2 4" xfId="11334" xr:uid="{DDDF6192-A38F-41A8-9D5A-0F4C400DDC81}"/>
    <cellStyle name="20% - Accent6 3 2 2 3" xfId="4965" xr:uid="{00000000-0005-0000-0000-000077030000}"/>
    <cellStyle name="20% - Accent6 3 2 2 3 2" xfId="21848" xr:uid="{DF8289BC-D2E6-401D-91C3-8A386BA6C0B3}"/>
    <cellStyle name="20% - Accent6 3 2 2 3 3" xfId="13407" xr:uid="{266E1A2F-A90E-44FF-8FF0-9CC51717C8EA}"/>
    <cellStyle name="20% - Accent6 3 2 2 4" xfId="17630" xr:uid="{F2153A3F-B91D-42E3-B22E-837962E1A542}"/>
    <cellStyle name="20% - Accent6 3 2 2 5" xfId="9189" xr:uid="{3289B9FB-9D18-4D23-A35C-1D22E1D7BB61}"/>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24406" xr:uid="{17A32C08-89F7-4851-B1A1-324F9C822B5B}"/>
    <cellStyle name="20% - Accent6 3 2 3 2 2 3" xfId="15965" xr:uid="{BC8EB0B1-5280-47E5-8AC9-845326A2A570}"/>
    <cellStyle name="20% - Accent6 3 2 3 2 3" xfId="20188" xr:uid="{46310D85-AE7F-4FCC-9589-B243BB17072F}"/>
    <cellStyle name="20% - Accent6 3 2 3 2 4" xfId="11747" xr:uid="{AD643A27-3855-43DD-9C70-AA756669BB5D}"/>
    <cellStyle name="20% - Accent6 3 2 3 3" xfId="5378" xr:uid="{00000000-0005-0000-0000-00007B030000}"/>
    <cellStyle name="20% - Accent6 3 2 3 3 2" xfId="22261" xr:uid="{0A1FCC15-EF75-46E5-AEA4-40257C802BAB}"/>
    <cellStyle name="20% - Accent6 3 2 3 3 3" xfId="13820" xr:uid="{BE5C404F-23B1-454E-BE8D-7F57AF8F66F6}"/>
    <cellStyle name="20% - Accent6 3 2 3 4" xfId="18043" xr:uid="{40B92933-3989-4F90-827A-1366D744F304}"/>
    <cellStyle name="20% - Accent6 3 2 3 5" xfId="9602" xr:uid="{E5589459-2894-4227-B8C3-FA290E59C495}"/>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24819" xr:uid="{ED2B0B92-DE84-49FA-ACCC-BF975B9C15AD}"/>
    <cellStyle name="20% - Accent6 3 2 4 2 2 3" xfId="16378" xr:uid="{A509DEFE-53A9-4834-8848-4C9B94D7814C}"/>
    <cellStyle name="20% - Accent6 3 2 4 2 3" xfId="20601" xr:uid="{A2FD63AF-16ED-4CCE-A464-1274254D22A2}"/>
    <cellStyle name="20% - Accent6 3 2 4 2 4" xfId="12160" xr:uid="{0E54BF72-1B6F-4B03-9796-403B0CBE71BB}"/>
    <cellStyle name="20% - Accent6 3 2 4 3" xfId="5791" xr:uid="{00000000-0005-0000-0000-00007F030000}"/>
    <cellStyle name="20% - Accent6 3 2 4 3 2" xfId="22674" xr:uid="{C8988B69-A7C4-4AD4-A551-EA2B9A55C892}"/>
    <cellStyle name="20% - Accent6 3 2 4 3 3" xfId="14233" xr:uid="{836AD677-22D9-47DF-8EB2-3307FA2FE41E}"/>
    <cellStyle name="20% - Accent6 3 2 4 4" xfId="18456" xr:uid="{193F28D5-4FAB-4BA7-B80F-A48D23B86D8A}"/>
    <cellStyle name="20% - Accent6 3 2 4 5" xfId="10015" xr:uid="{7AF0CED1-FD69-44DF-84DE-CD9AC98D6661}"/>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25232" xr:uid="{AF5FDC08-F0E7-4E81-9750-2512D1C6D603}"/>
    <cellStyle name="20% - Accent6 3 2 5 2 2 3" xfId="16791" xr:uid="{230AC648-50E8-4293-8295-36CFBB3D3F3F}"/>
    <cellStyle name="20% - Accent6 3 2 5 2 3" xfId="21014" xr:uid="{3BDC9529-67BC-44A8-A8C8-6A3C37F75447}"/>
    <cellStyle name="20% - Accent6 3 2 5 2 4" xfId="12573" xr:uid="{FBA34C0C-B349-4FCB-BF46-BB7090F43615}"/>
    <cellStyle name="20% - Accent6 3 2 5 3" xfId="6204" xr:uid="{00000000-0005-0000-0000-000083030000}"/>
    <cellStyle name="20% - Accent6 3 2 5 3 2" xfId="23087" xr:uid="{6B45871C-E54D-42E4-A0E1-4D7B1CFA5976}"/>
    <cellStyle name="20% - Accent6 3 2 5 3 3" xfId="14646" xr:uid="{F200CF30-826E-4E7E-82C4-F9A58E7DC954}"/>
    <cellStyle name="20% - Accent6 3 2 5 4" xfId="18869" xr:uid="{F67AE911-7739-440A-A91E-3831CD037598}"/>
    <cellStyle name="20% - Accent6 3 2 5 5" xfId="10428" xr:uid="{2A9FE369-9AF6-4FCE-8033-3F2FE96BC4EB}"/>
    <cellStyle name="20% - Accent6 3 2 6" xfId="2310" xr:uid="{00000000-0005-0000-0000-000084030000}"/>
    <cellStyle name="20% - Accent6 3 2 6 2" xfId="6617" xr:uid="{00000000-0005-0000-0000-000085030000}"/>
    <cellStyle name="20% - Accent6 3 2 6 2 2" xfId="23500" xr:uid="{83046F3B-685C-4A2E-851B-9BD3458ED4D3}"/>
    <cellStyle name="20% - Accent6 3 2 6 2 3" xfId="15059" xr:uid="{69B37808-3812-4080-BAD3-3FFD837CE4B3}"/>
    <cellStyle name="20% - Accent6 3 2 6 3" xfId="19282" xr:uid="{7DF99DB0-9933-4F88-89AC-C33C5B51546B}"/>
    <cellStyle name="20% - Accent6 3 2 6 4" xfId="10841" xr:uid="{0E693F33-706E-4D83-80FB-2F4AA713EA4F}"/>
    <cellStyle name="20% - Accent6 3 2 7" xfId="4551" xr:uid="{00000000-0005-0000-0000-000086030000}"/>
    <cellStyle name="20% - Accent6 3 2 7 2" xfId="21434" xr:uid="{33C2C12B-D74B-47DA-A1DA-1BFDE98DC852}"/>
    <cellStyle name="20% - Accent6 3 2 7 3" xfId="12993" xr:uid="{C311F404-5C9F-4510-8733-A385C9F7E0B3}"/>
    <cellStyle name="20% - Accent6 3 2 8" xfId="17216" xr:uid="{94A67D2C-6A53-4579-B30C-B2304F6E06DE}"/>
    <cellStyle name="20% - Accent6 3 2 9" xfId="8775" xr:uid="{8FFFAE9D-E8F2-4802-A6FD-D68DEB763C5D}"/>
    <cellStyle name="20% - Accent6 3 3" xfId="615" xr:uid="{00000000-0005-0000-0000-000087030000}"/>
    <cellStyle name="20% - Accent6 3 3 2" xfId="2886" xr:uid="{00000000-0005-0000-0000-000088030000}"/>
    <cellStyle name="20% - Accent6 3 3 2 2" xfId="7109" xr:uid="{00000000-0005-0000-0000-000089030000}"/>
    <cellStyle name="20% - Accent6 3 3 2 2 2" xfId="23992" xr:uid="{7C30CF10-A794-410F-9A45-B27357C28707}"/>
    <cellStyle name="20% - Accent6 3 3 2 2 3" xfId="15551" xr:uid="{7DE7657F-B55D-4A38-A5E3-62005F67223D}"/>
    <cellStyle name="20% - Accent6 3 3 2 3" xfId="19774" xr:uid="{AD3E7048-FCED-4FF0-BF6F-DD1728120BF7}"/>
    <cellStyle name="20% - Accent6 3 3 2 4" xfId="11333" xr:uid="{269437D5-8249-4439-A809-B8C13EFC9FDB}"/>
    <cellStyle name="20% - Accent6 3 3 3" xfId="4964" xr:uid="{00000000-0005-0000-0000-00008A030000}"/>
    <cellStyle name="20% - Accent6 3 3 3 2" xfId="21847" xr:uid="{3C473B5A-BFC7-42DF-9023-1777F1A49C2E}"/>
    <cellStyle name="20% - Accent6 3 3 3 3" xfId="13406" xr:uid="{9CFB0F46-4A46-4E0C-B989-08787DF656EF}"/>
    <cellStyle name="20% - Accent6 3 3 4" xfId="17629" xr:uid="{90592721-DA0B-47CF-916C-230435A329AD}"/>
    <cellStyle name="20% - Accent6 3 3 5" xfId="9188" xr:uid="{FECA0387-256F-48AC-8254-D8174410DCF0}"/>
    <cellStyle name="20% - Accent6 3 4" xfId="1068" xr:uid="{00000000-0005-0000-0000-00008B030000}"/>
    <cellStyle name="20% - Accent6 3 4 2" xfId="3299" xr:uid="{00000000-0005-0000-0000-00008C030000}"/>
    <cellStyle name="20% - Accent6 3 4 2 2" xfId="7522" xr:uid="{00000000-0005-0000-0000-00008D030000}"/>
    <cellStyle name="20% - Accent6 3 4 2 2 2" xfId="24405" xr:uid="{CD54E512-0D80-4C8C-A041-5AFD37D00309}"/>
    <cellStyle name="20% - Accent6 3 4 2 2 3" xfId="15964" xr:uid="{7DD79583-522F-4785-884E-05D58D582467}"/>
    <cellStyle name="20% - Accent6 3 4 2 3" xfId="20187" xr:uid="{AA17CF5C-FC19-4DEA-B76E-D1FF274D6A3A}"/>
    <cellStyle name="20% - Accent6 3 4 2 4" xfId="11746" xr:uid="{B779670B-0A92-4AAC-8B74-3EB07329793A}"/>
    <cellStyle name="20% - Accent6 3 4 3" xfId="5377" xr:uid="{00000000-0005-0000-0000-00008E030000}"/>
    <cellStyle name="20% - Accent6 3 4 3 2" xfId="22260" xr:uid="{A87F0859-6240-4BA4-A671-2EB98D59D8C1}"/>
    <cellStyle name="20% - Accent6 3 4 3 3" xfId="13819" xr:uid="{3AF6B96C-F1AC-42CE-B6BB-BF4EA951EE92}"/>
    <cellStyle name="20% - Accent6 3 4 4" xfId="18042" xr:uid="{B8730D52-D5BA-48E4-9E48-AE73BAF4F3D8}"/>
    <cellStyle name="20% - Accent6 3 4 5" xfId="9601" xr:uid="{71E8ACA9-8DB0-450C-B558-157F2F8A468C}"/>
    <cellStyle name="20% - Accent6 3 5" xfId="1482" xr:uid="{00000000-0005-0000-0000-00008F030000}"/>
    <cellStyle name="20% - Accent6 3 5 2" xfId="3712" xr:uid="{00000000-0005-0000-0000-000090030000}"/>
    <cellStyle name="20% - Accent6 3 5 2 2" xfId="7935" xr:uid="{00000000-0005-0000-0000-000091030000}"/>
    <cellStyle name="20% - Accent6 3 5 2 2 2" xfId="24818" xr:uid="{E6B5BF48-6355-4944-9602-2283CEFC14C8}"/>
    <cellStyle name="20% - Accent6 3 5 2 2 3" xfId="16377" xr:uid="{B181AC3D-C0B4-4616-926C-B76101912FF3}"/>
    <cellStyle name="20% - Accent6 3 5 2 3" xfId="20600" xr:uid="{16926D12-9133-450F-80DC-2AD685872B46}"/>
    <cellStyle name="20% - Accent6 3 5 2 4" xfId="12159" xr:uid="{915DF7F7-741A-4852-A197-A80F15A60DCC}"/>
    <cellStyle name="20% - Accent6 3 5 3" xfId="5790" xr:uid="{00000000-0005-0000-0000-000092030000}"/>
    <cellStyle name="20% - Accent6 3 5 3 2" xfId="22673" xr:uid="{E2057377-E505-4958-877A-7C6BEE8C79DF}"/>
    <cellStyle name="20% - Accent6 3 5 3 3" xfId="14232" xr:uid="{9645B93B-A0BD-41C8-A72F-C427A8A8722C}"/>
    <cellStyle name="20% - Accent6 3 5 4" xfId="18455" xr:uid="{DB535992-6E6A-438D-BAA9-75816BF72725}"/>
    <cellStyle name="20% - Accent6 3 5 5" xfId="10014" xr:uid="{E86C4693-5B68-4D2F-9355-8B8C1C8151FA}"/>
    <cellStyle name="20% - Accent6 3 6" xfId="1896" xr:uid="{00000000-0005-0000-0000-000093030000}"/>
    <cellStyle name="20% - Accent6 3 6 2" xfId="4125" xr:uid="{00000000-0005-0000-0000-000094030000}"/>
    <cellStyle name="20% - Accent6 3 6 2 2" xfId="8348" xr:uid="{00000000-0005-0000-0000-000095030000}"/>
    <cellStyle name="20% - Accent6 3 6 2 2 2" xfId="25231" xr:uid="{3D4143EC-A4AC-459D-8E26-A96BEC041E42}"/>
    <cellStyle name="20% - Accent6 3 6 2 2 3" xfId="16790" xr:uid="{D793F889-4CE9-4257-9E57-59C2D9B3DB9F}"/>
    <cellStyle name="20% - Accent6 3 6 2 3" xfId="21013" xr:uid="{BB2D4AD7-3121-4580-A464-9384E9EB558D}"/>
    <cellStyle name="20% - Accent6 3 6 2 4" xfId="12572" xr:uid="{81CE3F4E-D0FD-4118-B76B-88BA3D4445D8}"/>
    <cellStyle name="20% - Accent6 3 6 3" xfId="6203" xr:uid="{00000000-0005-0000-0000-000096030000}"/>
    <cellStyle name="20% - Accent6 3 6 3 2" xfId="23086" xr:uid="{E084CE95-B1F1-41DF-B329-84506B48D6C9}"/>
    <cellStyle name="20% - Accent6 3 6 3 3" xfId="14645" xr:uid="{150A92D3-EA3E-4162-B4D7-69971990D480}"/>
    <cellStyle name="20% - Accent6 3 6 4" xfId="18868" xr:uid="{27B385EC-D4D4-4764-8F0D-BCCD20EC0AE9}"/>
    <cellStyle name="20% - Accent6 3 6 5" xfId="10427" xr:uid="{5EAD9AA1-7CDC-4DAA-A2AE-94F29BC93F4C}"/>
    <cellStyle name="20% - Accent6 3 7" xfId="2309" xr:uid="{00000000-0005-0000-0000-000097030000}"/>
    <cellStyle name="20% - Accent6 3 7 2" xfId="6616" xr:uid="{00000000-0005-0000-0000-000098030000}"/>
    <cellStyle name="20% - Accent6 3 7 2 2" xfId="23499" xr:uid="{C2A58F7E-2EEE-4017-922A-355F3F977001}"/>
    <cellStyle name="20% - Accent6 3 7 2 3" xfId="15058" xr:uid="{1ACB0AF0-99B0-4121-B7B6-506674303C3B}"/>
    <cellStyle name="20% - Accent6 3 7 3" xfId="19281" xr:uid="{A9AC9170-3B5A-466C-AB12-873EE99934A5}"/>
    <cellStyle name="20% - Accent6 3 7 4" xfId="10840" xr:uid="{B16249FC-543A-45EF-9035-1E06BE1D062E}"/>
    <cellStyle name="20% - Accent6 3 8" xfId="4550" xr:uid="{00000000-0005-0000-0000-000099030000}"/>
    <cellStyle name="20% - Accent6 3 8 2" xfId="21433" xr:uid="{5D9187F4-EFA9-4B15-894D-069BFD459675}"/>
    <cellStyle name="20% - Accent6 3 8 3" xfId="12992" xr:uid="{14685363-792D-4DF6-BC3C-867748A39F12}"/>
    <cellStyle name="20% - Accent6 3 9" xfId="17215" xr:uid="{56531C21-0594-460F-80DC-DCA480A2015F}"/>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23994" xr:uid="{4C9FF709-80D5-4D81-AFAB-CB72C9F7D801}"/>
    <cellStyle name="20% - Accent6 4 2 2 2 3" xfId="15553" xr:uid="{34541876-0432-4D50-9853-7401E7D4B6B6}"/>
    <cellStyle name="20% - Accent6 4 2 2 3" xfId="19776" xr:uid="{C6FCFA51-7754-4DF1-9C98-62FC4CA9908C}"/>
    <cellStyle name="20% - Accent6 4 2 2 4" xfId="11335" xr:uid="{C4182BA2-2595-451E-96F1-223E03FE69EC}"/>
    <cellStyle name="20% - Accent6 4 2 3" xfId="4966" xr:uid="{00000000-0005-0000-0000-00009E030000}"/>
    <cellStyle name="20% - Accent6 4 2 3 2" xfId="21849" xr:uid="{7813F89C-E8AB-414F-BB3F-20162CBBBBA6}"/>
    <cellStyle name="20% - Accent6 4 2 3 3" xfId="13408" xr:uid="{FD79E2E8-DAF8-4CFC-8CCF-B6E7C19D3F37}"/>
    <cellStyle name="20% - Accent6 4 2 4" xfId="17631" xr:uid="{50047B92-0F0A-462B-A1A5-1AD036C4F5C0}"/>
    <cellStyle name="20% - Accent6 4 2 5" xfId="9190" xr:uid="{879B8344-392C-45AE-923D-DF3C1AC2FD5F}"/>
    <cellStyle name="20% - Accent6 4 3" xfId="1070" xr:uid="{00000000-0005-0000-0000-00009F030000}"/>
    <cellStyle name="20% - Accent6 4 3 2" xfId="3301" xr:uid="{00000000-0005-0000-0000-0000A0030000}"/>
    <cellStyle name="20% - Accent6 4 3 2 2" xfId="7524" xr:uid="{00000000-0005-0000-0000-0000A1030000}"/>
    <cellStyle name="20% - Accent6 4 3 2 2 2" xfId="24407" xr:uid="{B7AB8907-BAE1-4AC4-8883-AE9D0355FFC0}"/>
    <cellStyle name="20% - Accent6 4 3 2 2 3" xfId="15966" xr:uid="{E4856537-6F30-4DC3-8A70-7A6A3BCD8222}"/>
    <cellStyle name="20% - Accent6 4 3 2 3" xfId="20189" xr:uid="{FE658423-CEEE-462B-8428-63E5E9BF979D}"/>
    <cellStyle name="20% - Accent6 4 3 2 4" xfId="11748" xr:uid="{396B0996-C758-450A-B429-08A9DCEEA894}"/>
    <cellStyle name="20% - Accent6 4 3 3" xfId="5379" xr:uid="{00000000-0005-0000-0000-0000A2030000}"/>
    <cellStyle name="20% - Accent6 4 3 3 2" xfId="22262" xr:uid="{B983411D-8C85-4EBD-ADA9-C2C809A1BE19}"/>
    <cellStyle name="20% - Accent6 4 3 3 3" xfId="13821" xr:uid="{B49EA739-175E-4200-ACFD-7EF1598BEB28}"/>
    <cellStyle name="20% - Accent6 4 3 4" xfId="18044" xr:uid="{A8A6A4D8-BF08-456B-A7DE-743B3BBF3A7B}"/>
    <cellStyle name="20% - Accent6 4 3 5" xfId="9603" xr:uid="{CAC4E77B-F013-4615-A89C-CC5A07684888}"/>
    <cellStyle name="20% - Accent6 4 4" xfId="1484" xr:uid="{00000000-0005-0000-0000-0000A3030000}"/>
    <cellStyle name="20% - Accent6 4 4 2" xfId="3714" xr:uid="{00000000-0005-0000-0000-0000A4030000}"/>
    <cellStyle name="20% - Accent6 4 4 2 2" xfId="7937" xr:uid="{00000000-0005-0000-0000-0000A5030000}"/>
    <cellStyle name="20% - Accent6 4 4 2 2 2" xfId="24820" xr:uid="{F97C3CE9-3ADD-49FD-AE5E-F9331B8716BE}"/>
    <cellStyle name="20% - Accent6 4 4 2 2 3" xfId="16379" xr:uid="{BA8764D3-B673-4F12-9AFB-F4103694B64C}"/>
    <cellStyle name="20% - Accent6 4 4 2 3" xfId="20602" xr:uid="{491CCCBC-7F16-46DA-9729-25C060D325D3}"/>
    <cellStyle name="20% - Accent6 4 4 2 4" xfId="12161" xr:uid="{774391A9-B8E5-4617-8A4E-3876FF9A6AE6}"/>
    <cellStyle name="20% - Accent6 4 4 3" xfId="5792" xr:uid="{00000000-0005-0000-0000-0000A6030000}"/>
    <cellStyle name="20% - Accent6 4 4 3 2" xfId="22675" xr:uid="{5CB935AF-6450-42AF-90D3-3D2600A1FF23}"/>
    <cellStyle name="20% - Accent6 4 4 3 3" xfId="14234" xr:uid="{A823C1BD-795D-483C-BAE7-E7FB3B0B7393}"/>
    <cellStyle name="20% - Accent6 4 4 4" xfId="18457" xr:uid="{32EDD259-263A-4330-9718-6C10A5E1A5CC}"/>
    <cellStyle name="20% - Accent6 4 4 5" xfId="10016" xr:uid="{CB440528-119F-46C4-8920-3663CB88DA2A}"/>
    <cellStyle name="20% - Accent6 4 5" xfId="1898" xr:uid="{00000000-0005-0000-0000-0000A7030000}"/>
    <cellStyle name="20% - Accent6 4 5 2" xfId="4127" xr:uid="{00000000-0005-0000-0000-0000A8030000}"/>
    <cellStyle name="20% - Accent6 4 5 2 2" xfId="8350" xr:uid="{00000000-0005-0000-0000-0000A9030000}"/>
    <cellStyle name="20% - Accent6 4 5 2 2 2" xfId="25233" xr:uid="{C14F52C5-37DB-4258-B82A-3B3CC6EB7564}"/>
    <cellStyle name="20% - Accent6 4 5 2 2 3" xfId="16792" xr:uid="{1C6DA4F8-349A-4C88-89EC-0838FFA61AAF}"/>
    <cellStyle name="20% - Accent6 4 5 2 3" xfId="21015" xr:uid="{29F21ABC-C31A-45BC-9337-2BB4DAF5E96C}"/>
    <cellStyle name="20% - Accent6 4 5 2 4" xfId="12574" xr:uid="{D2E0298A-A5C9-4FF1-89F7-40A8E791A451}"/>
    <cellStyle name="20% - Accent6 4 5 3" xfId="6205" xr:uid="{00000000-0005-0000-0000-0000AA030000}"/>
    <cellStyle name="20% - Accent6 4 5 3 2" xfId="23088" xr:uid="{4712405D-5410-4BEA-BA79-30FB9E01DBB1}"/>
    <cellStyle name="20% - Accent6 4 5 3 3" xfId="14647" xr:uid="{3B3C0821-2D27-485C-A657-822DF9F23D1B}"/>
    <cellStyle name="20% - Accent6 4 5 4" xfId="18870" xr:uid="{AC71C170-9439-4542-B850-734B90ADF60B}"/>
    <cellStyle name="20% - Accent6 4 5 5" xfId="10429" xr:uid="{A78E853F-B6E1-4EE9-8FD0-A22B1393F2FD}"/>
    <cellStyle name="20% - Accent6 4 6" xfId="2311" xr:uid="{00000000-0005-0000-0000-0000AB030000}"/>
    <cellStyle name="20% - Accent6 4 6 2" xfId="6618" xr:uid="{00000000-0005-0000-0000-0000AC030000}"/>
    <cellStyle name="20% - Accent6 4 6 2 2" xfId="23501" xr:uid="{64FD8DFA-55A1-422B-8C27-02ADADE178CC}"/>
    <cellStyle name="20% - Accent6 4 6 2 3" xfId="15060" xr:uid="{6433C4F7-119B-482F-880A-1FBD377CE565}"/>
    <cellStyle name="20% - Accent6 4 6 3" xfId="19283" xr:uid="{96CFF8FB-806B-42E6-B2D5-E1F7E6387BC7}"/>
    <cellStyle name="20% - Accent6 4 6 4" xfId="10842" xr:uid="{20F431E2-5F37-4195-A7A5-9EC6F6079371}"/>
    <cellStyle name="20% - Accent6 4 7" xfId="4552" xr:uid="{00000000-0005-0000-0000-0000AD030000}"/>
    <cellStyle name="20% - Accent6 4 7 2" xfId="21435" xr:uid="{58BE675B-D7BD-416A-99CF-C28EFD511491}"/>
    <cellStyle name="20% - Accent6 4 7 3" xfId="12994" xr:uid="{8C28079E-E663-462A-84A3-69B6618B2B69}"/>
    <cellStyle name="20% - Accent6 4 8" xfId="17217" xr:uid="{9619C081-145D-49A8-9D6F-3CC61CFE530E}"/>
    <cellStyle name="20% - Accent6 4 9" xfId="8776" xr:uid="{701504DC-46DD-4AA6-9167-874D10568A9E}"/>
    <cellStyle name="20% - Accent6 5" xfId="610" xr:uid="{00000000-0005-0000-0000-0000AE030000}"/>
    <cellStyle name="20% - Accent6 5 2" xfId="2881" xr:uid="{00000000-0005-0000-0000-0000AF030000}"/>
    <cellStyle name="20% - Accent6 5 2 2" xfId="7104" xr:uid="{00000000-0005-0000-0000-0000B0030000}"/>
    <cellStyle name="20% - Accent6 5 2 2 2" xfId="23987" xr:uid="{072D63D0-1747-4F9C-926B-38711BDDE444}"/>
    <cellStyle name="20% - Accent6 5 2 2 3" xfId="15546" xr:uid="{54C0FD4F-D174-4ABB-9280-2FE504475825}"/>
    <cellStyle name="20% - Accent6 5 2 3" xfId="19769" xr:uid="{0B7FFADA-C1D5-42BE-9B67-7B161873C0AA}"/>
    <cellStyle name="20% - Accent6 5 2 4" xfId="11328" xr:uid="{62CCF3F7-8E9D-47BB-94B6-2E328606747C}"/>
    <cellStyle name="20% - Accent6 5 3" xfId="4959" xr:uid="{00000000-0005-0000-0000-0000B1030000}"/>
    <cellStyle name="20% - Accent6 5 3 2" xfId="21842" xr:uid="{DC6E76CD-A018-4615-B270-7F61DEA4FBE5}"/>
    <cellStyle name="20% - Accent6 5 3 3" xfId="13401" xr:uid="{11826A14-B78E-473C-8747-68D7757EC5B4}"/>
    <cellStyle name="20% - Accent6 5 4" xfId="17624" xr:uid="{CA510AEC-7765-4672-AD34-C4C8CB3E4A9D}"/>
    <cellStyle name="20% - Accent6 5 5" xfId="9183" xr:uid="{1D103A0F-615C-4DD8-B938-A11901B14153}"/>
    <cellStyle name="20% - Accent6 6" xfId="1063" xr:uid="{00000000-0005-0000-0000-0000B2030000}"/>
    <cellStyle name="20% - Accent6 6 2" xfId="3294" xr:uid="{00000000-0005-0000-0000-0000B3030000}"/>
    <cellStyle name="20% - Accent6 6 2 2" xfId="7517" xr:uid="{00000000-0005-0000-0000-0000B4030000}"/>
    <cellStyle name="20% - Accent6 6 2 2 2" xfId="24400" xr:uid="{B5368A81-3AB8-4A8B-9D4B-72246A20769C}"/>
    <cellStyle name="20% - Accent6 6 2 2 3" xfId="15959" xr:uid="{92F2FFA0-6D73-48A0-A2AF-4630E469A1AF}"/>
    <cellStyle name="20% - Accent6 6 2 3" xfId="20182" xr:uid="{70562CF5-4AF9-4FAE-A3A6-A13F7A18E715}"/>
    <cellStyle name="20% - Accent6 6 2 4" xfId="11741" xr:uid="{7969DDB8-F272-4E4C-9084-FD0C49D873F6}"/>
    <cellStyle name="20% - Accent6 6 3" xfId="5372" xr:uid="{00000000-0005-0000-0000-0000B5030000}"/>
    <cellStyle name="20% - Accent6 6 3 2" xfId="22255" xr:uid="{82581600-4252-40E9-A23A-69BE255BD497}"/>
    <cellStyle name="20% - Accent6 6 3 3" xfId="13814" xr:uid="{30797A17-BE3F-4B0F-9951-144581E89AEF}"/>
    <cellStyle name="20% - Accent6 6 4" xfId="18037" xr:uid="{F54FD67B-60A7-4B26-80BA-262CC271D812}"/>
    <cellStyle name="20% - Accent6 6 5" xfId="9596" xr:uid="{20748E0F-A4E3-4EC7-BC78-6E13C60582B1}"/>
    <cellStyle name="20% - Accent6 7" xfId="1477" xr:uid="{00000000-0005-0000-0000-0000B6030000}"/>
    <cellStyle name="20% - Accent6 7 2" xfId="3707" xr:uid="{00000000-0005-0000-0000-0000B7030000}"/>
    <cellStyle name="20% - Accent6 7 2 2" xfId="7930" xr:uid="{00000000-0005-0000-0000-0000B8030000}"/>
    <cellStyle name="20% - Accent6 7 2 2 2" xfId="24813" xr:uid="{B176BAA5-BE0D-4EFA-AF2E-B462EF605586}"/>
    <cellStyle name="20% - Accent6 7 2 2 3" xfId="16372" xr:uid="{6CFD4ECD-3B91-4FE5-A57B-F49FF8D767AA}"/>
    <cellStyle name="20% - Accent6 7 2 3" xfId="20595" xr:uid="{7B80A842-0E4E-4ED5-8D31-9E25138000D7}"/>
    <cellStyle name="20% - Accent6 7 2 4" xfId="12154" xr:uid="{6807345F-7F54-43B2-A4BC-5EE307A260F7}"/>
    <cellStyle name="20% - Accent6 7 3" xfId="5785" xr:uid="{00000000-0005-0000-0000-0000B9030000}"/>
    <cellStyle name="20% - Accent6 7 3 2" xfId="22668" xr:uid="{6FDF39C9-1E40-4231-89D8-AEFD4043950A}"/>
    <cellStyle name="20% - Accent6 7 3 3" xfId="14227" xr:uid="{A99D625D-1B85-4547-990A-31643B85065D}"/>
    <cellStyle name="20% - Accent6 7 4" xfId="18450" xr:uid="{D43F5383-321F-45F1-B5D3-173226CA104B}"/>
    <cellStyle name="20% - Accent6 7 5" xfId="10009" xr:uid="{4989861C-84AC-4ADD-82CC-14E056ECAE5D}"/>
    <cellStyle name="20% - Accent6 8" xfId="1891" xr:uid="{00000000-0005-0000-0000-0000BA030000}"/>
    <cellStyle name="20% - Accent6 8 2" xfId="4120" xr:uid="{00000000-0005-0000-0000-0000BB030000}"/>
    <cellStyle name="20% - Accent6 8 2 2" xfId="8343" xr:uid="{00000000-0005-0000-0000-0000BC030000}"/>
    <cellStyle name="20% - Accent6 8 2 2 2" xfId="25226" xr:uid="{9330D4A6-41ED-4791-B56D-802CB7F87A4F}"/>
    <cellStyle name="20% - Accent6 8 2 2 3" xfId="16785" xr:uid="{0132DC92-D29C-410A-BB47-B2162C8FB2CB}"/>
    <cellStyle name="20% - Accent6 8 2 3" xfId="21008" xr:uid="{EBD33F5D-0DB4-4726-A643-58CEA656F027}"/>
    <cellStyle name="20% - Accent6 8 2 4" xfId="12567" xr:uid="{712F8146-3CEC-475C-AE84-EF12C48519DD}"/>
    <cellStyle name="20% - Accent6 8 3" xfId="6198" xr:uid="{00000000-0005-0000-0000-0000BD030000}"/>
    <cellStyle name="20% - Accent6 8 3 2" xfId="23081" xr:uid="{9C589C10-529B-438D-A8C4-354F5EA29EF8}"/>
    <cellStyle name="20% - Accent6 8 3 3" xfId="14640" xr:uid="{9A796AA0-EF26-4602-9879-17504543E27E}"/>
    <cellStyle name="20% - Accent6 8 4" xfId="18863" xr:uid="{F60113AB-A28D-478B-8B0C-0FE39A6D119E}"/>
    <cellStyle name="20% - Accent6 8 5" xfId="10422" xr:uid="{30E4E2D8-FA94-4CC7-ACCA-A8D5A15E90C7}"/>
    <cellStyle name="20% - Accent6 9" xfId="2304" xr:uid="{00000000-0005-0000-0000-0000BE030000}"/>
    <cellStyle name="20% - Accent6 9 2" xfId="6611" xr:uid="{00000000-0005-0000-0000-0000BF030000}"/>
    <cellStyle name="20% - Accent6 9 2 2" xfId="23494" xr:uid="{99B68EE5-E3C0-4C3B-9304-F41764D17096}"/>
    <cellStyle name="20% - Accent6 9 2 3" xfId="15053" xr:uid="{B5BBDAB7-8F3D-42DF-92F4-F96A16C22CB8}"/>
    <cellStyle name="20% - Accent6 9 3" xfId="19276" xr:uid="{94E5171A-3883-4048-92C8-9503D323E94B}"/>
    <cellStyle name="20% - Accent6 9 4" xfId="10835" xr:uid="{677FE096-F575-4B1B-A343-0FFD594E2352}"/>
    <cellStyle name="40% - Accent1" xfId="49" builtinId="31" customBuiltin="1"/>
    <cellStyle name="40% - Accent1 10" xfId="4553" xr:uid="{00000000-0005-0000-0000-0000C1030000}"/>
    <cellStyle name="40% - Accent1 10 2" xfId="21436" xr:uid="{A489E18E-EF49-422B-8F0A-73F4F95B0D80}"/>
    <cellStyle name="40% - Accent1 10 3" xfId="12995" xr:uid="{ED134D8C-428E-4399-A258-293259866A41}"/>
    <cellStyle name="40% - Accent1 11" xfId="17218" xr:uid="{5B0DEB1E-A9B5-4066-B43C-2153EF6647B3}"/>
    <cellStyle name="40% - Accent1 12" xfId="8777" xr:uid="{ED36A10D-19CA-49D5-85CA-8958AEEB05D0}"/>
    <cellStyle name="40% - Accent1 2" xfId="50" xr:uid="{00000000-0005-0000-0000-0000C2030000}"/>
    <cellStyle name="40% - Accent1 2 10" xfId="17219" xr:uid="{BE99BC6C-767A-400C-9824-36AB92EE37E1}"/>
    <cellStyle name="40% - Accent1 2 11" xfId="8778" xr:uid="{F8245342-5530-4EC0-9AA1-1D338AB9B69F}"/>
    <cellStyle name="40% - Accent1 2 2" xfId="51" xr:uid="{00000000-0005-0000-0000-0000C3030000}"/>
    <cellStyle name="40% - Accent1 2 2 10" xfId="8779" xr:uid="{8B5E1196-2361-43A4-A57D-D788F7A2D701}"/>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23998" xr:uid="{A3134D70-8D56-4A5C-89BE-3E2FD31B4319}"/>
    <cellStyle name="40% - Accent1 2 2 2 2 2 2 3" xfId="15557" xr:uid="{A7151731-A585-4976-9577-A09E277F7211}"/>
    <cellStyle name="40% - Accent1 2 2 2 2 2 3" xfId="19780" xr:uid="{8D9BD1C7-C44B-4127-B00E-301CAD6BA618}"/>
    <cellStyle name="40% - Accent1 2 2 2 2 2 4" xfId="11339" xr:uid="{3300A72E-8860-47AB-BF31-9AA0A1226C54}"/>
    <cellStyle name="40% - Accent1 2 2 2 2 3" xfId="4970" xr:uid="{00000000-0005-0000-0000-0000C8030000}"/>
    <cellStyle name="40% - Accent1 2 2 2 2 3 2" xfId="21853" xr:uid="{4D966153-1985-4190-AA08-8028472712CB}"/>
    <cellStyle name="40% - Accent1 2 2 2 2 3 3" xfId="13412" xr:uid="{7069EBC9-F7A7-44A0-8669-B4E3D0C1397D}"/>
    <cellStyle name="40% - Accent1 2 2 2 2 4" xfId="17635" xr:uid="{5077C622-792F-48DB-9EBE-7FC325988418}"/>
    <cellStyle name="40% - Accent1 2 2 2 2 5" xfId="9194" xr:uid="{5F380615-4CD7-4D0F-A94D-AEF3D4B65E0E}"/>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24411" xr:uid="{1E1C9774-B003-4EF1-8159-9BB53DB644FE}"/>
    <cellStyle name="40% - Accent1 2 2 2 3 2 2 3" xfId="15970" xr:uid="{B940B996-BA89-49BD-BED1-030971F16F92}"/>
    <cellStyle name="40% - Accent1 2 2 2 3 2 3" xfId="20193" xr:uid="{CB1E8661-45B5-4E6B-9F20-A78CF4531E1B}"/>
    <cellStyle name="40% - Accent1 2 2 2 3 2 4" xfId="11752" xr:uid="{96157F85-55D2-4AA9-A70F-3A35DCDE9B24}"/>
    <cellStyle name="40% - Accent1 2 2 2 3 3" xfId="5383" xr:uid="{00000000-0005-0000-0000-0000CC030000}"/>
    <cellStyle name="40% - Accent1 2 2 2 3 3 2" xfId="22266" xr:uid="{A25B62C1-1E30-4643-8834-4B264CB2D0C2}"/>
    <cellStyle name="40% - Accent1 2 2 2 3 3 3" xfId="13825" xr:uid="{2A3A3E8B-9BDC-4DFD-967E-DC5828657BCD}"/>
    <cellStyle name="40% - Accent1 2 2 2 3 4" xfId="18048" xr:uid="{1FD7EDD5-96FE-44EB-9EA5-1EF8C1245EB0}"/>
    <cellStyle name="40% - Accent1 2 2 2 3 5" xfId="9607" xr:uid="{A1677668-EFA2-4735-830C-DB4ECA762CEB}"/>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24824" xr:uid="{8CC39D75-E370-422C-BA11-6443F07F241A}"/>
    <cellStyle name="40% - Accent1 2 2 2 4 2 2 3" xfId="16383" xr:uid="{468BDE99-6D3D-4927-847C-F59CD03293A0}"/>
    <cellStyle name="40% - Accent1 2 2 2 4 2 3" xfId="20606" xr:uid="{8F0A626F-6E56-4C8F-9095-D42B8DECCDDF}"/>
    <cellStyle name="40% - Accent1 2 2 2 4 2 4" xfId="12165" xr:uid="{05190305-7C10-4975-99A3-63642893CBCA}"/>
    <cellStyle name="40% - Accent1 2 2 2 4 3" xfId="5796" xr:uid="{00000000-0005-0000-0000-0000D0030000}"/>
    <cellStyle name="40% - Accent1 2 2 2 4 3 2" xfId="22679" xr:uid="{9E045D08-695D-4DAC-8B0C-FD26FB44ABCD}"/>
    <cellStyle name="40% - Accent1 2 2 2 4 3 3" xfId="14238" xr:uid="{147FA847-16EB-44D2-B11A-56D0A0B6A715}"/>
    <cellStyle name="40% - Accent1 2 2 2 4 4" xfId="18461" xr:uid="{671DA0C0-7485-43DC-882E-A4F1FAF68E9D}"/>
    <cellStyle name="40% - Accent1 2 2 2 4 5" xfId="10020" xr:uid="{9FE85AE9-5411-4965-B54B-4562763C2998}"/>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25237" xr:uid="{BCA796C2-9B94-46EA-8410-ACFCB6748DDB}"/>
    <cellStyle name="40% - Accent1 2 2 2 5 2 2 3" xfId="16796" xr:uid="{1413E6F1-F402-4A7F-90B4-AF35A1D888D0}"/>
    <cellStyle name="40% - Accent1 2 2 2 5 2 3" xfId="21019" xr:uid="{AB6C2FC1-4508-4BD3-B773-E45FAE120789}"/>
    <cellStyle name="40% - Accent1 2 2 2 5 2 4" xfId="12578" xr:uid="{8A584300-5459-4EE0-A3EC-C794083470A6}"/>
    <cellStyle name="40% - Accent1 2 2 2 5 3" xfId="6209" xr:uid="{00000000-0005-0000-0000-0000D4030000}"/>
    <cellStyle name="40% - Accent1 2 2 2 5 3 2" xfId="23092" xr:uid="{8E3401DD-754F-48F3-A3CD-AB705C802835}"/>
    <cellStyle name="40% - Accent1 2 2 2 5 3 3" xfId="14651" xr:uid="{50679F62-2D1A-4F6E-B8D8-0B0FFB8BE2AD}"/>
    <cellStyle name="40% - Accent1 2 2 2 5 4" xfId="18874" xr:uid="{B4487506-1059-458A-B8A0-97B0B048AF5D}"/>
    <cellStyle name="40% - Accent1 2 2 2 5 5" xfId="10433" xr:uid="{095B85C5-3A06-48F6-869A-A6568DDB5BDC}"/>
    <cellStyle name="40% - Accent1 2 2 2 6" xfId="2315" xr:uid="{00000000-0005-0000-0000-0000D5030000}"/>
    <cellStyle name="40% - Accent1 2 2 2 6 2" xfId="6622" xr:uid="{00000000-0005-0000-0000-0000D6030000}"/>
    <cellStyle name="40% - Accent1 2 2 2 6 2 2" xfId="23505" xr:uid="{3FCDDD68-361D-48F2-AED5-97E51A504715}"/>
    <cellStyle name="40% - Accent1 2 2 2 6 2 3" xfId="15064" xr:uid="{126AB13D-38AF-42BB-B49F-70A19D61C5B3}"/>
    <cellStyle name="40% - Accent1 2 2 2 6 3" xfId="19287" xr:uid="{6FD847EA-60B3-4F65-ACE2-5832AB0E5E46}"/>
    <cellStyle name="40% - Accent1 2 2 2 6 4" xfId="10846" xr:uid="{C549F6CA-F9F7-497D-A6EA-BE5BFE4E64FE}"/>
    <cellStyle name="40% - Accent1 2 2 2 7" xfId="4556" xr:uid="{00000000-0005-0000-0000-0000D7030000}"/>
    <cellStyle name="40% - Accent1 2 2 2 7 2" xfId="21439" xr:uid="{2D5BBB75-1DEF-4B6B-A3F0-F25C55F72456}"/>
    <cellStyle name="40% - Accent1 2 2 2 7 3" xfId="12998" xr:uid="{6BC4CF49-84C5-45C2-854F-747064038E14}"/>
    <cellStyle name="40% - Accent1 2 2 2 8" xfId="17221" xr:uid="{8A55C00F-7B95-4F67-BA28-2D164BB6A8A5}"/>
    <cellStyle name="40% - Accent1 2 2 2 9" xfId="8780" xr:uid="{5C7202AC-164C-4363-904C-8083807D70F1}"/>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23997" xr:uid="{730BD134-8288-4791-9CAF-B3FB58DBB77C}"/>
    <cellStyle name="40% - Accent1 2 2 3 2 2 3" xfId="15556" xr:uid="{38DFA5C5-83F2-4B1A-A895-7D4F384B4943}"/>
    <cellStyle name="40% - Accent1 2 2 3 2 3" xfId="19779" xr:uid="{747970B0-84A4-48AC-8C3B-BB296B0653FB}"/>
    <cellStyle name="40% - Accent1 2 2 3 2 4" xfId="11338" xr:uid="{48ED3458-8E76-4F2C-A150-7A22EBAECFDF}"/>
    <cellStyle name="40% - Accent1 2 2 3 3" xfId="4969" xr:uid="{00000000-0005-0000-0000-0000DB030000}"/>
    <cellStyle name="40% - Accent1 2 2 3 3 2" xfId="21852" xr:uid="{C03ABA50-A873-4D5E-ACC3-95B316287251}"/>
    <cellStyle name="40% - Accent1 2 2 3 3 3" xfId="13411" xr:uid="{488BF27A-32C4-4E6D-968C-982310669A3C}"/>
    <cellStyle name="40% - Accent1 2 2 3 4" xfId="17634" xr:uid="{D250A03E-3CBD-4AC7-A40E-5213AD51A69C}"/>
    <cellStyle name="40% - Accent1 2 2 3 5" xfId="9193" xr:uid="{E779794D-690F-40C5-8B34-AF9BA9C64403}"/>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24410" xr:uid="{1EF78937-EEDA-469B-83A6-91C32E497A6B}"/>
    <cellStyle name="40% - Accent1 2 2 4 2 2 3" xfId="15969" xr:uid="{29C33B66-C476-40A0-99D8-28B29278F16D}"/>
    <cellStyle name="40% - Accent1 2 2 4 2 3" xfId="20192" xr:uid="{8861F1ED-8D81-4D78-BAF8-0BD61B67A94F}"/>
    <cellStyle name="40% - Accent1 2 2 4 2 4" xfId="11751" xr:uid="{4C5EEB9B-EF1A-4D20-8F32-864FD103BA1A}"/>
    <cellStyle name="40% - Accent1 2 2 4 3" xfId="5382" xr:uid="{00000000-0005-0000-0000-0000DF030000}"/>
    <cellStyle name="40% - Accent1 2 2 4 3 2" xfId="22265" xr:uid="{064C0AE2-BC47-43D5-BD47-0E9B61E5BE39}"/>
    <cellStyle name="40% - Accent1 2 2 4 3 3" xfId="13824" xr:uid="{4683298C-98C1-4CF2-A2EA-A49D78BF9E1E}"/>
    <cellStyle name="40% - Accent1 2 2 4 4" xfId="18047" xr:uid="{5F924CB0-557D-4A32-956F-10101B674B5C}"/>
    <cellStyle name="40% - Accent1 2 2 4 5" xfId="9606" xr:uid="{546C14C6-BAEC-4716-8029-B5DBE5F52663}"/>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24823" xr:uid="{457F6F4D-43D6-46E9-95A7-0830516315CD}"/>
    <cellStyle name="40% - Accent1 2 2 5 2 2 3" xfId="16382" xr:uid="{DE085A79-4514-424E-A481-07B3ED6B1527}"/>
    <cellStyle name="40% - Accent1 2 2 5 2 3" xfId="20605" xr:uid="{D995B7E6-A519-4F06-9EC4-50EC88AF3C10}"/>
    <cellStyle name="40% - Accent1 2 2 5 2 4" xfId="12164" xr:uid="{2A484DDE-AD0A-4A53-9A52-CEEEA5886511}"/>
    <cellStyle name="40% - Accent1 2 2 5 3" xfId="5795" xr:uid="{00000000-0005-0000-0000-0000E3030000}"/>
    <cellStyle name="40% - Accent1 2 2 5 3 2" xfId="22678" xr:uid="{9C765987-3841-43E8-A2C2-D5B44255F27E}"/>
    <cellStyle name="40% - Accent1 2 2 5 3 3" xfId="14237" xr:uid="{33C61228-A378-4249-8FF7-EE99207054F7}"/>
    <cellStyle name="40% - Accent1 2 2 5 4" xfId="18460" xr:uid="{E5F0FF6D-0DA5-4BDB-AE80-D00E93CF6A03}"/>
    <cellStyle name="40% - Accent1 2 2 5 5" xfId="10019" xr:uid="{2E887923-3409-46CB-BFFE-666664AFF6A8}"/>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25236" xr:uid="{EE225D2C-C04C-4199-9125-1C83D4FD1F1B}"/>
    <cellStyle name="40% - Accent1 2 2 6 2 2 3" xfId="16795" xr:uid="{9AB43C7D-DFB1-4423-8A3D-4C5EE8841020}"/>
    <cellStyle name="40% - Accent1 2 2 6 2 3" xfId="21018" xr:uid="{A27A99F5-17F0-4B6C-A043-F56525121577}"/>
    <cellStyle name="40% - Accent1 2 2 6 2 4" xfId="12577" xr:uid="{F55EF4EA-6753-4EE0-87B0-6AF405845484}"/>
    <cellStyle name="40% - Accent1 2 2 6 3" xfId="6208" xr:uid="{00000000-0005-0000-0000-0000E7030000}"/>
    <cellStyle name="40% - Accent1 2 2 6 3 2" xfId="23091" xr:uid="{F247C6EF-F2AA-4192-BEC1-67D86E90BBDF}"/>
    <cellStyle name="40% - Accent1 2 2 6 3 3" xfId="14650" xr:uid="{3167665A-47A3-4F59-A8B5-2851E0E441D2}"/>
    <cellStyle name="40% - Accent1 2 2 6 4" xfId="18873" xr:uid="{4BF385BE-BC8E-4939-9822-36912699CC7A}"/>
    <cellStyle name="40% - Accent1 2 2 6 5" xfId="10432" xr:uid="{C676D1D6-E87D-431B-BE5F-A637F3195FF8}"/>
    <cellStyle name="40% - Accent1 2 2 7" xfId="2314" xr:uid="{00000000-0005-0000-0000-0000E8030000}"/>
    <cellStyle name="40% - Accent1 2 2 7 2" xfId="6621" xr:uid="{00000000-0005-0000-0000-0000E9030000}"/>
    <cellStyle name="40% - Accent1 2 2 7 2 2" xfId="23504" xr:uid="{0871C2AE-FC62-425B-AE08-5BBCD8AEE612}"/>
    <cellStyle name="40% - Accent1 2 2 7 2 3" xfId="15063" xr:uid="{56E3AE71-9E58-43A6-B2B4-A8DD9921BF9E}"/>
    <cellStyle name="40% - Accent1 2 2 7 3" xfId="19286" xr:uid="{DD97539C-E6D7-4590-A964-F076D5D1D814}"/>
    <cellStyle name="40% - Accent1 2 2 7 4" xfId="10845" xr:uid="{6A3BF2E4-19C9-4A96-BBDB-880671FA9AFC}"/>
    <cellStyle name="40% - Accent1 2 2 8" xfId="4555" xr:uid="{00000000-0005-0000-0000-0000EA030000}"/>
    <cellStyle name="40% - Accent1 2 2 8 2" xfId="21438" xr:uid="{AA727E24-8DF4-4FB0-B7D0-64E493A70F4C}"/>
    <cellStyle name="40% - Accent1 2 2 8 3" xfId="12997" xr:uid="{3DD7B31B-021F-4904-B0CD-3A1387D1DAA4}"/>
    <cellStyle name="40% - Accent1 2 2 9" xfId="17220" xr:uid="{93766F16-0D60-49BE-8581-1CFC18D76F11}"/>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23999" xr:uid="{B38F056B-7122-4437-B253-3432AB0D729F}"/>
    <cellStyle name="40% - Accent1 2 3 2 2 2 3" xfId="15558" xr:uid="{26677409-6B22-4E8E-BE79-650A7E0A93A1}"/>
    <cellStyle name="40% - Accent1 2 3 2 2 3" xfId="19781" xr:uid="{14156664-560B-4D04-9E8D-217361DEE308}"/>
    <cellStyle name="40% - Accent1 2 3 2 2 4" xfId="11340" xr:uid="{5D05FB77-16D5-4E7D-AAE9-6BADC2B60773}"/>
    <cellStyle name="40% - Accent1 2 3 2 3" xfId="4971" xr:uid="{00000000-0005-0000-0000-0000EF030000}"/>
    <cellStyle name="40% - Accent1 2 3 2 3 2" xfId="21854" xr:uid="{681BD2E1-40AA-4B0D-AF75-A473195175EC}"/>
    <cellStyle name="40% - Accent1 2 3 2 3 3" xfId="13413" xr:uid="{5F3521D5-860A-461C-80A9-4EAF039650DD}"/>
    <cellStyle name="40% - Accent1 2 3 2 4" xfId="17636" xr:uid="{D05E2B36-60DD-48DD-B467-F2CE6BAC8DF4}"/>
    <cellStyle name="40% - Accent1 2 3 2 5" xfId="9195" xr:uid="{C54E9909-822C-4E75-9C50-27CB0BC69BA7}"/>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24412" xr:uid="{C881F306-FE49-4C01-9C3A-1F7C8C56AEFD}"/>
    <cellStyle name="40% - Accent1 2 3 3 2 2 3" xfId="15971" xr:uid="{F241C422-DE93-4416-B9A6-A9C394FAB7FF}"/>
    <cellStyle name="40% - Accent1 2 3 3 2 3" xfId="20194" xr:uid="{B24CEC36-CAAF-4114-9C53-32AB94577D64}"/>
    <cellStyle name="40% - Accent1 2 3 3 2 4" xfId="11753" xr:uid="{FBA09997-EF96-417F-9533-A2C162BC6002}"/>
    <cellStyle name="40% - Accent1 2 3 3 3" xfId="5384" xr:uid="{00000000-0005-0000-0000-0000F3030000}"/>
    <cellStyle name="40% - Accent1 2 3 3 3 2" xfId="22267" xr:uid="{8A1BBF06-55FE-432C-A967-D4D18DDD6035}"/>
    <cellStyle name="40% - Accent1 2 3 3 3 3" xfId="13826" xr:uid="{8ACA3855-CB21-4DDA-AAB4-3AB8C8D839E9}"/>
    <cellStyle name="40% - Accent1 2 3 3 4" xfId="18049" xr:uid="{3545DFCC-3FCF-422D-A332-67FD4BF40817}"/>
    <cellStyle name="40% - Accent1 2 3 3 5" xfId="9608" xr:uid="{6605841C-C168-4EFB-A0C5-505D76334ABD}"/>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24825" xr:uid="{3724147C-2BA2-436C-8B9E-F6882E5C0CB1}"/>
    <cellStyle name="40% - Accent1 2 3 4 2 2 3" xfId="16384" xr:uid="{6E846984-99B4-407B-B916-41CE6627FBCD}"/>
    <cellStyle name="40% - Accent1 2 3 4 2 3" xfId="20607" xr:uid="{73FE1A6B-DA0A-4E6F-B91F-566D6B3CF7D9}"/>
    <cellStyle name="40% - Accent1 2 3 4 2 4" xfId="12166" xr:uid="{4C64A2B9-FE10-408C-8427-960F028FBCC6}"/>
    <cellStyle name="40% - Accent1 2 3 4 3" xfId="5797" xr:uid="{00000000-0005-0000-0000-0000F7030000}"/>
    <cellStyle name="40% - Accent1 2 3 4 3 2" xfId="22680" xr:uid="{5EC3832D-2472-4EC0-AF0B-DE14E134A61E}"/>
    <cellStyle name="40% - Accent1 2 3 4 3 3" xfId="14239" xr:uid="{C92B1F2C-840F-4626-A07B-BF4FF7465989}"/>
    <cellStyle name="40% - Accent1 2 3 4 4" xfId="18462" xr:uid="{9A306A35-0245-4177-83FD-26D84BC32485}"/>
    <cellStyle name="40% - Accent1 2 3 4 5" xfId="10021" xr:uid="{AF702BF3-A262-45C2-9A84-04F51CD4D708}"/>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25238" xr:uid="{68267B1C-73C8-444C-997B-A409F4F8989C}"/>
    <cellStyle name="40% - Accent1 2 3 5 2 2 3" xfId="16797" xr:uid="{2CC0E5C7-A502-4857-BBD9-3282E270990A}"/>
    <cellStyle name="40% - Accent1 2 3 5 2 3" xfId="21020" xr:uid="{1C880D5B-2B35-4A30-986B-F752CAAEA9DD}"/>
    <cellStyle name="40% - Accent1 2 3 5 2 4" xfId="12579" xr:uid="{A98802B3-3A2F-48D8-A291-3EF3120BB958}"/>
    <cellStyle name="40% - Accent1 2 3 5 3" xfId="6210" xr:uid="{00000000-0005-0000-0000-0000FB030000}"/>
    <cellStyle name="40% - Accent1 2 3 5 3 2" xfId="23093" xr:uid="{9AABA17F-53DA-44CF-8E27-5B16AFE4CBA0}"/>
    <cellStyle name="40% - Accent1 2 3 5 3 3" xfId="14652" xr:uid="{2A1DB0CB-616E-4929-9540-3F6A20B810FC}"/>
    <cellStyle name="40% - Accent1 2 3 5 4" xfId="18875" xr:uid="{8501EC78-EE88-4CBB-B749-BE6A8BB32357}"/>
    <cellStyle name="40% - Accent1 2 3 5 5" xfId="10434" xr:uid="{2CD57341-102F-4AF0-9628-6C1483E1E40A}"/>
    <cellStyle name="40% - Accent1 2 3 6" xfId="2316" xr:uid="{00000000-0005-0000-0000-0000FC030000}"/>
    <cellStyle name="40% - Accent1 2 3 6 2" xfId="6623" xr:uid="{00000000-0005-0000-0000-0000FD030000}"/>
    <cellStyle name="40% - Accent1 2 3 6 2 2" xfId="23506" xr:uid="{F68599E7-9509-445E-8C04-FCFB41283943}"/>
    <cellStyle name="40% - Accent1 2 3 6 2 3" xfId="15065" xr:uid="{18C88A20-80FE-4455-9B77-E0F83EE34386}"/>
    <cellStyle name="40% - Accent1 2 3 6 3" xfId="19288" xr:uid="{9FD481E9-758D-4A56-AE6F-D702F0A71121}"/>
    <cellStyle name="40% - Accent1 2 3 6 4" xfId="10847" xr:uid="{58E95EDA-E7C7-47C0-8A4F-CC215C57D967}"/>
    <cellStyle name="40% - Accent1 2 3 7" xfId="4557" xr:uid="{00000000-0005-0000-0000-0000FE030000}"/>
    <cellStyle name="40% - Accent1 2 3 7 2" xfId="21440" xr:uid="{35B846DA-1076-4E70-9691-1B796E558A8F}"/>
    <cellStyle name="40% - Accent1 2 3 7 3" xfId="12999" xr:uid="{498783DE-9D7F-4E7A-87AE-DD9CA7E25E37}"/>
    <cellStyle name="40% - Accent1 2 3 8" xfId="17222" xr:uid="{213385DB-FC3C-43CB-A11C-79A98CBA29C0}"/>
    <cellStyle name="40% - Accent1 2 3 9" xfId="8781" xr:uid="{D03585B1-83C7-47B5-A49A-DF10CF7BBFFA}"/>
    <cellStyle name="40% - Accent1 2 4" xfId="619" xr:uid="{00000000-0005-0000-0000-0000FF030000}"/>
    <cellStyle name="40% - Accent1 2 4 2" xfId="2890" xr:uid="{00000000-0005-0000-0000-000000040000}"/>
    <cellStyle name="40% - Accent1 2 4 2 2" xfId="7113" xr:uid="{00000000-0005-0000-0000-000001040000}"/>
    <cellStyle name="40% - Accent1 2 4 2 2 2" xfId="23996" xr:uid="{B0EF0689-0967-4B25-A38C-1AFCF5A96666}"/>
    <cellStyle name="40% - Accent1 2 4 2 2 3" xfId="15555" xr:uid="{35C3A142-7027-4A85-8B57-6AE4EB661DAF}"/>
    <cellStyle name="40% - Accent1 2 4 2 3" xfId="19778" xr:uid="{036FCAC3-0546-4101-B1D8-8B55168FACFC}"/>
    <cellStyle name="40% - Accent1 2 4 2 4" xfId="11337" xr:uid="{401046F4-CE48-4953-9B44-601E3573F03A}"/>
    <cellStyle name="40% - Accent1 2 4 3" xfId="4968" xr:uid="{00000000-0005-0000-0000-000002040000}"/>
    <cellStyle name="40% - Accent1 2 4 3 2" xfId="21851" xr:uid="{82DFAC4B-3714-476C-B9CA-18F40E2F6BEC}"/>
    <cellStyle name="40% - Accent1 2 4 3 3" xfId="13410" xr:uid="{12A1221F-7CA7-485E-9A0E-6E0994FE3B43}"/>
    <cellStyle name="40% - Accent1 2 4 4" xfId="17633" xr:uid="{E4D0FF8C-706E-42EB-BC29-6B4061E61C58}"/>
    <cellStyle name="40% - Accent1 2 4 5" xfId="9192" xr:uid="{87A83475-7F76-4CCE-91B9-0B265A63E3A0}"/>
    <cellStyle name="40% - Accent1 2 5" xfId="1072" xr:uid="{00000000-0005-0000-0000-000003040000}"/>
    <cellStyle name="40% - Accent1 2 5 2" xfId="3303" xr:uid="{00000000-0005-0000-0000-000004040000}"/>
    <cellStyle name="40% - Accent1 2 5 2 2" xfId="7526" xr:uid="{00000000-0005-0000-0000-000005040000}"/>
    <cellStyle name="40% - Accent1 2 5 2 2 2" xfId="24409" xr:uid="{4E0F9282-F528-469F-876A-00366A07C3E8}"/>
    <cellStyle name="40% - Accent1 2 5 2 2 3" xfId="15968" xr:uid="{4D7E3EE1-4578-4F53-9786-8BDA7BC2B59E}"/>
    <cellStyle name="40% - Accent1 2 5 2 3" xfId="20191" xr:uid="{8F31A832-7C34-4F06-9DF7-4796D0FA8839}"/>
    <cellStyle name="40% - Accent1 2 5 2 4" xfId="11750" xr:uid="{9005085F-B8E0-414E-A882-84E99AE65B3A}"/>
    <cellStyle name="40% - Accent1 2 5 3" xfId="5381" xr:uid="{00000000-0005-0000-0000-000006040000}"/>
    <cellStyle name="40% - Accent1 2 5 3 2" xfId="22264" xr:uid="{53131F16-E5AD-4D0F-9799-D3E8F799DB8C}"/>
    <cellStyle name="40% - Accent1 2 5 3 3" xfId="13823" xr:uid="{D35DDE8C-4E65-4DD3-8C10-18FAA9EF806F}"/>
    <cellStyle name="40% - Accent1 2 5 4" xfId="18046" xr:uid="{1B8AD01F-8462-4B07-BA22-6631A9602AAA}"/>
    <cellStyle name="40% - Accent1 2 5 5" xfId="9605" xr:uid="{F9866047-6A7D-4F88-B8BB-F51E40E1EDE5}"/>
    <cellStyle name="40% - Accent1 2 6" xfId="1486" xr:uid="{00000000-0005-0000-0000-000007040000}"/>
    <cellStyle name="40% - Accent1 2 6 2" xfId="3716" xr:uid="{00000000-0005-0000-0000-000008040000}"/>
    <cellStyle name="40% - Accent1 2 6 2 2" xfId="7939" xr:uid="{00000000-0005-0000-0000-000009040000}"/>
    <cellStyle name="40% - Accent1 2 6 2 2 2" xfId="24822" xr:uid="{F2BB7B5B-14B6-4051-9C8D-36910A323884}"/>
    <cellStyle name="40% - Accent1 2 6 2 2 3" xfId="16381" xr:uid="{C2208303-F862-478D-A340-8856B933F521}"/>
    <cellStyle name="40% - Accent1 2 6 2 3" xfId="20604" xr:uid="{9D4F4244-17FB-4BD8-B8FB-E0E7E3734662}"/>
    <cellStyle name="40% - Accent1 2 6 2 4" xfId="12163" xr:uid="{9B1E7B3E-C430-4832-BC71-2CC5E938238F}"/>
    <cellStyle name="40% - Accent1 2 6 3" xfId="5794" xr:uid="{00000000-0005-0000-0000-00000A040000}"/>
    <cellStyle name="40% - Accent1 2 6 3 2" xfId="22677" xr:uid="{FAB5462B-BB51-4439-8D1E-C93F74E21EEF}"/>
    <cellStyle name="40% - Accent1 2 6 3 3" xfId="14236" xr:uid="{888F00E6-3533-4EDE-A354-9B8C4547A7BB}"/>
    <cellStyle name="40% - Accent1 2 6 4" xfId="18459" xr:uid="{34D1A054-50AE-477E-8EAC-D4FDF4519B21}"/>
    <cellStyle name="40% - Accent1 2 6 5" xfId="10018" xr:uid="{8561F7A9-ACF2-401D-B769-F3B3BE04B5D8}"/>
    <cellStyle name="40% - Accent1 2 7" xfId="1900" xr:uid="{00000000-0005-0000-0000-00000B040000}"/>
    <cellStyle name="40% - Accent1 2 7 2" xfId="4129" xr:uid="{00000000-0005-0000-0000-00000C040000}"/>
    <cellStyle name="40% - Accent1 2 7 2 2" xfId="8352" xr:uid="{00000000-0005-0000-0000-00000D040000}"/>
    <cellStyle name="40% - Accent1 2 7 2 2 2" xfId="25235" xr:uid="{00DB2160-D731-4725-B6DD-118BD0DEEA84}"/>
    <cellStyle name="40% - Accent1 2 7 2 2 3" xfId="16794" xr:uid="{EDC00FE3-A4DD-48ED-8A26-C37DD7C3392D}"/>
    <cellStyle name="40% - Accent1 2 7 2 3" xfId="21017" xr:uid="{1E1C2E31-3F8F-4F99-AA10-FDD0BA7A8E8D}"/>
    <cellStyle name="40% - Accent1 2 7 2 4" xfId="12576" xr:uid="{32F179C9-8EA2-417C-960D-6E1543CB3F30}"/>
    <cellStyle name="40% - Accent1 2 7 3" xfId="6207" xr:uid="{00000000-0005-0000-0000-00000E040000}"/>
    <cellStyle name="40% - Accent1 2 7 3 2" xfId="23090" xr:uid="{8AF48C18-34CF-4487-A385-7E0A5F760855}"/>
    <cellStyle name="40% - Accent1 2 7 3 3" xfId="14649" xr:uid="{11E9EEC6-4C5D-407E-B1B8-BB669B26BABD}"/>
    <cellStyle name="40% - Accent1 2 7 4" xfId="18872" xr:uid="{583F3E0C-3A6C-4173-B7D0-A4F622AA7563}"/>
    <cellStyle name="40% - Accent1 2 7 5" xfId="10431" xr:uid="{A88E3332-0CB1-4B12-B523-152D25044848}"/>
    <cellStyle name="40% - Accent1 2 8" xfId="2313" xr:uid="{00000000-0005-0000-0000-00000F040000}"/>
    <cellStyle name="40% - Accent1 2 8 2" xfId="6620" xr:uid="{00000000-0005-0000-0000-000010040000}"/>
    <cellStyle name="40% - Accent1 2 8 2 2" xfId="23503" xr:uid="{5ECA6A4C-AA00-4163-A908-ED35F9FA1B21}"/>
    <cellStyle name="40% - Accent1 2 8 2 3" xfId="15062" xr:uid="{95013621-D7CB-4343-899F-A8731915C31D}"/>
    <cellStyle name="40% - Accent1 2 8 3" xfId="19285" xr:uid="{06A4630C-C8A4-48D5-804E-2B413E201B09}"/>
    <cellStyle name="40% - Accent1 2 8 4" xfId="10844" xr:uid="{F96D109A-9C16-433E-8C4D-A50059D5A396}"/>
    <cellStyle name="40% - Accent1 2 9" xfId="4554" xr:uid="{00000000-0005-0000-0000-000011040000}"/>
    <cellStyle name="40% - Accent1 2 9 2" xfId="21437" xr:uid="{262797C1-DEF1-4ACE-B43B-A32AA430ABF1}"/>
    <cellStyle name="40% - Accent1 2 9 3" xfId="12996" xr:uid="{FAA8C8EB-C1FC-45B8-A63A-1B540C9435C4}"/>
    <cellStyle name="40% - Accent1 3" xfId="54" xr:uid="{00000000-0005-0000-0000-000012040000}"/>
    <cellStyle name="40% - Accent1 3 10" xfId="8782" xr:uid="{C4C10A3F-A7D5-4E29-9E92-68BE16D1B711}"/>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24001" xr:uid="{923B5389-150C-432B-909F-586B27EA0C5D}"/>
    <cellStyle name="40% - Accent1 3 2 2 2 2 3" xfId="15560" xr:uid="{1BE0A329-6A9F-4C66-9646-3289D621438B}"/>
    <cellStyle name="40% - Accent1 3 2 2 2 3" xfId="19783" xr:uid="{01C843EF-AA75-4C0C-BCB8-4AFFA36FF0D8}"/>
    <cellStyle name="40% - Accent1 3 2 2 2 4" xfId="11342" xr:uid="{1FD50EE8-4501-4A88-85EB-FDF5E3B5B87D}"/>
    <cellStyle name="40% - Accent1 3 2 2 3" xfId="4973" xr:uid="{00000000-0005-0000-0000-000017040000}"/>
    <cellStyle name="40% - Accent1 3 2 2 3 2" xfId="21856" xr:uid="{38745159-DA90-4912-A3D9-85D8283BA5CF}"/>
    <cellStyle name="40% - Accent1 3 2 2 3 3" xfId="13415" xr:uid="{E932AABF-739A-49DE-B881-8A0020A573E1}"/>
    <cellStyle name="40% - Accent1 3 2 2 4" xfId="17638" xr:uid="{FF0FDEB3-E9F2-49FB-B7B7-F31BF194EC6E}"/>
    <cellStyle name="40% - Accent1 3 2 2 5" xfId="9197" xr:uid="{8078A353-63E1-4D2D-A11B-BA621661030C}"/>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24414" xr:uid="{DDD90153-C1A7-47A4-BBEC-BA222D28337A}"/>
    <cellStyle name="40% - Accent1 3 2 3 2 2 3" xfId="15973" xr:uid="{934DC1AB-56C8-46B3-9DBA-142A1CC963E5}"/>
    <cellStyle name="40% - Accent1 3 2 3 2 3" xfId="20196" xr:uid="{A5F2AA10-1CCC-45CF-B09E-B70237740655}"/>
    <cellStyle name="40% - Accent1 3 2 3 2 4" xfId="11755" xr:uid="{0EF88618-3DC5-4121-A633-514A32CFE6AD}"/>
    <cellStyle name="40% - Accent1 3 2 3 3" xfId="5386" xr:uid="{00000000-0005-0000-0000-00001B040000}"/>
    <cellStyle name="40% - Accent1 3 2 3 3 2" xfId="22269" xr:uid="{AC192A46-4847-41B7-9DD3-259DA0820A7E}"/>
    <cellStyle name="40% - Accent1 3 2 3 3 3" xfId="13828" xr:uid="{69AA4749-4DDE-4A96-8BA6-987DF3A59598}"/>
    <cellStyle name="40% - Accent1 3 2 3 4" xfId="18051" xr:uid="{CED9BDE5-7D0E-4697-B986-423AD2B41B94}"/>
    <cellStyle name="40% - Accent1 3 2 3 5" xfId="9610" xr:uid="{1FC4FC70-E6C1-4A38-B8FD-1972DD2A18DB}"/>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24827" xr:uid="{18DE0B45-1329-4F3F-8931-8A807AE2B0C5}"/>
    <cellStyle name="40% - Accent1 3 2 4 2 2 3" xfId="16386" xr:uid="{34F2DFEB-CD17-4C7B-ABFF-ACB962B2A064}"/>
    <cellStyle name="40% - Accent1 3 2 4 2 3" xfId="20609" xr:uid="{49784EC5-C950-438D-898C-DFE9A0F40A7E}"/>
    <cellStyle name="40% - Accent1 3 2 4 2 4" xfId="12168" xr:uid="{14F42E07-E007-47CE-A293-5CAEEB39E5AC}"/>
    <cellStyle name="40% - Accent1 3 2 4 3" xfId="5799" xr:uid="{00000000-0005-0000-0000-00001F040000}"/>
    <cellStyle name="40% - Accent1 3 2 4 3 2" xfId="22682" xr:uid="{225E571D-3E28-44D4-9039-1BC4B841E843}"/>
    <cellStyle name="40% - Accent1 3 2 4 3 3" xfId="14241" xr:uid="{6A0649E5-6020-4C96-8F89-A2DE1D5AC1AE}"/>
    <cellStyle name="40% - Accent1 3 2 4 4" xfId="18464" xr:uid="{A97F341A-13AE-4FFF-9D74-A6E5234C784E}"/>
    <cellStyle name="40% - Accent1 3 2 4 5" xfId="10023" xr:uid="{7F42ADB5-9DC7-44C8-98F4-15B87E3A2AA0}"/>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25240" xr:uid="{82662D67-BA15-4806-B0B2-B7219BDA1AE1}"/>
    <cellStyle name="40% - Accent1 3 2 5 2 2 3" xfId="16799" xr:uid="{D9720969-C20F-4CFB-BA35-C74D54530758}"/>
    <cellStyle name="40% - Accent1 3 2 5 2 3" xfId="21022" xr:uid="{EFB03F7E-737D-4BA5-801E-3AA6B3CD86F1}"/>
    <cellStyle name="40% - Accent1 3 2 5 2 4" xfId="12581" xr:uid="{AEAE2383-7778-4E3E-8008-382184DC5D5F}"/>
    <cellStyle name="40% - Accent1 3 2 5 3" xfId="6212" xr:uid="{00000000-0005-0000-0000-000023040000}"/>
    <cellStyle name="40% - Accent1 3 2 5 3 2" xfId="23095" xr:uid="{CA01548D-4B51-4E6C-87A4-DD6DD21071F5}"/>
    <cellStyle name="40% - Accent1 3 2 5 3 3" xfId="14654" xr:uid="{9BAD72B0-BE1D-42D2-9503-19DDB22AC866}"/>
    <cellStyle name="40% - Accent1 3 2 5 4" xfId="18877" xr:uid="{B2CFE89B-5CD6-4FE2-A50B-A653B2D6A29D}"/>
    <cellStyle name="40% - Accent1 3 2 5 5" xfId="10436" xr:uid="{F44CD797-F9D5-4053-8891-CDE5E583D3D9}"/>
    <cellStyle name="40% - Accent1 3 2 6" xfId="2318" xr:uid="{00000000-0005-0000-0000-000024040000}"/>
    <cellStyle name="40% - Accent1 3 2 6 2" xfId="6625" xr:uid="{00000000-0005-0000-0000-000025040000}"/>
    <cellStyle name="40% - Accent1 3 2 6 2 2" xfId="23508" xr:uid="{2F9B1300-90F2-4FCC-98B2-FE6899007EB9}"/>
    <cellStyle name="40% - Accent1 3 2 6 2 3" xfId="15067" xr:uid="{BFE259C5-2570-4EDF-A35D-F33F4F914DDB}"/>
    <cellStyle name="40% - Accent1 3 2 6 3" xfId="19290" xr:uid="{B7516202-4CCB-4114-A3A6-21E01909199C}"/>
    <cellStyle name="40% - Accent1 3 2 6 4" xfId="10849" xr:uid="{09C493EF-F10C-4860-B79A-6A637D9D9A31}"/>
    <cellStyle name="40% - Accent1 3 2 7" xfId="4559" xr:uid="{00000000-0005-0000-0000-000026040000}"/>
    <cellStyle name="40% - Accent1 3 2 7 2" xfId="21442" xr:uid="{E09676E5-41BA-42DC-AFFF-016DE915B0BB}"/>
    <cellStyle name="40% - Accent1 3 2 7 3" xfId="13001" xr:uid="{D6462F35-E0F0-43D6-9847-5CBBDADEF17C}"/>
    <cellStyle name="40% - Accent1 3 2 8" xfId="17224" xr:uid="{A84503B4-A1B6-40F5-B572-7979EECB378B}"/>
    <cellStyle name="40% - Accent1 3 2 9" xfId="8783" xr:uid="{DBFF771D-6ADF-429A-BA39-4CA0E27887FB}"/>
    <cellStyle name="40% - Accent1 3 3" xfId="623" xr:uid="{00000000-0005-0000-0000-000027040000}"/>
    <cellStyle name="40% - Accent1 3 3 2" xfId="2894" xr:uid="{00000000-0005-0000-0000-000028040000}"/>
    <cellStyle name="40% - Accent1 3 3 2 2" xfId="7117" xr:uid="{00000000-0005-0000-0000-000029040000}"/>
    <cellStyle name="40% - Accent1 3 3 2 2 2" xfId="24000" xr:uid="{0F07C71B-93ED-4F1A-A78E-82B8238DB349}"/>
    <cellStyle name="40% - Accent1 3 3 2 2 3" xfId="15559" xr:uid="{EC796BE9-5FAA-4352-BAA0-268B2B5F8A98}"/>
    <cellStyle name="40% - Accent1 3 3 2 3" xfId="19782" xr:uid="{1F3F9E01-135B-480B-8FB1-CBEE0C855D4B}"/>
    <cellStyle name="40% - Accent1 3 3 2 4" xfId="11341" xr:uid="{A9E6D954-042B-4516-BDC4-8B85634AEDDE}"/>
    <cellStyle name="40% - Accent1 3 3 3" xfId="4972" xr:uid="{00000000-0005-0000-0000-00002A040000}"/>
    <cellStyle name="40% - Accent1 3 3 3 2" xfId="21855" xr:uid="{17DC167A-79F8-4620-A925-6E209D280D9A}"/>
    <cellStyle name="40% - Accent1 3 3 3 3" xfId="13414" xr:uid="{EF128E82-0A86-406F-B6C2-DEE00C02E4C5}"/>
    <cellStyle name="40% - Accent1 3 3 4" xfId="17637" xr:uid="{DAD949C9-B14E-40E8-B433-665ABF1D1D80}"/>
    <cellStyle name="40% - Accent1 3 3 5" xfId="9196" xr:uid="{481F7DE9-AA14-4300-8181-8090E5654E42}"/>
    <cellStyle name="40% - Accent1 3 4" xfId="1076" xr:uid="{00000000-0005-0000-0000-00002B040000}"/>
    <cellStyle name="40% - Accent1 3 4 2" xfId="3307" xr:uid="{00000000-0005-0000-0000-00002C040000}"/>
    <cellStyle name="40% - Accent1 3 4 2 2" xfId="7530" xr:uid="{00000000-0005-0000-0000-00002D040000}"/>
    <cellStyle name="40% - Accent1 3 4 2 2 2" xfId="24413" xr:uid="{81E6C53C-1D14-4549-AC8F-098DDF73089A}"/>
    <cellStyle name="40% - Accent1 3 4 2 2 3" xfId="15972" xr:uid="{F483BC4E-19A4-4EDD-8352-774F7D7069C7}"/>
    <cellStyle name="40% - Accent1 3 4 2 3" xfId="20195" xr:uid="{B79AFAFE-6F4B-4186-B25B-18DC88D84F9D}"/>
    <cellStyle name="40% - Accent1 3 4 2 4" xfId="11754" xr:uid="{F23A3D44-D62A-46C4-9680-E315D3E71413}"/>
    <cellStyle name="40% - Accent1 3 4 3" xfId="5385" xr:uid="{00000000-0005-0000-0000-00002E040000}"/>
    <cellStyle name="40% - Accent1 3 4 3 2" xfId="22268" xr:uid="{A8A25133-9A92-4450-ADCE-53990C94B752}"/>
    <cellStyle name="40% - Accent1 3 4 3 3" xfId="13827" xr:uid="{20053B76-A311-4D78-8C49-96C4751351AB}"/>
    <cellStyle name="40% - Accent1 3 4 4" xfId="18050" xr:uid="{59BBD0ED-FB5F-4A63-AF65-2416736F9878}"/>
    <cellStyle name="40% - Accent1 3 4 5" xfId="9609" xr:uid="{09225E6F-A6BB-4735-A172-951D3AEAB095}"/>
    <cellStyle name="40% - Accent1 3 5" xfId="1490" xr:uid="{00000000-0005-0000-0000-00002F040000}"/>
    <cellStyle name="40% - Accent1 3 5 2" xfId="3720" xr:uid="{00000000-0005-0000-0000-000030040000}"/>
    <cellStyle name="40% - Accent1 3 5 2 2" xfId="7943" xr:uid="{00000000-0005-0000-0000-000031040000}"/>
    <cellStyle name="40% - Accent1 3 5 2 2 2" xfId="24826" xr:uid="{5EBD1CDB-8FF1-43A4-930D-0FED67EB5318}"/>
    <cellStyle name="40% - Accent1 3 5 2 2 3" xfId="16385" xr:uid="{4B2B8AC8-0C4E-4368-B08B-B04E89D7AE95}"/>
    <cellStyle name="40% - Accent1 3 5 2 3" xfId="20608" xr:uid="{B5B62C65-78E6-4E7D-8311-364E260F4032}"/>
    <cellStyle name="40% - Accent1 3 5 2 4" xfId="12167" xr:uid="{8172262D-EAA6-4986-A11C-1D6CAF619A90}"/>
    <cellStyle name="40% - Accent1 3 5 3" xfId="5798" xr:uid="{00000000-0005-0000-0000-000032040000}"/>
    <cellStyle name="40% - Accent1 3 5 3 2" xfId="22681" xr:uid="{D7FF1DB0-4EFF-4290-B80F-0AE138ABF166}"/>
    <cellStyle name="40% - Accent1 3 5 3 3" xfId="14240" xr:uid="{67539BF5-33C2-4918-80F1-6915B3FCEA4B}"/>
    <cellStyle name="40% - Accent1 3 5 4" xfId="18463" xr:uid="{A5133D47-5A75-41F1-95A1-2A7F55B40B0B}"/>
    <cellStyle name="40% - Accent1 3 5 5" xfId="10022" xr:uid="{26A62631-9A61-4728-8A5C-B6EADDFDC471}"/>
    <cellStyle name="40% - Accent1 3 6" xfId="1904" xr:uid="{00000000-0005-0000-0000-000033040000}"/>
    <cellStyle name="40% - Accent1 3 6 2" xfId="4133" xr:uid="{00000000-0005-0000-0000-000034040000}"/>
    <cellStyle name="40% - Accent1 3 6 2 2" xfId="8356" xr:uid="{00000000-0005-0000-0000-000035040000}"/>
    <cellStyle name="40% - Accent1 3 6 2 2 2" xfId="25239" xr:uid="{D69033F1-1642-4EE9-93E0-1C3533A6C6F4}"/>
    <cellStyle name="40% - Accent1 3 6 2 2 3" xfId="16798" xr:uid="{68B137F4-E934-4B37-9B49-58283B5C6F91}"/>
    <cellStyle name="40% - Accent1 3 6 2 3" xfId="21021" xr:uid="{A22E2F74-373A-452F-8A6B-B59C5D133E17}"/>
    <cellStyle name="40% - Accent1 3 6 2 4" xfId="12580" xr:uid="{7C2D0E8C-F66E-4CB3-8D29-E4CA2D543476}"/>
    <cellStyle name="40% - Accent1 3 6 3" xfId="6211" xr:uid="{00000000-0005-0000-0000-000036040000}"/>
    <cellStyle name="40% - Accent1 3 6 3 2" xfId="23094" xr:uid="{29154CFF-9854-4C04-8A79-A01910C8EE07}"/>
    <cellStyle name="40% - Accent1 3 6 3 3" xfId="14653" xr:uid="{F3944CEC-C6ED-4A84-9596-143F38639A6A}"/>
    <cellStyle name="40% - Accent1 3 6 4" xfId="18876" xr:uid="{4DC9E981-EB39-4658-8657-AD80FA233463}"/>
    <cellStyle name="40% - Accent1 3 6 5" xfId="10435" xr:uid="{7A96F63A-1A1B-460E-86AF-27D6A198171F}"/>
    <cellStyle name="40% - Accent1 3 7" xfId="2317" xr:uid="{00000000-0005-0000-0000-000037040000}"/>
    <cellStyle name="40% - Accent1 3 7 2" xfId="6624" xr:uid="{00000000-0005-0000-0000-000038040000}"/>
    <cellStyle name="40% - Accent1 3 7 2 2" xfId="23507" xr:uid="{572B1D6E-2727-4755-8A6A-7B83EBB8D9F5}"/>
    <cellStyle name="40% - Accent1 3 7 2 3" xfId="15066" xr:uid="{4453742C-7DE2-4682-B6B0-75F71F828EE0}"/>
    <cellStyle name="40% - Accent1 3 7 3" xfId="19289" xr:uid="{80AAB97E-339F-4F60-8481-CFBE73D21D1A}"/>
    <cellStyle name="40% - Accent1 3 7 4" xfId="10848" xr:uid="{971C9FC4-80B5-4A3B-B162-394F9C59BA2F}"/>
    <cellStyle name="40% - Accent1 3 8" xfId="4558" xr:uid="{00000000-0005-0000-0000-000039040000}"/>
    <cellStyle name="40% - Accent1 3 8 2" xfId="21441" xr:uid="{1089CBD0-606C-4C24-AFD9-31E06EBE02FA}"/>
    <cellStyle name="40% - Accent1 3 8 3" xfId="13000" xr:uid="{AB811179-251E-4BD2-B271-447D8C1C6174}"/>
    <cellStyle name="40% - Accent1 3 9" xfId="17223" xr:uid="{7D0B46BB-F6C9-49DA-AE99-538D6DFA1B73}"/>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24002" xr:uid="{A3B612BC-E3A0-4C31-B6EC-303764C4B44D}"/>
    <cellStyle name="40% - Accent1 4 2 2 2 3" xfId="15561" xr:uid="{359102F4-8D98-46F1-A247-58FF6A52A35E}"/>
    <cellStyle name="40% - Accent1 4 2 2 3" xfId="19784" xr:uid="{3BBEC1ED-CD2D-4D0C-BF18-3BA14E656D50}"/>
    <cellStyle name="40% - Accent1 4 2 2 4" xfId="11343" xr:uid="{25EC64A8-1102-4C91-8CEB-609F8697A90C}"/>
    <cellStyle name="40% - Accent1 4 2 3" xfId="4974" xr:uid="{00000000-0005-0000-0000-00003E040000}"/>
    <cellStyle name="40% - Accent1 4 2 3 2" xfId="21857" xr:uid="{97F34737-27A2-4376-9853-1127EDAE91C5}"/>
    <cellStyle name="40% - Accent1 4 2 3 3" xfId="13416" xr:uid="{2C19E97D-72FC-4D22-B8CB-91AAFAC357C7}"/>
    <cellStyle name="40% - Accent1 4 2 4" xfId="17639" xr:uid="{E3B2C43A-8ADF-4102-B121-24368F0CF2DD}"/>
    <cellStyle name="40% - Accent1 4 2 5" xfId="9198" xr:uid="{F089D831-A057-496A-883A-D10DF7A70119}"/>
    <cellStyle name="40% - Accent1 4 3" xfId="1078" xr:uid="{00000000-0005-0000-0000-00003F040000}"/>
    <cellStyle name="40% - Accent1 4 3 2" xfId="3309" xr:uid="{00000000-0005-0000-0000-000040040000}"/>
    <cellStyle name="40% - Accent1 4 3 2 2" xfId="7532" xr:uid="{00000000-0005-0000-0000-000041040000}"/>
    <cellStyle name="40% - Accent1 4 3 2 2 2" xfId="24415" xr:uid="{40530F4D-9BDE-484E-953B-A5A4BFF30CC7}"/>
    <cellStyle name="40% - Accent1 4 3 2 2 3" xfId="15974" xr:uid="{B02A728F-6ADF-4C0F-8AC7-423635EC1340}"/>
    <cellStyle name="40% - Accent1 4 3 2 3" xfId="20197" xr:uid="{94CCD30F-4103-49FE-9FFB-DCF27391CCA0}"/>
    <cellStyle name="40% - Accent1 4 3 2 4" xfId="11756" xr:uid="{772985AC-4791-40C8-81AA-6917D61C4AB1}"/>
    <cellStyle name="40% - Accent1 4 3 3" xfId="5387" xr:uid="{00000000-0005-0000-0000-000042040000}"/>
    <cellStyle name="40% - Accent1 4 3 3 2" xfId="22270" xr:uid="{8AFD1AFF-1645-4FE6-B6F3-2961B287FF5A}"/>
    <cellStyle name="40% - Accent1 4 3 3 3" xfId="13829" xr:uid="{DD9D210D-167C-44EE-91C1-CA324AFACDDE}"/>
    <cellStyle name="40% - Accent1 4 3 4" xfId="18052" xr:uid="{22E302C6-AEB2-4142-9ECE-1842A34DCAF7}"/>
    <cellStyle name="40% - Accent1 4 3 5" xfId="9611" xr:uid="{58DFAB06-43EC-4A14-A065-A016BCFF32D6}"/>
    <cellStyle name="40% - Accent1 4 4" xfId="1492" xr:uid="{00000000-0005-0000-0000-000043040000}"/>
    <cellStyle name="40% - Accent1 4 4 2" xfId="3722" xr:uid="{00000000-0005-0000-0000-000044040000}"/>
    <cellStyle name="40% - Accent1 4 4 2 2" xfId="7945" xr:uid="{00000000-0005-0000-0000-000045040000}"/>
    <cellStyle name="40% - Accent1 4 4 2 2 2" xfId="24828" xr:uid="{F24E5A46-BA48-4942-9BB0-2C6B8F8E1660}"/>
    <cellStyle name="40% - Accent1 4 4 2 2 3" xfId="16387" xr:uid="{65E6849A-81CA-4C00-AC30-F478600AF5C4}"/>
    <cellStyle name="40% - Accent1 4 4 2 3" xfId="20610" xr:uid="{E7A42242-C787-46FB-88E7-B53AE362FA22}"/>
    <cellStyle name="40% - Accent1 4 4 2 4" xfId="12169" xr:uid="{A5688EC7-DE5A-41B6-B779-15D416F987C5}"/>
    <cellStyle name="40% - Accent1 4 4 3" xfId="5800" xr:uid="{00000000-0005-0000-0000-000046040000}"/>
    <cellStyle name="40% - Accent1 4 4 3 2" xfId="22683" xr:uid="{E94335A7-CA62-42EC-936E-A209DFEA2A19}"/>
    <cellStyle name="40% - Accent1 4 4 3 3" xfId="14242" xr:uid="{CA052A2D-9F29-4764-9CFB-61661ABAC291}"/>
    <cellStyle name="40% - Accent1 4 4 4" xfId="18465" xr:uid="{158ED198-05C8-49E5-8D4B-3B7087FC24BF}"/>
    <cellStyle name="40% - Accent1 4 4 5" xfId="10024" xr:uid="{77622C14-BA4C-42FA-9214-3B5FD77AD3D6}"/>
    <cellStyle name="40% - Accent1 4 5" xfId="1906" xr:uid="{00000000-0005-0000-0000-000047040000}"/>
    <cellStyle name="40% - Accent1 4 5 2" xfId="4135" xr:uid="{00000000-0005-0000-0000-000048040000}"/>
    <cellStyle name="40% - Accent1 4 5 2 2" xfId="8358" xr:uid="{00000000-0005-0000-0000-000049040000}"/>
    <cellStyle name="40% - Accent1 4 5 2 2 2" xfId="25241" xr:uid="{EAFEF552-E6DB-4080-A8A3-6FBD6D7E4130}"/>
    <cellStyle name="40% - Accent1 4 5 2 2 3" xfId="16800" xr:uid="{0ACDFB84-A69C-48CC-BD5A-08B1DD975722}"/>
    <cellStyle name="40% - Accent1 4 5 2 3" xfId="21023" xr:uid="{828E5341-5024-4CFF-BB39-14E24697D8B1}"/>
    <cellStyle name="40% - Accent1 4 5 2 4" xfId="12582" xr:uid="{6B24AA7F-9188-4306-A190-ECB5D1348BFA}"/>
    <cellStyle name="40% - Accent1 4 5 3" xfId="6213" xr:uid="{00000000-0005-0000-0000-00004A040000}"/>
    <cellStyle name="40% - Accent1 4 5 3 2" xfId="23096" xr:uid="{E1073F3D-49FB-4F76-8828-431DA5B499C4}"/>
    <cellStyle name="40% - Accent1 4 5 3 3" xfId="14655" xr:uid="{29AB55AD-9990-4294-9F4D-893B0134215E}"/>
    <cellStyle name="40% - Accent1 4 5 4" xfId="18878" xr:uid="{F4688217-E71D-4A06-BD4D-589399019174}"/>
    <cellStyle name="40% - Accent1 4 5 5" xfId="10437" xr:uid="{865A1913-7E08-48CC-89F9-5C93851AE496}"/>
    <cellStyle name="40% - Accent1 4 6" xfId="2319" xr:uid="{00000000-0005-0000-0000-00004B040000}"/>
    <cellStyle name="40% - Accent1 4 6 2" xfId="6626" xr:uid="{00000000-0005-0000-0000-00004C040000}"/>
    <cellStyle name="40% - Accent1 4 6 2 2" xfId="23509" xr:uid="{DA643586-3264-4725-A5F2-F9D0BA6FA169}"/>
    <cellStyle name="40% - Accent1 4 6 2 3" xfId="15068" xr:uid="{9BC0D566-3AD5-404D-8A69-B0B44DA6781F}"/>
    <cellStyle name="40% - Accent1 4 6 3" xfId="19291" xr:uid="{F0236D26-1776-42CB-B57F-330D021666B5}"/>
    <cellStyle name="40% - Accent1 4 6 4" xfId="10850" xr:uid="{A0DF3AA9-83BA-4B35-A906-A79301616A3E}"/>
    <cellStyle name="40% - Accent1 4 7" xfId="4560" xr:uid="{00000000-0005-0000-0000-00004D040000}"/>
    <cellStyle name="40% - Accent1 4 7 2" xfId="21443" xr:uid="{EE6341C6-C80D-4693-B8C8-0FBC5AFDF3A8}"/>
    <cellStyle name="40% - Accent1 4 7 3" xfId="13002" xr:uid="{C5181575-EFDD-44BB-BC4A-CE6AE37CE6CC}"/>
    <cellStyle name="40% - Accent1 4 8" xfId="17225" xr:uid="{DC28EBF7-409F-4787-8301-45F66406B45D}"/>
    <cellStyle name="40% - Accent1 4 9" xfId="8784" xr:uid="{2BC85D57-9365-4856-BAC9-9A54421E3560}"/>
    <cellStyle name="40% - Accent1 5" xfId="618" xr:uid="{00000000-0005-0000-0000-00004E040000}"/>
    <cellStyle name="40% - Accent1 5 2" xfId="2889" xr:uid="{00000000-0005-0000-0000-00004F040000}"/>
    <cellStyle name="40% - Accent1 5 2 2" xfId="7112" xr:uid="{00000000-0005-0000-0000-000050040000}"/>
    <cellStyle name="40% - Accent1 5 2 2 2" xfId="23995" xr:uid="{8A64C7FB-9907-452F-9721-81AB94822669}"/>
    <cellStyle name="40% - Accent1 5 2 2 3" xfId="15554" xr:uid="{7790667A-FF75-494F-8948-49111B07F7DA}"/>
    <cellStyle name="40% - Accent1 5 2 3" xfId="19777" xr:uid="{2B6EB58E-311D-4C84-A346-729C80D280FC}"/>
    <cellStyle name="40% - Accent1 5 2 4" xfId="11336" xr:uid="{3A1DDDFC-4E4B-458D-BB10-0CE9E13140F9}"/>
    <cellStyle name="40% - Accent1 5 3" xfId="4967" xr:uid="{00000000-0005-0000-0000-000051040000}"/>
    <cellStyle name="40% - Accent1 5 3 2" xfId="21850" xr:uid="{640304EF-EFC5-4C31-BC8D-733C4520C08C}"/>
    <cellStyle name="40% - Accent1 5 3 3" xfId="13409" xr:uid="{750473DB-E85A-4FD7-A40C-8E3149DA5BE1}"/>
    <cellStyle name="40% - Accent1 5 4" xfId="17632" xr:uid="{45BBA994-3B0E-49E1-B059-B34B7FABA486}"/>
    <cellStyle name="40% - Accent1 5 5" xfId="9191" xr:uid="{1A6F53D4-7411-417F-921C-5093F4AB9D11}"/>
    <cellStyle name="40% - Accent1 6" xfId="1071" xr:uid="{00000000-0005-0000-0000-000052040000}"/>
    <cellStyle name="40% - Accent1 6 2" xfId="3302" xr:uid="{00000000-0005-0000-0000-000053040000}"/>
    <cellStyle name="40% - Accent1 6 2 2" xfId="7525" xr:uid="{00000000-0005-0000-0000-000054040000}"/>
    <cellStyle name="40% - Accent1 6 2 2 2" xfId="24408" xr:uid="{CECA2534-DE4A-4164-BE49-B8AA5D75BC4D}"/>
    <cellStyle name="40% - Accent1 6 2 2 3" xfId="15967" xr:uid="{C1DFBD7C-8C0D-4081-A94E-2ED8F9D620C3}"/>
    <cellStyle name="40% - Accent1 6 2 3" xfId="20190" xr:uid="{F762BC8B-4230-4C9C-8775-FE585AFA92E4}"/>
    <cellStyle name="40% - Accent1 6 2 4" xfId="11749" xr:uid="{29C9CC37-C77D-427E-ACBB-1CF4AEA216A3}"/>
    <cellStyle name="40% - Accent1 6 3" xfId="5380" xr:uid="{00000000-0005-0000-0000-000055040000}"/>
    <cellStyle name="40% - Accent1 6 3 2" xfId="22263" xr:uid="{199497D7-950A-4B0A-AFC1-A1A35C21BA4A}"/>
    <cellStyle name="40% - Accent1 6 3 3" xfId="13822" xr:uid="{911FD030-5950-42C1-BB33-38C7AE729370}"/>
    <cellStyle name="40% - Accent1 6 4" xfId="18045" xr:uid="{3514E110-09B4-4B09-B02A-B41F8023551E}"/>
    <cellStyle name="40% - Accent1 6 5" xfId="9604" xr:uid="{FE975A6D-10E6-4669-9D62-6ED09B6ECF99}"/>
    <cellStyle name="40% - Accent1 7" xfId="1485" xr:uid="{00000000-0005-0000-0000-000056040000}"/>
    <cellStyle name="40% - Accent1 7 2" xfId="3715" xr:uid="{00000000-0005-0000-0000-000057040000}"/>
    <cellStyle name="40% - Accent1 7 2 2" xfId="7938" xr:uid="{00000000-0005-0000-0000-000058040000}"/>
    <cellStyle name="40% - Accent1 7 2 2 2" xfId="24821" xr:uid="{88493DB7-31F5-489A-B3CB-F47563B74486}"/>
    <cellStyle name="40% - Accent1 7 2 2 3" xfId="16380" xr:uid="{E388F5FF-AED9-450C-9ADA-65D747A9ECE6}"/>
    <cellStyle name="40% - Accent1 7 2 3" xfId="20603" xr:uid="{19176EB3-3E90-4AD8-83BC-671921A0CDF4}"/>
    <cellStyle name="40% - Accent1 7 2 4" xfId="12162" xr:uid="{FB64E957-EF21-415D-8B04-29D90CAA0AB4}"/>
    <cellStyle name="40% - Accent1 7 3" xfId="5793" xr:uid="{00000000-0005-0000-0000-000059040000}"/>
    <cellStyle name="40% - Accent1 7 3 2" xfId="22676" xr:uid="{FACED48B-1825-4DC7-8797-8479F22DDB82}"/>
    <cellStyle name="40% - Accent1 7 3 3" xfId="14235" xr:uid="{9DABC6BB-C246-4721-9A2A-1F9A64F00306}"/>
    <cellStyle name="40% - Accent1 7 4" xfId="18458" xr:uid="{348BDFD6-5F08-474E-9F1C-9E166ACE3DE0}"/>
    <cellStyle name="40% - Accent1 7 5" xfId="10017" xr:uid="{DEA582FB-AC38-4E16-B4DC-F0311E738DFC}"/>
    <cellStyle name="40% - Accent1 8" xfId="1899" xr:uid="{00000000-0005-0000-0000-00005A040000}"/>
    <cellStyle name="40% - Accent1 8 2" xfId="4128" xr:uid="{00000000-0005-0000-0000-00005B040000}"/>
    <cellStyle name="40% - Accent1 8 2 2" xfId="8351" xr:uid="{00000000-0005-0000-0000-00005C040000}"/>
    <cellStyle name="40% - Accent1 8 2 2 2" xfId="25234" xr:uid="{15F4A02F-4D31-41BF-9D68-C63BF473C202}"/>
    <cellStyle name="40% - Accent1 8 2 2 3" xfId="16793" xr:uid="{0B6D0A00-6CB0-44E5-8D61-157F099F2DB4}"/>
    <cellStyle name="40% - Accent1 8 2 3" xfId="21016" xr:uid="{44256A9B-FE72-4E18-BFED-8ADD274CF8F5}"/>
    <cellStyle name="40% - Accent1 8 2 4" xfId="12575" xr:uid="{568FC44F-6FDE-464C-83A8-4A3ACA4998A6}"/>
    <cellStyle name="40% - Accent1 8 3" xfId="6206" xr:uid="{00000000-0005-0000-0000-00005D040000}"/>
    <cellStyle name="40% - Accent1 8 3 2" xfId="23089" xr:uid="{2E2A3F02-63BB-43C0-9A3F-5FB8CFDF8F3E}"/>
    <cellStyle name="40% - Accent1 8 3 3" xfId="14648" xr:uid="{219289D6-0409-4268-84D0-2F10417FD5CB}"/>
    <cellStyle name="40% - Accent1 8 4" xfId="18871" xr:uid="{61271CA7-DBED-4F67-B75C-664EAABF9295}"/>
    <cellStyle name="40% - Accent1 8 5" xfId="10430" xr:uid="{066C0FC0-5E79-4A45-AE56-C74EECC1458B}"/>
    <cellStyle name="40% - Accent1 9" xfId="2312" xr:uid="{00000000-0005-0000-0000-00005E040000}"/>
    <cellStyle name="40% - Accent1 9 2" xfId="6619" xr:uid="{00000000-0005-0000-0000-00005F040000}"/>
    <cellStyle name="40% - Accent1 9 2 2" xfId="23502" xr:uid="{92999BAB-5BCB-4943-B050-88DB5291A8C6}"/>
    <cellStyle name="40% - Accent1 9 2 3" xfId="15061" xr:uid="{8EA3296E-369A-4B7E-9CDE-5BAE87C05D26}"/>
    <cellStyle name="40% - Accent1 9 3" xfId="19284" xr:uid="{DFE1503C-ED0E-46EE-86FD-125F06B99493}"/>
    <cellStyle name="40% - Accent1 9 4" xfId="10843" xr:uid="{AF5DCAF8-F21E-4A1A-9BC1-F56BF67A9B8F}"/>
    <cellStyle name="40% - Accent2" xfId="57" builtinId="35" customBuiltin="1"/>
    <cellStyle name="40% - Accent2 10" xfId="4561" xr:uid="{00000000-0005-0000-0000-000061040000}"/>
    <cellStyle name="40% - Accent2 10 2" xfId="21444" xr:uid="{EF62E483-F27C-404F-BA54-1B710BA23693}"/>
    <cellStyle name="40% - Accent2 10 3" xfId="13003" xr:uid="{6CD3126E-412D-41E5-8D42-8F1B32667C4B}"/>
    <cellStyle name="40% - Accent2 11" xfId="17226" xr:uid="{B9B325FC-4DEE-4565-9262-A89B73EB72E8}"/>
    <cellStyle name="40% - Accent2 12" xfId="8785" xr:uid="{C2987596-1703-4F8A-A704-23528EA099CD}"/>
    <cellStyle name="40% - Accent2 2" xfId="58" xr:uid="{00000000-0005-0000-0000-000062040000}"/>
    <cellStyle name="40% - Accent2 2 10" xfId="17227" xr:uid="{602AB727-D053-4CF4-8A13-E698744D4996}"/>
    <cellStyle name="40% - Accent2 2 11" xfId="8786" xr:uid="{0E593394-78D6-4731-9F98-52D8ECDC4680}"/>
    <cellStyle name="40% - Accent2 2 2" xfId="59" xr:uid="{00000000-0005-0000-0000-000063040000}"/>
    <cellStyle name="40% - Accent2 2 2 10" xfId="8787" xr:uid="{95377DD4-1151-4EC7-860A-98EA096CFF71}"/>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24006" xr:uid="{9482F15A-B3BB-47C8-BBD1-94AF57B9B060}"/>
    <cellStyle name="40% - Accent2 2 2 2 2 2 2 3" xfId="15565" xr:uid="{9E62200A-3C4A-4F1D-8A40-DF5C421B6453}"/>
    <cellStyle name="40% - Accent2 2 2 2 2 2 3" xfId="19788" xr:uid="{CBBC991C-62A9-447D-93DA-B3E67E89CB0A}"/>
    <cellStyle name="40% - Accent2 2 2 2 2 2 4" xfId="11347" xr:uid="{BBA6F494-8F84-45B4-A866-4FEFEAC1DF0E}"/>
    <cellStyle name="40% - Accent2 2 2 2 2 3" xfId="4978" xr:uid="{00000000-0005-0000-0000-000068040000}"/>
    <cellStyle name="40% - Accent2 2 2 2 2 3 2" xfId="21861" xr:uid="{05F5A129-943B-4664-B1CA-B4A56CF8D0D4}"/>
    <cellStyle name="40% - Accent2 2 2 2 2 3 3" xfId="13420" xr:uid="{223EC73E-F744-4FE5-B7D9-CC87F43DCD30}"/>
    <cellStyle name="40% - Accent2 2 2 2 2 4" xfId="17643" xr:uid="{D7A7800D-EAD3-4E4C-A517-0FE4C6A912A3}"/>
    <cellStyle name="40% - Accent2 2 2 2 2 5" xfId="9202" xr:uid="{6D1AE75D-17A2-4FF7-B302-616C8C415416}"/>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24419" xr:uid="{5CBB9C36-42BF-4623-888F-F64F35192E82}"/>
    <cellStyle name="40% - Accent2 2 2 2 3 2 2 3" xfId="15978" xr:uid="{F5093944-3A62-4C66-B209-7E3B5B8CBE31}"/>
    <cellStyle name="40% - Accent2 2 2 2 3 2 3" xfId="20201" xr:uid="{1E319D98-F994-4F1E-A047-2C37C5B83F89}"/>
    <cellStyle name="40% - Accent2 2 2 2 3 2 4" xfId="11760" xr:uid="{7763E21D-4262-4F02-88F2-33251566EE8B}"/>
    <cellStyle name="40% - Accent2 2 2 2 3 3" xfId="5391" xr:uid="{00000000-0005-0000-0000-00006C040000}"/>
    <cellStyle name="40% - Accent2 2 2 2 3 3 2" xfId="22274" xr:uid="{7972FE49-E8C0-420F-8605-A423E3A35C5B}"/>
    <cellStyle name="40% - Accent2 2 2 2 3 3 3" xfId="13833" xr:uid="{DEEC6C7D-CA06-40EE-86C2-60861A6B09F2}"/>
    <cellStyle name="40% - Accent2 2 2 2 3 4" xfId="18056" xr:uid="{958DFBD1-6419-4031-B110-AC93CF3EDA32}"/>
    <cellStyle name="40% - Accent2 2 2 2 3 5" xfId="9615" xr:uid="{6084B4EC-855A-4F0A-8A53-FD5400AD41A6}"/>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24832" xr:uid="{056619EC-1E8F-4A49-80C7-8B29B462A81C}"/>
    <cellStyle name="40% - Accent2 2 2 2 4 2 2 3" xfId="16391" xr:uid="{F82B2414-87C6-46A4-9C5B-CB4A758A8BC2}"/>
    <cellStyle name="40% - Accent2 2 2 2 4 2 3" xfId="20614" xr:uid="{1EFEA1BA-A7E3-4AEC-BD32-0D694402F6FC}"/>
    <cellStyle name="40% - Accent2 2 2 2 4 2 4" xfId="12173" xr:uid="{FA04D3B2-4C52-4B8E-8F94-C7D5A89108F6}"/>
    <cellStyle name="40% - Accent2 2 2 2 4 3" xfId="5804" xr:uid="{00000000-0005-0000-0000-000070040000}"/>
    <cellStyle name="40% - Accent2 2 2 2 4 3 2" xfId="22687" xr:uid="{91CC1024-E2FF-4C24-9BC3-3CCFC0A51054}"/>
    <cellStyle name="40% - Accent2 2 2 2 4 3 3" xfId="14246" xr:uid="{78EEEEBD-B969-42E5-8098-EBF41A1A0351}"/>
    <cellStyle name="40% - Accent2 2 2 2 4 4" xfId="18469" xr:uid="{ECBD27DD-B3D7-431A-A467-AE8CE725054A}"/>
    <cellStyle name="40% - Accent2 2 2 2 4 5" xfId="10028" xr:uid="{7FD9B0A5-A9B7-497E-B5B4-23D8C435F1C9}"/>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25245" xr:uid="{80A8074B-B465-468C-8C7F-2189FDBF8B81}"/>
    <cellStyle name="40% - Accent2 2 2 2 5 2 2 3" xfId="16804" xr:uid="{003CC262-3010-4E09-9ECC-221D41DD5A63}"/>
    <cellStyle name="40% - Accent2 2 2 2 5 2 3" xfId="21027" xr:uid="{C38AAEAC-2EA3-4E05-9837-6CDD20E1C218}"/>
    <cellStyle name="40% - Accent2 2 2 2 5 2 4" xfId="12586" xr:uid="{63D6978E-A8C0-4003-BE07-401FF96B4879}"/>
    <cellStyle name="40% - Accent2 2 2 2 5 3" xfId="6217" xr:uid="{00000000-0005-0000-0000-000074040000}"/>
    <cellStyle name="40% - Accent2 2 2 2 5 3 2" xfId="23100" xr:uid="{322D65EA-3B57-4451-B32E-9A6FFE57507B}"/>
    <cellStyle name="40% - Accent2 2 2 2 5 3 3" xfId="14659" xr:uid="{541A1F09-5D36-406F-A562-C7B84DF783DE}"/>
    <cellStyle name="40% - Accent2 2 2 2 5 4" xfId="18882" xr:uid="{41CBA255-FCBB-4C82-BA20-8CB8429082EF}"/>
    <cellStyle name="40% - Accent2 2 2 2 5 5" xfId="10441" xr:uid="{10DC977C-53A1-4DBC-B602-6616B157585D}"/>
    <cellStyle name="40% - Accent2 2 2 2 6" xfId="2323" xr:uid="{00000000-0005-0000-0000-000075040000}"/>
    <cellStyle name="40% - Accent2 2 2 2 6 2" xfId="6630" xr:uid="{00000000-0005-0000-0000-000076040000}"/>
    <cellStyle name="40% - Accent2 2 2 2 6 2 2" xfId="23513" xr:uid="{1C60B4E1-B106-4C38-A763-7FCE6DBE2994}"/>
    <cellStyle name="40% - Accent2 2 2 2 6 2 3" xfId="15072" xr:uid="{3332A795-6217-41BE-82AD-878C17C2C540}"/>
    <cellStyle name="40% - Accent2 2 2 2 6 3" xfId="19295" xr:uid="{7A8A4D71-10A4-42C1-9FBE-D5CCA4F3381B}"/>
    <cellStyle name="40% - Accent2 2 2 2 6 4" xfId="10854" xr:uid="{4315C4DC-5FD3-472C-AD29-851471CB2130}"/>
    <cellStyle name="40% - Accent2 2 2 2 7" xfId="4564" xr:uid="{00000000-0005-0000-0000-000077040000}"/>
    <cellStyle name="40% - Accent2 2 2 2 7 2" xfId="21447" xr:uid="{2CE78CC4-D296-4F98-B156-AB02A65D08CE}"/>
    <cellStyle name="40% - Accent2 2 2 2 7 3" xfId="13006" xr:uid="{148914E8-4E52-4FEF-A560-852C18701BA9}"/>
    <cellStyle name="40% - Accent2 2 2 2 8" xfId="17229" xr:uid="{57B11EAC-2474-4C64-90FA-B11CD8456618}"/>
    <cellStyle name="40% - Accent2 2 2 2 9" xfId="8788" xr:uid="{E5DB2CBC-C10D-4C29-AC4A-84A6363D17DA}"/>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24005" xr:uid="{E8E1FF4A-EEED-4CBA-9EDD-D3327DBEDBDC}"/>
    <cellStyle name="40% - Accent2 2 2 3 2 2 3" xfId="15564" xr:uid="{A7FB7CD2-B9B5-4237-BB30-DB94AB8A361A}"/>
    <cellStyle name="40% - Accent2 2 2 3 2 3" xfId="19787" xr:uid="{CC3609A8-67F7-4725-BAD7-5EAB111A630D}"/>
    <cellStyle name="40% - Accent2 2 2 3 2 4" xfId="11346" xr:uid="{E4AEBF9D-E6F3-420C-B2F1-244381644908}"/>
    <cellStyle name="40% - Accent2 2 2 3 3" xfId="4977" xr:uid="{00000000-0005-0000-0000-00007B040000}"/>
    <cellStyle name="40% - Accent2 2 2 3 3 2" xfId="21860" xr:uid="{FE06569D-B88F-4136-A0F7-A3ECB20175AF}"/>
    <cellStyle name="40% - Accent2 2 2 3 3 3" xfId="13419" xr:uid="{D81D8948-7C29-43F6-8A97-5D7AB7354805}"/>
    <cellStyle name="40% - Accent2 2 2 3 4" xfId="17642" xr:uid="{82DF5567-8A2D-4CF2-BC1D-B4B75F1BF291}"/>
    <cellStyle name="40% - Accent2 2 2 3 5" xfId="9201" xr:uid="{A3089220-53C6-4CEF-8CF1-06E683E35B30}"/>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24418" xr:uid="{49F11214-642F-43B7-BCAA-234ADA5A6FF9}"/>
    <cellStyle name="40% - Accent2 2 2 4 2 2 3" xfId="15977" xr:uid="{86A49700-8722-4B56-AED2-870F29EA8B46}"/>
    <cellStyle name="40% - Accent2 2 2 4 2 3" xfId="20200" xr:uid="{133F8EEC-B99C-49C7-A62C-DBEC9DE82F38}"/>
    <cellStyle name="40% - Accent2 2 2 4 2 4" xfId="11759" xr:uid="{0C2E267A-19EB-4A81-904A-865280547350}"/>
    <cellStyle name="40% - Accent2 2 2 4 3" xfId="5390" xr:uid="{00000000-0005-0000-0000-00007F040000}"/>
    <cellStyle name="40% - Accent2 2 2 4 3 2" xfId="22273" xr:uid="{53869632-33C9-4A3E-BEA8-AF7922E5D99C}"/>
    <cellStyle name="40% - Accent2 2 2 4 3 3" xfId="13832" xr:uid="{D3D6E248-848D-44B6-99EB-DEE39D959E92}"/>
    <cellStyle name="40% - Accent2 2 2 4 4" xfId="18055" xr:uid="{4AE0CF01-A603-4F34-881D-C4E0432F2CA1}"/>
    <cellStyle name="40% - Accent2 2 2 4 5" xfId="9614" xr:uid="{CF13CC52-E831-4763-B070-842C737C24C4}"/>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24831" xr:uid="{4271BD11-4A2B-43D0-930C-86810A28B4C4}"/>
    <cellStyle name="40% - Accent2 2 2 5 2 2 3" xfId="16390" xr:uid="{4545432F-11A6-42E9-8312-45B331C4002A}"/>
    <cellStyle name="40% - Accent2 2 2 5 2 3" xfId="20613" xr:uid="{C5EB84C4-FD02-4853-9211-BD7573440B1F}"/>
    <cellStyle name="40% - Accent2 2 2 5 2 4" xfId="12172" xr:uid="{90A9716D-5978-45F5-849B-A60787E0F472}"/>
    <cellStyle name="40% - Accent2 2 2 5 3" xfId="5803" xr:uid="{00000000-0005-0000-0000-000083040000}"/>
    <cellStyle name="40% - Accent2 2 2 5 3 2" xfId="22686" xr:uid="{7301E273-19F4-4BF2-974D-7F0B88185394}"/>
    <cellStyle name="40% - Accent2 2 2 5 3 3" xfId="14245" xr:uid="{4143AC1D-B80A-4142-BD65-2B43B74D5578}"/>
    <cellStyle name="40% - Accent2 2 2 5 4" xfId="18468" xr:uid="{4477FA92-04B7-45CF-9470-EF1EF4DD7D1B}"/>
    <cellStyle name="40% - Accent2 2 2 5 5" xfId="10027" xr:uid="{58626761-7984-4F8F-83F0-BF78A6DC35B6}"/>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25244" xr:uid="{5BF368E1-C469-4596-8DC7-3943B913D0E3}"/>
    <cellStyle name="40% - Accent2 2 2 6 2 2 3" xfId="16803" xr:uid="{8FAD5A8F-6422-47CE-BB0A-5C579B8C12C8}"/>
    <cellStyle name="40% - Accent2 2 2 6 2 3" xfId="21026" xr:uid="{4340C3DE-52D7-4C7E-9D2E-C22323E62FF9}"/>
    <cellStyle name="40% - Accent2 2 2 6 2 4" xfId="12585" xr:uid="{B6CAD5B4-8BF5-43B8-BC98-2F57C275A465}"/>
    <cellStyle name="40% - Accent2 2 2 6 3" xfId="6216" xr:uid="{00000000-0005-0000-0000-000087040000}"/>
    <cellStyle name="40% - Accent2 2 2 6 3 2" xfId="23099" xr:uid="{FB73D88A-05C5-4327-924F-47FEFB7A1ACC}"/>
    <cellStyle name="40% - Accent2 2 2 6 3 3" xfId="14658" xr:uid="{9301DC47-352B-4F38-894E-904A116B4D6B}"/>
    <cellStyle name="40% - Accent2 2 2 6 4" xfId="18881" xr:uid="{34A2A6BA-8A50-408C-B363-CD6F21DA5993}"/>
    <cellStyle name="40% - Accent2 2 2 6 5" xfId="10440" xr:uid="{8D1ADD4E-A1AE-47D9-ADD2-BFE9C6E44548}"/>
    <cellStyle name="40% - Accent2 2 2 7" xfId="2322" xr:uid="{00000000-0005-0000-0000-000088040000}"/>
    <cellStyle name="40% - Accent2 2 2 7 2" xfId="6629" xr:uid="{00000000-0005-0000-0000-000089040000}"/>
    <cellStyle name="40% - Accent2 2 2 7 2 2" xfId="23512" xr:uid="{B907BBAE-0F2F-430B-AC59-A1E05BD08BF3}"/>
    <cellStyle name="40% - Accent2 2 2 7 2 3" xfId="15071" xr:uid="{C8F3AB72-3B64-4F37-B2B0-6A679BB49ACC}"/>
    <cellStyle name="40% - Accent2 2 2 7 3" xfId="19294" xr:uid="{F26C2B55-2BA9-4D40-9BD2-52D7DD6A2C68}"/>
    <cellStyle name="40% - Accent2 2 2 7 4" xfId="10853" xr:uid="{92A5B7D8-BCF6-4355-A258-151E0CA209A5}"/>
    <cellStyle name="40% - Accent2 2 2 8" xfId="4563" xr:uid="{00000000-0005-0000-0000-00008A040000}"/>
    <cellStyle name="40% - Accent2 2 2 8 2" xfId="21446" xr:uid="{3D539D12-797B-428E-8FF0-59E6D243CAF5}"/>
    <cellStyle name="40% - Accent2 2 2 8 3" xfId="13005" xr:uid="{0876E8CB-481B-405D-968A-6C6A1EC1A207}"/>
    <cellStyle name="40% - Accent2 2 2 9" xfId="17228" xr:uid="{1EEA8308-C8E8-4268-9DD1-1F92BC9A599B}"/>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24007" xr:uid="{92975837-FD9D-45F5-9640-0A6239BAFF22}"/>
    <cellStyle name="40% - Accent2 2 3 2 2 2 3" xfId="15566" xr:uid="{B3F1D29B-4C56-4460-9297-6FDCA64F8B36}"/>
    <cellStyle name="40% - Accent2 2 3 2 2 3" xfId="19789" xr:uid="{95BBC0F9-BFC1-4543-91E2-479933C5AC17}"/>
    <cellStyle name="40% - Accent2 2 3 2 2 4" xfId="11348" xr:uid="{6921610D-05C3-43A9-AFA8-DF57D79C4C70}"/>
    <cellStyle name="40% - Accent2 2 3 2 3" xfId="4979" xr:uid="{00000000-0005-0000-0000-00008F040000}"/>
    <cellStyle name="40% - Accent2 2 3 2 3 2" xfId="21862" xr:uid="{ED286457-A432-4464-86EA-4EC8FB1881EB}"/>
    <cellStyle name="40% - Accent2 2 3 2 3 3" xfId="13421" xr:uid="{C73F21F4-F935-4714-84DD-B3A92B6AA53B}"/>
    <cellStyle name="40% - Accent2 2 3 2 4" xfId="17644" xr:uid="{64F7E02E-1C5A-49EE-9F7D-30B85747E065}"/>
    <cellStyle name="40% - Accent2 2 3 2 5" xfId="9203" xr:uid="{A9656176-2840-4B54-9D42-EF84A905A5B1}"/>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24420" xr:uid="{764F09D2-4C8F-45C2-A519-CECDDAED15E7}"/>
    <cellStyle name="40% - Accent2 2 3 3 2 2 3" xfId="15979" xr:uid="{2C9B3BB0-D0C3-4649-815B-33234E6CF92C}"/>
    <cellStyle name="40% - Accent2 2 3 3 2 3" xfId="20202" xr:uid="{6A0A7E01-5C94-4EE1-881D-2A60E85487AB}"/>
    <cellStyle name="40% - Accent2 2 3 3 2 4" xfId="11761" xr:uid="{96DCC8CF-84AD-437A-BC4E-44A4C879F7A8}"/>
    <cellStyle name="40% - Accent2 2 3 3 3" xfId="5392" xr:uid="{00000000-0005-0000-0000-000093040000}"/>
    <cellStyle name="40% - Accent2 2 3 3 3 2" xfId="22275" xr:uid="{FD09D06D-BA5E-4E67-B585-07C922B66301}"/>
    <cellStyle name="40% - Accent2 2 3 3 3 3" xfId="13834" xr:uid="{AAE86883-8F7A-4F2D-A6D3-459B4B43D168}"/>
    <cellStyle name="40% - Accent2 2 3 3 4" xfId="18057" xr:uid="{9ADFA840-A47C-4508-9D87-2DC8F8D48879}"/>
    <cellStyle name="40% - Accent2 2 3 3 5" xfId="9616" xr:uid="{85ED1979-8CFE-4498-BCEF-86F345CEF999}"/>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24833" xr:uid="{64E28E17-08B1-445F-87D4-BFEB67CDA120}"/>
    <cellStyle name="40% - Accent2 2 3 4 2 2 3" xfId="16392" xr:uid="{85F39480-D6D3-439A-BA1B-700124BDF460}"/>
    <cellStyle name="40% - Accent2 2 3 4 2 3" xfId="20615" xr:uid="{9F50F749-174E-4886-B42C-FCDFD9A79329}"/>
    <cellStyle name="40% - Accent2 2 3 4 2 4" xfId="12174" xr:uid="{2138EF97-EA58-41DC-80F5-14F5E15C5494}"/>
    <cellStyle name="40% - Accent2 2 3 4 3" xfId="5805" xr:uid="{00000000-0005-0000-0000-000097040000}"/>
    <cellStyle name="40% - Accent2 2 3 4 3 2" xfId="22688" xr:uid="{2691C411-49D4-4BF7-9098-7B94AB6315AF}"/>
    <cellStyle name="40% - Accent2 2 3 4 3 3" xfId="14247" xr:uid="{E4782775-686D-4602-853A-2502FF75083A}"/>
    <cellStyle name="40% - Accent2 2 3 4 4" xfId="18470" xr:uid="{581C6E79-2987-4DF0-8B96-5BA99CE0A01E}"/>
    <cellStyle name="40% - Accent2 2 3 4 5" xfId="10029" xr:uid="{7E8E139A-B208-4152-A453-D72983587897}"/>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25246" xr:uid="{CD1AA81C-5C31-49E0-896D-AA2001A07C68}"/>
    <cellStyle name="40% - Accent2 2 3 5 2 2 3" xfId="16805" xr:uid="{FB5DD3D7-D71B-4172-A287-D9674F5759B1}"/>
    <cellStyle name="40% - Accent2 2 3 5 2 3" xfId="21028" xr:uid="{251D991B-040C-4A5A-868A-5C82E576EF45}"/>
    <cellStyle name="40% - Accent2 2 3 5 2 4" xfId="12587" xr:uid="{CF3E83C8-574C-4BFB-B739-FCE969967F72}"/>
    <cellStyle name="40% - Accent2 2 3 5 3" xfId="6218" xr:uid="{00000000-0005-0000-0000-00009B040000}"/>
    <cellStyle name="40% - Accent2 2 3 5 3 2" xfId="23101" xr:uid="{FAE030E0-373D-4647-AF3D-20E4E68BA4C3}"/>
    <cellStyle name="40% - Accent2 2 3 5 3 3" xfId="14660" xr:uid="{4F387F38-27FA-489E-9D33-60398E543A32}"/>
    <cellStyle name="40% - Accent2 2 3 5 4" xfId="18883" xr:uid="{172A5D2D-4F56-401F-933D-CC285289379E}"/>
    <cellStyle name="40% - Accent2 2 3 5 5" xfId="10442" xr:uid="{B5E41278-3A23-476A-9D4B-1CBFF5243D01}"/>
    <cellStyle name="40% - Accent2 2 3 6" xfId="2324" xr:uid="{00000000-0005-0000-0000-00009C040000}"/>
    <cellStyle name="40% - Accent2 2 3 6 2" xfId="6631" xr:uid="{00000000-0005-0000-0000-00009D040000}"/>
    <cellStyle name="40% - Accent2 2 3 6 2 2" xfId="23514" xr:uid="{4DD50524-79B5-4F74-83AD-08BA82940B66}"/>
    <cellStyle name="40% - Accent2 2 3 6 2 3" xfId="15073" xr:uid="{1AA272DD-9F36-40B5-916C-651D90E219BC}"/>
    <cellStyle name="40% - Accent2 2 3 6 3" xfId="19296" xr:uid="{00B9C9D2-3711-4D04-BF5C-A1F82DC8B178}"/>
    <cellStyle name="40% - Accent2 2 3 6 4" xfId="10855" xr:uid="{77C05AC6-E9F8-4D19-8E93-9B58A67E0840}"/>
    <cellStyle name="40% - Accent2 2 3 7" xfId="4565" xr:uid="{00000000-0005-0000-0000-00009E040000}"/>
    <cellStyle name="40% - Accent2 2 3 7 2" xfId="21448" xr:uid="{CFCE4012-6F93-4810-B5C9-5DEFFFB4FFAB}"/>
    <cellStyle name="40% - Accent2 2 3 7 3" xfId="13007" xr:uid="{360982EA-A97C-460F-AC8D-B7EFC61082F5}"/>
    <cellStyle name="40% - Accent2 2 3 8" xfId="17230" xr:uid="{839F2271-F7AE-4BE5-BADE-08EFA74D76A9}"/>
    <cellStyle name="40% - Accent2 2 3 9" xfId="8789" xr:uid="{FBFCE1C9-DD91-45B1-B54D-9B060DC6431E}"/>
    <cellStyle name="40% - Accent2 2 4" xfId="627" xr:uid="{00000000-0005-0000-0000-00009F040000}"/>
    <cellStyle name="40% - Accent2 2 4 2" xfId="2898" xr:uid="{00000000-0005-0000-0000-0000A0040000}"/>
    <cellStyle name="40% - Accent2 2 4 2 2" xfId="7121" xr:uid="{00000000-0005-0000-0000-0000A1040000}"/>
    <cellStyle name="40% - Accent2 2 4 2 2 2" xfId="24004" xr:uid="{3FE43567-93A9-4932-A186-B1706C99B7E8}"/>
    <cellStyle name="40% - Accent2 2 4 2 2 3" xfId="15563" xr:uid="{AAEC303A-5071-49A4-85F1-8620EDF8F676}"/>
    <cellStyle name="40% - Accent2 2 4 2 3" xfId="19786" xr:uid="{E8C2AD3E-A349-4F1F-AEEE-9B7A4BF277BB}"/>
    <cellStyle name="40% - Accent2 2 4 2 4" xfId="11345" xr:uid="{B0DF74B0-D7B5-4D3B-9950-CE07185CC60D}"/>
    <cellStyle name="40% - Accent2 2 4 3" xfId="4976" xr:uid="{00000000-0005-0000-0000-0000A2040000}"/>
    <cellStyle name="40% - Accent2 2 4 3 2" xfId="21859" xr:uid="{27EDAF12-E6C5-47FC-B36E-F9780BD5199F}"/>
    <cellStyle name="40% - Accent2 2 4 3 3" xfId="13418" xr:uid="{007A8A7F-B49E-4B6A-97E4-F0FC3AD8EC66}"/>
    <cellStyle name="40% - Accent2 2 4 4" xfId="17641" xr:uid="{66F2191A-2E1F-4707-B087-E4A986925CA7}"/>
    <cellStyle name="40% - Accent2 2 4 5" xfId="9200" xr:uid="{A4FE604B-E521-47F6-9E7B-7FF59A98C773}"/>
    <cellStyle name="40% - Accent2 2 5" xfId="1080" xr:uid="{00000000-0005-0000-0000-0000A3040000}"/>
    <cellStyle name="40% - Accent2 2 5 2" xfId="3311" xr:uid="{00000000-0005-0000-0000-0000A4040000}"/>
    <cellStyle name="40% - Accent2 2 5 2 2" xfId="7534" xr:uid="{00000000-0005-0000-0000-0000A5040000}"/>
    <cellStyle name="40% - Accent2 2 5 2 2 2" xfId="24417" xr:uid="{460362F3-B77B-4FE0-AE15-3E71517A2ECC}"/>
    <cellStyle name="40% - Accent2 2 5 2 2 3" xfId="15976" xr:uid="{47951210-FA1B-4DE9-9362-0F624D739193}"/>
    <cellStyle name="40% - Accent2 2 5 2 3" xfId="20199" xr:uid="{48A25CB4-63F0-4AED-82B1-A38070BD89AA}"/>
    <cellStyle name="40% - Accent2 2 5 2 4" xfId="11758" xr:uid="{BFBC49EC-7EE5-4487-8F46-290436CD7783}"/>
    <cellStyle name="40% - Accent2 2 5 3" xfId="5389" xr:uid="{00000000-0005-0000-0000-0000A6040000}"/>
    <cellStyle name="40% - Accent2 2 5 3 2" xfId="22272" xr:uid="{A4692694-9333-4BD7-8644-278095DA6412}"/>
    <cellStyle name="40% - Accent2 2 5 3 3" xfId="13831" xr:uid="{3D7B6BFF-9AB2-42E7-B754-DC0FED6F1B5C}"/>
    <cellStyle name="40% - Accent2 2 5 4" xfId="18054" xr:uid="{EACD261E-A981-48C1-9147-258E1774263B}"/>
    <cellStyle name="40% - Accent2 2 5 5" xfId="9613" xr:uid="{985289D5-70AA-4322-A6EA-1EDE669F1927}"/>
    <cellStyle name="40% - Accent2 2 6" xfId="1494" xr:uid="{00000000-0005-0000-0000-0000A7040000}"/>
    <cellStyle name="40% - Accent2 2 6 2" xfId="3724" xr:uid="{00000000-0005-0000-0000-0000A8040000}"/>
    <cellStyle name="40% - Accent2 2 6 2 2" xfId="7947" xr:uid="{00000000-0005-0000-0000-0000A9040000}"/>
    <cellStyle name="40% - Accent2 2 6 2 2 2" xfId="24830" xr:uid="{0A84FD10-6DE6-4099-9989-BAFC7949AAB2}"/>
    <cellStyle name="40% - Accent2 2 6 2 2 3" xfId="16389" xr:uid="{5A0D7485-DD48-40AA-8A38-6090D60C4A12}"/>
    <cellStyle name="40% - Accent2 2 6 2 3" xfId="20612" xr:uid="{740950E6-BE5A-4221-827D-C06C7C978BD0}"/>
    <cellStyle name="40% - Accent2 2 6 2 4" xfId="12171" xr:uid="{0F23EBBB-F11F-4B4C-AA4D-038E75365905}"/>
    <cellStyle name="40% - Accent2 2 6 3" xfId="5802" xr:uid="{00000000-0005-0000-0000-0000AA040000}"/>
    <cellStyle name="40% - Accent2 2 6 3 2" xfId="22685" xr:uid="{49EAF2DF-1DE9-4DB7-9665-5411B4441466}"/>
    <cellStyle name="40% - Accent2 2 6 3 3" xfId="14244" xr:uid="{93C503A6-34D8-4E7A-9598-2B7E7FDAC9F3}"/>
    <cellStyle name="40% - Accent2 2 6 4" xfId="18467" xr:uid="{B1B1FF5B-94DC-4ED5-8AE0-7C191EE03215}"/>
    <cellStyle name="40% - Accent2 2 6 5" xfId="10026" xr:uid="{26266636-CC96-4337-95FD-42EA3CCFC527}"/>
    <cellStyle name="40% - Accent2 2 7" xfId="1908" xr:uid="{00000000-0005-0000-0000-0000AB040000}"/>
    <cellStyle name="40% - Accent2 2 7 2" xfId="4137" xr:uid="{00000000-0005-0000-0000-0000AC040000}"/>
    <cellStyle name="40% - Accent2 2 7 2 2" xfId="8360" xr:uid="{00000000-0005-0000-0000-0000AD040000}"/>
    <cellStyle name="40% - Accent2 2 7 2 2 2" xfId="25243" xr:uid="{3D37A2B7-8F05-421E-AB8E-C428AFB7224E}"/>
    <cellStyle name="40% - Accent2 2 7 2 2 3" xfId="16802" xr:uid="{AA60A154-8853-458F-AB81-B18DE8286A65}"/>
    <cellStyle name="40% - Accent2 2 7 2 3" xfId="21025" xr:uid="{E5A72A74-78F6-403C-8A47-8D042E55DE2E}"/>
    <cellStyle name="40% - Accent2 2 7 2 4" xfId="12584" xr:uid="{BD5462AE-C15D-4790-9F91-6A2E09D5A853}"/>
    <cellStyle name="40% - Accent2 2 7 3" xfId="6215" xr:uid="{00000000-0005-0000-0000-0000AE040000}"/>
    <cellStyle name="40% - Accent2 2 7 3 2" xfId="23098" xr:uid="{BE604C9F-F3CA-464B-B04D-311C162643E9}"/>
    <cellStyle name="40% - Accent2 2 7 3 3" xfId="14657" xr:uid="{74CB789C-6595-41C6-964E-EFD81A6681EA}"/>
    <cellStyle name="40% - Accent2 2 7 4" xfId="18880" xr:uid="{BD719870-5A7D-4C6F-B503-BAA96F0A9B13}"/>
    <cellStyle name="40% - Accent2 2 7 5" xfId="10439" xr:uid="{FB3930DE-141E-446C-83EF-6636F3A5379B}"/>
    <cellStyle name="40% - Accent2 2 8" xfId="2321" xr:uid="{00000000-0005-0000-0000-0000AF040000}"/>
    <cellStyle name="40% - Accent2 2 8 2" xfId="6628" xr:uid="{00000000-0005-0000-0000-0000B0040000}"/>
    <cellStyle name="40% - Accent2 2 8 2 2" xfId="23511" xr:uid="{5261634C-63BF-4F44-954B-E11E04C1B3EA}"/>
    <cellStyle name="40% - Accent2 2 8 2 3" xfId="15070" xr:uid="{072CDB12-42BF-4200-BBC3-C630884CAA52}"/>
    <cellStyle name="40% - Accent2 2 8 3" xfId="19293" xr:uid="{9B489CBA-E106-4CFF-8084-0F7C0F0FCB52}"/>
    <cellStyle name="40% - Accent2 2 8 4" xfId="10852" xr:uid="{DBEA2886-CB53-4116-9CF8-D65F43C8A1C8}"/>
    <cellStyle name="40% - Accent2 2 9" xfId="4562" xr:uid="{00000000-0005-0000-0000-0000B1040000}"/>
    <cellStyle name="40% - Accent2 2 9 2" xfId="21445" xr:uid="{6C32A06B-D5FC-4FEA-BD02-986859DEAA38}"/>
    <cellStyle name="40% - Accent2 2 9 3" xfId="13004" xr:uid="{29E8C1B8-054E-43AE-9B8D-454542682BA5}"/>
    <cellStyle name="40% - Accent2 3" xfId="62" xr:uid="{00000000-0005-0000-0000-0000B2040000}"/>
    <cellStyle name="40% - Accent2 3 10" xfId="8790" xr:uid="{19E5BF31-08B1-4006-9C5D-C8F39312A79A}"/>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24009" xr:uid="{89B86C60-85E6-4813-A253-A3B477E69E2D}"/>
    <cellStyle name="40% - Accent2 3 2 2 2 2 3" xfId="15568" xr:uid="{66C300BA-084C-417A-BCE3-E726583D5F61}"/>
    <cellStyle name="40% - Accent2 3 2 2 2 3" xfId="19791" xr:uid="{591208BA-2B33-458C-B55D-C2E7C2090E53}"/>
    <cellStyle name="40% - Accent2 3 2 2 2 4" xfId="11350" xr:uid="{811C25A3-E39E-4170-8CC1-92AD2D69D5C3}"/>
    <cellStyle name="40% - Accent2 3 2 2 3" xfId="4981" xr:uid="{00000000-0005-0000-0000-0000B7040000}"/>
    <cellStyle name="40% - Accent2 3 2 2 3 2" xfId="21864" xr:uid="{61628CA5-B9E5-4A0D-8C3B-81C032D05990}"/>
    <cellStyle name="40% - Accent2 3 2 2 3 3" xfId="13423" xr:uid="{C480BA3A-9AAB-4964-A35F-8330CD9430C4}"/>
    <cellStyle name="40% - Accent2 3 2 2 4" xfId="17646" xr:uid="{AEF17DD1-73B3-4C59-8F43-983A0D8888BE}"/>
    <cellStyle name="40% - Accent2 3 2 2 5" xfId="9205" xr:uid="{AD4E12EA-B7F7-44CB-8FD9-3C15F6B62C58}"/>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24422" xr:uid="{1CA28D54-5FA0-400B-99B1-23A8DA34418A}"/>
    <cellStyle name="40% - Accent2 3 2 3 2 2 3" xfId="15981" xr:uid="{4305C24D-3A08-4D25-B262-030D32D1A765}"/>
    <cellStyle name="40% - Accent2 3 2 3 2 3" xfId="20204" xr:uid="{0B90FDF5-96E1-4E2A-953B-4D4AAB55A7F5}"/>
    <cellStyle name="40% - Accent2 3 2 3 2 4" xfId="11763" xr:uid="{6EBB6235-DE87-40B8-BCDA-C82F06D89E6E}"/>
    <cellStyle name="40% - Accent2 3 2 3 3" xfId="5394" xr:uid="{00000000-0005-0000-0000-0000BB040000}"/>
    <cellStyle name="40% - Accent2 3 2 3 3 2" xfId="22277" xr:uid="{17260DC1-0B7E-46E9-BE61-440D4ACA7F72}"/>
    <cellStyle name="40% - Accent2 3 2 3 3 3" xfId="13836" xr:uid="{9124F94C-548E-4A0E-9C10-D8D53760331B}"/>
    <cellStyle name="40% - Accent2 3 2 3 4" xfId="18059" xr:uid="{5C407273-ABCE-405F-BD1C-70CE51294F6A}"/>
    <cellStyle name="40% - Accent2 3 2 3 5" xfId="9618" xr:uid="{8E097E9C-BB2B-4259-B0B6-50925FA40746}"/>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24835" xr:uid="{C5B9F9E9-789F-451F-8E08-AC81C56F92A4}"/>
    <cellStyle name="40% - Accent2 3 2 4 2 2 3" xfId="16394" xr:uid="{086C2C65-E513-4FE0-B8D3-D0090D9EADE8}"/>
    <cellStyle name="40% - Accent2 3 2 4 2 3" xfId="20617" xr:uid="{DE2F4E57-0A93-4C87-A9FC-D4B74F61D6B1}"/>
    <cellStyle name="40% - Accent2 3 2 4 2 4" xfId="12176" xr:uid="{F8B59055-7AA8-40E5-BEA4-2C965DC846FE}"/>
    <cellStyle name="40% - Accent2 3 2 4 3" xfId="5807" xr:uid="{00000000-0005-0000-0000-0000BF040000}"/>
    <cellStyle name="40% - Accent2 3 2 4 3 2" xfId="22690" xr:uid="{09D14986-2450-4959-98B8-D602CB475304}"/>
    <cellStyle name="40% - Accent2 3 2 4 3 3" xfId="14249" xr:uid="{C94401B1-1353-403D-8368-12EBD0F6ED95}"/>
    <cellStyle name="40% - Accent2 3 2 4 4" xfId="18472" xr:uid="{C4056B60-E32E-49E6-A7E2-84C45561F340}"/>
    <cellStyle name="40% - Accent2 3 2 4 5" xfId="10031" xr:uid="{00F3680A-184C-469E-BB2C-AA34F9551509}"/>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25248" xr:uid="{13A81649-DBE3-462F-85FE-2858F332DA0D}"/>
    <cellStyle name="40% - Accent2 3 2 5 2 2 3" xfId="16807" xr:uid="{8C4E981B-3737-40B3-B3E8-6A80A69BC908}"/>
    <cellStyle name="40% - Accent2 3 2 5 2 3" xfId="21030" xr:uid="{79CE9839-BB2D-45F7-85B2-9B3DF30627C0}"/>
    <cellStyle name="40% - Accent2 3 2 5 2 4" xfId="12589" xr:uid="{F4A7C275-548C-402E-AEF1-98EA478DF71E}"/>
    <cellStyle name="40% - Accent2 3 2 5 3" xfId="6220" xr:uid="{00000000-0005-0000-0000-0000C3040000}"/>
    <cellStyle name="40% - Accent2 3 2 5 3 2" xfId="23103" xr:uid="{E763CD0D-7374-4D48-8EF3-DDD1B58D175C}"/>
    <cellStyle name="40% - Accent2 3 2 5 3 3" xfId="14662" xr:uid="{67BDFEB1-2681-46FA-BCF6-F4D0886ACA28}"/>
    <cellStyle name="40% - Accent2 3 2 5 4" xfId="18885" xr:uid="{230C54E4-1744-445F-8BA3-478D661E32EC}"/>
    <cellStyle name="40% - Accent2 3 2 5 5" xfId="10444" xr:uid="{5C419D75-FD2E-4B05-92EC-BE0C27982B26}"/>
    <cellStyle name="40% - Accent2 3 2 6" xfId="2326" xr:uid="{00000000-0005-0000-0000-0000C4040000}"/>
    <cellStyle name="40% - Accent2 3 2 6 2" xfId="6633" xr:uid="{00000000-0005-0000-0000-0000C5040000}"/>
    <cellStyle name="40% - Accent2 3 2 6 2 2" xfId="23516" xr:uid="{D5888540-D627-4C68-A4A7-75F6995AB3F1}"/>
    <cellStyle name="40% - Accent2 3 2 6 2 3" xfId="15075" xr:uid="{041A68B9-520E-4DE3-9241-CA478B66CEDA}"/>
    <cellStyle name="40% - Accent2 3 2 6 3" xfId="19298" xr:uid="{8AF82B38-D51A-42C9-B551-E5286C5D4212}"/>
    <cellStyle name="40% - Accent2 3 2 6 4" xfId="10857" xr:uid="{44094E3A-36DC-4D22-8676-4BCB063170B0}"/>
    <cellStyle name="40% - Accent2 3 2 7" xfId="4567" xr:uid="{00000000-0005-0000-0000-0000C6040000}"/>
    <cellStyle name="40% - Accent2 3 2 7 2" xfId="21450" xr:uid="{B7672A3A-681E-4DCB-B612-5C8F800282F5}"/>
    <cellStyle name="40% - Accent2 3 2 7 3" xfId="13009" xr:uid="{D559C618-E1D2-4A2A-9DFF-AB511967742A}"/>
    <cellStyle name="40% - Accent2 3 2 8" xfId="17232" xr:uid="{E0CAFD87-4169-469A-8FD4-E2670116E702}"/>
    <cellStyle name="40% - Accent2 3 2 9" xfId="8791" xr:uid="{EF48E0FA-F0FA-474B-9DD3-5481AD209CF1}"/>
    <cellStyle name="40% - Accent2 3 3" xfId="631" xr:uid="{00000000-0005-0000-0000-0000C7040000}"/>
    <cellStyle name="40% - Accent2 3 3 2" xfId="2902" xr:uid="{00000000-0005-0000-0000-0000C8040000}"/>
    <cellStyle name="40% - Accent2 3 3 2 2" xfId="7125" xr:uid="{00000000-0005-0000-0000-0000C9040000}"/>
    <cellStyle name="40% - Accent2 3 3 2 2 2" xfId="24008" xr:uid="{7FB18C18-0260-4552-B612-8BE100769EAD}"/>
    <cellStyle name="40% - Accent2 3 3 2 2 3" xfId="15567" xr:uid="{E3E9C6D7-B81E-4487-B3B2-AA7FBBFEDEA9}"/>
    <cellStyle name="40% - Accent2 3 3 2 3" xfId="19790" xr:uid="{36A7CAEA-4F1A-42DD-92B8-A4E579759487}"/>
    <cellStyle name="40% - Accent2 3 3 2 4" xfId="11349" xr:uid="{F27EDF53-7382-4FBA-A9B3-C5F9A679EC49}"/>
    <cellStyle name="40% - Accent2 3 3 3" xfId="4980" xr:uid="{00000000-0005-0000-0000-0000CA040000}"/>
    <cellStyle name="40% - Accent2 3 3 3 2" xfId="21863" xr:uid="{D533317E-7FA8-4B27-BA1A-FEA457AB5406}"/>
    <cellStyle name="40% - Accent2 3 3 3 3" xfId="13422" xr:uid="{30FB1A10-A955-4DF5-B005-4759A77655EF}"/>
    <cellStyle name="40% - Accent2 3 3 4" xfId="17645" xr:uid="{7AF0A001-FF17-4935-AC69-D2BE172C31A7}"/>
    <cellStyle name="40% - Accent2 3 3 5" xfId="9204" xr:uid="{CCE0179D-2631-45BD-864C-7D45F221E157}"/>
    <cellStyle name="40% - Accent2 3 4" xfId="1084" xr:uid="{00000000-0005-0000-0000-0000CB040000}"/>
    <cellStyle name="40% - Accent2 3 4 2" xfId="3315" xr:uid="{00000000-0005-0000-0000-0000CC040000}"/>
    <cellStyle name="40% - Accent2 3 4 2 2" xfId="7538" xr:uid="{00000000-0005-0000-0000-0000CD040000}"/>
    <cellStyle name="40% - Accent2 3 4 2 2 2" xfId="24421" xr:uid="{811D5DE8-23F7-4C95-864D-ECB8368BBEDB}"/>
    <cellStyle name="40% - Accent2 3 4 2 2 3" xfId="15980" xr:uid="{20F6DC08-80C8-4618-B0DB-FC1F4EEB550E}"/>
    <cellStyle name="40% - Accent2 3 4 2 3" xfId="20203" xr:uid="{448D681C-AB7D-4853-91A0-2F303C0437DD}"/>
    <cellStyle name="40% - Accent2 3 4 2 4" xfId="11762" xr:uid="{41170637-19BD-41E9-B582-57D6F4C03A31}"/>
    <cellStyle name="40% - Accent2 3 4 3" xfId="5393" xr:uid="{00000000-0005-0000-0000-0000CE040000}"/>
    <cellStyle name="40% - Accent2 3 4 3 2" xfId="22276" xr:uid="{FAFAAD04-7F33-4870-A8A8-49D606BE9B27}"/>
    <cellStyle name="40% - Accent2 3 4 3 3" xfId="13835" xr:uid="{DB4B1AB9-06F6-4EC1-B526-967EEEB4D1BC}"/>
    <cellStyle name="40% - Accent2 3 4 4" xfId="18058" xr:uid="{48A91195-A70B-409E-87FA-080FAD48E681}"/>
    <cellStyle name="40% - Accent2 3 4 5" xfId="9617" xr:uid="{EF006589-C501-47B2-AC69-8AFC08FF1440}"/>
    <cellStyle name="40% - Accent2 3 5" xfId="1498" xr:uid="{00000000-0005-0000-0000-0000CF040000}"/>
    <cellStyle name="40% - Accent2 3 5 2" xfId="3728" xr:uid="{00000000-0005-0000-0000-0000D0040000}"/>
    <cellStyle name="40% - Accent2 3 5 2 2" xfId="7951" xr:uid="{00000000-0005-0000-0000-0000D1040000}"/>
    <cellStyle name="40% - Accent2 3 5 2 2 2" xfId="24834" xr:uid="{2424B6B7-D64E-4956-8293-A305AE97EE3A}"/>
    <cellStyle name="40% - Accent2 3 5 2 2 3" xfId="16393" xr:uid="{EA6C40BC-1197-4FE3-97C2-40E41ECD1A83}"/>
    <cellStyle name="40% - Accent2 3 5 2 3" xfId="20616" xr:uid="{39218595-7A0B-4EBC-A1B6-7D175000EEAE}"/>
    <cellStyle name="40% - Accent2 3 5 2 4" xfId="12175" xr:uid="{8ACD3566-6C7B-4679-8677-809423855E78}"/>
    <cellStyle name="40% - Accent2 3 5 3" xfId="5806" xr:uid="{00000000-0005-0000-0000-0000D2040000}"/>
    <cellStyle name="40% - Accent2 3 5 3 2" xfId="22689" xr:uid="{BAD830E4-16B0-4FC1-87A7-0F49AE899BD1}"/>
    <cellStyle name="40% - Accent2 3 5 3 3" xfId="14248" xr:uid="{0FA7B76D-B3A4-45A2-A1EE-258C92F36EA5}"/>
    <cellStyle name="40% - Accent2 3 5 4" xfId="18471" xr:uid="{2486A645-7A8E-4B9F-ABE3-0E91D0668A54}"/>
    <cellStyle name="40% - Accent2 3 5 5" xfId="10030" xr:uid="{6192E7CD-6D60-4CB5-AA80-54547C3ADE79}"/>
    <cellStyle name="40% - Accent2 3 6" xfId="1912" xr:uid="{00000000-0005-0000-0000-0000D3040000}"/>
    <cellStyle name="40% - Accent2 3 6 2" xfId="4141" xr:uid="{00000000-0005-0000-0000-0000D4040000}"/>
    <cellStyle name="40% - Accent2 3 6 2 2" xfId="8364" xr:uid="{00000000-0005-0000-0000-0000D5040000}"/>
    <cellStyle name="40% - Accent2 3 6 2 2 2" xfId="25247" xr:uid="{7A88F54E-3CAA-44C0-A503-77038A0EA4DE}"/>
    <cellStyle name="40% - Accent2 3 6 2 2 3" xfId="16806" xr:uid="{95DF8B05-DA23-4D3E-8194-7805771215E5}"/>
    <cellStyle name="40% - Accent2 3 6 2 3" xfId="21029" xr:uid="{2750E687-BA00-4F06-BB06-5C4945591D45}"/>
    <cellStyle name="40% - Accent2 3 6 2 4" xfId="12588" xr:uid="{1A9C611F-B64D-4397-A10E-42A157D0E843}"/>
    <cellStyle name="40% - Accent2 3 6 3" xfId="6219" xr:uid="{00000000-0005-0000-0000-0000D6040000}"/>
    <cellStyle name="40% - Accent2 3 6 3 2" xfId="23102" xr:uid="{DCD2397E-6DEA-4DC7-8FD3-6BD62826284A}"/>
    <cellStyle name="40% - Accent2 3 6 3 3" xfId="14661" xr:uid="{7CC14149-6967-4A54-B6CD-A0DFEA9210A7}"/>
    <cellStyle name="40% - Accent2 3 6 4" xfId="18884" xr:uid="{8FEC4EA9-4FF1-4DBF-9461-07E83317A093}"/>
    <cellStyle name="40% - Accent2 3 6 5" xfId="10443" xr:uid="{7A19D1B8-2507-4D0D-A9D4-9D4EB6A2364D}"/>
    <cellStyle name="40% - Accent2 3 7" xfId="2325" xr:uid="{00000000-0005-0000-0000-0000D7040000}"/>
    <cellStyle name="40% - Accent2 3 7 2" xfId="6632" xr:uid="{00000000-0005-0000-0000-0000D8040000}"/>
    <cellStyle name="40% - Accent2 3 7 2 2" xfId="23515" xr:uid="{2E2D6702-8F3F-46B6-89CA-590F118041D0}"/>
    <cellStyle name="40% - Accent2 3 7 2 3" xfId="15074" xr:uid="{CADDD4FD-E8D6-44FB-8281-4F40AA697480}"/>
    <cellStyle name="40% - Accent2 3 7 3" xfId="19297" xr:uid="{CD4DDD3A-4D07-4734-BDB5-4F46608A76B2}"/>
    <cellStyle name="40% - Accent2 3 7 4" xfId="10856" xr:uid="{9E38B452-77AD-4A92-B287-20287504D81C}"/>
    <cellStyle name="40% - Accent2 3 8" xfId="4566" xr:uid="{00000000-0005-0000-0000-0000D9040000}"/>
    <cellStyle name="40% - Accent2 3 8 2" xfId="21449" xr:uid="{CCAA46F6-B237-4CE4-89FA-66EFC6C0686A}"/>
    <cellStyle name="40% - Accent2 3 8 3" xfId="13008" xr:uid="{4730D11B-3C21-482E-90E2-8B422B3BE6B6}"/>
    <cellStyle name="40% - Accent2 3 9" xfId="17231" xr:uid="{16EB5477-9F03-4F90-9B66-36371918B90A}"/>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24010" xr:uid="{ADEB50C4-902A-4968-AE1F-13C3B038A019}"/>
    <cellStyle name="40% - Accent2 4 2 2 2 3" xfId="15569" xr:uid="{C6286C34-F4B2-4034-BDD0-AB9B60E31DEC}"/>
    <cellStyle name="40% - Accent2 4 2 2 3" xfId="19792" xr:uid="{F55B28CE-9309-4BB2-8BB2-D2E2230E4D7B}"/>
    <cellStyle name="40% - Accent2 4 2 2 4" xfId="11351" xr:uid="{3D04AF5E-9B96-47AC-9612-3F8734132F45}"/>
    <cellStyle name="40% - Accent2 4 2 3" xfId="4982" xr:uid="{00000000-0005-0000-0000-0000DE040000}"/>
    <cellStyle name="40% - Accent2 4 2 3 2" xfId="21865" xr:uid="{24FB6BDB-D2EF-4325-981E-6EA810CC301A}"/>
    <cellStyle name="40% - Accent2 4 2 3 3" xfId="13424" xr:uid="{DD50177F-FFC8-4936-9E82-024795C03122}"/>
    <cellStyle name="40% - Accent2 4 2 4" xfId="17647" xr:uid="{33F46D03-1825-47BB-B6A6-2925A38BC7F1}"/>
    <cellStyle name="40% - Accent2 4 2 5" xfId="9206" xr:uid="{A62CBC61-7CE8-4779-961F-3BE0C16293C8}"/>
    <cellStyle name="40% - Accent2 4 3" xfId="1086" xr:uid="{00000000-0005-0000-0000-0000DF040000}"/>
    <cellStyle name="40% - Accent2 4 3 2" xfId="3317" xr:uid="{00000000-0005-0000-0000-0000E0040000}"/>
    <cellStyle name="40% - Accent2 4 3 2 2" xfId="7540" xr:uid="{00000000-0005-0000-0000-0000E1040000}"/>
    <cellStyle name="40% - Accent2 4 3 2 2 2" xfId="24423" xr:uid="{0EC42C42-D82F-4A57-B467-0023BB8AE3B9}"/>
    <cellStyle name="40% - Accent2 4 3 2 2 3" xfId="15982" xr:uid="{A41EEDF0-B5C4-41AA-ABB9-90D2C3751C79}"/>
    <cellStyle name="40% - Accent2 4 3 2 3" xfId="20205" xr:uid="{F9B99131-E558-4D6C-B749-D5DDC55EADBC}"/>
    <cellStyle name="40% - Accent2 4 3 2 4" xfId="11764" xr:uid="{720FDDD6-0961-42B2-8692-6E68C966AFF3}"/>
    <cellStyle name="40% - Accent2 4 3 3" xfId="5395" xr:uid="{00000000-0005-0000-0000-0000E2040000}"/>
    <cellStyle name="40% - Accent2 4 3 3 2" xfId="22278" xr:uid="{058FA8A4-EE56-4431-B53B-E56AA622B1F9}"/>
    <cellStyle name="40% - Accent2 4 3 3 3" xfId="13837" xr:uid="{C295AE37-16FC-4BF5-AA61-B3AD1B6018CA}"/>
    <cellStyle name="40% - Accent2 4 3 4" xfId="18060" xr:uid="{8E8874CA-17ED-46E0-AC26-AD088C6C5222}"/>
    <cellStyle name="40% - Accent2 4 3 5" xfId="9619" xr:uid="{844DEBEF-A568-41BF-BEA9-7FB738A2225F}"/>
    <cellStyle name="40% - Accent2 4 4" xfId="1500" xr:uid="{00000000-0005-0000-0000-0000E3040000}"/>
    <cellStyle name="40% - Accent2 4 4 2" xfId="3730" xr:uid="{00000000-0005-0000-0000-0000E4040000}"/>
    <cellStyle name="40% - Accent2 4 4 2 2" xfId="7953" xr:uid="{00000000-0005-0000-0000-0000E5040000}"/>
    <cellStyle name="40% - Accent2 4 4 2 2 2" xfId="24836" xr:uid="{BB301DE5-1B61-47F8-B76E-6B175EED988B}"/>
    <cellStyle name="40% - Accent2 4 4 2 2 3" xfId="16395" xr:uid="{AB1F17A9-46AE-4E08-8A42-72DB7B03BE47}"/>
    <cellStyle name="40% - Accent2 4 4 2 3" xfId="20618" xr:uid="{88047EAC-AE9C-4D3D-B2A8-E9ABC78C89AE}"/>
    <cellStyle name="40% - Accent2 4 4 2 4" xfId="12177" xr:uid="{D02C3882-62AB-4C89-B42E-EA4208A6C654}"/>
    <cellStyle name="40% - Accent2 4 4 3" xfId="5808" xr:uid="{00000000-0005-0000-0000-0000E6040000}"/>
    <cellStyle name="40% - Accent2 4 4 3 2" xfId="22691" xr:uid="{B86284CB-AAFE-479B-A765-6CDA303CD1AC}"/>
    <cellStyle name="40% - Accent2 4 4 3 3" xfId="14250" xr:uid="{7582D7D6-ABF3-4601-9111-8A11FFD2C4BD}"/>
    <cellStyle name="40% - Accent2 4 4 4" xfId="18473" xr:uid="{5D6C6FA5-50A3-4C4D-90B6-0D0024AA63F8}"/>
    <cellStyle name="40% - Accent2 4 4 5" xfId="10032" xr:uid="{4F1AC7B1-A436-42BB-B697-82550A648D08}"/>
    <cellStyle name="40% - Accent2 4 5" xfId="1914" xr:uid="{00000000-0005-0000-0000-0000E7040000}"/>
    <cellStyle name="40% - Accent2 4 5 2" xfId="4143" xr:uid="{00000000-0005-0000-0000-0000E8040000}"/>
    <cellStyle name="40% - Accent2 4 5 2 2" xfId="8366" xr:uid="{00000000-0005-0000-0000-0000E9040000}"/>
    <cellStyle name="40% - Accent2 4 5 2 2 2" xfId="25249" xr:uid="{F97C04D3-CF61-408B-B049-8CF5F25AA20A}"/>
    <cellStyle name="40% - Accent2 4 5 2 2 3" xfId="16808" xr:uid="{5D04FD5E-82A5-43BD-B7FA-A618DF7EC1B4}"/>
    <cellStyle name="40% - Accent2 4 5 2 3" xfId="21031" xr:uid="{1229B209-692C-4619-81B2-52665A0C55A9}"/>
    <cellStyle name="40% - Accent2 4 5 2 4" xfId="12590" xr:uid="{60D9652D-EE9B-4896-B7DB-35DD23ED4D2E}"/>
    <cellStyle name="40% - Accent2 4 5 3" xfId="6221" xr:uid="{00000000-0005-0000-0000-0000EA040000}"/>
    <cellStyle name="40% - Accent2 4 5 3 2" xfId="23104" xr:uid="{8B79FAD0-B90B-46D9-8C0E-2B926CF25716}"/>
    <cellStyle name="40% - Accent2 4 5 3 3" xfId="14663" xr:uid="{A3193F1C-A02E-49BC-9B22-B86146D61A92}"/>
    <cellStyle name="40% - Accent2 4 5 4" xfId="18886" xr:uid="{506F894D-7991-4FE3-A917-DBB01F0F79C9}"/>
    <cellStyle name="40% - Accent2 4 5 5" xfId="10445" xr:uid="{30466FC3-6AE8-4490-B109-1942E4D9FF6D}"/>
    <cellStyle name="40% - Accent2 4 6" xfId="2327" xr:uid="{00000000-0005-0000-0000-0000EB040000}"/>
    <cellStyle name="40% - Accent2 4 6 2" xfId="6634" xr:uid="{00000000-0005-0000-0000-0000EC040000}"/>
    <cellStyle name="40% - Accent2 4 6 2 2" xfId="23517" xr:uid="{B8701C5D-29A7-4C51-A7FB-7BBDD561EAEA}"/>
    <cellStyle name="40% - Accent2 4 6 2 3" xfId="15076" xr:uid="{CF26F174-C3BE-429C-B678-52B0064D9F5D}"/>
    <cellStyle name="40% - Accent2 4 6 3" xfId="19299" xr:uid="{F172EAEA-DC5F-4CC9-8FE6-6713ADD49203}"/>
    <cellStyle name="40% - Accent2 4 6 4" xfId="10858" xr:uid="{571A052D-B3BA-4001-9C80-9424B1501A84}"/>
    <cellStyle name="40% - Accent2 4 7" xfId="4568" xr:uid="{00000000-0005-0000-0000-0000ED040000}"/>
    <cellStyle name="40% - Accent2 4 7 2" xfId="21451" xr:uid="{F77FA1C5-855C-4265-B516-E37A6F10CB64}"/>
    <cellStyle name="40% - Accent2 4 7 3" xfId="13010" xr:uid="{69CBAF3A-0518-4A3F-B36C-A00CB1435DED}"/>
    <cellStyle name="40% - Accent2 4 8" xfId="17233" xr:uid="{4916FF6B-4557-4ED3-A4E6-38A4D758F79E}"/>
    <cellStyle name="40% - Accent2 4 9" xfId="8792" xr:uid="{6655C025-AD0B-4B67-8000-96C949F9014B}"/>
    <cellStyle name="40% - Accent2 5" xfId="626" xr:uid="{00000000-0005-0000-0000-0000EE040000}"/>
    <cellStyle name="40% - Accent2 5 2" xfId="2897" xr:uid="{00000000-0005-0000-0000-0000EF040000}"/>
    <cellStyle name="40% - Accent2 5 2 2" xfId="7120" xr:uid="{00000000-0005-0000-0000-0000F0040000}"/>
    <cellStyle name="40% - Accent2 5 2 2 2" xfId="24003" xr:uid="{966E5FF1-B1D6-4803-AED8-7E0073C0A3B3}"/>
    <cellStyle name="40% - Accent2 5 2 2 3" xfId="15562" xr:uid="{3901C104-DFB0-4FEC-93FC-733D77178FEA}"/>
    <cellStyle name="40% - Accent2 5 2 3" xfId="19785" xr:uid="{30D117A1-8227-40FA-B135-72C85302F332}"/>
    <cellStyle name="40% - Accent2 5 2 4" xfId="11344" xr:uid="{5C091A4A-D9C1-4583-853D-E4C1FCD55C38}"/>
    <cellStyle name="40% - Accent2 5 3" xfId="4975" xr:uid="{00000000-0005-0000-0000-0000F1040000}"/>
    <cellStyle name="40% - Accent2 5 3 2" xfId="21858" xr:uid="{D5D76EFE-9A56-466D-88E5-24A9169A4DEC}"/>
    <cellStyle name="40% - Accent2 5 3 3" xfId="13417" xr:uid="{70ED4F0F-94F6-48CD-8F8B-2179CAD76E7A}"/>
    <cellStyle name="40% - Accent2 5 4" xfId="17640" xr:uid="{DAE2CF68-74BB-472B-8323-34D03CF44BF0}"/>
    <cellStyle name="40% - Accent2 5 5" xfId="9199" xr:uid="{421C67A9-8DB6-4F10-A58C-4CF8A22B57B0}"/>
    <cellStyle name="40% - Accent2 6" xfId="1079" xr:uid="{00000000-0005-0000-0000-0000F2040000}"/>
    <cellStyle name="40% - Accent2 6 2" xfId="3310" xr:uid="{00000000-0005-0000-0000-0000F3040000}"/>
    <cellStyle name="40% - Accent2 6 2 2" xfId="7533" xr:uid="{00000000-0005-0000-0000-0000F4040000}"/>
    <cellStyle name="40% - Accent2 6 2 2 2" xfId="24416" xr:uid="{EDFBE40C-CB46-49CF-9A3F-D074C5CE4674}"/>
    <cellStyle name="40% - Accent2 6 2 2 3" xfId="15975" xr:uid="{54B6182E-EB8E-46F0-8B05-53534F47657A}"/>
    <cellStyle name="40% - Accent2 6 2 3" xfId="20198" xr:uid="{F73504EA-09D7-448D-AFA8-EE747653B208}"/>
    <cellStyle name="40% - Accent2 6 2 4" xfId="11757" xr:uid="{131AA87B-2D95-4312-B0F2-C3C4607534BC}"/>
    <cellStyle name="40% - Accent2 6 3" xfId="5388" xr:uid="{00000000-0005-0000-0000-0000F5040000}"/>
    <cellStyle name="40% - Accent2 6 3 2" xfId="22271" xr:uid="{CFF6EC22-6582-4B26-AEF8-CA7D8F9C33D7}"/>
    <cellStyle name="40% - Accent2 6 3 3" xfId="13830" xr:uid="{EB8B352B-AAE5-4D35-AEA4-A41B326B4587}"/>
    <cellStyle name="40% - Accent2 6 4" xfId="18053" xr:uid="{C2E424DE-3AA1-4F74-8207-209160AF004D}"/>
    <cellStyle name="40% - Accent2 6 5" xfId="9612" xr:uid="{31766334-EA14-44B9-86D5-A6195FB71772}"/>
    <cellStyle name="40% - Accent2 7" xfId="1493" xr:uid="{00000000-0005-0000-0000-0000F6040000}"/>
    <cellStyle name="40% - Accent2 7 2" xfId="3723" xr:uid="{00000000-0005-0000-0000-0000F7040000}"/>
    <cellStyle name="40% - Accent2 7 2 2" xfId="7946" xr:uid="{00000000-0005-0000-0000-0000F8040000}"/>
    <cellStyle name="40% - Accent2 7 2 2 2" xfId="24829" xr:uid="{A059BFA1-804A-436D-A10C-94C39129E335}"/>
    <cellStyle name="40% - Accent2 7 2 2 3" xfId="16388" xr:uid="{9D1E6DF5-E951-4C2E-A3EE-F7171735F6F9}"/>
    <cellStyle name="40% - Accent2 7 2 3" xfId="20611" xr:uid="{C0824F83-57AD-455F-A70A-8EB50B4C557D}"/>
    <cellStyle name="40% - Accent2 7 2 4" xfId="12170" xr:uid="{2192A95D-DDE6-4672-8F8E-6410A0FA419D}"/>
    <cellStyle name="40% - Accent2 7 3" xfId="5801" xr:uid="{00000000-0005-0000-0000-0000F9040000}"/>
    <cellStyle name="40% - Accent2 7 3 2" xfId="22684" xr:uid="{1E6690B8-6686-4B01-B068-07931CB2334C}"/>
    <cellStyle name="40% - Accent2 7 3 3" xfId="14243" xr:uid="{D996BD83-BC4C-4BD8-8082-3F6F202B4B09}"/>
    <cellStyle name="40% - Accent2 7 4" xfId="18466" xr:uid="{2756F839-F141-41E1-9D2E-E4A002F1A29F}"/>
    <cellStyle name="40% - Accent2 7 5" xfId="10025" xr:uid="{598AE45D-EDFD-48E7-9F75-F023CEEDD901}"/>
    <cellStyle name="40% - Accent2 8" xfId="1907" xr:uid="{00000000-0005-0000-0000-0000FA040000}"/>
    <cellStyle name="40% - Accent2 8 2" xfId="4136" xr:uid="{00000000-0005-0000-0000-0000FB040000}"/>
    <cellStyle name="40% - Accent2 8 2 2" xfId="8359" xr:uid="{00000000-0005-0000-0000-0000FC040000}"/>
    <cellStyle name="40% - Accent2 8 2 2 2" xfId="25242" xr:uid="{99E5CC94-17D9-4BD1-AD57-8CB40741DCBB}"/>
    <cellStyle name="40% - Accent2 8 2 2 3" xfId="16801" xr:uid="{A1A682DA-B78C-46B0-ABB5-97D7EBF194F9}"/>
    <cellStyle name="40% - Accent2 8 2 3" xfId="21024" xr:uid="{306F35CD-8FC0-4C50-813E-32459B36F2AA}"/>
    <cellStyle name="40% - Accent2 8 2 4" xfId="12583" xr:uid="{1D3AE9C6-6B2A-4254-9356-E794A7B0C807}"/>
    <cellStyle name="40% - Accent2 8 3" xfId="6214" xr:uid="{00000000-0005-0000-0000-0000FD040000}"/>
    <cellStyle name="40% - Accent2 8 3 2" xfId="23097" xr:uid="{F6CED840-FE80-4AE8-9F71-6EBB50AFA42C}"/>
    <cellStyle name="40% - Accent2 8 3 3" xfId="14656" xr:uid="{70E03804-5BB9-4894-9024-DD966784EB59}"/>
    <cellStyle name="40% - Accent2 8 4" xfId="18879" xr:uid="{ED70C225-03CB-4465-9831-88056CD2647B}"/>
    <cellStyle name="40% - Accent2 8 5" xfId="10438" xr:uid="{F1EF9655-FD16-45F0-BD49-F34460204C3B}"/>
    <cellStyle name="40% - Accent2 9" xfId="2320" xr:uid="{00000000-0005-0000-0000-0000FE040000}"/>
    <cellStyle name="40% - Accent2 9 2" xfId="6627" xr:uid="{00000000-0005-0000-0000-0000FF040000}"/>
    <cellStyle name="40% - Accent2 9 2 2" xfId="23510" xr:uid="{FAC702CF-9BC3-4DFE-BBC4-BB91C08F45A4}"/>
    <cellStyle name="40% - Accent2 9 2 3" xfId="15069" xr:uid="{03B91710-9952-4262-9AE4-E15C58A96217}"/>
    <cellStyle name="40% - Accent2 9 3" xfId="19292" xr:uid="{8FFA388D-7404-4A26-A175-8CFB2F60186E}"/>
    <cellStyle name="40% - Accent2 9 4" xfId="10851" xr:uid="{DCDFC4D5-66BE-4F58-9941-AEF4976C1C83}"/>
    <cellStyle name="40% - Accent3" xfId="65" builtinId="39" customBuiltin="1"/>
    <cellStyle name="40% - Accent3 10" xfId="4569" xr:uid="{00000000-0005-0000-0000-000001050000}"/>
    <cellStyle name="40% - Accent3 10 2" xfId="21452" xr:uid="{45C358BB-A1BC-4B2E-8A73-10B96F087229}"/>
    <cellStyle name="40% - Accent3 10 3" xfId="13011" xr:uid="{0DCF1B17-716D-43DE-8226-BE367C493234}"/>
    <cellStyle name="40% - Accent3 11" xfId="17234" xr:uid="{F9DC1EBE-2828-49A0-87A5-7E2A46FC3755}"/>
    <cellStyle name="40% - Accent3 12" xfId="8793" xr:uid="{D164C30B-A672-4A8B-A297-AA68C15A1B89}"/>
    <cellStyle name="40% - Accent3 2" xfId="66" xr:uid="{00000000-0005-0000-0000-000002050000}"/>
    <cellStyle name="40% - Accent3 2 10" xfId="17235" xr:uid="{1CFCD7E2-D971-4848-9923-1FC8D39B0862}"/>
    <cellStyle name="40% - Accent3 2 11" xfId="8794" xr:uid="{8BAC9C75-0467-4455-B457-108F278A4641}"/>
    <cellStyle name="40% - Accent3 2 2" xfId="67" xr:uid="{00000000-0005-0000-0000-000003050000}"/>
    <cellStyle name="40% - Accent3 2 2 10" xfId="8795" xr:uid="{EC80A378-8C4A-48EE-A7DC-9FD4F4497F58}"/>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24014" xr:uid="{71CFB3C4-3849-4970-A936-53ADCDBE0D49}"/>
    <cellStyle name="40% - Accent3 2 2 2 2 2 2 3" xfId="15573" xr:uid="{E14885F6-0B8A-4F6A-B87C-EECF2912A6DB}"/>
    <cellStyle name="40% - Accent3 2 2 2 2 2 3" xfId="19796" xr:uid="{FA67BB44-9693-4BE3-A357-670CFF3CC46E}"/>
    <cellStyle name="40% - Accent3 2 2 2 2 2 4" xfId="11355" xr:uid="{30920701-7C9E-4658-8733-029BEA00ABCB}"/>
    <cellStyle name="40% - Accent3 2 2 2 2 3" xfId="4986" xr:uid="{00000000-0005-0000-0000-000008050000}"/>
    <cellStyle name="40% - Accent3 2 2 2 2 3 2" xfId="21869" xr:uid="{0543A275-4BD3-492A-972F-D31AD8734D95}"/>
    <cellStyle name="40% - Accent3 2 2 2 2 3 3" xfId="13428" xr:uid="{63E1D46E-88F9-4342-A192-8BD09E9205B3}"/>
    <cellStyle name="40% - Accent3 2 2 2 2 4" xfId="17651" xr:uid="{5BB335E9-2BB3-496F-A568-D4C89CBA46DC}"/>
    <cellStyle name="40% - Accent3 2 2 2 2 5" xfId="9210" xr:uid="{624655B0-E296-4A34-92A2-972BB324E453}"/>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24427" xr:uid="{EEEC5087-1EAF-42FE-9B66-4745341806E6}"/>
    <cellStyle name="40% - Accent3 2 2 2 3 2 2 3" xfId="15986" xr:uid="{64446BA4-BAFA-4363-B6F0-44F27A0859C5}"/>
    <cellStyle name="40% - Accent3 2 2 2 3 2 3" xfId="20209" xr:uid="{E529BE21-FEC9-447A-82E7-03174D9AC732}"/>
    <cellStyle name="40% - Accent3 2 2 2 3 2 4" xfId="11768" xr:uid="{EC0E4B37-3E20-4103-91E0-CA3CAFB6EE17}"/>
    <cellStyle name="40% - Accent3 2 2 2 3 3" xfId="5399" xr:uid="{00000000-0005-0000-0000-00000C050000}"/>
    <cellStyle name="40% - Accent3 2 2 2 3 3 2" xfId="22282" xr:uid="{0DFA91A1-C4CA-4950-B6C3-C2911E7A7ECD}"/>
    <cellStyle name="40% - Accent3 2 2 2 3 3 3" xfId="13841" xr:uid="{2EB92EBC-DDBB-4D26-91F8-D00E521910C1}"/>
    <cellStyle name="40% - Accent3 2 2 2 3 4" xfId="18064" xr:uid="{4C1733D9-99C5-462B-933A-3CE827C30930}"/>
    <cellStyle name="40% - Accent3 2 2 2 3 5" xfId="9623" xr:uid="{C6CF3582-4E3D-4D42-86CF-4F7AB376BBCA}"/>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24840" xr:uid="{858645D6-2A5E-4029-8BA8-8960EE6F4433}"/>
    <cellStyle name="40% - Accent3 2 2 2 4 2 2 3" xfId="16399" xr:uid="{513801AA-B1FE-4463-BB26-4B1D0AFE23B8}"/>
    <cellStyle name="40% - Accent3 2 2 2 4 2 3" xfId="20622" xr:uid="{AE0681EF-BD1A-4BD2-9CA6-8ECBD28AFAAB}"/>
    <cellStyle name="40% - Accent3 2 2 2 4 2 4" xfId="12181" xr:uid="{D43EB1B8-CE80-48F1-82FC-44F8181F966C}"/>
    <cellStyle name="40% - Accent3 2 2 2 4 3" xfId="5812" xr:uid="{00000000-0005-0000-0000-000010050000}"/>
    <cellStyle name="40% - Accent3 2 2 2 4 3 2" xfId="22695" xr:uid="{AA0CBE1B-D704-4B27-903A-046B98DA46E0}"/>
    <cellStyle name="40% - Accent3 2 2 2 4 3 3" xfId="14254" xr:uid="{A8C81B02-0ECC-4170-BC48-B0EF28A3A7F0}"/>
    <cellStyle name="40% - Accent3 2 2 2 4 4" xfId="18477" xr:uid="{D23878D3-0CE0-4169-BF35-A04F01E315C7}"/>
    <cellStyle name="40% - Accent3 2 2 2 4 5" xfId="10036" xr:uid="{C2B43012-01F3-4D14-8019-67ED2C4AE23C}"/>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25253" xr:uid="{5E0AA0A8-89D7-427D-8DEA-3CAE917D8F77}"/>
    <cellStyle name="40% - Accent3 2 2 2 5 2 2 3" xfId="16812" xr:uid="{1FE6D73A-1675-4032-87B5-1D5210251E7B}"/>
    <cellStyle name="40% - Accent3 2 2 2 5 2 3" xfId="21035" xr:uid="{1EB4AB2E-FA04-41EE-9B25-950CCC9D65CD}"/>
    <cellStyle name="40% - Accent3 2 2 2 5 2 4" xfId="12594" xr:uid="{339CD217-1324-483E-B3B2-7E846B390EF8}"/>
    <cellStyle name="40% - Accent3 2 2 2 5 3" xfId="6225" xr:uid="{00000000-0005-0000-0000-000014050000}"/>
    <cellStyle name="40% - Accent3 2 2 2 5 3 2" xfId="23108" xr:uid="{81A4DD07-E957-4F94-AC80-78CCCC6FA709}"/>
    <cellStyle name="40% - Accent3 2 2 2 5 3 3" xfId="14667" xr:uid="{9E28CDB4-F939-4CB3-B069-11B5E9460569}"/>
    <cellStyle name="40% - Accent3 2 2 2 5 4" xfId="18890" xr:uid="{C3931B87-8A9D-4B0A-910B-FC9C7DC591E4}"/>
    <cellStyle name="40% - Accent3 2 2 2 5 5" xfId="10449" xr:uid="{5EABF467-F7C5-464F-92A2-06B30CDCA7D9}"/>
    <cellStyle name="40% - Accent3 2 2 2 6" xfId="2331" xr:uid="{00000000-0005-0000-0000-000015050000}"/>
    <cellStyle name="40% - Accent3 2 2 2 6 2" xfId="6638" xr:uid="{00000000-0005-0000-0000-000016050000}"/>
    <cellStyle name="40% - Accent3 2 2 2 6 2 2" xfId="23521" xr:uid="{7D6082CF-E135-45CC-B2A1-26DB947D7C32}"/>
    <cellStyle name="40% - Accent3 2 2 2 6 2 3" xfId="15080" xr:uid="{79B6818F-2F75-4D22-9635-E1D06E1AE05C}"/>
    <cellStyle name="40% - Accent3 2 2 2 6 3" xfId="19303" xr:uid="{CB36F4EC-8816-480B-9355-FA515026944F}"/>
    <cellStyle name="40% - Accent3 2 2 2 6 4" xfId="10862" xr:uid="{2FCC3B5C-6193-4AF6-A1D1-6B7BF280CC0C}"/>
    <cellStyle name="40% - Accent3 2 2 2 7" xfId="4572" xr:uid="{00000000-0005-0000-0000-000017050000}"/>
    <cellStyle name="40% - Accent3 2 2 2 7 2" xfId="21455" xr:uid="{315DEB91-CC8B-4EF0-A5F1-71BCA68662AA}"/>
    <cellStyle name="40% - Accent3 2 2 2 7 3" xfId="13014" xr:uid="{BAD1A081-1CE6-4A3B-8796-F21247E01A8F}"/>
    <cellStyle name="40% - Accent3 2 2 2 8" xfId="17237" xr:uid="{15578A1A-D41B-4C9D-9A7B-7CE2F4A0449A}"/>
    <cellStyle name="40% - Accent3 2 2 2 9" xfId="8796" xr:uid="{99D64099-72CB-404E-87F7-3E9807F9EE18}"/>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24013" xr:uid="{E3803D02-944E-4AFC-A9B0-D5F8C4AB9290}"/>
    <cellStyle name="40% - Accent3 2 2 3 2 2 3" xfId="15572" xr:uid="{4D0A5907-2BEF-4E13-8C7E-4364F2C7F875}"/>
    <cellStyle name="40% - Accent3 2 2 3 2 3" xfId="19795" xr:uid="{707D112D-44D8-41B4-B5F3-CF168CF40691}"/>
    <cellStyle name="40% - Accent3 2 2 3 2 4" xfId="11354" xr:uid="{FAF2858B-94C4-47AA-9465-555660D65E57}"/>
    <cellStyle name="40% - Accent3 2 2 3 3" xfId="4985" xr:uid="{00000000-0005-0000-0000-00001B050000}"/>
    <cellStyle name="40% - Accent3 2 2 3 3 2" xfId="21868" xr:uid="{8D7214E8-9DE9-4366-9894-D2B912CEF78F}"/>
    <cellStyle name="40% - Accent3 2 2 3 3 3" xfId="13427" xr:uid="{C456492F-0910-4729-A043-0F931E8CE26C}"/>
    <cellStyle name="40% - Accent3 2 2 3 4" xfId="17650" xr:uid="{6301E0E2-B1A6-48D9-9EF4-57C43394C9E1}"/>
    <cellStyle name="40% - Accent3 2 2 3 5" xfId="9209" xr:uid="{DC76536D-C48D-445C-956C-558C1556F92D}"/>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24426" xr:uid="{D29892DD-478A-42F3-BBF2-CABDC3303135}"/>
    <cellStyle name="40% - Accent3 2 2 4 2 2 3" xfId="15985" xr:uid="{D4479B15-F40E-4B5A-AE1C-29AE27240F80}"/>
    <cellStyle name="40% - Accent3 2 2 4 2 3" xfId="20208" xr:uid="{A51E3594-B0BC-4EC2-BBA4-4F2142BD413D}"/>
    <cellStyle name="40% - Accent3 2 2 4 2 4" xfId="11767" xr:uid="{ADEA0F7B-9008-4DCA-88D1-6B42AEA90669}"/>
    <cellStyle name="40% - Accent3 2 2 4 3" xfId="5398" xr:uid="{00000000-0005-0000-0000-00001F050000}"/>
    <cellStyle name="40% - Accent3 2 2 4 3 2" xfId="22281" xr:uid="{0335DEEA-6A39-43B5-ABB5-8A27383867F8}"/>
    <cellStyle name="40% - Accent3 2 2 4 3 3" xfId="13840" xr:uid="{C174A373-9013-4B41-913E-E5968C49EF3C}"/>
    <cellStyle name="40% - Accent3 2 2 4 4" xfId="18063" xr:uid="{6E072FC1-62A0-43A3-A6A2-6F6088F9936B}"/>
    <cellStyle name="40% - Accent3 2 2 4 5" xfId="9622" xr:uid="{D2F8034B-B867-4D15-BACB-F7DBEF4BF7D3}"/>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24839" xr:uid="{71FEA290-5CB0-4312-B88B-8B6402B577E6}"/>
    <cellStyle name="40% - Accent3 2 2 5 2 2 3" xfId="16398" xr:uid="{3AC66E79-E7DD-4AB6-8DDA-94D215313354}"/>
    <cellStyle name="40% - Accent3 2 2 5 2 3" xfId="20621" xr:uid="{53E077D2-EF93-4E00-8695-B4015982BB5E}"/>
    <cellStyle name="40% - Accent3 2 2 5 2 4" xfId="12180" xr:uid="{7065208E-C18A-4D84-875B-EE99DBD5505B}"/>
    <cellStyle name="40% - Accent3 2 2 5 3" xfId="5811" xr:uid="{00000000-0005-0000-0000-000023050000}"/>
    <cellStyle name="40% - Accent3 2 2 5 3 2" xfId="22694" xr:uid="{18D941AF-D871-4328-BC5B-C1E6237AF376}"/>
    <cellStyle name="40% - Accent3 2 2 5 3 3" xfId="14253" xr:uid="{1189FA29-03FD-4121-B289-89ACCA98EB7C}"/>
    <cellStyle name="40% - Accent3 2 2 5 4" xfId="18476" xr:uid="{68CAABB9-AB0E-4AE3-96EF-1BC2907A59D0}"/>
    <cellStyle name="40% - Accent3 2 2 5 5" xfId="10035" xr:uid="{C294506F-412B-4ABB-9E99-D0999F3AF961}"/>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25252" xr:uid="{05CE527A-EF5A-4E56-BA5D-3D1EC9393EB8}"/>
    <cellStyle name="40% - Accent3 2 2 6 2 2 3" xfId="16811" xr:uid="{EEFD094F-E050-49FD-8F9E-62DE1848D607}"/>
    <cellStyle name="40% - Accent3 2 2 6 2 3" xfId="21034" xr:uid="{4582FA76-44CE-4BD3-ABB8-71BA1D7ABDE8}"/>
    <cellStyle name="40% - Accent3 2 2 6 2 4" xfId="12593" xr:uid="{8929F995-25B4-4745-B31A-68D3A6CC6C3C}"/>
    <cellStyle name="40% - Accent3 2 2 6 3" xfId="6224" xr:uid="{00000000-0005-0000-0000-000027050000}"/>
    <cellStyle name="40% - Accent3 2 2 6 3 2" xfId="23107" xr:uid="{309C045A-FAC5-4EB2-AC0A-49BF24E5F43C}"/>
    <cellStyle name="40% - Accent3 2 2 6 3 3" xfId="14666" xr:uid="{BD338BBA-29EC-4CD7-BCFB-1F74135E7B50}"/>
    <cellStyle name="40% - Accent3 2 2 6 4" xfId="18889" xr:uid="{7F34D98F-90FD-4522-99F5-95F3D044DA8B}"/>
    <cellStyle name="40% - Accent3 2 2 6 5" xfId="10448" xr:uid="{77770F0F-7E3F-4A70-845A-BCFC872BE1BB}"/>
    <cellStyle name="40% - Accent3 2 2 7" xfId="2330" xr:uid="{00000000-0005-0000-0000-000028050000}"/>
    <cellStyle name="40% - Accent3 2 2 7 2" xfId="6637" xr:uid="{00000000-0005-0000-0000-000029050000}"/>
    <cellStyle name="40% - Accent3 2 2 7 2 2" xfId="23520" xr:uid="{0E576544-4BD1-4CA7-864B-AB7A8FE95F05}"/>
    <cellStyle name="40% - Accent3 2 2 7 2 3" xfId="15079" xr:uid="{CF12E042-96B5-4B54-97D8-81EC21CD8887}"/>
    <cellStyle name="40% - Accent3 2 2 7 3" xfId="19302" xr:uid="{6D780521-C518-44D9-BB98-970E6265DB0C}"/>
    <cellStyle name="40% - Accent3 2 2 7 4" xfId="10861" xr:uid="{BC61FAEF-E8E6-4F20-9260-CA72F72EC687}"/>
    <cellStyle name="40% - Accent3 2 2 8" xfId="4571" xr:uid="{00000000-0005-0000-0000-00002A050000}"/>
    <cellStyle name="40% - Accent3 2 2 8 2" xfId="21454" xr:uid="{77284B66-80CB-46D0-A91C-CD0AAF95567F}"/>
    <cellStyle name="40% - Accent3 2 2 8 3" xfId="13013" xr:uid="{EA3DB578-6487-4981-B539-C0CC845F880F}"/>
    <cellStyle name="40% - Accent3 2 2 9" xfId="17236" xr:uid="{08D8B703-6F8A-46D1-A363-8C30045C22ED}"/>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24015" xr:uid="{3E29E96D-6C42-49A1-8F0A-5C99928CA12E}"/>
    <cellStyle name="40% - Accent3 2 3 2 2 2 3" xfId="15574" xr:uid="{7726A471-3274-4800-80E5-7D1975D223E6}"/>
    <cellStyle name="40% - Accent3 2 3 2 2 3" xfId="19797" xr:uid="{DA3DDC32-9B98-4FC4-9F1D-9EF64E50CC5F}"/>
    <cellStyle name="40% - Accent3 2 3 2 2 4" xfId="11356" xr:uid="{CA58E82E-CEBA-47BE-B8C1-47FFB56402E2}"/>
    <cellStyle name="40% - Accent3 2 3 2 3" xfId="4987" xr:uid="{00000000-0005-0000-0000-00002F050000}"/>
    <cellStyle name="40% - Accent3 2 3 2 3 2" xfId="21870" xr:uid="{3B63C22F-8284-4686-83AB-D09756FD550C}"/>
    <cellStyle name="40% - Accent3 2 3 2 3 3" xfId="13429" xr:uid="{D1CA0FBC-2582-4EBD-8CEB-99E2A0B0EBE3}"/>
    <cellStyle name="40% - Accent3 2 3 2 4" xfId="17652" xr:uid="{B310C92C-78CC-4521-8451-7789BD7B9064}"/>
    <cellStyle name="40% - Accent3 2 3 2 5" xfId="9211" xr:uid="{72ACB4E7-FA49-4A80-9A79-40E8C8A0029C}"/>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24428" xr:uid="{5A91E6D5-AE0B-4F2C-80E9-B6A358943893}"/>
    <cellStyle name="40% - Accent3 2 3 3 2 2 3" xfId="15987" xr:uid="{D7D03AF7-6E4B-4AC4-A65F-9AAA8E1F983C}"/>
    <cellStyle name="40% - Accent3 2 3 3 2 3" xfId="20210" xr:uid="{313B457D-86A2-467D-8765-69F5B52E7EBE}"/>
    <cellStyle name="40% - Accent3 2 3 3 2 4" xfId="11769" xr:uid="{423995FB-F407-4868-965F-1DEB077D03C0}"/>
    <cellStyle name="40% - Accent3 2 3 3 3" xfId="5400" xr:uid="{00000000-0005-0000-0000-000033050000}"/>
    <cellStyle name="40% - Accent3 2 3 3 3 2" xfId="22283" xr:uid="{61B49220-D168-4D5F-B9F3-287427855146}"/>
    <cellStyle name="40% - Accent3 2 3 3 3 3" xfId="13842" xr:uid="{CC5BB181-B21B-45D8-AC18-F5E4D5851C85}"/>
    <cellStyle name="40% - Accent3 2 3 3 4" xfId="18065" xr:uid="{8420C963-C4EC-4B6D-9C71-E27971402CAB}"/>
    <cellStyle name="40% - Accent3 2 3 3 5" xfId="9624" xr:uid="{E2278F19-051A-4D13-A6B1-398678AC78A0}"/>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24841" xr:uid="{197FFC77-2EA1-4A7A-A1D7-BE31FA1009BE}"/>
    <cellStyle name="40% - Accent3 2 3 4 2 2 3" xfId="16400" xr:uid="{6B24B0E2-3C56-49DF-8827-CCF9E003564D}"/>
    <cellStyle name="40% - Accent3 2 3 4 2 3" xfId="20623" xr:uid="{6BEC0AFE-5B6C-437A-B2CD-67427D861253}"/>
    <cellStyle name="40% - Accent3 2 3 4 2 4" xfId="12182" xr:uid="{7B46E873-766E-4BC4-9ADE-06F41D278222}"/>
    <cellStyle name="40% - Accent3 2 3 4 3" xfId="5813" xr:uid="{00000000-0005-0000-0000-000037050000}"/>
    <cellStyle name="40% - Accent3 2 3 4 3 2" xfId="22696" xr:uid="{2096A3BB-9C28-4D1E-B8F9-2D94AD620C7E}"/>
    <cellStyle name="40% - Accent3 2 3 4 3 3" xfId="14255" xr:uid="{1F5B6694-7197-4951-86BE-70E51A55EE79}"/>
    <cellStyle name="40% - Accent3 2 3 4 4" xfId="18478" xr:uid="{E6672B8E-FF94-46EA-96E9-3A2A12199AE5}"/>
    <cellStyle name="40% - Accent3 2 3 4 5" xfId="10037" xr:uid="{2A0E8A89-3C40-4401-8E31-E5BC81DDAA3C}"/>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25254" xr:uid="{80AA1A5B-CD2D-44B4-B1D2-459D96FAC4C3}"/>
    <cellStyle name="40% - Accent3 2 3 5 2 2 3" xfId="16813" xr:uid="{609B7B51-6427-49CF-8588-F6B1BED42F5B}"/>
    <cellStyle name="40% - Accent3 2 3 5 2 3" xfId="21036" xr:uid="{616649F9-AA67-4A16-8E8F-867359A374FE}"/>
    <cellStyle name="40% - Accent3 2 3 5 2 4" xfId="12595" xr:uid="{9170FF63-C75F-492D-9993-41AFE14A20E7}"/>
    <cellStyle name="40% - Accent3 2 3 5 3" xfId="6226" xr:uid="{00000000-0005-0000-0000-00003B050000}"/>
    <cellStyle name="40% - Accent3 2 3 5 3 2" xfId="23109" xr:uid="{3FD58A7C-708C-4E45-9194-343363BA7799}"/>
    <cellStyle name="40% - Accent3 2 3 5 3 3" xfId="14668" xr:uid="{C38B5682-2B53-44B7-AB90-2C2C82006639}"/>
    <cellStyle name="40% - Accent3 2 3 5 4" xfId="18891" xr:uid="{4BEFF0DB-FE14-4CDE-9E4A-C15D9C9426F2}"/>
    <cellStyle name="40% - Accent3 2 3 5 5" xfId="10450" xr:uid="{4B6DD346-EF24-4D6C-B4D4-A68CE76C26CA}"/>
    <cellStyle name="40% - Accent3 2 3 6" xfId="2332" xr:uid="{00000000-0005-0000-0000-00003C050000}"/>
    <cellStyle name="40% - Accent3 2 3 6 2" xfId="6639" xr:uid="{00000000-0005-0000-0000-00003D050000}"/>
    <cellStyle name="40% - Accent3 2 3 6 2 2" xfId="23522" xr:uid="{7E25DE63-FC1C-4880-BAAB-BA64332730DF}"/>
    <cellStyle name="40% - Accent3 2 3 6 2 3" xfId="15081" xr:uid="{924672E2-5EAC-490D-81D3-BADD9F78475B}"/>
    <cellStyle name="40% - Accent3 2 3 6 3" xfId="19304" xr:uid="{47766676-5D2B-4D75-AE62-CCEAA63D80D7}"/>
    <cellStyle name="40% - Accent3 2 3 6 4" xfId="10863" xr:uid="{31CC825B-B678-440E-89E4-23AD840CEE4C}"/>
    <cellStyle name="40% - Accent3 2 3 7" xfId="4573" xr:uid="{00000000-0005-0000-0000-00003E050000}"/>
    <cellStyle name="40% - Accent3 2 3 7 2" xfId="21456" xr:uid="{7245B80B-CEB9-486E-8A6E-ADA0587C98F9}"/>
    <cellStyle name="40% - Accent3 2 3 7 3" xfId="13015" xr:uid="{1FA52765-6DC5-415E-89CF-F48A1B3BB4FB}"/>
    <cellStyle name="40% - Accent3 2 3 8" xfId="17238" xr:uid="{61A5FC40-B308-4706-8364-38524AD39EA5}"/>
    <cellStyle name="40% - Accent3 2 3 9" xfId="8797" xr:uid="{FB844B49-1787-4B62-82BE-045254C168FC}"/>
    <cellStyle name="40% - Accent3 2 4" xfId="635" xr:uid="{00000000-0005-0000-0000-00003F050000}"/>
    <cellStyle name="40% - Accent3 2 4 2" xfId="2906" xr:uid="{00000000-0005-0000-0000-000040050000}"/>
    <cellStyle name="40% - Accent3 2 4 2 2" xfId="7129" xr:uid="{00000000-0005-0000-0000-000041050000}"/>
    <cellStyle name="40% - Accent3 2 4 2 2 2" xfId="24012" xr:uid="{D222971D-0528-4A5E-96CB-0A7B57426013}"/>
    <cellStyle name="40% - Accent3 2 4 2 2 3" xfId="15571" xr:uid="{56F58A5D-84CD-4BCB-B2D0-C2032AAF32A0}"/>
    <cellStyle name="40% - Accent3 2 4 2 3" xfId="19794" xr:uid="{92FD0677-11EC-4706-9C28-57942BB70354}"/>
    <cellStyle name="40% - Accent3 2 4 2 4" xfId="11353" xr:uid="{E03A1C9E-4414-4A88-B061-65B1BAFADEB8}"/>
    <cellStyle name="40% - Accent3 2 4 3" xfId="4984" xr:uid="{00000000-0005-0000-0000-000042050000}"/>
    <cellStyle name="40% - Accent3 2 4 3 2" xfId="21867" xr:uid="{B1E19AC0-3B99-4638-AF1D-4FC66ABC9D0F}"/>
    <cellStyle name="40% - Accent3 2 4 3 3" xfId="13426" xr:uid="{40289EF0-B112-4C54-BC6E-97CA52AFE6B3}"/>
    <cellStyle name="40% - Accent3 2 4 4" xfId="17649" xr:uid="{4E9B1ACC-A892-4350-923B-9DF75271E7CF}"/>
    <cellStyle name="40% - Accent3 2 4 5" xfId="9208" xr:uid="{FCC44E2F-A55C-42C2-A39B-4E453A15473D}"/>
    <cellStyle name="40% - Accent3 2 5" xfId="1088" xr:uid="{00000000-0005-0000-0000-000043050000}"/>
    <cellStyle name="40% - Accent3 2 5 2" xfId="3319" xr:uid="{00000000-0005-0000-0000-000044050000}"/>
    <cellStyle name="40% - Accent3 2 5 2 2" xfId="7542" xr:uid="{00000000-0005-0000-0000-000045050000}"/>
    <cellStyle name="40% - Accent3 2 5 2 2 2" xfId="24425" xr:uid="{1966701A-8B9D-4A25-A762-44BF96A6A846}"/>
    <cellStyle name="40% - Accent3 2 5 2 2 3" xfId="15984" xr:uid="{C91A57D4-9BC0-4BBA-96E9-B5AD9F437F15}"/>
    <cellStyle name="40% - Accent3 2 5 2 3" xfId="20207" xr:uid="{93A19A03-7282-4DDB-9961-079566BD578D}"/>
    <cellStyle name="40% - Accent3 2 5 2 4" xfId="11766" xr:uid="{300FC5F7-3FC2-4617-A92A-E1F0C45052B7}"/>
    <cellStyle name="40% - Accent3 2 5 3" xfId="5397" xr:uid="{00000000-0005-0000-0000-000046050000}"/>
    <cellStyle name="40% - Accent3 2 5 3 2" xfId="22280" xr:uid="{88AC3B1C-0FB9-47EA-80D9-D2C9C39A1B9C}"/>
    <cellStyle name="40% - Accent3 2 5 3 3" xfId="13839" xr:uid="{6F3EA051-E743-4DE5-9462-3408984357AE}"/>
    <cellStyle name="40% - Accent3 2 5 4" xfId="18062" xr:uid="{5594DC7C-9D51-4042-BCFD-93D908941C8C}"/>
    <cellStyle name="40% - Accent3 2 5 5" xfId="9621" xr:uid="{A5E624C7-3EBD-4AA1-B983-150825930BF0}"/>
    <cellStyle name="40% - Accent3 2 6" xfId="1502" xr:uid="{00000000-0005-0000-0000-000047050000}"/>
    <cellStyle name="40% - Accent3 2 6 2" xfId="3732" xr:uid="{00000000-0005-0000-0000-000048050000}"/>
    <cellStyle name="40% - Accent3 2 6 2 2" xfId="7955" xr:uid="{00000000-0005-0000-0000-000049050000}"/>
    <cellStyle name="40% - Accent3 2 6 2 2 2" xfId="24838" xr:uid="{C08EAE36-927E-4B2D-AA43-92690A42D06D}"/>
    <cellStyle name="40% - Accent3 2 6 2 2 3" xfId="16397" xr:uid="{D82C44E4-BCB2-4D65-A89F-A363A449773E}"/>
    <cellStyle name="40% - Accent3 2 6 2 3" xfId="20620" xr:uid="{E5D6C904-06CB-48C8-84CD-F26B36986A16}"/>
    <cellStyle name="40% - Accent3 2 6 2 4" xfId="12179" xr:uid="{7CDEC08C-1FCE-43BA-8FCA-A289129DD2FC}"/>
    <cellStyle name="40% - Accent3 2 6 3" xfId="5810" xr:uid="{00000000-0005-0000-0000-00004A050000}"/>
    <cellStyle name="40% - Accent3 2 6 3 2" xfId="22693" xr:uid="{AAC7AEEC-AB9C-42A7-9B53-D819F9017135}"/>
    <cellStyle name="40% - Accent3 2 6 3 3" xfId="14252" xr:uid="{F24EE941-F7AD-4F9C-9F22-2CFFF9B00174}"/>
    <cellStyle name="40% - Accent3 2 6 4" xfId="18475" xr:uid="{77B13050-E094-4678-941E-52B1DE5C5668}"/>
    <cellStyle name="40% - Accent3 2 6 5" xfId="10034" xr:uid="{E0ADD892-32EF-4ABA-9CB6-C98AAD4BF571}"/>
    <cellStyle name="40% - Accent3 2 7" xfId="1916" xr:uid="{00000000-0005-0000-0000-00004B050000}"/>
    <cellStyle name="40% - Accent3 2 7 2" xfId="4145" xr:uid="{00000000-0005-0000-0000-00004C050000}"/>
    <cellStyle name="40% - Accent3 2 7 2 2" xfId="8368" xr:uid="{00000000-0005-0000-0000-00004D050000}"/>
    <cellStyle name="40% - Accent3 2 7 2 2 2" xfId="25251" xr:uid="{4E2B9068-E63B-4B12-9932-59EEFFC9DD4F}"/>
    <cellStyle name="40% - Accent3 2 7 2 2 3" xfId="16810" xr:uid="{4E4C1FD4-5216-4EED-82FD-04DC9155D7D2}"/>
    <cellStyle name="40% - Accent3 2 7 2 3" xfId="21033" xr:uid="{7245EE0D-0D22-45E3-9078-D0BA04ECA3FE}"/>
    <cellStyle name="40% - Accent3 2 7 2 4" xfId="12592" xr:uid="{E7FFD6C1-CE66-4ABE-A95B-24CB8CF6EC12}"/>
    <cellStyle name="40% - Accent3 2 7 3" xfId="6223" xr:uid="{00000000-0005-0000-0000-00004E050000}"/>
    <cellStyle name="40% - Accent3 2 7 3 2" xfId="23106" xr:uid="{1F3A92C8-F081-439D-909E-AA98E1975BF5}"/>
    <cellStyle name="40% - Accent3 2 7 3 3" xfId="14665" xr:uid="{D27F76B5-4234-4104-8025-E5D465356DB6}"/>
    <cellStyle name="40% - Accent3 2 7 4" xfId="18888" xr:uid="{CD162ABE-F8AD-447A-B67B-20B18351C645}"/>
    <cellStyle name="40% - Accent3 2 7 5" xfId="10447" xr:uid="{E1556589-626B-4AD4-8E75-45A889116B91}"/>
    <cellStyle name="40% - Accent3 2 8" xfId="2329" xr:uid="{00000000-0005-0000-0000-00004F050000}"/>
    <cellStyle name="40% - Accent3 2 8 2" xfId="6636" xr:uid="{00000000-0005-0000-0000-000050050000}"/>
    <cellStyle name="40% - Accent3 2 8 2 2" xfId="23519" xr:uid="{A25C2234-9F3D-43B1-98E9-8CC310923EE7}"/>
    <cellStyle name="40% - Accent3 2 8 2 3" xfId="15078" xr:uid="{63E55DD9-05BF-42CA-B2A4-CC573949FB10}"/>
    <cellStyle name="40% - Accent3 2 8 3" xfId="19301" xr:uid="{FD0BB76F-EFB6-4A53-8E31-F2FBFF93CDB7}"/>
    <cellStyle name="40% - Accent3 2 8 4" xfId="10860" xr:uid="{57632F0E-C509-4E9A-8C00-D93BE3B930B9}"/>
    <cellStyle name="40% - Accent3 2 9" xfId="4570" xr:uid="{00000000-0005-0000-0000-000051050000}"/>
    <cellStyle name="40% - Accent3 2 9 2" xfId="21453" xr:uid="{8E3C266D-6F38-4A31-B9F1-C45CE4B73E0C}"/>
    <cellStyle name="40% - Accent3 2 9 3" xfId="13012" xr:uid="{63D54835-FF7C-4FA5-86AC-F64B8D899C9F}"/>
    <cellStyle name="40% - Accent3 3" xfId="70" xr:uid="{00000000-0005-0000-0000-000052050000}"/>
    <cellStyle name="40% - Accent3 3 10" xfId="8798" xr:uid="{F1A9B4DB-00A3-469B-8EAC-DCBCA5E5223A}"/>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24017" xr:uid="{A1DE00B0-07E6-44EB-8A49-3C27BF5D9DB8}"/>
    <cellStyle name="40% - Accent3 3 2 2 2 2 3" xfId="15576" xr:uid="{5C863696-3261-4D69-82D5-137B8B6901B1}"/>
    <cellStyle name="40% - Accent3 3 2 2 2 3" xfId="19799" xr:uid="{A9B4FFC1-AAFD-4E5A-BBA7-7AB730472569}"/>
    <cellStyle name="40% - Accent3 3 2 2 2 4" xfId="11358" xr:uid="{C309BB4D-4C1A-4108-8EC5-0AFD87F6FBD7}"/>
    <cellStyle name="40% - Accent3 3 2 2 3" xfId="4989" xr:uid="{00000000-0005-0000-0000-000057050000}"/>
    <cellStyle name="40% - Accent3 3 2 2 3 2" xfId="21872" xr:uid="{479E1501-E742-409C-A762-96BB2531B3DF}"/>
    <cellStyle name="40% - Accent3 3 2 2 3 3" xfId="13431" xr:uid="{E6CEEFFB-A20E-4220-B181-92C3D340D486}"/>
    <cellStyle name="40% - Accent3 3 2 2 4" xfId="17654" xr:uid="{B46D9875-055A-4D5E-94D0-38CE7E4BDCB0}"/>
    <cellStyle name="40% - Accent3 3 2 2 5" xfId="9213" xr:uid="{5004A504-58E1-4FEB-B05A-F16CAC348B52}"/>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24430" xr:uid="{D551B53D-FEC9-454B-BB2E-9D3923FF4EBF}"/>
    <cellStyle name="40% - Accent3 3 2 3 2 2 3" xfId="15989" xr:uid="{76BB1F0E-BC07-4F1C-916C-9B9B495CF650}"/>
    <cellStyle name="40% - Accent3 3 2 3 2 3" xfId="20212" xr:uid="{77EF97D0-F73B-4C2E-94EE-8E3D629C6749}"/>
    <cellStyle name="40% - Accent3 3 2 3 2 4" xfId="11771" xr:uid="{D9BE2F07-D258-4568-987C-15C24D09B77D}"/>
    <cellStyle name="40% - Accent3 3 2 3 3" xfId="5402" xr:uid="{00000000-0005-0000-0000-00005B050000}"/>
    <cellStyle name="40% - Accent3 3 2 3 3 2" xfId="22285" xr:uid="{A68F4C8E-E1D3-491E-ACC8-9102D275E9F4}"/>
    <cellStyle name="40% - Accent3 3 2 3 3 3" xfId="13844" xr:uid="{227A3E39-AB53-4AE5-9240-2FC6472A0034}"/>
    <cellStyle name="40% - Accent3 3 2 3 4" xfId="18067" xr:uid="{A2BBED9C-8272-4A03-8EFC-548292370C50}"/>
    <cellStyle name="40% - Accent3 3 2 3 5" xfId="9626" xr:uid="{7E223859-70D5-4251-B46D-1A81BB456BF4}"/>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24843" xr:uid="{9877D1AE-4236-4D45-9BD9-5620FB935B05}"/>
    <cellStyle name="40% - Accent3 3 2 4 2 2 3" xfId="16402" xr:uid="{AD16E7FA-28C1-4FB0-B253-A800F69A07B2}"/>
    <cellStyle name="40% - Accent3 3 2 4 2 3" xfId="20625" xr:uid="{89191648-BAFD-4DBF-95E6-5A4AC2795B1F}"/>
    <cellStyle name="40% - Accent3 3 2 4 2 4" xfId="12184" xr:uid="{0860F5FB-1DD1-4786-BD40-263130AC9E2C}"/>
    <cellStyle name="40% - Accent3 3 2 4 3" xfId="5815" xr:uid="{00000000-0005-0000-0000-00005F050000}"/>
    <cellStyle name="40% - Accent3 3 2 4 3 2" xfId="22698" xr:uid="{E2C76DBF-6556-4C4F-AC42-A6B7765FFDF8}"/>
    <cellStyle name="40% - Accent3 3 2 4 3 3" xfId="14257" xr:uid="{2CA5CD2B-7EBC-4328-AB81-D10EFA9030B7}"/>
    <cellStyle name="40% - Accent3 3 2 4 4" xfId="18480" xr:uid="{0D43A0D7-9594-44AC-8257-365305DB5491}"/>
    <cellStyle name="40% - Accent3 3 2 4 5" xfId="10039" xr:uid="{BBEB75E7-674A-4CE4-B4ED-2A42ABFCC0F9}"/>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25256" xr:uid="{8590BB2C-480E-4DB4-8F1A-EB0F81BD4765}"/>
    <cellStyle name="40% - Accent3 3 2 5 2 2 3" xfId="16815" xr:uid="{EEDB0DA1-99A8-4C94-A477-B98AA18804E4}"/>
    <cellStyle name="40% - Accent3 3 2 5 2 3" xfId="21038" xr:uid="{2770DB3E-8D24-4ECE-A609-84470FF0B9FF}"/>
    <cellStyle name="40% - Accent3 3 2 5 2 4" xfId="12597" xr:uid="{8660FBCE-9A63-4FBD-A93E-D5706D79E015}"/>
    <cellStyle name="40% - Accent3 3 2 5 3" xfId="6228" xr:uid="{00000000-0005-0000-0000-000063050000}"/>
    <cellStyle name="40% - Accent3 3 2 5 3 2" xfId="23111" xr:uid="{68AFB219-2F31-4D56-8E78-13680255D10C}"/>
    <cellStyle name="40% - Accent3 3 2 5 3 3" xfId="14670" xr:uid="{9F3879BA-3795-4978-B9B9-42E414789980}"/>
    <cellStyle name="40% - Accent3 3 2 5 4" xfId="18893" xr:uid="{513E5815-7686-44C6-BE34-58D043B04491}"/>
    <cellStyle name="40% - Accent3 3 2 5 5" xfId="10452" xr:uid="{3743C486-65D1-40CC-AEBF-C7689EADB555}"/>
    <cellStyle name="40% - Accent3 3 2 6" xfId="2334" xr:uid="{00000000-0005-0000-0000-000064050000}"/>
    <cellStyle name="40% - Accent3 3 2 6 2" xfId="6641" xr:uid="{00000000-0005-0000-0000-000065050000}"/>
    <cellStyle name="40% - Accent3 3 2 6 2 2" xfId="23524" xr:uid="{11F350E3-3954-461E-815B-C4456EB14CFD}"/>
    <cellStyle name="40% - Accent3 3 2 6 2 3" xfId="15083" xr:uid="{4155FC94-9B61-4EC9-9C7B-C4C491A568DD}"/>
    <cellStyle name="40% - Accent3 3 2 6 3" xfId="19306" xr:uid="{094B3FD3-F7E7-40E5-AAEF-B577B6E50315}"/>
    <cellStyle name="40% - Accent3 3 2 6 4" xfId="10865" xr:uid="{6A32A817-833D-44EE-9CA2-E666022DCB10}"/>
    <cellStyle name="40% - Accent3 3 2 7" xfId="4575" xr:uid="{00000000-0005-0000-0000-000066050000}"/>
    <cellStyle name="40% - Accent3 3 2 7 2" xfId="21458" xr:uid="{930EA798-7ACC-4F03-BCF5-709A973ADE1B}"/>
    <cellStyle name="40% - Accent3 3 2 7 3" xfId="13017" xr:uid="{0DEE7CB6-BE60-416F-A19C-53288FCB81F8}"/>
    <cellStyle name="40% - Accent3 3 2 8" xfId="17240" xr:uid="{8B62237A-A180-4248-B34E-3458B5256F13}"/>
    <cellStyle name="40% - Accent3 3 2 9" xfId="8799" xr:uid="{F184A97C-49C9-4852-AD68-522E20DB7ACF}"/>
    <cellStyle name="40% - Accent3 3 3" xfId="639" xr:uid="{00000000-0005-0000-0000-000067050000}"/>
    <cellStyle name="40% - Accent3 3 3 2" xfId="2910" xr:uid="{00000000-0005-0000-0000-000068050000}"/>
    <cellStyle name="40% - Accent3 3 3 2 2" xfId="7133" xr:uid="{00000000-0005-0000-0000-000069050000}"/>
    <cellStyle name="40% - Accent3 3 3 2 2 2" xfId="24016" xr:uid="{40E3F84C-67A4-4385-902A-EA6037EA389A}"/>
    <cellStyle name="40% - Accent3 3 3 2 2 3" xfId="15575" xr:uid="{90A82919-369C-4A97-9DE6-4F9A8B19CAC4}"/>
    <cellStyle name="40% - Accent3 3 3 2 3" xfId="19798" xr:uid="{4DB2A827-80E3-485C-870B-E01D3DB5A3AE}"/>
    <cellStyle name="40% - Accent3 3 3 2 4" xfId="11357" xr:uid="{66AF29DD-52AB-416F-8239-B5D8CFFA1519}"/>
    <cellStyle name="40% - Accent3 3 3 3" xfId="4988" xr:uid="{00000000-0005-0000-0000-00006A050000}"/>
    <cellStyle name="40% - Accent3 3 3 3 2" xfId="21871" xr:uid="{C4F3697A-9C53-47F5-908D-255C07E10916}"/>
    <cellStyle name="40% - Accent3 3 3 3 3" xfId="13430" xr:uid="{2C75D947-D6C1-440A-898F-8B16E4C3187F}"/>
    <cellStyle name="40% - Accent3 3 3 4" xfId="17653" xr:uid="{118A96D7-110C-45D7-B726-2F5102AF1085}"/>
    <cellStyle name="40% - Accent3 3 3 5" xfId="9212" xr:uid="{5586FE08-7CF3-47EB-8062-9A5BE67FE19F}"/>
    <cellStyle name="40% - Accent3 3 4" xfId="1092" xr:uid="{00000000-0005-0000-0000-00006B050000}"/>
    <cellStyle name="40% - Accent3 3 4 2" xfId="3323" xr:uid="{00000000-0005-0000-0000-00006C050000}"/>
    <cellStyle name="40% - Accent3 3 4 2 2" xfId="7546" xr:uid="{00000000-0005-0000-0000-00006D050000}"/>
    <cellStyle name="40% - Accent3 3 4 2 2 2" xfId="24429" xr:uid="{D5EB1BDB-9BC3-404C-AC7E-58B2064D82A9}"/>
    <cellStyle name="40% - Accent3 3 4 2 2 3" xfId="15988" xr:uid="{B61E77F2-0D83-4385-8FA6-EDCA0F693C35}"/>
    <cellStyle name="40% - Accent3 3 4 2 3" xfId="20211" xr:uid="{18269295-1741-453E-9C8F-A152074E1490}"/>
    <cellStyle name="40% - Accent3 3 4 2 4" xfId="11770" xr:uid="{E361A853-A3CD-48E3-B2DD-C2CE8FACB6D6}"/>
    <cellStyle name="40% - Accent3 3 4 3" xfId="5401" xr:uid="{00000000-0005-0000-0000-00006E050000}"/>
    <cellStyle name="40% - Accent3 3 4 3 2" xfId="22284" xr:uid="{8C8F8B8B-4DCD-4E91-91E2-4F28406C4C84}"/>
    <cellStyle name="40% - Accent3 3 4 3 3" xfId="13843" xr:uid="{1204D315-A93A-48C0-838B-FA5D8CE5CDC6}"/>
    <cellStyle name="40% - Accent3 3 4 4" xfId="18066" xr:uid="{328658E2-18E0-425A-8FCD-40830A2E3E3E}"/>
    <cellStyle name="40% - Accent3 3 4 5" xfId="9625" xr:uid="{B7A9D5B8-116E-4903-A858-DDB8ADC0F249}"/>
    <cellStyle name="40% - Accent3 3 5" xfId="1506" xr:uid="{00000000-0005-0000-0000-00006F050000}"/>
    <cellStyle name="40% - Accent3 3 5 2" xfId="3736" xr:uid="{00000000-0005-0000-0000-000070050000}"/>
    <cellStyle name="40% - Accent3 3 5 2 2" xfId="7959" xr:uid="{00000000-0005-0000-0000-000071050000}"/>
    <cellStyle name="40% - Accent3 3 5 2 2 2" xfId="24842" xr:uid="{0BA6AAD3-DF67-49CB-8785-628ECF4F1C73}"/>
    <cellStyle name="40% - Accent3 3 5 2 2 3" xfId="16401" xr:uid="{ECC8E07D-BF79-403F-BF16-FFB1B0EFD8A5}"/>
    <cellStyle name="40% - Accent3 3 5 2 3" xfId="20624" xr:uid="{FF38284F-1D97-45CF-A940-621631328A8E}"/>
    <cellStyle name="40% - Accent3 3 5 2 4" xfId="12183" xr:uid="{05D51C08-C98F-43E3-9CF1-8501CFE91539}"/>
    <cellStyle name="40% - Accent3 3 5 3" xfId="5814" xr:uid="{00000000-0005-0000-0000-000072050000}"/>
    <cellStyle name="40% - Accent3 3 5 3 2" xfId="22697" xr:uid="{D87B3FC0-9BC4-4C02-BEC0-4530848E2C8E}"/>
    <cellStyle name="40% - Accent3 3 5 3 3" xfId="14256" xr:uid="{9460DEBB-32CC-42F7-9558-5F238DDE60DB}"/>
    <cellStyle name="40% - Accent3 3 5 4" xfId="18479" xr:uid="{59A456A1-F3E9-4444-A1B7-E42270A5CB41}"/>
    <cellStyle name="40% - Accent3 3 5 5" xfId="10038" xr:uid="{1F1177A9-15DA-419E-9C84-40AF04539B35}"/>
    <cellStyle name="40% - Accent3 3 6" xfId="1920" xr:uid="{00000000-0005-0000-0000-000073050000}"/>
    <cellStyle name="40% - Accent3 3 6 2" xfId="4149" xr:uid="{00000000-0005-0000-0000-000074050000}"/>
    <cellStyle name="40% - Accent3 3 6 2 2" xfId="8372" xr:uid="{00000000-0005-0000-0000-000075050000}"/>
    <cellStyle name="40% - Accent3 3 6 2 2 2" xfId="25255" xr:uid="{C664FC64-D495-4EEC-93CE-AC6924E661D6}"/>
    <cellStyle name="40% - Accent3 3 6 2 2 3" xfId="16814" xr:uid="{D97F3CFB-60C5-40DF-9C60-4010CE8E0C2D}"/>
    <cellStyle name="40% - Accent3 3 6 2 3" xfId="21037" xr:uid="{E0711D7A-8AFD-4132-86FE-8DF8C3769A1C}"/>
    <cellStyle name="40% - Accent3 3 6 2 4" xfId="12596" xr:uid="{348F2E51-0ED9-4544-A32F-E925A74C201A}"/>
    <cellStyle name="40% - Accent3 3 6 3" xfId="6227" xr:uid="{00000000-0005-0000-0000-000076050000}"/>
    <cellStyle name="40% - Accent3 3 6 3 2" xfId="23110" xr:uid="{FE2FB29F-CE8C-444F-8E54-B584C2887832}"/>
    <cellStyle name="40% - Accent3 3 6 3 3" xfId="14669" xr:uid="{7F9C7460-B6EA-4432-88C0-A7E562523652}"/>
    <cellStyle name="40% - Accent3 3 6 4" xfId="18892" xr:uid="{7696649C-73A0-42C2-8450-ACACD392482C}"/>
    <cellStyle name="40% - Accent3 3 6 5" xfId="10451" xr:uid="{6F20B514-891D-4623-B1BE-4A5BFDB990AE}"/>
    <cellStyle name="40% - Accent3 3 7" xfId="2333" xr:uid="{00000000-0005-0000-0000-000077050000}"/>
    <cellStyle name="40% - Accent3 3 7 2" xfId="6640" xr:uid="{00000000-0005-0000-0000-000078050000}"/>
    <cellStyle name="40% - Accent3 3 7 2 2" xfId="23523" xr:uid="{CC03C4EC-20D7-4528-9B7E-1B6926E66F22}"/>
    <cellStyle name="40% - Accent3 3 7 2 3" xfId="15082" xr:uid="{1F009B66-2AED-43D0-9009-9FCAAAA6A7DE}"/>
    <cellStyle name="40% - Accent3 3 7 3" xfId="19305" xr:uid="{F047C165-BE43-4688-8A11-D968D4C16147}"/>
    <cellStyle name="40% - Accent3 3 7 4" xfId="10864" xr:uid="{D036330C-44F3-40AF-9764-3DB6518B447A}"/>
    <cellStyle name="40% - Accent3 3 8" xfId="4574" xr:uid="{00000000-0005-0000-0000-000079050000}"/>
    <cellStyle name="40% - Accent3 3 8 2" xfId="21457" xr:uid="{CD774FC7-5F06-40E4-8C3C-60527CBEE396}"/>
    <cellStyle name="40% - Accent3 3 8 3" xfId="13016" xr:uid="{6A57D491-1201-46A0-B869-C0E980DE6BCF}"/>
    <cellStyle name="40% - Accent3 3 9" xfId="17239" xr:uid="{9AC60642-D625-4237-B986-0C40EC8E4689}"/>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24018" xr:uid="{1BCA0DDD-5C02-4A87-8446-E0E30DC34F3C}"/>
    <cellStyle name="40% - Accent3 4 2 2 2 3" xfId="15577" xr:uid="{22EFF8C4-6515-48C9-A7D2-6552418872E1}"/>
    <cellStyle name="40% - Accent3 4 2 2 3" xfId="19800" xr:uid="{0EB2D4FD-7F71-4758-B72E-2C0F3EE6B121}"/>
    <cellStyle name="40% - Accent3 4 2 2 4" xfId="11359" xr:uid="{E843208B-452A-4361-A457-51F66A71AD48}"/>
    <cellStyle name="40% - Accent3 4 2 3" xfId="4990" xr:uid="{00000000-0005-0000-0000-00007E050000}"/>
    <cellStyle name="40% - Accent3 4 2 3 2" xfId="21873" xr:uid="{B757B94A-AC50-46AD-850E-C08BB9A766AD}"/>
    <cellStyle name="40% - Accent3 4 2 3 3" xfId="13432" xr:uid="{662E3E86-2CDF-4DEA-8596-FC4E5C04E29B}"/>
    <cellStyle name="40% - Accent3 4 2 4" xfId="17655" xr:uid="{836D7221-1700-4B74-8A06-2A98FA632701}"/>
    <cellStyle name="40% - Accent3 4 2 5" xfId="9214" xr:uid="{AFDD1EEF-721C-4395-ADE0-FAE0D5A7A867}"/>
    <cellStyle name="40% - Accent3 4 3" xfId="1094" xr:uid="{00000000-0005-0000-0000-00007F050000}"/>
    <cellStyle name="40% - Accent3 4 3 2" xfId="3325" xr:uid="{00000000-0005-0000-0000-000080050000}"/>
    <cellStyle name="40% - Accent3 4 3 2 2" xfId="7548" xr:uid="{00000000-0005-0000-0000-000081050000}"/>
    <cellStyle name="40% - Accent3 4 3 2 2 2" xfId="24431" xr:uid="{B7E1F8B2-C002-40DD-8D24-FDD0A0C4EF8B}"/>
    <cellStyle name="40% - Accent3 4 3 2 2 3" xfId="15990" xr:uid="{397EFBD6-369E-4490-9D69-6F4FC8019887}"/>
    <cellStyle name="40% - Accent3 4 3 2 3" xfId="20213" xr:uid="{E61F520F-1BF2-4713-9CFD-61818323A865}"/>
    <cellStyle name="40% - Accent3 4 3 2 4" xfId="11772" xr:uid="{6A2FB4EE-56D0-4461-9CB8-351C65F2330A}"/>
    <cellStyle name="40% - Accent3 4 3 3" xfId="5403" xr:uid="{00000000-0005-0000-0000-000082050000}"/>
    <cellStyle name="40% - Accent3 4 3 3 2" xfId="22286" xr:uid="{331D8CEE-931C-4DDF-AB82-3BA44A3D59DB}"/>
    <cellStyle name="40% - Accent3 4 3 3 3" xfId="13845" xr:uid="{066192B0-D617-46A3-B5E2-D927075495C6}"/>
    <cellStyle name="40% - Accent3 4 3 4" xfId="18068" xr:uid="{40C032DD-4A5B-41DF-AC0A-9DCC53696DA1}"/>
    <cellStyle name="40% - Accent3 4 3 5" xfId="9627" xr:uid="{E22B9002-D2D1-4644-9628-83B47474C1D3}"/>
    <cellStyle name="40% - Accent3 4 4" xfId="1508" xr:uid="{00000000-0005-0000-0000-000083050000}"/>
    <cellStyle name="40% - Accent3 4 4 2" xfId="3738" xr:uid="{00000000-0005-0000-0000-000084050000}"/>
    <cellStyle name="40% - Accent3 4 4 2 2" xfId="7961" xr:uid="{00000000-0005-0000-0000-000085050000}"/>
    <cellStyle name="40% - Accent3 4 4 2 2 2" xfId="24844" xr:uid="{DD4AED5E-D9BD-4302-99D5-46CC55D3B899}"/>
    <cellStyle name="40% - Accent3 4 4 2 2 3" xfId="16403" xr:uid="{8254C616-FDFB-48FD-9E12-F10E9FDDC515}"/>
    <cellStyle name="40% - Accent3 4 4 2 3" xfId="20626" xr:uid="{DA4831EA-BE34-46A0-B34E-DCB22192DC05}"/>
    <cellStyle name="40% - Accent3 4 4 2 4" xfId="12185" xr:uid="{E57CA5EB-ED33-4481-A5FF-77F6FD3CF38D}"/>
    <cellStyle name="40% - Accent3 4 4 3" xfId="5816" xr:uid="{00000000-0005-0000-0000-000086050000}"/>
    <cellStyle name="40% - Accent3 4 4 3 2" xfId="22699" xr:uid="{9169B550-2717-4F2D-9FEF-018B6403E32D}"/>
    <cellStyle name="40% - Accent3 4 4 3 3" xfId="14258" xr:uid="{20ECC382-4941-4674-8ABC-8EF65B226813}"/>
    <cellStyle name="40% - Accent3 4 4 4" xfId="18481" xr:uid="{DC8EAA51-5B3D-49D2-9583-611ABDEB1F7E}"/>
    <cellStyle name="40% - Accent3 4 4 5" xfId="10040" xr:uid="{A6C51E4C-9CD4-4D5B-8E32-48E0CB86FE1F}"/>
    <cellStyle name="40% - Accent3 4 5" xfId="1922" xr:uid="{00000000-0005-0000-0000-000087050000}"/>
    <cellStyle name="40% - Accent3 4 5 2" xfId="4151" xr:uid="{00000000-0005-0000-0000-000088050000}"/>
    <cellStyle name="40% - Accent3 4 5 2 2" xfId="8374" xr:uid="{00000000-0005-0000-0000-000089050000}"/>
    <cellStyle name="40% - Accent3 4 5 2 2 2" xfId="25257" xr:uid="{2660B3D0-6342-4C9D-8661-13BCC9703465}"/>
    <cellStyle name="40% - Accent3 4 5 2 2 3" xfId="16816" xr:uid="{238547D7-7C0D-4A3F-BF25-D5663EA8F36F}"/>
    <cellStyle name="40% - Accent3 4 5 2 3" xfId="21039" xr:uid="{BE22D915-5F40-4627-845C-A74716B719E4}"/>
    <cellStyle name="40% - Accent3 4 5 2 4" xfId="12598" xr:uid="{3B845955-D94A-43F5-B73D-2E643F2F5924}"/>
    <cellStyle name="40% - Accent3 4 5 3" xfId="6229" xr:uid="{00000000-0005-0000-0000-00008A050000}"/>
    <cellStyle name="40% - Accent3 4 5 3 2" xfId="23112" xr:uid="{0333D39D-C94C-468C-95D2-F1AC0C3E41D2}"/>
    <cellStyle name="40% - Accent3 4 5 3 3" xfId="14671" xr:uid="{86CACF2A-F968-4DF1-BDE9-6B08DC28FE0D}"/>
    <cellStyle name="40% - Accent3 4 5 4" xfId="18894" xr:uid="{A5731998-5CC1-4A5A-8DE1-014278E8F8D4}"/>
    <cellStyle name="40% - Accent3 4 5 5" xfId="10453" xr:uid="{05394F6C-011B-413B-BDE9-33F88186DB70}"/>
    <cellStyle name="40% - Accent3 4 6" xfId="2335" xr:uid="{00000000-0005-0000-0000-00008B050000}"/>
    <cellStyle name="40% - Accent3 4 6 2" xfId="6642" xr:uid="{00000000-0005-0000-0000-00008C050000}"/>
    <cellStyle name="40% - Accent3 4 6 2 2" xfId="23525" xr:uid="{BF26342B-0CFD-4042-9A68-95EF17601307}"/>
    <cellStyle name="40% - Accent3 4 6 2 3" xfId="15084" xr:uid="{48A800CC-A407-4E4B-B928-EF761E5750E2}"/>
    <cellStyle name="40% - Accent3 4 6 3" xfId="19307" xr:uid="{8525811C-121B-4D9C-801A-9A22760EB31A}"/>
    <cellStyle name="40% - Accent3 4 6 4" xfId="10866" xr:uid="{FF952FDF-26A8-4C87-87AB-2224A07D2D35}"/>
    <cellStyle name="40% - Accent3 4 7" xfId="4576" xr:uid="{00000000-0005-0000-0000-00008D050000}"/>
    <cellStyle name="40% - Accent3 4 7 2" xfId="21459" xr:uid="{659A25A2-5D0F-4B0A-9395-0670CE29AA77}"/>
    <cellStyle name="40% - Accent3 4 7 3" xfId="13018" xr:uid="{2CE78795-B299-481A-AFDE-27DCF24978AD}"/>
    <cellStyle name="40% - Accent3 4 8" xfId="17241" xr:uid="{6FD8684C-4E30-43D7-AF45-ED3A1BA0311C}"/>
    <cellStyle name="40% - Accent3 4 9" xfId="8800" xr:uid="{F5D820E6-9A94-4BD8-8F0F-7063D4DDD507}"/>
    <cellStyle name="40% - Accent3 5" xfId="634" xr:uid="{00000000-0005-0000-0000-00008E050000}"/>
    <cellStyle name="40% - Accent3 5 2" xfId="2905" xr:uid="{00000000-0005-0000-0000-00008F050000}"/>
    <cellStyle name="40% - Accent3 5 2 2" xfId="7128" xr:uid="{00000000-0005-0000-0000-000090050000}"/>
    <cellStyle name="40% - Accent3 5 2 2 2" xfId="24011" xr:uid="{2F7B202E-3388-4128-A690-9DE9A58B57A8}"/>
    <cellStyle name="40% - Accent3 5 2 2 3" xfId="15570" xr:uid="{E67E26B2-7F72-4CC7-BE7B-05813950F820}"/>
    <cellStyle name="40% - Accent3 5 2 3" xfId="19793" xr:uid="{4EDF7F61-4763-4A5B-B202-E8C1238B5F0D}"/>
    <cellStyle name="40% - Accent3 5 2 4" xfId="11352" xr:uid="{F723D35C-5EA2-4600-AB60-2421087BAE39}"/>
    <cellStyle name="40% - Accent3 5 3" xfId="4983" xr:uid="{00000000-0005-0000-0000-000091050000}"/>
    <cellStyle name="40% - Accent3 5 3 2" xfId="21866" xr:uid="{5D7304E2-34A7-4D69-A91B-AAFD5D713AD1}"/>
    <cellStyle name="40% - Accent3 5 3 3" xfId="13425" xr:uid="{34D6E927-FEFA-43FC-A994-CA33644E03FA}"/>
    <cellStyle name="40% - Accent3 5 4" xfId="17648" xr:uid="{CEED16FE-025F-442E-8A3D-BC4D7839C2FF}"/>
    <cellStyle name="40% - Accent3 5 5" xfId="9207" xr:uid="{987D55E6-A765-40A5-9A2F-E2E9834473CB}"/>
    <cellStyle name="40% - Accent3 6" xfId="1087" xr:uid="{00000000-0005-0000-0000-000092050000}"/>
    <cellStyle name="40% - Accent3 6 2" xfId="3318" xr:uid="{00000000-0005-0000-0000-000093050000}"/>
    <cellStyle name="40% - Accent3 6 2 2" xfId="7541" xr:uid="{00000000-0005-0000-0000-000094050000}"/>
    <cellStyle name="40% - Accent3 6 2 2 2" xfId="24424" xr:uid="{B2A65A8E-04F9-40CC-A0FF-E111F7A03A44}"/>
    <cellStyle name="40% - Accent3 6 2 2 3" xfId="15983" xr:uid="{B9F66DAB-4D96-4157-A2AC-2F5466B321AE}"/>
    <cellStyle name="40% - Accent3 6 2 3" xfId="20206" xr:uid="{5A3EF7D3-DA55-40F7-935F-032D2E400B56}"/>
    <cellStyle name="40% - Accent3 6 2 4" xfId="11765" xr:uid="{D6A996A3-0769-492A-891D-30DB45AAB33A}"/>
    <cellStyle name="40% - Accent3 6 3" xfId="5396" xr:uid="{00000000-0005-0000-0000-000095050000}"/>
    <cellStyle name="40% - Accent3 6 3 2" xfId="22279" xr:uid="{212F51D7-A373-49D3-87AF-2100DECAC6F2}"/>
    <cellStyle name="40% - Accent3 6 3 3" xfId="13838" xr:uid="{5AE2D66C-CFC1-435D-A542-8163B2EC060E}"/>
    <cellStyle name="40% - Accent3 6 4" xfId="18061" xr:uid="{7B56C8E7-5779-421F-801F-A5F9F9460DF6}"/>
    <cellStyle name="40% - Accent3 6 5" xfId="9620" xr:uid="{D61A8AA6-75B3-46DE-9763-AD7520FD3B4F}"/>
    <cellStyle name="40% - Accent3 7" xfId="1501" xr:uid="{00000000-0005-0000-0000-000096050000}"/>
    <cellStyle name="40% - Accent3 7 2" xfId="3731" xr:uid="{00000000-0005-0000-0000-000097050000}"/>
    <cellStyle name="40% - Accent3 7 2 2" xfId="7954" xr:uid="{00000000-0005-0000-0000-000098050000}"/>
    <cellStyle name="40% - Accent3 7 2 2 2" xfId="24837" xr:uid="{CD297A2A-8B09-4D1D-90C6-AD7184CBBDFB}"/>
    <cellStyle name="40% - Accent3 7 2 2 3" xfId="16396" xr:uid="{106D3CFD-F2A5-4259-9077-39B289457DD1}"/>
    <cellStyle name="40% - Accent3 7 2 3" xfId="20619" xr:uid="{638B17E6-8FB4-493D-9E2B-21532BBAD373}"/>
    <cellStyle name="40% - Accent3 7 2 4" xfId="12178" xr:uid="{BD3D40ED-FE31-4ACC-B3E3-A10D4C2CA747}"/>
    <cellStyle name="40% - Accent3 7 3" xfId="5809" xr:uid="{00000000-0005-0000-0000-000099050000}"/>
    <cellStyle name="40% - Accent3 7 3 2" xfId="22692" xr:uid="{BA8D3CC3-08D8-4862-A10C-085B8B57A2BD}"/>
    <cellStyle name="40% - Accent3 7 3 3" xfId="14251" xr:uid="{5E6CFA2D-CD6E-46FD-8C05-8EC49982F6B5}"/>
    <cellStyle name="40% - Accent3 7 4" xfId="18474" xr:uid="{822CABCD-7CF6-43D4-9272-DF659876962E}"/>
    <cellStyle name="40% - Accent3 7 5" xfId="10033" xr:uid="{8C8AF7FE-6C14-4D86-852A-079B4083AA08}"/>
    <cellStyle name="40% - Accent3 8" xfId="1915" xr:uid="{00000000-0005-0000-0000-00009A050000}"/>
    <cellStyle name="40% - Accent3 8 2" xfId="4144" xr:uid="{00000000-0005-0000-0000-00009B050000}"/>
    <cellStyle name="40% - Accent3 8 2 2" xfId="8367" xr:uid="{00000000-0005-0000-0000-00009C050000}"/>
    <cellStyle name="40% - Accent3 8 2 2 2" xfId="25250" xr:uid="{39EFA94E-D84A-463F-8C5A-C2CEDB7BD20D}"/>
    <cellStyle name="40% - Accent3 8 2 2 3" xfId="16809" xr:uid="{B807FF45-CEA2-4C00-A48B-CB3DB67CCE4C}"/>
    <cellStyle name="40% - Accent3 8 2 3" xfId="21032" xr:uid="{9001C6A4-0318-4D40-B8D2-B20C16B97344}"/>
    <cellStyle name="40% - Accent3 8 2 4" xfId="12591" xr:uid="{E9A7A235-DD13-46F8-9DDD-23DD6E98C887}"/>
    <cellStyle name="40% - Accent3 8 3" xfId="6222" xr:uid="{00000000-0005-0000-0000-00009D050000}"/>
    <cellStyle name="40% - Accent3 8 3 2" xfId="23105" xr:uid="{90ABB72F-1027-445B-A169-2B2DA88C2674}"/>
    <cellStyle name="40% - Accent3 8 3 3" xfId="14664" xr:uid="{A98B310A-FF96-4F32-B6EF-761DA642A6D9}"/>
    <cellStyle name="40% - Accent3 8 4" xfId="18887" xr:uid="{5526C77B-6CB8-488B-B678-116085244386}"/>
    <cellStyle name="40% - Accent3 8 5" xfId="10446" xr:uid="{82DDAA9F-FBC0-4824-9808-CA8838BA35E5}"/>
    <cellStyle name="40% - Accent3 9" xfId="2328" xr:uid="{00000000-0005-0000-0000-00009E050000}"/>
    <cellStyle name="40% - Accent3 9 2" xfId="6635" xr:uid="{00000000-0005-0000-0000-00009F050000}"/>
    <cellStyle name="40% - Accent3 9 2 2" xfId="23518" xr:uid="{1BAA0E02-B208-415A-AF56-DAB7977BF741}"/>
    <cellStyle name="40% - Accent3 9 2 3" xfId="15077" xr:uid="{2EB4DDD8-3233-43F1-A771-E89615EF8B5D}"/>
    <cellStyle name="40% - Accent3 9 3" xfId="19300" xr:uid="{845F4E5B-F44D-4A19-B028-D5BFB29C6CFA}"/>
    <cellStyle name="40% - Accent3 9 4" xfId="10859" xr:uid="{6FB10B63-6B2A-47E9-97F3-703B95CE3720}"/>
    <cellStyle name="40% - Accent4" xfId="73" builtinId="43" customBuiltin="1"/>
    <cellStyle name="40% - Accent4 10" xfId="4577" xr:uid="{00000000-0005-0000-0000-0000A1050000}"/>
    <cellStyle name="40% - Accent4 10 2" xfId="21460" xr:uid="{313E74F5-A8AE-46BA-BC59-BB94CC2AC53F}"/>
    <cellStyle name="40% - Accent4 10 3" xfId="13019" xr:uid="{E71CAA85-1D66-45B8-AC0F-E2D475A0979F}"/>
    <cellStyle name="40% - Accent4 11" xfId="17242" xr:uid="{B5EA5188-8725-414C-AC2B-A05DE40BFDD9}"/>
    <cellStyle name="40% - Accent4 12" xfId="8801" xr:uid="{FA903CC7-500C-4994-A9E8-13F4A5992C0E}"/>
    <cellStyle name="40% - Accent4 2" xfId="74" xr:uid="{00000000-0005-0000-0000-0000A2050000}"/>
    <cellStyle name="40% - Accent4 2 10" xfId="17243" xr:uid="{15634BE0-01EE-4F69-A6CB-6C07B93439CE}"/>
    <cellStyle name="40% - Accent4 2 11" xfId="8802" xr:uid="{57D090F6-3DEB-406B-A742-748387860F90}"/>
    <cellStyle name="40% - Accent4 2 2" xfId="75" xr:uid="{00000000-0005-0000-0000-0000A3050000}"/>
    <cellStyle name="40% - Accent4 2 2 10" xfId="8803" xr:uid="{204582F4-40B4-485F-9B28-7F33062E3DFB}"/>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24022" xr:uid="{D6971E14-84D1-4477-9E5F-1FF289A6E475}"/>
    <cellStyle name="40% - Accent4 2 2 2 2 2 2 3" xfId="15581" xr:uid="{E0D8A0DD-BCEB-4451-A92C-DAA3317756E1}"/>
    <cellStyle name="40% - Accent4 2 2 2 2 2 3" xfId="19804" xr:uid="{43A01010-4212-43F8-A064-E9FACF2A3CF3}"/>
    <cellStyle name="40% - Accent4 2 2 2 2 2 4" xfId="11363" xr:uid="{F5211719-FB98-4025-A30D-4C4388AA72C9}"/>
    <cellStyle name="40% - Accent4 2 2 2 2 3" xfId="4994" xr:uid="{00000000-0005-0000-0000-0000A8050000}"/>
    <cellStyle name="40% - Accent4 2 2 2 2 3 2" xfId="21877" xr:uid="{F4C15844-93C2-422B-A272-888A70E2981C}"/>
    <cellStyle name="40% - Accent4 2 2 2 2 3 3" xfId="13436" xr:uid="{814D707C-9239-4836-A394-1A4D1732A104}"/>
    <cellStyle name="40% - Accent4 2 2 2 2 4" xfId="17659" xr:uid="{BBED1BB6-6555-4230-B421-B29B1579C992}"/>
    <cellStyle name="40% - Accent4 2 2 2 2 5" xfId="9218" xr:uid="{CEA09117-6901-48B1-B2C2-78F267062CF9}"/>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24435" xr:uid="{9A9DDCFD-6B97-4B37-B6A8-6262CCAA36E8}"/>
    <cellStyle name="40% - Accent4 2 2 2 3 2 2 3" xfId="15994" xr:uid="{3E97B16B-1059-4C22-BF4A-3304D2F03C93}"/>
    <cellStyle name="40% - Accent4 2 2 2 3 2 3" xfId="20217" xr:uid="{AA7B2EAC-B186-4FF7-A474-2E28C9F6FC23}"/>
    <cellStyle name="40% - Accent4 2 2 2 3 2 4" xfId="11776" xr:uid="{E5CD5F32-4525-4804-905D-37A5D40E1126}"/>
    <cellStyle name="40% - Accent4 2 2 2 3 3" xfId="5407" xr:uid="{00000000-0005-0000-0000-0000AC050000}"/>
    <cellStyle name="40% - Accent4 2 2 2 3 3 2" xfId="22290" xr:uid="{CD823362-ACF1-47BC-A994-30AC8742EA76}"/>
    <cellStyle name="40% - Accent4 2 2 2 3 3 3" xfId="13849" xr:uid="{9B503AF6-0B08-4B1E-ACD7-E26213D34076}"/>
    <cellStyle name="40% - Accent4 2 2 2 3 4" xfId="18072" xr:uid="{1998F77F-EAF3-47AF-97F5-B6954A22DCB8}"/>
    <cellStyle name="40% - Accent4 2 2 2 3 5" xfId="9631" xr:uid="{E495700D-7135-4B5C-93FF-06C828AA2AE9}"/>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24848" xr:uid="{3F6D4170-07C7-4E7D-8344-4EFEA1A798F1}"/>
    <cellStyle name="40% - Accent4 2 2 2 4 2 2 3" xfId="16407" xr:uid="{359EE08E-D0BA-4366-822A-0316B07D4156}"/>
    <cellStyle name="40% - Accent4 2 2 2 4 2 3" xfId="20630" xr:uid="{A25DDBFE-AC79-42BB-BB2D-33BFA6585BD8}"/>
    <cellStyle name="40% - Accent4 2 2 2 4 2 4" xfId="12189" xr:uid="{C23BDBAC-04C2-48C1-B62A-80CAEEDC99E9}"/>
    <cellStyle name="40% - Accent4 2 2 2 4 3" xfId="5820" xr:uid="{00000000-0005-0000-0000-0000B0050000}"/>
    <cellStyle name="40% - Accent4 2 2 2 4 3 2" xfId="22703" xr:uid="{D88774B4-9716-4D23-B4F8-D311352AAD73}"/>
    <cellStyle name="40% - Accent4 2 2 2 4 3 3" xfId="14262" xr:uid="{41D5A8CF-C5C7-492A-AD74-C3A696AC2E5C}"/>
    <cellStyle name="40% - Accent4 2 2 2 4 4" xfId="18485" xr:uid="{87BA0400-5C21-46EA-9EA4-1E4B22329E1F}"/>
    <cellStyle name="40% - Accent4 2 2 2 4 5" xfId="10044" xr:uid="{8D616E44-AC90-423C-861B-7E1806B3F15E}"/>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25261" xr:uid="{F75FD136-8912-4CFD-92C2-13CAE703F7EC}"/>
    <cellStyle name="40% - Accent4 2 2 2 5 2 2 3" xfId="16820" xr:uid="{5A10A0E5-AD80-4FC2-9B84-463BC19F973B}"/>
    <cellStyle name="40% - Accent4 2 2 2 5 2 3" xfId="21043" xr:uid="{F6297A8F-F3CA-4258-BA55-83B4A8FAD0B5}"/>
    <cellStyle name="40% - Accent4 2 2 2 5 2 4" xfId="12602" xr:uid="{E6A15BC5-E4A6-4D1B-B2BB-8D5B262C5CC7}"/>
    <cellStyle name="40% - Accent4 2 2 2 5 3" xfId="6233" xr:uid="{00000000-0005-0000-0000-0000B4050000}"/>
    <cellStyle name="40% - Accent4 2 2 2 5 3 2" xfId="23116" xr:uid="{8F974952-1B7D-4E58-A467-D2CFD0681E9C}"/>
    <cellStyle name="40% - Accent4 2 2 2 5 3 3" xfId="14675" xr:uid="{D85F314D-C3A7-4FDA-B5D8-4D58297B8964}"/>
    <cellStyle name="40% - Accent4 2 2 2 5 4" xfId="18898" xr:uid="{C867B3C4-B6F7-4832-9B46-043A99E791B2}"/>
    <cellStyle name="40% - Accent4 2 2 2 5 5" xfId="10457" xr:uid="{43EC86E0-6A87-4B60-8D3F-619B90952AD5}"/>
    <cellStyle name="40% - Accent4 2 2 2 6" xfId="2339" xr:uid="{00000000-0005-0000-0000-0000B5050000}"/>
    <cellStyle name="40% - Accent4 2 2 2 6 2" xfId="6646" xr:uid="{00000000-0005-0000-0000-0000B6050000}"/>
    <cellStyle name="40% - Accent4 2 2 2 6 2 2" xfId="23529" xr:uid="{F33EAB89-DD23-4485-945C-07F65AB86BD4}"/>
    <cellStyle name="40% - Accent4 2 2 2 6 2 3" xfId="15088" xr:uid="{6E090A85-563E-45D0-AEEE-64F93DD741F5}"/>
    <cellStyle name="40% - Accent4 2 2 2 6 3" xfId="19311" xr:uid="{93E7A9BA-DFE7-477E-8E4A-4EB5A0CAC99E}"/>
    <cellStyle name="40% - Accent4 2 2 2 6 4" xfId="10870" xr:uid="{3386CADF-1AED-4D08-8A60-1DA00CA90BBA}"/>
    <cellStyle name="40% - Accent4 2 2 2 7" xfId="4580" xr:uid="{00000000-0005-0000-0000-0000B7050000}"/>
    <cellStyle name="40% - Accent4 2 2 2 7 2" xfId="21463" xr:uid="{3FA740BB-EE16-4AAF-A7D2-C7ABCC98D0A6}"/>
    <cellStyle name="40% - Accent4 2 2 2 7 3" xfId="13022" xr:uid="{13A1D3DE-A09E-4736-8139-FC578914010A}"/>
    <cellStyle name="40% - Accent4 2 2 2 8" xfId="17245" xr:uid="{F96098D8-FDEB-4521-8960-EBF86BEEF92D}"/>
    <cellStyle name="40% - Accent4 2 2 2 9" xfId="8804" xr:uid="{227F98F9-EA24-4372-A29E-689FD0F40E85}"/>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24021" xr:uid="{8F1701BD-4AE6-4127-97C8-4BD07E760279}"/>
    <cellStyle name="40% - Accent4 2 2 3 2 2 3" xfId="15580" xr:uid="{278B988C-76B8-4267-A15A-EA795FF389FF}"/>
    <cellStyle name="40% - Accent4 2 2 3 2 3" xfId="19803" xr:uid="{6896041C-6756-4D2F-AC7C-C717D64D55DE}"/>
    <cellStyle name="40% - Accent4 2 2 3 2 4" xfId="11362" xr:uid="{26B43B78-39F9-4824-9E0B-F0E9451A2FE0}"/>
    <cellStyle name="40% - Accent4 2 2 3 3" xfId="4993" xr:uid="{00000000-0005-0000-0000-0000BB050000}"/>
    <cellStyle name="40% - Accent4 2 2 3 3 2" xfId="21876" xr:uid="{2A120F17-CA46-47B9-9DEC-D07D403803E3}"/>
    <cellStyle name="40% - Accent4 2 2 3 3 3" xfId="13435" xr:uid="{A47B02F6-4AF0-4675-8D6C-0F778E90AF4E}"/>
    <cellStyle name="40% - Accent4 2 2 3 4" xfId="17658" xr:uid="{FD16CB53-29C1-4DA6-81E5-199ABE4D39DB}"/>
    <cellStyle name="40% - Accent4 2 2 3 5" xfId="9217" xr:uid="{819EFDA4-54ED-4C84-830E-942D6246FBB1}"/>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24434" xr:uid="{4D26C4CA-8414-4D24-8205-9088B9D1DF78}"/>
    <cellStyle name="40% - Accent4 2 2 4 2 2 3" xfId="15993" xr:uid="{A228540E-C3BA-43DD-9D3E-5E6AE1CCC66A}"/>
    <cellStyle name="40% - Accent4 2 2 4 2 3" xfId="20216" xr:uid="{22D900AC-8328-4491-B732-601E975591E5}"/>
    <cellStyle name="40% - Accent4 2 2 4 2 4" xfId="11775" xr:uid="{E63279D8-E75B-4041-AE22-A09BE5456E08}"/>
    <cellStyle name="40% - Accent4 2 2 4 3" xfId="5406" xr:uid="{00000000-0005-0000-0000-0000BF050000}"/>
    <cellStyle name="40% - Accent4 2 2 4 3 2" xfId="22289" xr:uid="{1548B7CB-C78A-479E-86E3-BE6782557254}"/>
    <cellStyle name="40% - Accent4 2 2 4 3 3" xfId="13848" xr:uid="{FE4912D4-CD70-492E-B518-F3863F17FAB5}"/>
    <cellStyle name="40% - Accent4 2 2 4 4" xfId="18071" xr:uid="{74C8C85B-97D9-4245-A520-1510755B6022}"/>
    <cellStyle name="40% - Accent4 2 2 4 5" xfId="9630" xr:uid="{5D550CC7-AE18-4977-A309-B16B9954C186}"/>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24847" xr:uid="{0232485C-6144-4182-BFBF-A62FFBAB2E63}"/>
    <cellStyle name="40% - Accent4 2 2 5 2 2 3" xfId="16406" xr:uid="{CB801791-BF36-4292-9A21-4706960B55EC}"/>
    <cellStyle name="40% - Accent4 2 2 5 2 3" xfId="20629" xr:uid="{495C5FD5-FB8B-4807-866D-84EAD4F80E28}"/>
    <cellStyle name="40% - Accent4 2 2 5 2 4" xfId="12188" xr:uid="{7D53FA45-A9FD-4185-B6B2-B16A4DEBFAD3}"/>
    <cellStyle name="40% - Accent4 2 2 5 3" xfId="5819" xr:uid="{00000000-0005-0000-0000-0000C3050000}"/>
    <cellStyle name="40% - Accent4 2 2 5 3 2" xfId="22702" xr:uid="{D5F5EFE4-0997-473D-BDA6-0F47F051D8E4}"/>
    <cellStyle name="40% - Accent4 2 2 5 3 3" xfId="14261" xr:uid="{477022AF-4B6C-432E-AEED-90CC3B3BEEC0}"/>
    <cellStyle name="40% - Accent4 2 2 5 4" xfId="18484" xr:uid="{F0433EE4-8F2B-47D9-B863-19F9142EAB03}"/>
    <cellStyle name="40% - Accent4 2 2 5 5" xfId="10043" xr:uid="{6FD0AAD3-B359-4739-A2FB-92532F770503}"/>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25260" xr:uid="{2A531642-CED4-469A-B94B-C32FD2A2BDC2}"/>
    <cellStyle name="40% - Accent4 2 2 6 2 2 3" xfId="16819" xr:uid="{9BB878DA-B574-4C5C-8000-583D546FA44C}"/>
    <cellStyle name="40% - Accent4 2 2 6 2 3" xfId="21042" xr:uid="{3A1B124C-0E45-4034-84A2-D1B6BEE1EB1B}"/>
    <cellStyle name="40% - Accent4 2 2 6 2 4" xfId="12601" xr:uid="{E6C7864A-9F5F-4096-93C3-182E42E51D90}"/>
    <cellStyle name="40% - Accent4 2 2 6 3" xfId="6232" xr:uid="{00000000-0005-0000-0000-0000C7050000}"/>
    <cellStyle name="40% - Accent4 2 2 6 3 2" xfId="23115" xr:uid="{6A3CBEFD-BF80-4642-A8BB-8AFEFDD68F64}"/>
    <cellStyle name="40% - Accent4 2 2 6 3 3" xfId="14674" xr:uid="{19516B5F-35FD-4C84-B66F-205995714176}"/>
    <cellStyle name="40% - Accent4 2 2 6 4" xfId="18897" xr:uid="{4F8708C2-C34F-42DC-ADDD-67FFB9B422A1}"/>
    <cellStyle name="40% - Accent4 2 2 6 5" xfId="10456" xr:uid="{0E4E6E52-4757-4DD1-B9F4-3924C67D1F6B}"/>
    <cellStyle name="40% - Accent4 2 2 7" xfId="2338" xr:uid="{00000000-0005-0000-0000-0000C8050000}"/>
    <cellStyle name="40% - Accent4 2 2 7 2" xfId="6645" xr:uid="{00000000-0005-0000-0000-0000C9050000}"/>
    <cellStyle name="40% - Accent4 2 2 7 2 2" xfId="23528" xr:uid="{1E4DFA84-8029-428A-B3FB-F3249254BF18}"/>
    <cellStyle name="40% - Accent4 2 2 7 2 3" xfId="15087" xr:uid="{E650E49E-0F78-4215-875C-CC3E6741EE4C}"/>
    <cellStyle name="40% - Accent4 2 2 7 3" xfId="19310" xr:uid="{474BB70A-4A70-432B-9F0B-20252DA4AF26}"/>
    <cellStyle name="40% - Accent4 2 2 7 4" xfId="10869" xr:uid="{FE51E142-F872-48C7-90EC-B5F9F153B93A}"/>
    <cellStyle name="40% - Accent4 2 2 8" xfId="4579" xr:uid="{00000000-0005-0000-0000-0000CA050000}"/>
    <cellStyle name="40% - Accent4 2 2 8 2" xfId="21462" xr:uid="{8F804365-3657-445C-9330-0292C9BFB7E6}"/>
    <cellStyle name="40% - Accent4 2 2 8 3" xfId="13021" xr:uid="{119BDA1A-E72A-4716-BF0B-0F8CF770D183}"/>
    <cellStyle name="40% - Accent4 2 2 9" xfId="17244" xr:uid="{D574ED0B-9C35-4F58-A3AF-897D4999C1D7}"/>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24023" xr:uid="{0B15C749-B107-4688-9211-727536A0F13C}"/>
    <cellStyle name="40% - Accent4 2 3 2 2 2 3" xfId="15582" xr:uid="{BDC2CF44-AC05-4762-95E5-DFAD84FE606C}"/>
    <cellStyle name="40% - Accent4 2 3 2 2 3" xfId="19805" xr:uid="{F8FDF250-D99E-4450-A2D8-C8726BCF87E6}"/>
    <cellStyle name="40% - Accent4 2 3 2 2 4" xfId="11364" xr:uid="{BE26AE42-1A59-43A4-883E-419B7C017197}"/>
    <cellStyle name="40% - Accent4 2 3 2 3" xfId="4995" xr:uid="{00000000-0005-0000-0000-0000CF050000}"/>
    <cellStyle name="40% - Accent4 2 3 2 3 2" xfId="21878" xr:uid="{9A32C56B-5481-4DCE-810D-17AD709E1019}"/>
    <cellStyle name="40% - Accent4 2 3 2 3 3" xfId="13437" xr:uid="{E2FB3AB4-334A-426B-9C56-68EE8892C7A0}"/>
    <cellStyle name="40% - Accent4 2 3 2 4" xfId="17660" xr:uid="{A11F1F67-7D72-4468-AD48-432D1819B857}"/>
    <cellStyle name="40% - Accent4 2 3 2 5" xfId="9219" xr:uid="{B31D6A24-606C-49B7-906B-413A49441F4C}"/>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24436" xr:uid="{0026D7E7-E53B-4DA0-B964-A53532626F08}"/>
    <cellStyle name="40% - Accent4 2 3 3 2 2 3" xfId="15995" xr:uid="{05FB1CAE-9557-4E26-BD7D-7016B5E8BD1E}"/>
    <cellStyle name="40% - Accent4 2 3 3 2 3" xfId="20218" xr:uid="{04B5E92B-5EBB-4C3A-BFE6-8535C7A23395}"/>
    <cellStyle name="40% - Accent4 2 3 3 2 4" xfId="11777" xr:uid="{AAD93623-000B-43C6-9357-3158C59B9222}"/>
    <cellStyle name="40% - Accent4 2 3 3 3" xfId="5408" xr:uid="{00000000-0005-0000-0000-0000D3050000}"/>
    <cellStyle name="40% - Accent4 2 3 3 3 2" xfId="22291" xr:uid="{BF52334B-C404-450C-A328-FD3AF2EE43C0}"/>
    <cellStyle name="40% - Accent4 2 3 3 3 3" xfId="13850" xr:uid="{841E3610-ABB7-41A9-9A82-9242AB5F4C6E}"/>
    <cellStyle name="40% - Accent4 2 3 3 4" xfId="18073" xr:uid="{09AF11EE-EBF6-4DE1-BCBF-4D218C04B758}"/>
    <cellStyle name="40% - Accent4 2 3 3 5" xfId="9632" xr:uid="{846D30D0-2907-4C84-BB70-0722A45C4708}"/>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24849" xr:uid="{295E4AB8-FFC7-43C3-A210-16E18B899CB0}"/>
    <cellStyle name="40% - Accent4 2 3 4 2 2 3" xfId="16408" xr:uid="{F55AC6EE-8E2E-413C-856E-3E02E1BC826B}"/>
    <cellStyle name="40% - Accent4 2 3 4 2 3" xfId="20631" xr:uid="{2EFBF695-82DD-48C3-B78E-F21E9440552F}"/>
    <cellStyle name="40% - Accent4 2 3 4 2 4" xfId="12190" xr:uid="{2B8727D3-CD0D-43F5-8D3F-08B421983187}"/>
    <cellStyle name="40% - Accent4 2 3 4 3" xfId="5821" xr:uid="{00000000-0005-0000-0000-0000D7050000}"/>
    <cellStyle name="40% - Accent4 2 3 4 3 2" xfId="22704" xr:uid="{A9638FC3-5785-4FD6-B1EC-582C8983861A}"/>
    <cellStyle name="40% - Accent4 2 3 4 3 3" xfId="14263" xr:uid="{EA124344-6505-4233-84CC-61919E793CAC}"/>
    <cellStyle name="40% - Accent4 2 3 4 4" xfId="18486" xr:uid="{3BCB7D85-233C-4DB1-A39A-5FFD97024FFB}"/>
    <cellStyle name="40% - Accent4 2 3 4 5" xfId="10045" xr:uid="{DAD546B2-8EFD-4AAA-8CBE-967D601B5565}"/>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25262" xr:uid="{6DEE7153-6C4F-4441-AD90-852B404AEF29}"/>
    <cellStyle name="40% - Accent4 2 3 5 2 2 3" xfId="16821" xr:uid="{0CA374BB-8E33-4D70-96C6-5C978F29DDEE}"/>
    <cellStyle name="40% - Accent4 2 3 5 2 3" xfId="21044" xr:uid="{F85AE8F1-B314-4A94-AB4A-2117DC5CA20A}"/>
    <cellStyle name="40% - Accent4 2 3 5 2 4" xfId="12603" xr:uid="{0523ABB0-BF7E-4C6A-AA08-2C2337CA60DA}"/>
    <cellStyle name="40% - Accent4 2 3 5 3" xfId="6234" xr:uid="{00000000-0005-0000-0000-0000DB050000}"/>
    <cellStyle name="40% - Accent4 2 3 5 3 2" xfId="23117" xr:uid="{323C1D59-DFC0-49DB-B106-1C2774727EB7}"/>
    <cellStyle name="40% - Accent4 2 3 5 3 3" xfId="14676" xr:uid="{D92E7EA4-8038-46BA-B12A-DAB075364240}"/>
    <cellStyle name="40% - Accent4 2 3 5 4" xfId="18899" xr:uid="{1E48AFBD-DC57-411A-93EE-0ED086E4C6A3}"/>
    <cellStyle name="40% - Accent4 2 3 5 5" xfId="10458" xr:uid="{37A59E8D-446F-4F7B-8C91-62071BC9130F}"/>
    <cellStyle name="40% - Accent4 2 3 6" xfId="2340" xr:uid="{00000000-0005-0000-0000-0000DC050000}"/>
    <cellStyle name="40% - Accent4 2 3 6 2" xfId="6647" xr:uid="{00000000-0005-0000-0000-0000DD050000}"/>
    <cellStyle name="40% - Accent4 2 3 6 2 2" xfId="23530" xr:uid="{8D99D27C-C3F5-440E-8251-6F4BF2574A67}"/>
    <cellStyle name="40% - Accent4 2 3 6 2 3" xfId="15089" xr:uid="{3E754D05-8597-483F-9ADC-8FDD5F264FDC}"/>
    <cellStyle name="40% - Accent4 2 3 6 3" xfId="19312" xr:uid="{A3F2400E-EEF6-476A-BAAE-63BAA5D38046}"/>
    <cellStyle name="40% - Accent4 2 3 6 4" xfId="10871" xr:uid="{A54F7EA8-40D7-4CA7-941B-F531AC9FC1BE}"/>
    <cellStyle name="40% - Accent4 2 3 7" xfId="4581" xr:uid="{00000000-0005-0000-0000-0000DE050000}"/>
    <cellStyle name="40% - Accent4 2 3 7 2" xfId="21464" xr:uid="{828FD0A2-C57A-403E-AB00-9F261BBFABA3}"/>
    <cellStyle name="40% - Accent4 2 3 7 3" xfId="13023" xr:uid="{1AF32729-33CE-4E67-90BE-6DA7B9399BF8}"/>
    <cellStyle name="40% - Accent4 2 3 8" xfId="17246" xr:uid="{0F01F0B6-288B-4961-976E-42E0BCAC9B27}"/>
    <cellStyle name="40% - Accent4 2 3 9" xfId="8805" xr:uid="{C804B0EF-FAD4-4F7C-AD0D-00E1D60DB320}"/>
    <cellStyle name="40% - Accent4 2 4" xfId="643" xr:uid="{00000000-0005-0000-0000-0000DF050000}"/>
    <cellStyle name="40% - Accent4 2 4 2" xfId="2914" xr:uid="{00000000-0005-0000-0000-0000E0050000}"/>
    <cellStyle name="40% - Accent4 2 4 2 2" xfId="7137" xr:uid="{00000000-0005-0000-0000-0000E1050000}"/>
    <cellStyle name="40% - Accent4 2 4 2 2 2" xfId="24020" xr:uid="{C876BDCE-27E6-4A82-B376-9CA340B6E36C}"/>
    <cellStyle name="40% - Accent4 2 4 2 2 3" xfId="15579" xr:uid="{C90A5032-EF5A-4400-A4BA-62DC97418F73}"/>
    <cellStyle name="40% - Accent4 2 4 2 3" xfId="19802" xr:uid="{15F2F559-DDD7-4A25-8B03-0B6E23122B3F}"/>
    <cellStyle name="40% - Accent4 2 4 2 4" xfId="11361" xr:uid="{6D1594F3-3449-4321-BA80-573BD5630EB0}"/>
    <cellStyle name="40% - Accent4 2 4 3" xfId="4992" xr:uid="{00000000-0005-0000-0000-0000E2050000}"/>
    <cellStyle name="40% - Accent4 2 4 3 2" xfId="21875" xr:uid="{6D891EC8-48AE-418C-B8D9-A49C037A152C}"/>
    <cellStyle name="40% - Accent4 2 4 3 3" xfId="13434" xr:uid="{575B05E8-F1F5-4597-AD90-E661DF8BF2B7}"/>
    <cellStyle name="40% - Accent4 2 4 4" xfId="17657" xr:uid="{C1912355-86E0-4995-A421-2BDB8EAC2E8B}"/>
    <cellStyle name="40% - Accent4 2 4 5" xfId="9216" xr:uid="{F0EFE6BA-D59F-4886-9F66-B5871DFED758}"/>
    <cellStyle name="40% - Accent4 2 5" xfId="1096" xr:uid="{00000000-0005-0000-0000-0000E3050000}"/>
    <cellStyle name="40% - Accent4 2 5 2" xfId="3327" xr:uid="{00000000-0005-0000-0000-0000E4050000}"/>
    <cellStyle name="40% - Accent4 2 5 2 2" xfId="7550" xr:uid="{00000000-0005-0000-0000-0000E5050000}"/>
    <cellStyle name="40% - Accent4 2 5 2 2 2" xfId="24433" xr:uid="{810FC90B-1192-4EE4-A7EB-134AB6F86EC1}"/>
    <cellStyle name="40% - Accent4 2 5 2 2 3" xfId="15992" xr:uid="{964DF9DB-36C6-4566-AEA6-E7C089561F34}"/>
    <cellStyle name="40% - Accent4 2 5 2 3" xfId="20215" xr:uid="{2F37FC56-02C6-4681-9C90-7CD150129693}"/>
    <cellStyle name="40% - Accent4 2 5 2 4" xfId="11774" xr:uid="{2B7F4931-4B6D-4AAB-B3CF-5170097DDFF2}"/>
    <cellStyle name="40% - Accent4 2 5 3" xfId="5405" xr:uid="{00000000-0005-0000-0000-0000E6050000}"/>
    <cellStyle name="40% - Accent4 2 5 3 2" xfId="22288" xr:uid="{D40373C2-55A4-4C57-9423-2394B1A49104}"/>
    <cellStyle name="40% - Accent4 2 5 3 3" xfId="13847" xr:uid="{5271BECE-9A8D-4A38-B88C-E47300EB4845}"/>
    <cellStyle name="40% - Accent4 2 5 4" xfId="18070" xr:uid="{DC2520C6-C331-4392-8D98-AD5DE672ABB3}"/>
    <cellStyle name="40% - Accent4 2 5 5" xfId="9629" xr:uid="{9204832A-DE08-4FBD-9C9D-9810D8625108}"/>
    <cellStyle name="40% - Accent4 2 6" xfId="1510" xr:uid="{00000000-0005-0000-0000-0000E7050000}"/>
    <cellStyle name="40% - Accent4 2 6 2" xfId="3740" xr:uid="{00000000-0005-0000-0000-0000E8050000}"/>
    <cellStyle name="40% - Accent4 2 6 2 2" xfId="7963" xr:uid="{00000000-0005-0000-0000-0000E9050000}"/>
    <cellStyle name="40% - Accent4 2 6 2 2 2" xfId="24846" xr:uid="{91860F74-731B-42AE-893F-3CA6CA319258}"/>
    <cellStyle name="40% - Accent4 2 6 2 2 3" xfId="16405" xr:uid="{4C0A60B8-D393-411E-8559-16AD56E944BC}"/>
    <cellStyle name="40% - Accent4 2 6 2 3" xfId="20628" xr:uid="{EA599F61-F9E9-42B0-ABB3-70FA5D61AB17}"/>
    <cellStyle name="40% - Accent4 2 6 2 4" xfId="12187" xr:uid="{49E7B75A-D610-41DF-893F-D9D8A19985AB}"/>
    <cellStyle name="40% - Accent4 2 6 3" xfId="5818" xr:uid="{00000000-0005-0000-0000-0000EA050000}"/>
    <cellStyle name="40% - Accent4 2 6 3 2" xfId="22701" xr:uid="{5F4AF1AA-C441-4367-B5C5-CAF84665F283}"/>
    <cellStyle name="40% - Accent4 2 6 3 3" xfId="14260" xr:uid="{679B7340-6BA3-4A39-92EE-1A5B46D763EA}"/>
    <cellStyle name="40% - Accent4 2 6 4" xfId="18483" xr:uid="{213C0864-8203-4F61-A0B3-93D56C97759C}"/>
    <cellStyle name="40% - Accent4 2 6 5" xfId="10042" xr:uid="{9F82FD4C-DE3F-4F7F-ADFE-C0579F46E1E8}"/>
    <cellStyle name="40% - Accent4 2 7" xfId="1924" xr:uid="{00000000-0005-0000-0000-0000EB050000}"/>
    <cellStyle name="40% - Accent4 2 7 2" xfId="4153" xr:uid="{00000000-0005-0000-0000-0000EC050000}"/>
    <cellStyle name="40% - Accent4 2 7 2 2" xfId="8376" xr:uid="{00000000-0005-0000-0000-0000ED050000}"/>
    <cellStyle name="40% - Accent4 2 7 2 2 2" xfId="25259" xr:uid="{DB4421DD-C446-4893-A929-CD578BD9B1FE}"/>
    <cellStyle name="40% - Accent4 2 7 2 2 3" xfId="16818" xr:uid="{F51B3071-E09A-46D6-B6CD-DD1EE25757F7}"/>
    <cellStyle name="40% - Accent4 2 7 2 3" xfId="21041" xr:uid="{BEF4E2EC-153B-423F-88D4-8BD3D31D2F9B}"/>
    <cellStyle name="40% - Accent4 2 7 2 4" xfId="12600" xr:uid="{38DB8BB4-5FC9-4BB6-A975-AB4809C936A5}"/>
    <cellStyle name="40% - Accent4 2 7 3" xfId="6231" xr:uid="{00000000-0005-0000-0000-0000EE050000}"/>
    <cellStyle name="40% - Accent4 2 7 3 2" xfId="23114" xr:uid="{B821F5AC-72F9-4863-B918-C55AE9C61659}"/>
    <cellStyle name="40% - Accent4 2 7 3 3" xfId="14673" xr:uid="{A628C33A-EEBD-4F63-9728-D636FC95C898}"/>
    <cellStyle name="40% - Accent4 2 7 4" xfId="18896" xr:uid="{6A0D4934-7E6D-4A63-B48F-367BF011187A}"/>
    <cellStyle name="40% - Accent4 2 7 5" xfId="10455" xr:uid="{6ED6B8CD-EEDB-4A06-A4BB-92F50288DD7E}"/>
    <cellStyle name="40% - Accent4 2 8" xfId="2337" xr:uid="{00000000-0005-0000-0000-0000EF050000}"/>
    <cellStyle name="40% - Accent4 2 8 2" xfId="6644" xr:uid="{00000000-0005-0000-0000-0000F0050000}"/>
    <cellStyle name="40% - Accent4 2 8 2 2" xfId="23527" xr:uid="{E9EDB742-B8B8-4D77-83E7-EC3DCC8CDEDF}"/>
    <cellStyle name="40% - Accent4 2 8 2 3" xfId="15086" xr:uid="{3DFBD568-E78E-402F-83A0-EF2C6D7FDFE9}"/>
    <cellStyle name="40% - Accent4 2 8 3" xfId="19309" xr:uid="{7F7533DA-2022-415F-88CA-7F70DED16B82}"/>
    <cellStyle name="40% - Accent4 2 8 4" xfId="10868" xr:uid="{A60157B7-347A-47DA-91DA-7EA18B125E9D}"/>
    <cellStyle name="40% - Accent4 2 9" xfId="4578" xr:uid="{00000000-0005-0000-0000-0000F1050000}"/>
    <cellStyle name="40% - Accent4 2 9 2" xfId="21461" xr:uid="{C11966F7-0B58-478B-8B93-6762718EDBD3}"/>
    <cellStyle name="40% - Accent4 2 9 3" xfId="13020" xr:uid="{54AF6985-D902-4716-89A8-AD113DDABBD3}"/>
    <cellStyle name="40% - Accent4 3" xfId="78" xr:uid="{00000000-0005-0000-0000-0000F2050000}"/>
    <cellStyle name="40% - Accent4 3 10" xfId="8806" xr:uid="{C8142B5B-10E4-4391-BFB8-FFA29FF391FE}"/>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24025" xr:uid="{1D3C0710-BDEA-44DF-B6FA-58FCBF6C6C5C}"/>
    <cellStyle name="40% - Accent4 3 2 2 2 2 3" xfId="15584" xr:uid="{47CBB2DE-F953-4E69-A063-C469AF4ACF68}"/>
    <cellStyle name="40% - Accent4 3 2 2 2 3" xfId="19807" xr:uid="{FEBE0C25-55B6-4187-AC91-584F7E342927}"/>
    <cellStyle name="40% - Accent4 3 2 2 2 4" xfId="11366" xr:uid="{64DC12DA-F742-439E-9CCB-14AEF9D846C6}"/>
    <cellStyle name="40% - Accent4 3 2 2 3" xfId="4997" xr:uid="{00000000-0005-0000-0000-0000F7050000}"/>
    <cellStyle name="40% - Accent4 3 2 2 3 2" xfId="21880" xr:uid="{72E8C55E-CDBB-40E4-9905-741A4E0BEC75}"/>
    <cellStyle name="40% - Accent4 3 2 2 3 3" xfId="13439" xr:uid="{29EB7985-16F6-4831-B11F-4EF566239AFE}"/>
    <cellStyle name="40% - Accent4 3 2 2 4" xfId="17662" xr:uid="{E3C653E6-7079-4AB7-B11F-9DC34BDE5E9E}"/>
    <cellStyle name="40% - Accent4 3 2 2 5" xfId="9221" xr:uid="{3CD3B698-75CF-48CE-8901-BC6658BFD2A2}"/>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24438" xr:uid="{F5AB17E2-C07D-4E96-B98A-61B094F30CDD}"/>
    <cellStyle name="40% - Accent4 3 2 3 2 2 3" xfId="15997" xr:uid="{C9339416-735F-4A30-9849-45B1E8C5647D}"/>
    <cellStyle name="40% - Accent4 3 2 3 2 3" xfId="20220" xr:uid="{9EA2EEB3-87CF-4665-B6EA-73755E600415}"/>
    <cellStyle name="40% - Accent4 3 2 3 2 4" xfId="11779" xr:uid="{8780974F-773B-4978-BA8E-43F4AADA97E7}"/>
    <cellStyle name="40% - Accent4 3 2 3 3" xfId="5410" xr:uid="{00000000-0005-0000-0000-0000FB050000}"/>
    <cellStyle name="40% - Accent4 3 2 3 3 2" xfId="22293" xr:uid="{D93BC320-7871-40FC-BF11-C0283986F3C8}"/>
    <cellStyle name="40% - Accent4 3 2 3 3 3" xfId="13852" xr:uid="{5E5C0A87-62C5-42B0-96DA-8B86C502FA0B}"/>
    <cellStyle name="40% - Accent4 3 2 3 4" xfId="18075" xr:uid="{B06CB937-315C-402F-BDFD-F1AFE7AF3AB6}"/>
    <cellStyle name="40% - Accent4 3 2 3 5" xfId="9634" xr:uid="{AB3D440B-0ECB-444C-93E2-BE54EF077974}"/>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24851" xr:uid="{FAB83921-3A67-48C1-B73D-10A47ADF9C4D}"/>
    <cellStyle name="40% - Accent4 3 2 4 2 2 3" xfId="16410" xr:uid="{951CB157-F868-4E21-861E-A744A6F7DB6A}"/>
    <cellStyle name="40% - Accent4 3 2 4 2 3" xfId="20633" xr:uid="{19ED13E3-59C5-4A65-9A8D-EA92D3A7D659}"/>
    <cellStyle name="40% - Accent4 3 2 4 2 4" xfId="12192" xr:uid="{EE4162D8-9F8C-4348-986F-2547FF2C1E04}"/>
    <cellStyle name="40% - Accent4 3 2 4 3" xfId="5823" xr:uid="{00000000-0005-0000-0000-0000FF050000}"/>
    <cellStyle name="40% - Accent4 3 2 4 3 2" xfId="22706" xr:uid="{8711A23D-F74B-4EF6-AB2F-33F95CF83D16}"/>
    <cellStyle name="40% - Accent4 3 2 4 3 3" xfId="14265" xr:uid="{67094703-178A-43C4-B3F9-4CF2AE6D682A}"/>
    <cellStyle name="40% - Accent4 3 2 4 4" xfId="18488" xr:uid="{A73D6CC9-9AB5-4459-92E6-E4DFD1C2FB77}"/>
    <cellStyle name="40% - Accent4 3 2 4 5" xfId="10047" xr:uid="{EC52C550-F198-44F0-9BAA-5741C889B91D}"/>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25264" xr:uid="{A19C7B87-9037-4A03-85BB-7D3672D5CE26}"/>
    <cellStyle name="40% - Accent4 3 2 5 2 2 3" xfId="16823" xr:uid="{7C049410-6081-4B3E-BF50-33C0C282EDB0}"/>
    <cellStyle name="40% - Accent4 3 2 5 2 3" xfId="21046" xr:uid="{243EE094-CC35-400B-BB94-DE568C8410D7}"/>
    <cellStyle name="40% - Accent4 3 2 5 2 4" xfId="12605" xr:uid="{15D0EC1B-AF8B-4E3A-A2E8-EA06D7096BA8}"/>
    <cellStyle name="40% - Accent4 3 2 5 3" xfId="6236" xr:uid="{00000000-0005-0000-0000-000003060000}"/>
    <cellStyle name="40% - Accent4 3 2 5 3 2" xfId="23119" xr:uid="{E80E4789-F184-42D5-BF27-69AE4138CB62}"/>
    <cellStyle name="40% - Accent4 3 2 5 3 3" xfId="14678" xr:uid="{0D111E60-D591-4E5B-B595-5855AFC044D7}"/>
    <cellStyle name="40% - Accent4 3 2 5 4" xfId="18901" xr:uid="{E6271482-2EC8-445F-8E78-4DFB1E499110}"/>
    <cellStyle name="40% - Accent4 3 2 5 5" xfId="10460" xr:uid="{1EACCA46-22C4-479A-808D-9801D00FD36F}"/>
    <cellStyle name="40% - Accent4 3 2 6" xfId="2342" xr:uid="{00000000-0005-0000-0000-000004060000}"/>
    <cellStyle name="40% - Accent4 3 2 6 2" xfId="6649" xr:uid="{00000000-0005-0000-0000-000005060000}"/>
    <cellStyle name="40% - Accent4 3 2 6 2 2" xfId="23532" xr:uid="{216AFDC0-9F52-431F-ACB9-E2F35615C081}"/>
    <cellStyle name="40% - Accent4 3 2 6 2 3" xfId="15091" xr:uid="{A9C78282-418C-4C97-A9A7-E4E35998D62F}"/>
    <cellStyle name="40% - Accent4 3 2 6 3" xfId="19314" xr:uid="{27B5879E-3B98-4000-A9FF-102DE6AAE394}"/>
    <cellStyle name="40% - Accent4 3 2 6 4" xfId="10873" xr:uid="{6974016A-C478-4F26-B999-A9FDFD89DCA3}"/>
    <cellStyle name="40% - Accent4 3 2 7" xfId="4583" xr:uid="{00000000-0005-0000-0000-000006060000}"/>
    <cellStyle name="40% - Accent4 3 2 7 2" xfId="21466" xr:uid="{5E18FD4B-F23D-4CB1-85F8-2B76D1F036E9}"/>
    <cellStyle name="40% - Accent4 3 2 7 3" xfId="13025" xr:uid="{D7A4A6D9-63B4-4777-A620-B3E8681436C4}"/>
    <cellStyle name="40% - Accent4 3 2 8" xfId="17248" xr:uid="{A31893F4-9B9F-4430-B4A9-B23414B733E8}"/>
    <cellStyle name="40% - Accent4 3 2 9" xfId="8807" xr:uid="{CE8038F6-3102-4815-9A97-DCC73FAC9C6D}"/>
    <cellStyle name="40% - Accent4 3 3" xfId="647" xr:uid="{00000000-0005-0000-0000-000007060000}"/>
    <cellStyle name="40% - Accent4 3 3 2" xfId="2918" xr:uid="{00000000-0005-0000-0000-000008060000}"/>
    <cellStyle name="40% - Accent4 3 3 2 2" xfId="7141" xr:uid="{00000000-0005-0000-0000-000009060000}"/>
    <cellStyle name="40% - Accent4 3 3 2 2 2" xfId="24024" xr:uid="{6E8FEB73-D422-47E7-AB1D-666CA1611030}"/>
    <cellStyle name="40% - Accent4 3 3 2 2 3" xfId="15583" xr:uid="{961ED38D-8F4B-423F-B33B-A2A9E12287C3}"/>
    <cellStyle name="40% - Accent4 3 3 2 3" xfId="19806" xr:uid="{2BCB27E7-2A1B-40EA-AC2E-E2B84DEBA36B}"/>
    <cellStyle name="40% - Accent4 3 3 2 4" xfId="11365" xr:uid="{C5BFF79E-F7B0-4756-8BF9-58CDA9B4F33B}"/>
    <cellStyle name="40% - Accent4 3 3 3" xfId="4996" xr:uid="{00000000-0005-0000-0000-00000A060000}"/>
    <cellStyle name="40% - Accent4 3 3 3 2" xfId="21879" xr:uid="{0F733F59-6B16-4EE2-B442-4996DF33B8BB}"/>
    <cellStyle name="40% - Accent4 3 3 3 3" xfId="13438" xr:uid="{3B05283A-FB2D-426D-8A83-C4961F52668F}"/>
    <cellStyle name="40% - Accent4 3 3 4" xfId="17661" xr:uid="{70AE4613-1ABA-4DFD-995F-E3C938929645}"/>
    <cellStyle name="40% - Accent4 3 3 5" xfId="9220" xr:uid="{62A7B3D4-440C-42D1-9C93-4954BB402A4B}"/>
    <cellStyle name="40% - Accent4 3 4" xfId="1100" xr:uid="{00000000-0005-0000-0000-00000B060000}"/>
    <cellStyle name="40% - Accent4 3 4 2" xfId="3331" xr:uid="{00000000-0005-0000-0000-00000C060000}"/>
    <cellStyle name="40% - Accent4 3 4 2 2" xfId="7554" xr:uid="{00000000-0005-0000-0000-00000D060000}"/>
    <cellStyle name="40% - Accent4 3 4 2 2 2" xfId="24437" xr:uid="{CDDA5F24-F77E-45E8-BDF4-8BDB78AAF046}"/>
    <cellStyle name="40% - Accent4 3 4 2 2 3" xfId="15996" xr:uid="{8C3A4CAC-B64D-4377-A925-B7E1CACBF6F6}"/>
    <cellStyle name="40% - Accent4 3 4 2 3" xfId="20219" xr:uid="{298F1529-4441-4FC6-B1BC-F9D0364703B8}"/>
    <cellStyle name="40% - Accent4 3 4 2 4" xfId="11778" xr:uid="{C789AFBC-82C2-404F-8610-B47DCBB5EADA}"/>
    <cellStyle name="40% - Accent4 3 4 3" xfId="5409" xr:uid="{00000000-0005-0000-0000-00000E060000}"/>
    <cellStyle name="40% - Accent4 3 4 3 2" xfId="22292" xr:uid="{41C3706F-C1CE-4146-B3DC-ECC9E64F4FA8}"/>
    <cellStyle name="40% - Accent4 3 4 3 3" xfId="13851" xr:uid="{45FC40DD-E23A-4B00-95B1-B8ADAD5BB7D9}"/>
    <cellStyle name="40% - Accent4 3 4 4" xfId="18074" xr:uid="{2923AFAB-959A-4909-8011-A9E1AAEB95D8}"/>
    <cellStyle name="40% - Accent4 3 4 5" xfId="9633" xr:uid="{AD5E717D-2096-4A56-8BB3-2FC1C1F01B86}"/>
    <cellStyle name="40% - Accent4 3 5" xfId="1514" xr:uid="{00000000-0005-0000-0000-00000F060000}"/>
    <cellStyle name="40% - Accent4 3 5 2" xfId="3744" xr:uid="{00000000-0005-0000-0000-000010060000}"/>
    <cellStyle name="40% - Accent4 3 5 2 2" xfId="7967" xr:uid="{00000000-0005-0000-0000-000011060000}"/>
    <cellStyle name="40% - Accent4 3 5 2 2 2" xfId="24850" xr:uid="{578D68A2-29C7-46AE-A457-C628C75B8831}"/>
    <cellStyle name="40% - Accent4 3 5 2 2 3" xfId="16409" xr:uid="{81AE11F1-F8AE-4402-820D-D1382FEF654F}"/>
    <cellStyle name="40% - Accent4 3 5 2 3" xfId="20632" xr:uid="{D7D141FA-2725-44C5-9885-EA6B169CF155}"/>
    <cellStyle name="40% - Accent4 3 5 2 4" xfId="12191" xr:uid="{3017B29B-8422-42C9-BB46-1BEEA75A257F}"/>
    <cellStyle name="40% - Accent4 3 5 3" xfId="5822" xr:uid="{00000000-0005-0000-0000-000012060000}"/>
    <cellStyle name="40% - Accent4 3 5 3 2" xfId="22705" xr:uid="{794126E6-12CF-4609-B171-1FADB42D074C}"/>
    <cellStyle name="40% - Accent4 3 5 3 3" xfId="14264" xr:uid="{DE77822E-E22F-4F0E-9ACD-62C7EA3F7B24}"/>
    <cellStyle name="40% - Accent4 3 5 4" xfId="18487" xr:uid="{4CE5820A-791A-4D7E-82E5-29B5052936BC}"/>
    <cellStyle name="40% - Accent4 3 5 5" xfId="10046" xr:uid="{4CCDF3B3-A813-4CD0-88B9-0C1C5DEE5556}"/>
    <cellStyle name="40% - Accent4 3 6" xfId="1928" xr:uid="{00000000-0005-0000-0000-000013060000}"/>
    <cellStyle name="40% - Accent4 3 6 2" xfId="4157" xr:uid="{00000000-0005-0000-0000-000014060000}"/>
    <cellStyle name="40% - Accent4 3 6 2 2" xfId="8380" xr:uid="{00000000-0005-0000-0000-000015060000}"/>
    <cellStyle name="40% - Accent4 3 6 2 2 2" xfId="25263" xr:uid="{E41DC4E2-080A-4969-92B4-9F8185A98F7D}"/>
    <cellStyle name="40% - Accent4 3 6 2 2 3" xfId="16822" xr:uid="{F4A5D483-6C61-44FA-9E05-7E5EAE462CE5}"/>
    <cellStyle name="40% - Accent4 3 6 2 3" xfId="21045" xr:uid="{C08C7E2A-1AF0-432A-9DBA-1197A8C7EF9E}"/>
    <cellStyle name="40% - Accent4 3 6 2 4" xfId="12604" xr:uid="{20354BCA-89EC-4866-882D-AAA82B134661}"/>
    <cellStyle name="40% - Accent4 3 6 3" xfId="6235" xr:uid="{00000000-0005-0000-0000-000016060000}"/>
    <cellStyle name="40% - Accent4 3 6 3 2" xfId="23118" xr:uid="{EB002B9F-D812-4E8B-9588-599C0C87E7E3}"/>
    <cellStyle name="40% - Accent4 3 6 3 3" xfId="14677" xr:uid="{BF5FDC22-591B-49E1-B713-CB474FE3741F}"/>
    <cellStyle name="40% - Accent4 3 6 4" xfId="18900" xr:uid="{4E4EC227-D357-462B-BAAB-DBBE8C900DFB}"/>
    <cellStyle name="40% - Accent4 3 6 5" xfId="10459" xr:uid="{1270760F-6258-45C4-BEEF-C6FB89D32D27}"/>
    <cellStyle name="40% - Accent4 3 7" xfId="2341" xr:uid="{00000000-0005-0000-0000-000017060000}"/>
    <cellStyle name="40% - Accent4 3 7 2" xfId="6648" xr:uid="{00000000-0005-0000-0000-000018060000}"/>
    <cellStyle name="40% - Accent4 3 7 2 2" xfId="23531" xr:uid="{073609DC-DBF7-43BB-98B4-1525BD3A503D}"/>
    <cellStyle name="40% - Accent4 3 7 2 3" xfId="15090" xr:uid="{16E9313D-DA49-4709-B307-FDD83BC9546F}"/>
    <cellStyle name="40% - Accent4 3 7 3" xfId="19313" xr:uid="{658DB142-D2DA-416B-B523-811CBBBE605C}"/>
    <cellStyle name="40% - Accent4 3 7 4" xfId="10872" xr:uid="{9F55EB04-53C5-4BB3-AD08-8D0A6ED3B91A}"/>
    <cellStyle name="40% - Accent4 3 8" xfId="4582" xr:uid="{00000000-0005-0000-0000-000019060000}"/>
    <cellStyle name="40% - Accent4 3 8 2" xfId="21465" xr:uid="{C29CBE2E-30A2-47BF-9B87-E6A12E3807FF}"/>
    <cellStyle name="40% - Accent4 3 8 3" xfId="13024" xr:uid="{FEBD8435-6493-4039-91E1-9E945C5DE6FD}"/>
    <cellStyle name="40% - Accent4 3 9" xfId="17247" xr:uid="{00AC876A-3219-49D3-84C2-370487E4D2F9}"/>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24026" xr:uid="{523C1B4A-6365-4ED7-91A2-A232D8EBF772}"/>
    <cellStyle name="40% - Accent4 4 2 2 2 3" xfId="15585" xr:uid="{FC7096BC-1C3E-44E5-A37E-D722D1D89A26}"/>
    <cellStyle name="40% - Accent4 4 2 2 3" xfId="19808" xr:uid="{58E4397B-3681-401F-81AB-07A3CF95BD0C}"/>
    <cellStyle name="40% - Accent4 4 2 2 4" xfId="11367" xr:uid="{5F7E31A8-E153-4D02-87E2-F426460FEBDD}"/>
    <cellStyle name="40% - Accent4 4 2 3" xfId="4998" xr:uid="{00000000-0005-0000-0000-00001E060000}"/>
    <cellStyle name="40% - Accent4 4 2 3 2" xfId="21881" xr:uid="{8C6AA37E-0921-49EC-BEAF-30D23203A19D}"/>
    <cellStyle name="40% - Accent4 4 2 3 3" xfId="13440" xr:uid="{A23AC162-CB0C-4636-8B1D-9A8E90EF7046}"/>
    <cellStyle name="40% - Accent4 4 2 4" xfId="17663" xr:uid="{3C502360-9B52-4792-AA07-53DB8D662B0F}"/>
    <cellStyle name="40% - Accent4 4 2 5" xfId="9222" xr:uid="{D2BCFFB2-A4EF-4111-A1C9-6CA458E26281}"/>
    <cellStyle name="40% - Accent4 4 3" xfId="1102" xr:uid="{00000000-0005-0000-0000-00001F060000}"/>
    <cellStyle name="40% - Accent4 4 3 2" xfId="3333" xr:uid="{00000000-0005-0000-0000-000020060000}"/>
    <cellStyle name="40% - Accent4 4 3 2 2" xfId="7556" xr:uid="{00000000-0005-0000-0000-000021060000}"/>
    <cellStyle name="40% - Accent4 4 3 2 2 2" xfId="24439" xr:uid="{8E65C81F-622C-439B-BBB5-4404B563B55A}"/>
    <cellStyle name="40% - Accent4 4 3 2 2 3" xfId="15998" xr:uid="{2B47AC3E-ED9D-4B1F-9990-13FDACF9A570}"/>
    <cellStyle name="40% - Accent4 4 3 2 3" xfId="20221" xr:uid="{9AAD4E3C-458D-49EB-8CA7-0E2B2AE50177}"/>
    <cellStyle name="40% - Accent4 4 3 2 4" xfId="11780" xr:uid="{701E1A60-5ED5-4A12-92C6-B931E235D572}"/>
    <cellStyle name="40% - Accent4 4 3 3" xfId="5411" xr:uid="{00000000-0005-0000-0000-000022060000}"/>
    <cellStyle name="40% - Accent4 4 3 3 2" xfId="22294" xr:uid="{8D804AEB-E15D-434E-83A0-4FFC8F339606}"/>
    <cellStyle name="40% - Accent4 4 3 3 3" xfId="13853" xr:uid="{2C7DB10B-D2D6-4EE0-B23D-0910613D79AD}"/>
    <cellStyle name="40% - Accent4 4 3 4" xfId="18076" xr:uid="{56F19E0E-FD3C-4C45-B26D-92EED3B5EB33}"/>
    <cellStyle name="40% - Accent4 4 3 5" xfId="9635" xr:uid="{241C056F-5D6F-42FB-9DE5-598096A798DF}"/>
    <cellStyle name="40% - Accent4 4 4" xfId="1516" xr:uid="{00000000-0005-0000-0000-000023060000}"/>
    <cellStyle name="40% - Accent4 4 4 2" xfId="3746" xr:uid="{00000000-0005-0000-0000-000024060000}"/>
    <cellStyle name="40% - Accent4 4 4 2 2" xfId="7969" xr:uid="{00000000-0005-0000-0000-000025060000}"/>
    <cellStyle name="40% - Accent4 4 4 2 2 2" xfId="24852" xr:uid="{CA88AB45-A3C9-4974-9198-66E65BC07358}"/>
    <cellStyle name="40% - Accent4 4 4 2 2 3" xfId="16411" xr:uid="{79AA8CC3-42DD-4CF1-BD83-DB46AB4F861D}"/>
    <cellStyle name="40% - Accent4 4 4 2 3" xfId="20634" xr:uid="{5979D0E0-0503-4C49-925A-962F485C4083}"/>
    <cellStyle name="40% - Accent4 4 4 2 4" xfId="12193" xr:uid="{7B3D78D6-B00D-4CE1-885F-0E1437BC70CF}"/>
    <cellStyle name="40% - Accent4 4 4 3" xfId="5824" xr:uid="{00000000-0005-0000-0000-000026060000}"/>
    <cellStyle name="40% - Accent4 4 4 3 2" xfId="22707" xr:uid="{6BE9E917-3BB1-4F8B-A611-4306AD85EFE9}"/>
    <cellStyle name="40% - Accent4 4 4 3 3" xfId="14266" xr:uid="{A5330F42-FD2B-427C-A271-C7BDB895807C}"/>
    <cellStyle name="40% - Accent4 4 4 4" xfId="18489" xr:uid="{5FA5316A-47A4-40CD-A518-40BA4F6358DE}"/>
    <cellStyle name="40% - Accent4 4 4 5" xfId="10048" xr:uid="{3E90C90C-B24A-4757-B331-44753B824460}"/>
    <cellStyle name="40% - Accent4 4 5" xfId="1930" xr:uid="{00000000-0005-0000-0000-000027060000}"/>
    <cellStyle name="40% - Accent4 4 5 2" xfId="4159" xr:uid="{00000000-0005-0000-0000-000028060000}"/>
    <cellStyle name="40% - Accent4 4 5 2 2" xfId="8382" xr:uid="{00000000-0005-0000-0000-000029060000}"/>
    <cellStyle name="40% - Accent4 4 5 2 2 2" xfId="25265" xr:uid="{3A67B56D-450D-45F2-8946-01F4E7D74EC8}"/>
    <cellStyle name="40% - Accent4 4 5 2 2 3" xfId="16824" xr:uid="{10065EEF-E419-457C-A801-FEEC857779A2}"/>
    <cellStyle name="40% - Accent4 4 5 2 3" xfId="21047" xr:uid="{E88B6F10-D639-409C-8105-CE7714A6BEF0}"/>
    <cellStyle name="40% - Accent4 4 5 2 4" xfId="12606" xr:uid="{D71C3BEF-67DD-40FD-9E68-8C26A39295D5}"/>
    <cellStyle name="40% - Accent4 4 5 3" xfId="6237" xr:uid="{00000000-0005-0000-0000-00002A060000}"/>
    <cellStyle name="40% - Accent4 4 5 3 2" xfId="23120" xr:uid="{F0B30C06-96BD-46E0-92D0-B4F38ADB4AAF}"/>
    <cellStyle name="40% - Accent4 4 5 3 3" xfId="14679" xr:uid="{C9BAF792-9554-49D0-AD4D-1B722D92763A}"/>
    <cellStyle name="40% - Accent4 4 5 4" xfId="18902" xr:uid="{E35B9464-CD9E-4B4E-8152-9DEF944345B8}"/>
    <cellStyle name="40% - Accent4 4 5 5" xfId="10461" xr:uid="{0CEDD0B8-2318-4C9A-93E4-5C0F2399D225}"/>
    <cellStyle name="40% - Accent4 4 6" xfId="2343" xr:uid="{00000000-0005-0000-0000-00002B060000}"/>
    <cellStyle name="40% - Accent4 4 6 2" xfId="6650" xr:uid="{00000000-0005-0000-0000-00002C060000}"/>
    <cellStyle name="40% - Accent4 4 6 2 2" xfId="23533" xr:uid="{BE0B2644-FB56-42F6-8740-1761D9E29507}"/>
    <cellStyle name="40% - Accent4 4 6 2 3" xfId="15092" xr:uid="{FF11E276-A810-4A9F-A3C4-99CD4AC8F980}"/>
    <cellStyle name="40% - Accent4 4 6 3" xfId="19315" xr:uid="{449CACAD-06C9-4A45-AAFC-55C6295C6093}"/>
    <cellStyle name="40% - Accent4 4 6 4" xfId="10874" xr:uid="{4118878E-24C3-4EFC-9813-1A9E9F2BF652}"/>
    <cellStyle name="40% - Accent4 4 7" xfId="4584" xr:uid="{00000000-0005-0000-0000-00002D060000}"/>
    <cellStyle name="40% - Accent4 4 7 2" xfId="21467" xr:uid="{D76111E6-B542-4CF1-AC94-204958E7DCEB}"/>
    <cellStyle name="40% - Accent4 4 7 3" xfId="13026" xr:uid="{0238E858-E2F0-48D5-A839-6CB0791E055D}"/>
    <cellStyle name="40% - Accent4 4 8" xfId="17249" xr:uid="{F732A6DD-FF40-47C3-8BDB-2174C59A303C}"/>
    <cellStyle name="40% - Accent4 4 9" xfId="8808" xr:uid="{AA0AD094-4855-49B9-9518-3E1ECABC414A}"/>
    <cellStyle name="40% - Accent4 5" xfId="642" xr:uid="{00000000-0005-0000-0000-00002E060000}"/>
    <cellStyle name="40% - Accent4 5 2" xfId="2913" xr:uid="{00000000-0005-0000-0000-00002F060000}"/>
    <cellStyle name="40% - Accent4 5 2 2" xfId="7136" xr:uid="{00000000-0005-0000-0000-000030060000}"/>
    <cellStyle name="40% - Accent4 5 2 2 2" xfId="24019" xr:uid="{D3C23F69-4BC4-4F57-B71A-329291058D0D}"/>
    <cellStyle name="40% - Accent4 5 2 2 3" xfId="15578" xr:uid="{05AF2AD4-92FD-40AA-9204-3DE14C03E51B}"/>
    <cellStyle name="40% - Accent4 5 2 3" xfId="19801" xr:uid="{E9E0CF7E-C505-41B8-A179-2933E8A37864}"/>
    <cellStyle name="40% - Accent4 5 2 4" xfId="11360" xr:uid="{6330B143-3539-4E98-B878-25BCB409752B}"/>
    <cellStyle name="40% - Accent4 5 3" xfId="4991" xr:uid="{00000000-0005-0000-0000-000031060000}"/>
    <cellStyle name="40% - Accent4 5 3 2" xfId="21874" xr:uid="{109AD9DC-47B5-4B0F-A43F-812BF5849B16}"/>
    <cellStyle name="40% - Accent4 5 3 3" xfId="13433" xr:uid="{0B5D93BD-8293-42D5-BCC5-29A2AF1869A5}"/>
    <cellStyle name="40% - Accent4 5 4" xfId="17656" xr:uid="{7C17E6E2-B0DA-411D-B9D6-1E266C69E3F8}"/>
    <cellStyle name="40% - Accent4 5 5" xfId="9215" xr:uid="{1EE653DE-E997-4372-A009-A78C9D3BD884}"/>
    <cellStyle name="40% - Accent4 6" xfId="1095" xr:uid="{00000000-0005-0000-0000-000032060000}"/>
    <cellStyle name="40% - Accent4 6 2" xfId="3326" xr:uid="{00000000-0005-0000-0000-000033060000}"/>
    <cellStyle name="40% - Accent4 6 2 2" xfId="7549" xr:uid="{00000000-0005-0000-0000-000034060000}"/>
    <cellStyle name="40% - Accent4 6 2 2 2" xfId="24432" xr:uid="{8B278AF4-368B-41F4-AFF8-C671BD9B5457}"/>
    <cellStyle name="40% - Accent4 6 2 2 3" xfId="15991" xr:uid="{ADEB563A-BA56-4DBF-9617-2604779B70ED}"/>
    <cellStyle name="40% - Accent4 6 2 3" xfId="20214" xr:uid="{B87BC8DB-D5E3-4199-9DCA-57F6D106D313}"/>
    <cellStyle name="40% - Accent4 6 2 4" xfId="11773" xr:uid="{BC74414E-37BA-4ADC-A910-3F19A4D7FFBB}"/>
    <cellStyle name="40% - Accent4 6 3" xfId="5404" xr:uid="{00000000-0005-0000-0000-000035060000}"/>
    <cellStyle name="40% - Accent4 6 3 2" xfId="22287" xr:uid="{876D2D7B-1AFD-4F89-B41A-C88B859BC3AE}"/>
    <cellStyle name="40% - Accent4 6 3 3" xfId="13846" xr:uid="{25E580D1-D529-407E-892E-9D8E9BE5953A}"/>
    <cellStyle name="40% - Accent4 6 4" xfId="18069" xr:uid="{679E4D0D-56CD-4543-8B3B-B062EEC2BE50}"/>
    <cellStyle name="40% - Accent4 6 5" xfId="9628" xr:uid="{C8AD4E35-8C73-4801-ABC5-6FDB87EB343B}"/>
    <cellStyle name="40% - Accent4 7" xfId="1509" xr:uid="{00000000-0005-0000-0000-000036060000}"/>
    <cellStyle name="40% - Accent4 7 2" xfId="3739" xr:uid="{00000000-0005-0000-0000-000037060000}"/>
    <cellStyle name="40% - Accent4 7 2 2" xfId="7962" xr:uid="{00000000-0005-0000-0000-000038060000}"/>
    <cellStyle name="40% - Accent4 7 2 2 2" xfId="24845" xr:uid="{CDC9DA39-3B32-4397-ADB7-4CF97CA147B4}"/>
    <cellStyle name="40% - Accent4 7 2 2 3" xfId="16404" xr:uid="{094CF44A-446D-4FF5-B2DE-8C5E8FF6C75C}"/>
    <cellStyle name="40% - Accent4 7 2 3" xfId="20627" xr:uid="{0E7844E2-F15F-41E1-9390-25CD9E2FE342}"/>
    <cellStyle name="40% - Accent4 7 2 4" xfId="12186" xr:uid="{3B916433-C3D4-408E-A06F-F11D35EA5214}"/>
    <cellStyle name="40% - Accent4 7 3" xfId="5817" xr:uid="{00000000-0005-0000-0000-000039060000}"/>
    <cellStyle name="40% - Accent4 7 3 2" xfId="22700" xr:uid="{A7932901-047A-4E37-9954-ABA08549567A}"/>
    <cellStyle name="40% - Accent4 7 3 3" xfId="14259" xr:uid="{1F52B8B3-99A1-4AEF-AD81-720130FD89F9}"/>
    <cellStyle name="40% - Accent4 7 4" xfId="18482" xr:uid="{46E9162B-EC5B-4952-BC91-B1317512AB71}"/>
    <cellStyle name="40% - Accent4 7 5" xfId="10041" xr:uid="{BBF552BF-16C1-4ABE-BF34-4CE825437A25}"/>
    <cellStyle name="40% - Accent4 8" xfId="1923" xr:uid="{00000000-0005-0000-0000-00003A060000}"/>
    <cellStyle name="40% - Accent4 8 2" xfId="4152" xr:uid="{00000000-0005-0000-0000-00003B060000}"/>
    <cellStyle name="40% - Accent4 8 2 2" xfId="8375" xr:uid="{00000000-0005-0000-0000-00003C060000}"/>
    <cellStyle name="40% - Accent4 8 2 2 2" xfId="25258" xr:uid="{1ECE3863-000B-48E8-A461-FD87ADCE10E7}"/>
    <cellStyle name="40% - Accent4 8 2 2 3" xfId="16817" xr:uid="{40CD2580-E3FA-4AB9-8426-F1F0A554C879}"/>
    <cellStyle name="40% - Accent4 8 2 3" xfId="21040" xr:uid="{86B2EE21-0DDF-4861-93E4-134E814A87C3}"/>
    <cellStyle name="40% - Accent4 8 2 4" xfId="12599" xr:uid="{B3C2ADBB-4CB2-42E1-8D53-935A619E6E6E}"/>
    <cellStyle name="40% - Accent4 8 3" xfId="6230" xr:uid="{00000000-0005-0000-0000-00003D060000}"/>
    <cellStyle name="40% - Accent4 8 3 2" xfId="23113" xr:uid="{52E84179-9A0F-435E-BA7C-293C09366B03}"/>
    <cellStyle name="40% - Accent4 8 3 3" xfId="14672" xr:uid="{317086A3-7DA8-4FB9-869A-96ED8A4E723C}"/>
    <cellStyle name="40% - Accent4 8 4" xfId="18895" xr:uid="{1E1C6AAC-014B-43BF-B443-A52132E10C7B}"/>
    <cellStyle name="40% - Accent4 8 5" xfId="10454" xr:uid="{C8DB1599-C7EE-4619-9FED-5743CD0AC4B3}"/>
    <cellStyle name="40% - Accent4 9" xfId="2336" xr:uid="{00000000-0005-0000-0000-00003E060000}"/>
    <cellStyle name="40% - Accent4 9 2" xfId="6643" xr:uid="{00000000-0005-0000-0000-00003F060000}"/>
    <cellStyle name="40% - Accent4 9 2 2" xfId="23526" xr:uid="{98A502DA-F64F-4C77-9DEC-AFE2BDAA305C}"/>
    <cellStyle name="40% - Accent4 9 2 3" xfId="15085" xr:uid="{6DA27261-9150-4175-B7C3-AD3852EED7FA}"/>
    <cellStyle name="40% - Accent4 9 3" xfId="19308" xr:uid="{51598630-A0DA-4C38-AF30-C322122C32F8}"/>
    <cellStyle name="40% - Accent4 9 4" xfId="10867" xr:uid="{CCAB99F1-0685-4B9D-AB42-400B6DC433F4}"/>
    <cellStyle name="40% - Accent5" xfId="81" builtinId="47" customBuiltin="1"/>
    <cellStyle name="40% - Accent5 10" xfId="4585" xr:uid="{00000000-0005-0000-0000-000041060000}"/>
    <cellStyle name="40% - Accent5 10 2" xfId="21468" xr:uid="{159CAC7C-556A-4CCC-9036-1B08D7C17FCB}"/>
    <cellStyle name="40% - Accent5 10 3" xfId="13027" xr:uid="{8A81DBFC-B74C-490A-9928-567A0804CA03}"/>
    <cellStyle name="40% - Accent5 11" xfId="17250" xr:uid="{C668F8CB-B9BE-4D73-95FC-E50C4D25584A}"/>
    <cellStyle name="40% - Accent5 12" xfId="8809" xr:uid="{90BD7CA4-6C09-40EC-A077-DB25550F79BE}"/>
    <cellStyle name="40% - Accent5 2" xfId="82" xr:uid="{00000000-0005-0000-0000-000042060000}"/>
    <cellStyle name="40% - Accent5 2 10" xfId="17251" xr:uid="{44A832EA-BE75-4F4A-8956-501AD7FE77E4}"/>
    <cellStyle name="40% - Accent5 2 11" xfId="8810" xr:uid="{83FEC5FB-1CDD-4A6F-B719-2D668CC81B41}"/>
    <cellStyle name="40% - Accent5 2 2" xfId="83" xr:uid="{00000000-0005-0000-0000-000043060000}"/>
    <cellStyle name="40% - Accent5 2 2 10" xfId="8811" xr:uid="{001E7E56-7EC4-4182-AC32-E0AC14485DB5}"/>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24030" xr:uid="{59DFBBE5-80D6-4CAF-9812-F6621866D64A}"/>
    <cellStyle name="40% - Accent5 2 2 2 2 2 2 3" xfId="15589" xr:uid="{5833095B-1AEB-4320-BDA8-3BB377163508}"/>
    <cellStyle name="40% - Accent5 2 2 2 2 2 3" xfId="19812" xr:uid="{24FE5767-82DE-43EB-9709-949248ADD18B}"/>
    <cellStyle name="40% - Accent5 2 2 2 2 2 4" xfId="11371" xr:uid="{08394822-16BA-4B02-81D8-5CF68CF57B42}"/>
    <cellStyle name="40% - Accent5 2 2 2 2 3" xfId="5002" xr:uid="{00000000-0005-0000-0000-000048060000}"/>
    <cellStyle name="40% - Accent5 2 2 2 2 3 2" xfId="21885" xr:uid="{26E3AF86-235C-47A3-A4CE-178E28030FC2}"/>
    <cellStyle name="40% - Accent5 2 2 2 2 3 3" xfId="13444" xr:uid="{B1A09CF4-53E8-4DFF-BF5B-1BFBEB55B62D}"/>
    <cellStyle name="40% - Accent5 2 2 2 2 4" xfId="17667" xr:uid="{D38A7220-600D-426A-8DE8-655AF42A89E6}"/>
    <cellStyle name="40% - Accent5 2 2 2 2 5" xfId="9226" xr:uid="{BD3D44E8-6B33-4BFA-9A31-5F15E042576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24443" xr:uid="{7700E93C-514A-42F5-B474-95D39AE72360}"/>
    <cellStyle name="40% - Accent5 2 2 2 3 2 2 3" xfId="16002" xr:uid="{54DE5D7E-3D29-46F3-8092-7AEF1078F427}"/>
    <cellStyle name="40% - Accent5 2 2 2 3 2 3" xfId="20225" xr:uid="{C621DCDF-9F49-4553-A39F-3FD69B9E2A08}"/>
    <cellStyle name="40% - Accent5 2 2 2 3 2 4" xfId="11784" xr:uid="{1C42E5B7-3B8A-42AE-8D73-1E1DDACEEF55}"/>
    <cellStyle name="40% - Accent5 2 2 2 3 3" xfId="5415" xr:uid="{00000000-0005-0000-0000-00004C060000}"/>
    <cellStyle name="40% - Accent5 2 2 2 3 3 2" xfId="22298" xr:uid="{B7E4FF37-8A64-44A5-995A-451E7881A2A1}"/>
    <cellStyle name="40% - Accent5 2 2 2 3 3 3" xfId="13857" xr:uid="{15B3775C-56B9-47EA-BA28-C117FC9DDA92}"/>
    <cellStyle name="40% - Accent5 2 2 2 3 4" xfId="18080" xr:uid="{C0C068D8-E8D0-4B2D-BCFD-BC498626EAE7}"/>
    <cellStyle name="40% - Accent5 2 2 2 3 5" xfId="9639" xr:uid="{3C444C11-3386-4C59-A603-6032C6557C4F}"/>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24856" xr:uid="{DB3A0A0E-071D-48A8-B053-59BF8B04484C}"/>
    <cellStyle name="40% - Accent5 2 2 2 4 2 2 3" xfId="16415" xr:uid="{417DCE34-61E7-4629-9D92-B15CD262CE51}"/>
    <cellStyle name="40% - Accent5 2 2 2 4 2 3" xfId="20638" xr:uid="{DF41FE7A-307D-413E-984E-94D1FAEB94D0}"/>
    <cellStyle name="40% - Accent5 2 2 2 4 2 4" xfId="12197" xr:uid="{A3924A30-5AF8-44D9-800A-88E6D016995A}"/>
    <cellStyle name="40% - Accent5 2 2 2 4 3" xfId="5828" xr:uid="{00000000-0005-0000-0000-000050060000}"/>
    <cellStyle name="40% - Accent5 2 2 2 4 3 2" xfId="22711" xr:uid="{C7D8C746-A472-4C9B-A951-E36E4F7793C2}"/>
    <cellStyle name="40% - Accent5 2 2 2 4 3 3" xfId="14270" xr:uid="{F15843F9-54F0-4D77-836A-D2CF9281D701}"/>
    <cellStyle name="40% - Accent5 2 2 2 4 4" xfId="18493" xr:uid="{4A05F840-1113-42F5-A2C6-387620B6E8CE}"/>
    <cellStyle name="40% - Accent5 2 2 2 4 5" xfId="10052" xr:uid="{682EE58C-5403-46F5-8BF5-227AAB258766}"/>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25269" xr:uid="{26AFFFF4-0B00-48E7-AF56-926B301101F2}"/>
    <cellStyle name="40% - Accent5 2 2 2 5 2 2 3" xfId="16828" xr:uid="{D9269314-E2A6-4184-86F8-C4289A1FA316}"/>
    <cellStyle name="40% - Accent5 2 2 2 5 2 3" xfId="21051" xr:uid="{3E7C45DC-7A0A-40D1-BFFC-F5E47D1DCC8F}"/>
    <cellStyle name="40% - Accent5 2 2 2 5 2 4" xfId="12610" xr:uid="{4597F42E-CA47-4B39-8CFB-16472D96DDC0}"/>
    <cellStyle name="40% - Accent5 2 2 2 5 3" xfId="6241" xr:uid="{00000000-0005-0000-0000-000054060000}"/>
    <cellStyle name="40% - Accent5 2 2 2 5 3 2" xfId="23124" xr:uid="{76F0B811-C86E-417A-B348-2B701A615592}"/>
    <cellStyle name="40% - Accent5 2 2 2 5 3 3" xfId="14683" xr:uid="{343E7332-F438-4E51-BCC2-5BDD95E5896F}"/>
    <cellStyle name="40% - Accent5 2 2 2 5 4" xfId="18906" xr:uid="{63F29AEF-1C2D-4AC5-8A47-59F287177256}"/>
    <cellStyle name="40% - Accent5 2 2 2 5 5" xfId="10465" xr:uid="{B65ED256-EF2E-4B8F-8121-106051E48B23}"/>
    <cellStyle name="40% - Accent5 2 2 2 6" xfId="2347" xr:uid="{00000000-0005-0000-0000-000055060000}"/>
    <cellStyle name="40% - Accent5 2 2 2 6 2" xfId="6654" xr:uid="{00000000-0005-0000-0000-000056060000}"/>
    <cellStyle name="40% - Accent5 2 2 2 6 2 2" xfId="23537" xr:uid="{6AAE7198-C593-46F0-A1FB-07A5C637CA46}"/>
    <cellStyle name="40% - Accent5 2 2 2 6 2 3" xfId="15096" xr:uid="{81CB5C51-D36A-4B72-B28F-FA8BA6A3C039}"/>
    <cellStyle name="40% - Accent5 2 2 2 6 3" xfId="19319" xr:uid="{660D4263-896D-48D1-8FB7-FEC29D86B5CA}"/>
    <cellStyle name="40% - Accent5 2 2 2 6 4" xfId="10878" xr:uid="{E330C53A-5CB1-4464-B649-99A865A5621C}"/>
    <cellStyle name="40% - Accent5 2 2 2 7" xfId="4588" xr:uid="{00000000-0005-0000-0000-000057060000}"/>
    <cellStyle name="40% - Accent5 2 2 2 7 2" xfId="21471" xr:uid="{A4B4B302-E9EB-4043-B389-E333560C6070}"/>
    <cellStyle name="40% - Accent5 2 2 2 7 3" xfId="13030" xr:uid="{45C96F52-D603-4230-9DAE-0D1366988143}"/>
    <cellStyle name="40% - Accent5 2 2 2 8" xfId="17253" xr:uid="{ACC09B42-F3F3-454D-B630-8B740C7A0794}"/>
    <cellStyle name="40% - Accent5 2 2 2 9" xfId="8812" xr:uid="{9FDA0AC2-6CBF-4174-955E-807746D718F6}"/>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24029" xr:uid="{A046968F-1133-4966-9A9A-C6A9C7E7A10A}"/>
    <cellStyle name="40% - Accent5 2 2 3 2 2 3" xfId="15588" xr:uid="{58BAD3E9-1768-4410-996C-F913BF96A290}"/>
    <cellStyle name="40% - Accent5 2 2 3 2 3" xfId="19811" xr:uid="{DD918123-CDC4-4933-8B07-3D1F44031FC0}"/>
    <cellStyle name="40% - Accent5 2 2 3 2 4" xfId="11370" xr:uid="{7E7A26FB-371C-4AD3-8E20-8263CB5EB6DF}"/>
    <cellStyle name="40% - Accent5 2 2 3 3" xfId="5001" xr:uid="{00000000-0005-0000-0000-00005B060000}"/>
    <cellStyle name="40% - Accent5 2 2 3 3 2" xfId="21884" xr:uid="{57A6DAD4-AAF5-44A3-B397-F45B1C439E04}"/>
    <cellStyle name="40% - Accent5 2 2 3 3 3" xfId="13443" xr:uid="{EFE91C20-1565-4A72-AF00-303ADC6B2BF0}"/>
    <cellStyle name="40% - Accent5 2 2 3 4" xfId="17666" xr:uid="{414637BC-761D-4880-A3BF-3815EE1CF127}"/>
    <cellStyle name="40% - Accent5 2 2 3 5" xfId="9225" xr:uid="{60F9F745-71D4-4A9C-96A9-1E9DAFD1A6E4}"/>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24442" xr:uid="{9425B6A0-2164-4F98-9B5F-EE317CCD39C7}"/>
    <cellStyle name="40% - Accent5 2 2 4 2 2 3" xfId="16001" xr:uid="{ECB7A0CA-5BD3-40CD-A362-ABEE456914E2}"/>
    <cellStyle name="40% - Accent5 2 2 4 2 3" xfId="20224" xr:uid="{F1DF06E8-F33E-418C-9D12-EA4B948D9C2E}"/>
    <cellStyle name="40% - Accent5 2 2 4 2 4" xfId="11783" xr:uid="{A4483260-9ACA-4241-917C-6E2E441EC2A4}"/>
    <cellStyle name="40% - Accent5 2 2 4 3" xfId="5414" xr:uid="{00000000-0005-0000-0000-00005F060000}"/>
    <cellStyle name="40% - Accent5 2 2 4 3 2" xfId="22297" xr:uid="{C01A8FDF-A023-46D3-A423-BCD037BD64CE}"/>
    <cellStyle name="40% - Accent5 2 2 4 3 3" xfId="13856" xr:uid="{72B8AF91-0832-4A5E-A558-2B88D48517CC}"/>
    <cellStyle name="40% - Accent5 2 2 4 4" xfId="18079" xr:uid="{95380427-D4AB-44E1-861E-1E4675D6010A}"/>
    <cellStyle name="40% - Accent5 2 2 4 5" xfId="9638" xr:uid="{8E23D4C8-D4B3-48FF-8783-DE4505BA89B2}"/>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24855" xr:uid="{31C937C2-FB04-4944-8553-CCBD33F925BB}"/>
    <cellStyle name="40% - Accent5 2 2 5 2 2 3" xfId="16414" xr:uid="{3F1DDE1B-326E-482F-9799-2B4ADAE9EFEC}"/>
    <cellStyle name="40% - Accent5 2 2 5 2 3" xfId="20637" xr:uid="{6D81043D-B8B0-4CAC-B7EA-267124FBF2F4}"/>
    <cellStyle name="40% - Accent5 2 2 5 2 4" xfId="12196" xr:uid="{F1D46218-7605-49B2-82B5-F93F73D7DD6F}"/>
    <cellStyle name="40% - Accent5 2 2 5 3" xfId="5827" xr:uid="{00000000-0005-0000-0000-000063060000}"/>
    <cellStyle name="40% - Accent5 2 2 5 3 2" xfId="22710" xr:uid="{5AA7C1D5-975F-497D-9658-56BCDE5CFBE0}"/>
    <cellStyle name="40% - Accent5 2 2 5 3 3" xfId="14269" xr:uid="{D00A532F-4B11-4090-9DA4-9219350AB6D8}"/>
    <cellStyle name="40% - Accent5 2 2 5 4" xfId="18492" xr:uid="{213A568B-9DEC-4C21-B490-B9A6C9DC239C}"/>
    <cellStyle name="40% - Accent5 2 2 5 5" xfId="10051" xr:uid="{4069D4D6-55AD-4F66-8A6A-3EE5C9028874}"/>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25268" xr:uid="{8A05612A-1B46-4C56-AFDC-355895CD01D4}"/>
    <cellStyle name="40% - Accent5 2 2 6 2 2 3" xfId="16827" xr:uid="{BC8452E4-0DD4-4D38-BCC8-4F32EC9EA319}"/>
    <cellStyle name="40% - Accent5 2 2 6 2 3" xfId="21050" xr:uid="{EC94A18B-6923-4ABD-82D3-049F4F763768}"/>
    <cellStyle name="40% - Accent5 2 2 6 2 4" xfId="12609" xr:uid="{DEEEEC24-56F3-4B41-8FC9-D8E189D37AD9}"/>
    <cellStyle name="40% - Accent5 2 2 6 3" xfId="6240" xr:uid="{00000000-0005-0000-0000-000067060000}"/>
    <cellStyle name="40% - Accent5 2 2 6 3 2" xfId="23123" xr:uid="{C8AADA55-5179-4C9E-88C7-FC648FEB0899}"/>
    <cellStyle name="40% - Accent5 2 2 6 3 3" xfId="14682" xr:uid="{25AB2DC1-9D6A-49B7-8571-D579189B9E9C}"/>
    <cellStyle name="40% - Accent5 2 2 6 4" xfId="18905" xr:uid="{F285D2BA-0669-435F-B964-F96077755B4D}"/>
    <cellStyle name="40% - Accent5 2 2 6 5" xfId="10464" xr:uid="{ACCB4ABE-8A05-41B7-8121-AAF5D89381BF}"/>
    <cellStyle name="40% - Accent5 2 2 7" xfId="2346" xr:uid="{00000000-0005-0000-0000-000068060000}"/>
    <cellStyle name="40% - Accent5 2 2 7 2" xfId="6653" xr:uid="{00000000-0005-0000-0000-000069060000}"/>
    <cellStyle name="40% - Accent5 2 2 7 2 2" xfId="23536" xr:uid="{FBD237CA-E3B4-4D57-8F67-7BEC87F2C4B3}"/>
    <cellStyle name="40% - Accent5 2 2 7 2 3" xfId="15095" xr:uid="{152AF2C0-D84A-4858-8B97-EC3E6B18DC23}"/>
    <cellStyle name="40% - Accent5 2 2 7 3" xfId="19318" xr:uid="{BE6F6018-7EC3-4A90-A37F-D0A5EC56DB99}"/>
    <cellStyle name="40% - Accent5 2 2 7 4" xfId="10877" xr:uid="{B4DF7FFC-457E-4909-A6E6-909C94E778D6}"/>
    <cellStyle name="40% - Accent5 2 2 8" xfId="4587" xr:uid="{00000000-0005-0000-0000-00006A060000}"/>
    <cellStyle name="40% - Accent5 2 2 8 2" xfId="21470" xr:uid="{D0BF65F9-F6A0-4950-90FE-15E85087AE30}"/>
    <cellStyle name="40% - Accent5 2 2 8 3" xfId="13029" xr:uid="{5CF639F7-A789-4747-A8DE-8B8718CE52C9}"/>
    <cellStyle name="40% - Accent5 2 2 9" xfId="17252" xr:uid="{273C138E-4718-4B1B-81AC-800DF0223E5D}"/>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24031" xr:uid="{E983F072-6076-42B1-8803-FC646A5FDF54}"/>
    <cellStyle name="40% - Accent5 2 3 2 2 2 3" xfId="15590" xr:uid="{75123887-CCAE-44DC-A612-363AA0995B00}"/>
    <cellStyle name="40% - Accent5 2 3 2 2 3" xfId="19813" xr:uid="{148515F6-A810-4F73-9E4B-C9652B4C4EF8}"/>
    <cellStyle name="40% - Accent5 2 3 2 2 4" xfId="11372" xr:uid="{533B2F0C-BF71-4568-8F53-8A69359964D3}"/>
    <cellStyle name="40% - Accent5 2 3 2 3" xfId="5003" xr:uid="{00000000-0005-0000-0000-00006F060000}"/>
    <cellStyle name="40% - Accent5 2 3 2 3 2" xfId="21886" xr:uid="{465228CF-3633-4477-9F94-52FF5B360B04}"/>
    <cellStyle name="40% - Accent5 2 3 2 3 3" xfId="13445" xr:uid="{3D605A68-4498-4572-92A4-9679BD0E241C}"/>
    <cellStyle name="40% - Accent5 2 3 2 4" xfId="17668" xr:uid="{4B4BD93C-A864-485E-9677-ABDB258942FC}"/>
    <cellStyle name="40% - Accent5 2 3 2 5" xfId="9227" xr:uid="{DC7D4F51-6BA8-4D7F-BAEB-C6D857CE7261}"/>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24444" xr:uid="{0F3DBAFE-BDBF-4326-9010-AB4AC331B111}"/>
    <cellStyle name="40% - Accent5 2 3 3 2 2 3" xfId="16003" xr:uid="{8F27E49F-0D1E-46D2-AAFA-F729B204FFA4}"/>
    <cellStyle name="40% - Accent5 2 3 3 2 3" xfId="20226" xr:uid="{9D4751F1-E540-4C5F-BE9A-02289D5AA7F4}"/>
    <cellStyle name="40% - Accent5 2 3 3 2 4" xfId="11785" xr:uid="{0F91D154-D4B2-4B5E-9D9F-64CA03C34F05}"/>
    <cellStyle name="40% - Accent5 2 3 3 3" xfId="5416" xr:uid="{00000000-0005-0000-0000-000073060000}"/>
    <cellStyle name="40% - Accent5 2 3 3 3 2" xfId="22299" xr:uid="{134FD497-9999-4DF3-B84C-0937C6E6CB34}"/>
    <cellStyle name="40% - Accent5 2 3 3 3 3" xfId="13858" xr:uid="{D88C3E87-0F1D-448F-B629-3A1979C15371}"/>
    <cellStyle name="40% - Accent5 2 3 3 4" xfId="18081" xr:uid="{0BB4B15F-1CF0-413F-BBFB-1A731832FB73}"/>
    <cellStyle name="40% - Accent5 2 3 3 5" xfId="9640" xr:uid="{067583F4-D75D-4161-B159-304C6746F18F}"/>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24857" xr:uid="{69491F72-9DDA-4986-8033-423CABB014A6}"/>
    <cellStyle name="40% - Accent5 2 3 4 2 2 3" xfId="16416" xr:uid="{513278AE-F72B-41F7-9086-0B836E6E56E3}"/>
    <cellStyle name="40% - Accent5 2 3 4 2 3" xfId="20639" xr:uid="{CCD6D54B-80C5-411C-8B65-B1191B624B75}"/>
    <cellStyle name="40% - Accent5 2 3 4 2 4" xfId="12198" xr:uid="{974A1C10-566A-4531-97C4-CA7E2039F330}"/>
    <cellStyle name="40% - Accent5 2 3 4 3" xfId="5829" xr:uid="{00000000-0005-0000-0000-000077060000}"/>
    <cellStyle name="40% - Accent5 2 3 4 3 2" xfId="22712" xr:uid="{93773FE8-5C1A-4E10-905C-F864CEBBF6FF}"/>
    <cellStyle name="40% - Accent5 2 3 4 3 3" xfId="14271" xr:uid="{A31A1220-12DA-42D1-8C37-F87C7895DE1E}"/>
    <cellStyle name="40% - Accent5 2 3 4 4" xfId="18494" xr:uid="{C08F4E93-E879-4B3E-8804-D261391B8567}"/>
    <cellStyle name="40% - Accent5 2 3 4 5" xfId="10053" xr:uid="{0E5DF85D-29C5-4654-91FA-13BB09A3FEA1}"/>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25270" xr:uid="{B9F2DF68-7A07-4A16-B2AC-4866FE7058D0}"/>
    <cellStyle name="40% - Accent5 2 3 5 2 2 3" xfId="16829" xr:uid="{E63D1A1C-0018-4F55-90A7-C365C8AA3B4B}"/>
    <cellStyle name="40% - Accent5 2 3 5 2 3" xfId="21052" xr:uid="{0B79B303-7BB2-4055-A185-3EBDEBEACFDA}"/>
    <cellStyle name="40% - Accent5 2 3 5 2 4" xfId="12611" xr:uid="{0DAD6F57-9697-40CF-9452-D8DF1F7F3CE9}"/>
    <cellStyle name="40% - Accent5 2 3 5 3" xfId="6242" xr:uid="{00000000-0005-0000-0000-00007B060000}"/>
    <cellStyle name="40% - Accent5 2 3 5 3 2" xfId="23125" xr:uid="{F23F474E-70D1-432A-B9C0-0C2FC8D9232A}"/>
    <cellStyle name="40% - Accent5 2 3 5 3 3" xfId="14684" xr:uid="{2CD6892C-53E6-49A3-A692-89499E43604B}"/>
    <cellStyle name="40% - Accent5 2 3 5 4" xfId="18907" xr:uid="{42043C39-3448-445A-96D1-E42E2E344BE3}"/>
    <cellStyle name="40% - Accent5 2 3 5 5" xfId="10466" xr:uid="{2F48725F-2C30-4239-BAD3-DAA0607CEC10}"/>
    <cellStyle name="40% - Accent5 2 3 6" xfId="2348" xr:uid="{00000000-0005-0000-0000-00007C060000}"/>
    <cellStyle name="40% - Accent5 2 3 6 2" xfId="6655" xr:uid="{00000000-0005-0000-0000-00007D060000}"/>
    <cellStyle name="40% - Accent5 2 3 6 2 2" xfId="23538" xr:uid="{8DB66051-AFC9-49DC-86F2-D20B6728D673}"/>
    <cellStyle name="40% - Accent5 2 3 6 2 3" xfId="15097" xr:uid="{3A0FC0D1-4248-4FAB-BC55-E60D7D728873}"/>
    <cellStyle name="40% - Accent5 2 3 6 3" xfId="19320" xr:uid="{4827A1F3-8513-4229-BB1D-0AEFBE9B5FC5}"/>
    <cellStyle name="40% - Accent5 2 3 6 4" xfId="10879" xr:uid="{1D11E290-1AB0-4CC3-B88F-B5AAA81A7275}"/>
    <cellStyle name="40% - Accent5 2 3 7" xfId="4589" xr:uid="{00000000-0005-0000-0000-00007E060000}"/>
    <cellStyle name="40% - Accent5 2 3 7 2" xfId="21472" xr:uid="{81F5B751-8B19-473E-AD0D-6EE482EC83C4}"/>
    <cellStyle name="40% - Accent5 2 3 7 3" xfId="13031" xr:uid="{8E004A02-0608-42E5-B2E1-4E8375EBC957}"/>
    <cellStyle name="40% - Accent5 2 3 8" xfId="17254" xr:uid="{B6BF70FC-A18F-48A9-A2C0-AF2939CE0052}"/>
    <cellStyle name="40% - Accent5 2 3 9" xfId="8813" xr:uid="{254EF9A7-E338-44CA-8140-276C43080EC5}"/>
    <cellStyle name="40% - Accent5 2 4" xfId="651" xr:uid="{00000000-0005-0000-0000-00007F060000}"/>
    <cellStyle name="40% - Accent5 2 4 2" xfId="2922" xr:uid="{00000000-0005-0000-0000-000080060000}"/>
    <cellStyle name="40% - Accent5 2 4 2 2" xfId="7145" xr:uid="{00000000-0005-0000-0000-000081060000}"/>
    <cellStyle name="40% - Accent5 2 4 2 2 2" xfId="24028" xr:uid="{4F2B4B9F-A62D-405D-83D0-4D22392B99CD}"/>
    <cellStyle name="40% - Accent5 2 4 2 2 3" xfId="15587" xr:uid="{61E26107-A86B-494A-8A45-F2929BAEB1C7}"/>
    <cellStyle name="40% - Accent5 2 4 2 3" xfId="19810" xr:uid="{7DF67DFB-1182-4B74-84EB-7D7497C100CC}"/>
    <cellStyle name="40% - Accent5 2 4 2 4" xfId="11369" xr:uid="{5D3D1E25-6201-45AD-9A6A-44DDF1DC487B}"/>
    <cellStyle name="40% - Accent5 2 4 3" xfId="5000" xr:uid="{00000000-0005-0000-0000-000082060000}"/>
    <cellStyle name="40% - Accent5 2 4 3 2" xfId="21883" xr:uid="{0D8A9E8A-275B-4CF0-A349-76DCA13C509D}"/>
    <cellStyle name="40% - Accent5 2 4 3 3" xfId="13442" xr:uid="{656693BC-FA62-4DDC-9D35-B309473ECED5}"/>
    <cellStyle name="40% - Accent5 2 4 4" xfId="17665" xr:uid="{5B860990-832C-4E91-95B4-33EBBC97A416}"/>
    <cellStyle name="40% - Accent5 2 4 5" xfId="9224" xr:uid="{04844803-920A-4B70-81C5-79AD568CC88C}"/>
    <cellStyle name="40% - Accent5 2 5" xfId="1104" xr:uid="{00000000-0005-0000-0000-000083060000}"/>
    <cellStyle name="40% - Accent5 2 5 2" xfId="3335" xr:uid="{00000000-0005-0000-0000-000084060000}"/>
    <cellStyle name="40% - Accent5 2 5 2 2" xfId="7558" xr:uid="{00000000-0005-0000-0000-000085060000}"/>
    <cellStyle name="40% - Accent5 2 5 2 2 2" xfId="24441" xr:uid="{44F5979A-3121-4E3D-9F5A-7E7CFFB0DD0F}"/>
    <cellStyle name="40% - Accent5 2 5 2 2 3" xfId="16000" xr:uid="{E4844B5F-353D-4D5B-9D0A-C8CCF1C1C960}"/>
    <cellStyle name="40% - Accent5 2 5 2 3" xfId="20223" xr:uid="{5AE00C0F-CE80-406C-86E2-6BD011448ED5}"/>
    <cellStyle name="40% - Accent5 2 5 2 4" xfId="11782" xr:uid="{4A813FCA-5190-49AA-9B9F-12537638917D}"/>
    <cellStyle name="40% - Accent5 2 5 3" xfId="5413" xr:uid="{00000000-0005-0000-0000-000086060000}"/>
    <cellStyle name="40% - Accent5 2 5 3 2" xfId="22296" xr:uid="{9C144F41-ED29-4620-B504-88D9855D73E5}"/>
    <cellStyle name="40% - Accent5 2 5 3 3" xfId="13855" xr:uid="{909F3CE3-82F5-4E54-86FD-0F0454D1CC81}"/>
    <cellStyle name="40% - Accent5 2 5 4" xfId="18078" xr:uid="{F567CA58-34B6-4643-A16E-80A7B09E2FEA}"/>
    <cellStyle name="40% - Accent5 2 5 5" xfId="9637" xr:uid="{62CC52E5-FF9A-4011-B27D-DB7AF283713E}"/>
    <cellStyle name="40% - Accent5 2 6" xfId="1518" xr:uid="{00000000-0005-0000-0000-000087060000}"/>
    <cellStyle name="40% - Accent5 2 6 2" xfId="3748" xr:uid="{00000000-0005-0000-0000-000088060000}"/>
    <cellStyle name="40% - Accent5 2 6 2 2" xfId="7971" xr:uid="{00000000-0005-0000-0000-000089060000}"/>
    <cellStyle name="40% - Accent5 2 6 2 2 2" xfId="24854" xr:uid="{4BBB4D25-1710-473A-82C6-875B3F8A1197}"/>
    <cellStyle name="40% - Accent5 2 6 2 2 3" xfId="16413" xr:uid="{39B59777-C83E-4F53-A295-B5D6728AABDA}"/>
    <cellStyle name="40% - Accent5 2 6 2 3" xfId="20636" xr:uid="{CA801A6D-2E7B-4A29-8DF7-DBB9154BF838}"/>
    <cellStyle name="40% - Accent5 2 6 2 4" xfId="12195" xr:uid="{A37EAA8F-87A5-4DD4-8804-7D107DCE95DA}"/>
    <cellStyle name="40% - Accent5 2 6 3" xfId="5826" xr:uid="{00000000-0005-0000-0000-00008A060000}"/>
    <cellStyle name="40% - Accent5 2 6 3 2" xfId="22709" xr:uid="{166E902A-C7EA-4FED-8BB8-70510C86CFE9}"/>
    <cellStyle name="40% - Accent5 2 6 3 3" xfId="14268" xr:uid="{F2E86D94-34C5-4BA5-B459-8846671B1ED7}"/>
    <cellStyle name="40% - Accent5 2 6 4" xfId="18491" xr:uid="{FDDE2D91-B2E9-416B-8F4B-5B57531F8B1A}"/>
    <cellStyle name="40% - Accent5 2 6 5" xfId="10050" xr:uid="{65F2B64B-EE80-47FF-8DAA-86B8FB64C460}"/>
    <cellStyle name="40% - Accent5 2 7" xfId="1932" xr:uid="{00000000-0005-0000-0000-00008B060000}"/>
    <cellStyle name="40% - Accent5 2 7 2" xfId="4161" xr:uid="{00000000-0005-0000-0000-00008C060000}"/>
    <cellStyle name="40% - Accent5 2 7 2 2" xfId="8384" xr:uid="{00000000-0005-0000-0000-00008D060000}"/>
    <cellStyle name="40% - Accent5 2 7 2 2 2" xfId="25267" xr:uid="{CB2A6ECD-B6A2-4B4B-A07E-2F27EA094783}"/>
    <cellStyle name="40% - Accent5 2 7 2 2 3" xfId="16826" xr:uid="{29ACE270-15DB-4769-8DB0-94898EAF63B7}"/>
    <cellStyle name="40% - Accent5 2 7 2 3" xfId="21049" xr:uid="{810B7B00-BB7D-4A1E-BA8E-E919E691343C}"/>
    <cellStyle name="40% - Accent5 2 7 2 4" xfId="12608" xr:uid="{234D154E-5ABE-407D-918A-D57DDEF9A154}"/>
    <cellStyle name="40% - Accent5 2 7 3" xfId="6239" xr:uid="{00000000-0005-0000-0000-00008E060000}"/>
    <cellStyle name="40% - Accent5 2 7 3 2" xfId="23122" xr:uid="{C03B6A48-7C4E-4AA5-92D6-7A69606DA6A7}"/>
    <cellStyle name="40% - Accent5 2 7 3 3" xfId="14681" xr:uid="{B40586CE-5519-41D1-B21E-E16BA2CF5D3E}"/>
    <cellStyle name="40% - Accent5 2 7 4" xfId="18904" xr:uid="{5CAB30C5-EF0E-43D3-8953-72AE51CF49F6}"/>
    <cellStyle name="40% - Accent5 2 7 5" xfId="10463" xr:uid="{8BBAB7A7-0F71-4AA9-B730-09ECC331C93C}"/>
    <cellStyle name="40% - Accent5 2 8" xfId="2345" xr:uid="{00000000-0005-0000-0000-00008F060000}"/>
    <cellStyle name="40% - Accent5 2 8 2" xfId="6652" xr:uid="{00000000-0005-0000-0000-000090060000}"/>
    <cellStyle name="40% - Accent5 2 8 2 2" xfId="23535" xr:uid="{3B4BB51E-05CE-4C42-8296-575D60388EFD}"/>
    <cellStyle name="40% - Accent5 2 8 2 3" xfId="15094" xr:uid="{19B91B88-2954-4217-BEF4-CC5DE55A4F5A}"/>
    <cellStyle name="40% - Accent5 2 8 3" xfId="19317" xr:uid="{534C04E4-2D13-43BF-A39D-57021BB2B00C}"/>
    <cellStyle name="40% - Accent5 2 8 4" xfId="10876" xr:uid="{8FED0067-4214-4F22-84D7-A04DA728D943}"/>
    <cellStyle name="40% - Accent5 2 9" xfId="4586" xr:uid="{00000000-0005-0000-0000-000091060000}"/>
    <cellStyle name="40% - Accent5 2 9 2" xfId="21469" xr:uid="{863208C5-17B0-4FAC-9444-80069324A1DE}"/>
    <cellStyle name="40% - Accent5 2 9 3" xfId="13028" xr:uid="{C3661564-1FA8-4626-8B48-57B5E0DF7309}"/>
    <cellStyle name="40% - Accent5 3" xfId="86" xr:uid="{00000000-0005-0000-0000-000092060000}"/>
    <cellStyle name="40% - Accent5 3 10" xfId="8814" xr:uid="{AE116119-C206-42F2-8C8B-47B8B23252EF}"/>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24033" xr:uid="{8F46484C-BD34-4AE6-80BF-6EF60000E044}"/>
    <cellStyle name="40% - Accent5 3 2 2 2 2 3" xfId="15592" xr:uid="{103C2EEE-250B-40DE-AD26-DDDFEAB3CEC6}"/>
    <cellStyle name="40% - Accent5 3 2 2 2 3" xfId="19815" xr:uid="{4B4AA6E0-3734-4764-B9FC-8929669CEEDD}"/>
    <cellStyle name="40% - Accent5 3 2 2 2 4" xfId="11374" xr:uid="{95C0DAF3-28A1-4B54-A16E-70A11788BBE8}"/>
    <cellStyle name="40% - Accent5 3 2 2 3" xfId="5005" xr:uid="{00000000-0005-0000-0000-000097060000}"/>
    <cellStyle name="40% - Accent5 3 2 2 3 2" xfId="21888" xr:uid="{571AAB81-DF30-4694-975F-869145AC3A2C}"/>
    <cellStyle name="40% - Accent5 3 2 2 3 3" xfId="13447" xr:uid="{5C0CC058-207E-4977-9CA0-435E0C0642A8}"/>
    <cellStyle name="40% - Accent5 3 2 2 4" xfId="17670" xr:uid="{04E7322E-8088-4EF0-A5B6-F8F3584ECE97}"/>
    <cellStyle name="40% - Accent5 3 2 2 5" xfId="9229" xr:uid="{F3E9AF9B-FF10-4CB4-BB33-FF3263B1D2E2}"/>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24446" xr:uid="{617E893A-460D-4C30-972B-74C00389E58B}"/>
    <cellStyle name="40% - Accent5 3 2 3 2 2 3" xfId="16005" xr:uid="{4CA2DEED-2614-45BA-A76B-721EA51966F2}"/>
    <cellStyle name="40% - Accent5 3 2 3 2 3" xfId="20228" xr:uid="{EDBA3AF0-F9E0-4F96-BEB3-86FBB5B9E704}"/>
    <cellStyle name="40% - Accent5 3 2 3 2 4" xfId="11787" xr:uid="{16FF1EB3-98E6-41C2-80A7-24A3DA8F1682}"/>
    <cellStyle name="40% - Accent5 3 2 3 3" xfId="5418" xr:uid="{00000000-0005-0000-0000-00009B060000}"/>
    <cellStyle name="40% - Accent5 3 2 3 3 2" xfId="22301" xr:uid="{30DB9D4C-9676-439B-AC24-4EB43536C322}"/>
    <cellStyle name="40% - Accent5 3 2 3 3 3" xfId="13860" xr:uid="{D0962350-99FB-4CB2-9E5D-4C53C97B5755}"/>
    <cellStyle name="40% - Accent5 3 2 3 4" xfId="18083" xr:uid="{C697B589-0FC5-433D-84F2-427FFCFD6C4A}"/>
    <cellStyle name="40% - Accent5 3 2 3 5" xfId="9642" xr:uid="{9663B52C-9AF3-4E56-AB50-A043ABC3630E}"/>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24859" xr:uid="{4FC21A74-0149-43E5-9AF6-C3318085712C}"/>
    <cellStyle name="40% - Accent5 3 2 4 2 2 3" xfId="16418" xr:uid="{BC0BE30C-27FC-4455-A24D-503072C6C008}"/>
    <cellStyle name="40% - Accent5 3 2 4 2 3" xfId="20641" xr:uid="{AAE1D2D9-184E-4C75-AA67-76509CF0FFFE}"/>
    <cellStyle name="40% - Accent5 3 2 4 2 4" xfId="12200" xr:uid="{04432DA0-BAE1-44F3-A0C8-CE3026E52B4D}"/>
    <cellStyle name="40% - Accent5 3 2 4 3" xfId="5831" xr:uid="{00000000-0005-0000-0000-00009F060000}"/>
    <cellStyle name="40% - Accent5 3 2 4 3 2" xfId="22714" xr:uid="{A96788AC-8F8E-4BB1-A6E9-136557734A0E}"/>
    <cellStyle name="40% - Accent5 3 2 4 3 3" xfId="14273" xr:uid="{529DB795-BE95-4E68-BBF5-A7033D7C6AFF}"/>
    <cellStyle name="40% - Accent5 3 2 4 4" xfId="18496" xr:uid="{AC79B578-2F58-4DFA-9C22-76717F4274FD}"/>
    <cellStyle name="40% - Accent5 3 2 4 5" xfId="10055" xr:uid="{F17CE19F-9C56-4530-8B20-50B8F442441A}"/>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25272" xr:uid="{3DB2A0E1-79B0-450F-9C7A-AB467525EAA6}"/>
    <cellStyle name="40% - Accent5 3 2 5 2 2 3" xfId="16831" xr:uid="{D58130C8-FE01-4F90-B1B8-F6060BDE459B}"/>
    <cellStyle name="40% - Accent5 3 2 5 2 3" xfId="21054" xr:uid="{F808CCF4-0877-47BC-A97B-1126848AA91A}"/>
    <cellStyle name="40% - Accent5 3 2 5 2 4" xfId="12613" xr:uid="{1337FB15-72EC-4137-A13F-043EEAE26E5D}"/>
    <cellStyle name="40% - Accent5 3 2 5 3" xfId="6244" xr:uid="{00000000-0005-0000-0000-0000A3060000}"/>
    <cellStyle name="40% - Accent5 3 2 5 3 2" xfId="23127" xr:uid="{78896301-0B9F-4210-A261-5936CC9AA0C4}"/>
    <cellStyle name="40% - Accent5 3 2 5 3 3" xfId="14686" xr:uid="{6AB7524C-D54C-4B7D-AEBC-5648B2E9ACF1}"/>
    <cellStyle name="40% - Accent5 3 2 5 4" xfId="18909" xr:uid="{FD2028DD-CEBA-4887-97D6-F3B63FBC27AD}"/>
    <cellStyle name="40% - Accent5 3 2 5 5" xfId="10468" xr:uid="{9A774B5A-490D-41F0-8374-2537FC14B167}"/>
    <cellStyle name="40% - Accent5 3 2 6" xfId="2350" xr:uid="{00000000-0005-0000-0000-0000A4060000}"/>
    <cellStyle name="40% - Accent5 3 2 6 2" xfId="6657" xr:uid="{00000000-0005-0000-0000-0000A5060000}"/>
    <cellStyle name="40% - Accent5 3 2 6 2 2" xfId="23540" xr:uid="{675C0D25-7D33-44C9-8888-CC921DD25B87}"/>
    <cellStyle name="40% - Accent5 3 2 6 2 3" xfId="15099" xr:uid="{1BE18246-89C5-4E6B-8A20-C64814BD6F9C}"/>
    <cellStyle name="40% - Accent5 3 2 6 3" xfId="19322" xr:uid="{F5B3829A-AB8C-41EF-87E7-C505AD5DCD23}"/>
    <cellStyle name="40% - Accent5 3 2 6 4" xfId="10881" xr:uid="{1926B7A0-F97C-46D8-8D6C-99565FE9639F}"/>
    <cellStyle name="40% - Accent5 3 2 7" xfId="4591" xr:uid="{00000000-0005-0000-0000-0000A6060000}"/>
    <cellStyle name="40% - Accent5 3 2 7 2" xfId="21474" xr:uid="{64F0CFD5-8D68-4D84-B873-07820EB503BB}"/>
    <cellStyle name="40% - Accent5 3 2 7 3" xfId="13033" xr:uid="{4A960419-D231-426D-870C-F46ECDE196C0}"/>
    <cellStyle name="40% - Accent5 3 2 8" xfId="17256" xr:uid="{915E14EE-DE2C-4C26-9DC2-F25400FA47AD}"/>
    <cellStyle name="40% - Accent5 3 2 9" xfId="8815" xr:uid="{B143EEA7-6090-447F-B5BA-2A2A7A75BBAF}"/>
    <cellStyle name="40% - Accent5 3 3" xfId="655" xr:uid="{00000000-0005-0000-0000-0000A7060000}"/>
    <cellStyle name="40% - Accent5 3 3 2" xfId="2926" xr:uid="{00000000-0005-0000-0000-0000A8060000}"/>
    <cellStyle name="40% - Accent5 3 3 2 2" xfId="7149" xr:uid="{00000000-0005-0000-0000-0000A9060000}"/>
    <cellStyle name="40% - Accent5 3 3 2 2 2" xfId="24032" xr:uid="{8DC81AEC-27F2-47AC-8B7C-353D7CC19084}"/>
    <cellStyle name="40% - Accent5 3 3 2 2 3" xfId="15591" xr:uid="{F94F123F-265C-4D64-B8B2-7D45D6D41CED}"/>
    <cellStyle name="40% - Accent5 3 3 2 3" xfId="19814" xr:uid="{C0AAC7EF-2BCC-46A2-9FD9-D824B6311B91}"/>
    <cellStyle name="40% - Accent5 3 3 2 4" xfId="11373" xr:uid="{8540AB28-4216-4894-909E-11703BDDFA22}"/>
    <cellStyle name="40% - Accent5 3 3 3" xfId="5004" xr:uid="{00000000-0005-0000-0000-0000AA060000}"/>
    <cellStyle name="40% - Accent5 3 3 3 2" xfId="21887" xr:uid="{F9BAC558-D5E6-4115-8412-5549D67DD65F}"/>
    <cellStyle name="40% - Accent5 3 3 3 3" xfId="13446" xr:uid="{C4A7AE33-2BC7-4520-BC26-0660AB8429B0}"/>
    <cellStyle name="40% - Accent5 3 3 4" xfId="17669" xr:uid="{E282D4B5-66E3-4E02-B910-B268DE82424A}"/>
    <cellStyle name="40% - Accent5 3 3 5" xfId="9228" xr:uid="{50CE9988-15B7-4511-9EF2-02586145B26B}"/>
    <cellStyle name="40% - Accent5 3 4" xfId="1108" xr:uid="{00000000-0005-0000-0000-0000AB060000}"/>
    <cellStyle name="40% - Accent5 3 4 2" xfId="3339" xr:uid="{00000000-0005-0000-0000-0000AC060000}"/>
    <cellStyle name="40% - Accent5 3 4 2 2" xfId="7562" xr:uid="{00000000-0005-0000-0000-0000AD060000}"/>
    <cellStyle name="40% - Accent5 3 4 2 2 2" xfId="24445" xr:uid="{DBD5049E-745C-4DF6-ABCD-6FA81D7564EB}"/>
    <cellStyle name="40% - Accent5 3 4 2 2 3" xfId="16004" xr:uid="{65997830-E5C1-4FCF-8B05-1ADA7A913F82}"/>
    <cellStyle name="40% - Accent5 3 4 2 3" xfId="20227" xr:uid="{5715392E-D0CD-4A05-A8CE-567F4620812A}"/>
    <cellStyle name="40% - Accent5 3 4 2 4" xfId="11786" xr:uid="{1A342556-9EAE-42A2-84B8-03F7FAD552D2}"/>
    <cellStyle name="40% - Accent5 3 4 3" xfId="5417" xr:uid="{00000000-0005-0000-0000-0000AE060000}"/>
    <cellStyle name="40% - Accent5 3 4 3 2" xfId="22300" xr:uid="{CAAF96E5-D4CA-4C1B-AE02-516476DB0C65}"/>
    <cellStyle name="40% - Accent5 3 4 3 3" xfId="13859" xr:uid="{97941360-7636-435F-B244-75A658A46617}"/>
    <cellStyle name="40% - Accent5 3 4 4" xfId="18082" xr:uid="{08730053-503B-490C-A3BE-167B0374FEC7}"/>
    <cellStyle name="40% - Accent5 3 4 5" xfId="9641" xr:uid="{B3126BEF-6CF0-4F38-8D93-0F1EE9338768}"/>
    <cellStyle name="40% - Accent5 3 5" xfId="1522" xr:uid="{00000000-0005-0000-0000-0000AF060000}"/>
    <cellStyle name="40% - Accent5 3 5 2" xfId="3752" xr:uid="{00000000-0005-0000-0000-0000B0060000}"/>
    <cellStyle name="40% - Accent5 3 5 2 2" xfId="7975" xr:uid="{00000000-0005-0000-0000-0000B1060000}"/>
    <cellStyle name="40% - Accent5 3 5 2 2 2" xfId="24858" xr:uid="{3B1998E6-0A73-4383-B398-10D8A3BD3790}"/>
    <cellStyle name="40% - Accent5 3 5 2 2 3" xfId="16417" xr:uid="{895B0616-0AD2-48BF-874E-38E62BE3A21B}"/>
    <cellStyle name="40% - Accent5 3 5 2 3" xfId="20640" xr:uid="{8BF1B15B-6017-4942-A5E7-241C5DC94656}"/>
    <cellStyle name="40% - Accent5 3 5 2 4" xfId="12199" xr:uid="{B1F7D78F-E6B5-482B-A6F8-464CD44C7E45}"/>
    <cellStyle name="40% - Accent5 3 5 3" xfId="5830" xr:uid="{00000000-0005-0000-0000-0000B2060000}"/>
    <cellStyle name="40% - Accent5 3 5 3 2" xfId="22713" xr:uid="{2E24CB5F-3424-4417-A2E1-490B0F456E72}"/>
    <cellStyle name="40% - Accent5 3 5 3 3" xfId="14272" xr:uid="{47DD5DCE-30B5-47E6-8DD0-15771679E821}"/>
    <cellStyle name="40% - Accent5 3 5 4" xfId="18495" xr:uid="{3F02BFC4-2C8E-47B5-9C7A-146349CD9C10}"/>
    <cellStyle name="40% - Accent5 3 5 5" xfId="10054" xr:uid="{BCEDF776-D4EC-4BEA-9D53-D9698B39D857}"/>
    <cellStyle name="40% - Accent5 3 6" xfId="1936" xr:uid="{00000000-0005-0000-0000-0000B3060000}"/>
    <cellStyle name="40% - Accent5 3 6 2" xfId="4165" xr:uid="{00000000-0005-0000-0000-0000B4060000}"/>
    <cellStyle name="40% - Accent5 3 6 2 2" xfId="8388" xr:uid="{00000000-0005-0000-0000-0000B5060000}"/>
    <cellStyle name="40% - Accent5 3 6 2 2 2" xfId="25271" xr:uid="{95E87407-3B82-4CDA-A754-98D4657D0B35}"/>
    <cellStyle name="40% - Accent5 3 6 2 2 3" xfId="16830" xr:uid="{DA3C8D12-7126-45F9-A200-BD546D21A7FE}"/>
    <cellStyle name="40% - Accent5 3 6 2 3" xfId="21053" xr:uid="{EF57E7FE-19F0-47E6-B986-DA55B28C0DE3}"/>
    <cellStyle name="40% - Accent5 3 6 2 4" xfId="12612" xr:uid="{AB783C96-04CD-4EA3-87C5-696E5B5CC843}"/>
    <cellStyle name="40% - Accent5 3 6 3" xfId="6243" xr:uid="{00000000-0005-0000-0000-0000B6060000}"/>
    <cellStyle name="40% - Accent5 3 6 3 2" xfId="23126" xr:uid="{418CFABC-615F-446F-9642-95B20DED4146}"/>
    <cellStyle name="40% - Accent5 3 6 3 3" xfId="14685" xr:uid="{554A6EE2-7F51-4049-AD36-7C97E42B1E97}"/>
    <cellStyle name="40% - Accent5 3 6 4" xfId="18908" xr:uid="{FE62FD2F-46CF-4052-8AAD-062B509F11A4}"/>
    <cellStyle name="40% - Accent5 3 6 5" xfId="10467" xr:uid="{E8966D85-CFA1-4ECB-95D6-C28DCFA118C0}"/>
    <cellStyle name="40% - Accent5 3 7" xfId="2349" xr:uid="{00000000-0005-0000-0000-0000B7060000}"/>
    <cellStyle name="40% - Accent5 3 7 2" xfId="6656" xr:uid="{00000000-0005-0000-0000-0000B8060000}"/>
    <cellStyle name="40% - Accent5 3 7 2 2" xfId="23539" xr:uid="{A8EA9103-E19C-4430-AD73-9479A48F334F}"/>
    <cellStyle name="40% - Accent5 3 7 2 3" xfId="15098" xr:uid="{4FB09256-7070-4A9E-816F-30BC426AAF1D}"/>
    <cellStyle name="40% - Accent5 3 7 3" xfId="19321" xr:uid="{024946E4-4FFC-415E-B375-EAD5C26EFDC7}"/>
    <cellStyle name="40% - Accent5 3 7 4" xfId="10880" xr:uid="{8336C937-9685-4DC6-ACE8-6FE4E645AE1A}"/>
    <cellStyle name="40% - Accent5 3 8" xfId="4590" xr:uid="{00000000-0005-0000-0000-0000B9060000}"/>
    <cellStyle name="40% - Accent5 3 8 2" xfId="21473" xr:uid="{5F883E48-DADE-4901-9801-39B0BC1651B9}"/>
    <cellStyle name="40% - Accent5 3 8 3" xfId="13032" xr:uid="{E09B82AF-3563-4CD5-89E0-463C4739785F}"/>
    <cellStyle name="40% - Accent5 3 9" xfId="17255" xr:uid="{B1EDE495-F229-4164-A6B7-0DB49335A955}"/>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24034" xr:uid="{EAB6CE5B-8AD6-4020-BC95-945C999AA590}"/>
    <cellStyle name="40% - Accent5 4 2 2 2 3" xfId="15593" xr:uid="{C9215CAE-EC25-4D22-9586-1946BBBD56EE}"/>
    <cellStyle name="40% - Accent5 4 2 2 3" xfId="19816" xr:uid="{74162D38-10B9-4315-A0AA-19197CD0DF0F}"/>
    <cellStyle name="40% - Accent5 4 2 2 4" xfId="11375" xr:uid="{35C66216-4D34-4641-81D9-D14989E4DD54}"/>
    <cellStyle name="40% - Accent5 4 2 3" xfId="5006" xr:uid="{00000000-0005-0000-0000-0000BE060000}"/>
    <cellStyle name="40% - Accent5 4 2 3 2" xfId="21889" xr:uid="{DB55DA46-EBF9-4245-B597-D776B2ECD054}"/>
    <cellStyle name="40% - Accent5 4 2 3 3" xfId="13448" xr:uid="{0B12B5B1-CED6-4DC3-AF47-245381210DC1}"/>
    <cellStyle name="40% - Accent5 4 2 4" xfId="17671" xr:uid="{0752A530-EC49-4D35-B719-0FD92D3AC105}"/>
    <cellStyle name="40% - Accent5 4 2 5" xfId="9230" xr:uid="{998023A0-1D83-49D6-8A8A-0FE234398473}"/>
    <cellStyle name="40% - Accent5 4 3" xfId="1110" xr:uid="{00000000-0005-0000-0000-0000BF060000}"/>
    <cellStyle name="40% - Accent5 4 3 2" xfId="3341" xr:uid="{00000000-0005-0000-0000-0000C0060000}"/>
    <cellStyle name="40% - Accent5 4 3 2 2" xfId="7564" xr:uid="{00000000-0005-0000-0000-0000C1060000}"/>
    <cellStyle name="40% - Accent5 4 3 2 2 2" xfId="24447" xr:uid="{7C24A18D-7BD6-4704-8A2B-866A17513951}"/>
    <cellStyle name="40% - Accent5 4 3 2 2 3" xfId="16006" xr:uid="{6CF64B67-6F20-41F8-AFB5-692A61253700}"/>
    <cellStyle name="40% - Accent5 4 3 2 3" xfId="20229" xr:uid="{A25A883C-25AD-4146-A71E-097A09A322F3}"/>
    <cellStyle name="40% - Accent5 4 3 2 4" xfId="11788" xr:uid="{000475F3-3641-49ED-A39A-9702A1B90AC9}"/>
    <cellStyle name="40% - Accent5 4 3 3" xfId="5419" xr:uid="{00000000-0005-0000-0000-0000C2060000}"/>
    <cellStyle name="40% - Accent5 4 3 3 2" xfId="22302" xr:uid="{9E8A873D-C998-470F-A08C-AA4A36BCCC33}"/>
    <cellStyle name="40% - Accent5 4 3 3 3" xfId="13861" xr:uid="{5D208808-3DE9-4FA6-B968-483D8F15C75F}"/>
    <cellStyle name="40% - Accent5 4 3 4" xfId="18084" xr:uid="{E262ABDB-EFD6-41B3-B405-34FBE1FB2152}"/>
    <cellStyle name="40% - Accent5 4 3 5" xfId="9643" xr:uid="{BDDFB277-9B79-413B-B494-AE8327B36662}"/>
    <cellStyle name="40% - Accent5 4 4" xfId="1524" xr:uid="{00000000-0005-0000-0000-0000C3060000}"/>
    <cellStyle name="40% - Accent5 4 4 2" xfId="3754" xr:uid="{00000000-0005-0000-0000-0000C4060000}"/>
    <cellStyle name="40% - Accent5 4 4 2 2" xfId="7977" xr:uid="{00000000-0005-0000-0000-0000C5060000}"/>
    <cellStyle name="40% - Accent5 4 4 2 2 2" xfId="24860" xr:uid="{C83A4FD2-92C9-4CFD-886A-A7B581131AD6}"/>
    <cellStyle name="40% - Accent5 4 4 2 2 3" xfId="16419" xr:uid="{14635100-4E43-4F4F-87F3-4A6B7DC08C0A}"/>
    <cellStyle name="40% - Accent5 4 4 2 3" xfId="20642" xr:uid="{B29C7B15-E1E1-46B8-8322-7E823D820A45}"/>
    <cellStyle name="40% - Accent5 4 4 2 4" xfId="12201" xr:uid="{E972AFF7-46F0-4E76-ACF0-5859393A454E}"/>
    <cellStyle name="40% - Accent5 4 4 3" xfId="5832" xr:uid="{00000000-0005-0000-0000-0000C6060000}"/>
    <cellStyle name="40% - Accent5 4 4 3 2" xfId="22715" xr:uid="{2734F362-04C6-482C-B3DA-FC0FBB9290ED}"/>
    <cellStyle name="40% - Accent5 4 4 3 3" xfId="14274" xr:uid="{A32274EB-60D2-4F57-8CAF-77764B249C22}"/>
    <cellStyle name="40% - Accent5 4 4 4" xfId="18497" xr:uid="{7CA16779-E4D0-438E-853A-CE452B708931}"/>
    <cellStyle name="40% - Accent5 4 4 5" xfId="10056" xr:uid="{2646B39E-8734-4008-B762-522019F0153F}"/>
    <cellStyle name="40% - Accent5 4 5" xfId="1938" xr:uid="{00000000-0005-0000-0000-0000C7060000}"/>
    <cellStyle name="40% - Accent5 4 5 2" xfId="4167" xr:uid="{00000000-0005-0000-0000-0000C8060000}"/>
    <cellStyle name="40% - Accent5 4 5 2 2" xfId="8390" xr:uid="{00000000-0005-0000-0000-0000C9060000}"/>
    <cellStyle name="40% - Accent5 4 5 2 2 2" xfId="25273" xr:uid="{BFE46E89-10C8-429E-AF90-7A9506D07B65}"/>
    <cellStyle name="40% - Accent5 4 5 2 2 3" xfId="16832" xr:uid="{658C8740-B885-4F1E-94E8-10B9BDB3087A}"/>
    <cellStyle name="40% - Accent5 4 5 2 3" xfId="21055" xr:uid="{0724CD50-E04A-45A9-B64C-DD559FE867E2}"/>
    <cellStyle name="40% - Accent5 4 5 2 4" xfId="12614" xr:uid="{235E9C66-A17C-400D-B7A5-8C2275420BD1}"/>
    <cellStyle name="40% - Accent5 4 5 3" xfId="6245" xr:uid="{00000000-0005-0000-0000-0000CA060000}"/>
    <cellStyle name="40% - Accent5 4 5 3 2" xfId="23128" xr:uid="{40BB5EFD-121A-4BF5-8261-0234EA18364C}"/>
    <cellStyle name="40% - Accent5 4 5 3 3" xfId="14687" xr:uid="{77705B22-A877-420A-ADC4-C987590CB9AB}"/>
    <cellStyle name="40% - Accent5 4 5 4" xfId="18910" xr:uid="{7BB69A64-14CF-4D24-BC18-599A835AFC49}"/>
    <cellStyle name="40% - Accent5 4 5 5" xfId="10469" xr:uid="{0F196AAB-99B1-4A09-BDEB-C5E4F775DD2A}"/>
    <cellStyle name="40% - Accent5 4 6" xfId="2351" xr:uid="{00000000-0005-0000-0000-0000CB060000}"/>
    <cellStyle name="40% - Accent5 4 6 2" xfId="6658" xr:uid="{00000000-0005-0000-0000-0000CC060000}"/>
    <cellStyle name="40% - Accent5 4 6 2 2" xfId="23541" xr:uid="{1F06E2EC-B921-42E6-8B71-BF7E78CEF531}"/>
    <cellStyle name="40% - Accent5 4 6 2 3" xfId="15100" xr:uid="{3193FCAD-1D8F-4050-A317-6B3F8FF167DA}"/>
    <cellStyle name="40% - Accent5 4 6 3" xfId="19323" xr:uid="{750A4DF4-D832-467A-8E03-2A608EEF73C9}"/>
    <cellStyle name="40% - Accent5 4 6 4" xfId="10882" xr:uid="{1360888A-2D8E-4EC3-94F5-522E6E7745BD}"/>
    <cellStyle name="40% - Accent5 4 7" xfId="4592" xr:uid="{00000000-0005-0000-0000-0000CD060000}"/>
    <cellStyle name="40% - Accent5 4 7 2" xfId="21475" xr:uid="{62581328-08FA-40AE-91EA-3227B7415CA8}"/>
    <cellStyle name="40% - Accent5 4 7 3" xfId="13034" xr:uid="{BA5FC9BA-5476-4912-9450-0E18B9DD36EE}"/>
    <cellStyle name="40% - Accent5 4 8" xfId="17257" xr:uid="{9A38A525-B679-4403-BB00-45C8DC4043DD}"/>
    <cellStyle name="40% - Accent5 4 9" xfId="8816" xr:uid="{7239941F-06F4-4094-BB41-90D59C269F89}"/>
    <cellStyle name="40% - Accent5 5" xfId="650" xr:uid="{00000000-0005-0000-0000-0000CE060000}"/>
    <cellStyle name="40% - Accent5 5 2" xfId="2921" xr:uid="{00000000-0005-0000-0000-0000CF060000}"/>
    <cellStyle name="40% - Accent5 5 2 2" xfId="7144" xr:uid="{00000000-0005-0000-0000-0000D0060000}"/>
    <cellStyle name="40% - Accent5 5 2 2 2" xfId="24027" xr:uid="{7A383D2E-1C68-4C3F-8837-7AB74DD00BBA}"/>
    <cellStyle name="40% - Accent5 5 2 2 3" xfId="15586" xr:uid="{7882B42A-0003-4CBB-84C4-DD29E7065F7F}"/>
    <cellStyle name="40% - Accent5 5 2 3" xfId="19809" xr:uid="{585801A6-7E2C-4140-9D85-F04F063D68D6}"/>
    <cellStyle name="40% - Accent5 5 2 4" xfId="11368" xr:uid="{AB294BD2-A54E-4408-8CE9-F8AA4583D013}"/>
    <cellStyle name="40% - Accent5 5 3" xfId="4999" xr:uid="{00000000-0005-0000-0000-0000D1060000}"/>
    <cellStyle name="40% - Accent5 5 3 2" xfId="21882" xr:uid="{2D972B86-78CB-4C41-81B7-5369CE9CF524}"/>
    <cellStyle name="40% - Accent5 5 3 3" xfId="13441" xr:uid="{82EC0FC5-1E85-4929-8A88-609AF533140D}"/>
    <cellStyle name="40% - Accent5 5 4" xfId="17664" xr:uid="{279AB364-6A0C-46B7-A87E-53C479259722}"/>
    <cellStyle name="40% - Accent5 5 5" xfId="9223" xr:uid="{9D7621ED-E2F1-4729-ACCF-C712666ADEFC}"/>
    <cellStyle name="40% - Accent5 6" xfId="1103" xr:uid="{00000000-0005-0000-0000-0000D2060000}"/>
    <cellStyle name="40% - Accent5 6 2" xfId="3334" xr:uid="{00000000-0005-0000-0000-0000D3060000}"/>
    <cellStyle name="40% - Accent5 6 2 2" xfId="7557" xr:uid="{00000000-0005-0000-0000-0000D4060000}"/>
    <cellStyle name="40% - Accent5 6 2 2 2" xfId="24440" xr:uid="{4534502B-4517-4CDD-915A-1A997E303814}"/>
    <cellStyle name="40% - Accent5 6 2 2 3" xfId="15999" xr:uid="{1B3BD20B-498F-4797-A43D-6665932C6D15}"/>
    <cellStyle name="40% - Accent5 6 2 3" xfId="20222" xr:uid="{04B348A5-EAD3-482C-BA30-A1B72FFCF5F7}"/>
    <cellStyle name="40% - Accent5 6 2 4" xfId="11781" xr:uid="{B73DD4C1-2A9E-43FF-80AD-C34B43861D77}"/>
    <cellStyle name="40% - Accent5 6 3" xfId="5412" xr:uid="{00000000-0005-0000-0000-0000D5060000}"/>
    <cellStyle name="40% - Accent5 6 3 2" xfId="22295" xr:uid="{72B3FE0D-0FC1-4055-9481-6E2A766CF323}"/>
    <cellStyle name="40% - Accent5 6 3 3" xfId="13854" xr:uid="{6B185BDA-CA61-443E-98E0-7C3E5F0C322E}"/>
    <cellStyle name="40% - Accent5 6 4" xfId="18077" xr:uid="{CA9E8FC0-18D1-4184-96B7-5A4763A060C6}"/>
    <cellStyle name="40% - Accent5 6 5" xfId="9636" xr:uid="{2DB050BC-BEA1-46F9-976D-20C2C26B1ABF}"/>
    <cellStyle name="40% - Accent5 7" xfId="1517" xr:uid="{00000000-0005-0000-0000-0000D6060000}"/>
    <cellStyle name="40% - Accent5 7 2" xfId="3747" xr:uid="{00000000-0005-0000-0000-0000D7060000}"/>
    <cellStyle name="40% - Accent5 7 2 2" xfId="7970" xr:uid="{00000000-0005-0000-0000-0000D8060000}"/>
    <cellStyle name="40% - Accent5 7 2 2 2" xfId="24853" xr:uid="{54EF3C71-2A4E-4F76-B676-29C73946FAD3}"/>
    <cellStyle name="40% - Accent5 7 2 2 3" xfId="16412" xr:uid="{F8FA0B38-41A5-4913-BACB-336A8193E91C}"/>
    <cellStyle name="40% - Accent5 7 2 3" xfId="20635" xr:uid="{463B64B7-F906-422D-BB44-9E0540652FD1}"/>
    <cellStyle name="40% - Accent5 7 2 4" xfId="12194" xr:uid="{15CA0141-8931-4C2D-B777-F3822A8984BF}"/>
    <cellStyle name="40% - Accent5 7 3" xfId="5825" xr:uid="{00000000-0005-0000-0000-0000D9060000}"/>
    <cellStyle name="40% - Accent5 7 3 2" xfId="22708" xr:uid="{A519953D-F1C1-4ABD-B011-8041E6798DE0}"/>
    <cellStyle name="40% - Accent5 7 3 3" xfId="14267" xr:uid="{52CDB415-55F7-4B46-B9D0-F19CAB5C2240}"/>
    <cellStyle name="40% - Accent5 7 4" xfId="18490" xr:uid="{408C48D3-7812-4EF6-888F-638EE7A8ADCD}"/>
    <cellStyle name="40% - Accent5 7 5" xfId="10049" xr:uid="{2FACCCD8-2C66-4C77-BA34-2C2F721660FF}"/>
    <cellStyle name="40% - Accent5 8" xfId="1931" xr:uid="{00000000-0005-0000-0000-0000DA060000}"/>
    <cellStyle name="40% - Accent5 8 2" xfId="4160" xr:uid="{00000000-0005-0000-0000-0000DB060000}"/>
    <cellStyle name="40% - Accent5 8 2 2" xfId="8383" xr:uid="{00000000-0005-0000-0000-0000DC060000}"/>
    <cellStyle name="40% - Accent5 8 2 2 2" xfId="25266" xr:uid="{2BEBC078-D3FF-47B2-9D24-0E0012831D88}"/>
    <cellStyle name="40% - Accent5 8 2 2 3" xfId="16825" xr:uid="{5F7E5D71-74A9-4648-BF21-1D853730DE3D}"/>
    <cellStyle name="40% - Accent5 8 2 3" xfId="21048" xr:uid="{3D465266-6B2E-4024-8F62-15B9FFF8414C}"/>
    <cellStyle name="40% - Accent5 8 2 4" xfId="12607" xr:uid="{D955B764-89C3-4704-B715-729E7EDA8283}"/>
    <cellStyle name="40% - Accent5 8 3" xfId="6238" xr:uid="{00000000-0005-0000-0000-0000DD060000}"/>
    <cellStyle name="40% - Accent5 8 3 2" xfId="23121" xr:uid="{343EE0B6-8A6D-4806-84AB-6D44C3737551}"/>
    <cellStyle name="40% - Accent5 8 3 3" xfId="14680" xr:uid="{2BCFE795-D31D-401A-B50B-4C23B6147FA5}"/>
    <cellStyle name="40% - Accent5 8 4" xfId="18903" xr:uid="{4393A0CD-E236-417F-80AF-474E4F2BB6AE}"/>
    <cellStyle name="40% - Accent5 8 5" xfId="10462" xr:uid="{2A40E5C7-9074-4AEB-8D37-393697BF823F}"/>
    <cellStyle name="40% - Accent5 9" xfId="2344" xr:uid="{00000000-0005-0000-0000-0000DE060000}"/>
    <cellStyle name="40% - Accent5 9 2" xfId="6651" xr:uid="{00000000-0005-0000-0000-0000DF060000}"/>
    <cellStyle name="40% - Accent5 9 2 2" xfId="23534" xr:uid="{65F6183C-4BAB-4418-820B-C8B68097B6C6}"/>
    <cellStyle name="40% - Accent5 9 2 3" xfId="15093" xr:uid="{E3C967BE-CD9E-4A34-AD77-B7891208B1E2}"/>
    <cellStyle name="40% - Accent5 9 3" xfId="19316" xr:uid="{1F9C379E-AB37-4C12-8617-590D1DCB1F2A}"/>
    <cellStyle name="40% - Accent5 9 4" xfId="10875" xr:uid="{085AF9BC-7FC4-4CD2-AEEB-952AFB1EF64C}"/>
    <cellStyle name="40% - Accent6" xfId="89" builtinId="51" customBuiltin="1"/>
    <cellStyle name="40% - Accent6 10" xfId="4593" xr:uid="{00000000-0005-0000-0000-0000E1060000}"/>
    <cellStyle name="40% - Accent6 10 2" xfId="21476" xr:uid="{675B0CA6-1356-450C-9163-5B3736D96BF7}"/>
    <cellStyle name="40% - Accent6 10 3" xfId="13035" xr:uid="{7B544BA6-67F4-4AF4-93BB-B8EE3B35706C}"/>
    <cellStyle name="40% - Accent6 11" xfId="17258" xr:uid="{1CF3D03D-01FE-437D-95A0-4A80915C0F1C}"/>
    <cellStyle name="40% - Accent6 12" xfId="8817" xr:uid="{CA52170B-0AD4-49C6-B86F-865EFF251CE2}"/>
    <cellStyle name="40% - Accent6 2" xfId="90" xr:uid="{00000000-0005-0000-0000-0000E2060000}"/>
    <cellStyle name="40% - Accent6 2 10" xfId="17259" xr:uid="{C414CC8D-D9B1-4CB0-9C75-C7A24ED3212D}"/>
    <cellStyle name="40% - Accent6 2 11" xfId="8818" xr:uid="{4648D372-368A-4F02-83A5-DFDA4B52D58C}"/>
    <cellStyle name="40% - Accent6 2 2" xfId="91" xr:uid="{00000000-0005-0000-0000-0000E3060000}"/>
    <cellStyle name="40% - Accent6 2 2 10" xfId="8819" xr:uid="{9240C9D5-2E7F-4BEA-BA35-12EE8B02B0AB}"/>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24038" xr:uid="{00D8AC66-857C-45AA-AFA5-9C9592A2B806}"/>
    <cellStyle name="40% - Accent6 2 2 2 2 2 2 3" xfId="15597" xr:uid="{1BDD47A6-7FA1-4AFE-BD5E-AE75A9DD0330}"/>
    <cellStyle name="40% - Accent6 2 2 2 2 2 3" xfId="19820" xr:uid="{796AB0CA-702A-44EA-8B2E-04EB1BDE4DF3}"/>
    <cellStyle name="40% - Accent6 2 2 2 2 2 4" xfId="11379" xr:uid="{F9F7D46A-B574-4208-8CEC-AB5DAD581E90}"/>
    <cellStyle name="40% - Accent6 2 2 2 2 3" xfId="5010" xr:uid="{00000000-0005-0000-0000-0000E8060000}"/>
    <cellStyle name="40% - Accent6 2 2 2 2 3 2" xfId="21893" xr:uid="{3E4D92E8-F890-497B-875D-ED85668A273C}"/>
    <cellStyle name="40% - Accent6 2 2 2 2 3 3" xfId="13452" xr:uid="{770C55D4-D0BE-40B6-BF1C-C65FC301C27E}"/>
    <cellStyle name="40% - Accent6 2 2 2 2 4" xfId="17675" xr:uid="{EBD2595D-FE55-45BA-9668-D586CF799D21}"/>
    <cellStyle name="40% - Accent6 2 2 2 2 5" xfId="9234" xr:uid="{38151258-C1B9-41A6-B212-87F4C7C80199}"/>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24451" xr:uid="{6CA9B6E1-EC14-4499-9F2A-5FD366F31685}"/>
    <cellStyle name="40% - Accent6 2 2 2 3 2 2 3" xfId="16010" xr:uid="{FCC40972-0DB1-4E3F-879C-1794844B1D20}"/>
    <cellStyle name="40% - Accent6 2 2 2 3 2 3" xfId="20233" xr:uid="{31C8375B-309D-4277-BF74-2D23DDD63F35}"/>
    <cellStyle name="40% - Accent6 2 2 2 3 2 4" xfId="11792" xr:uid="{354DB6E3-0626-4081-AC01-81A75598B915}"/>
    <cellStyle name="40% - Accent6 2 2 2 3 3" xfId="5423" xr:uid="{00000000-0005-0000-0000-0000EC060000}"/>
    <cellStyle name="40% - Accent6 2 2 2 3 3 2" xfId="22306" xr:uid="{0A31664F-2DB0-4638-BDA1-0899C0A8B705}"/>
    <cellStyle name="40% - Accent6 2 2 2 3 3 3" xfId="13865" xr:uid="{8BCE480D-5AE6-427F-8D98-59C240AE98F7}"/>
    <cellStyle name="40% - Accent6 2 2 2 3 4" xfId="18088" xr:uid="{7BBBDB97-D58B-4314-9B33-F2418E864124}"/>
    <cellStyle name="40% - Accent6 2 2 2 3 5" xfId="9647" xr:uid="{D1A4146A-8CCB-40C3-87B7-5F7CCC7DDA8B}"/>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24864" xr:uid="{01999514-6CBC-4482-9D90-01E0EF135C1B}"/>
    <cellStyle name="40% - Accent6 2 2 2 4 2 2 3" xfId="16423" xr:uid="{1A26B0E9-0104-448E-9660-7B3E9D813B2A}"/>
    <cellStyle name="40% - Accent6 2 2 2 4 2 3" xfId="20646" xr:uid="{ED3FBE4B-1207-4655-9BA6-148168957113}"/>
    <cellStyle name="40% - Accent6 2 2 2 4 2 4" xfId="12205" xr:uid="{2FFEA48D-E7DC-4DAF-8DF1-2FB6142CD4C7}"/>
    <cellStyle name="40% - Accent6 2 2 2 4 3" xfId="5836" xr:uid="{00000000-0005-0000-0000-0000F0060000}"/>
    <cellStyle name="40% - Accent6 2 2 2 4 3 2" xfId="22719" xr:uid="{B5FDCCA6-94C1-4887-AADA-11B9A20AED5B}"/>
    <cellStyle name="40% - Accent6 2 2 2 4 3 3" xfId="14278" xr:uid="{6779B22A-2FF1-4C09-98C0-E0523A263625}"/>
    <cellStyle name="40% - Accent6 2 2 2 4 4" xfId="18501" xr:uid="{D1C8B379-BAC1-49E4-B57D-1C2CB3503F95}"/>
    <cellStyle name="40% - Accent6 2 2 2 4 5" xfId="10060" xr:uid="{14C9AC95-D055-40B5-AEBB-72AD974E04D7}"/>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25277" xr:uid="{C38148FB-D10F-40AD-89E6-4DB3D2ED1FB0}"/>
    <cellStyle name="40% - Accent6 2 2 2 5 2 2 3" xfId="16836" xr:uid="{7AFC3070-8608-49C2-986D-DEB4B0A4A772}"/>
    <cellStyle name="40% - Accent6 2 2 2 5 2 3" xfId="21059" xr:uid="{5873B555-FD38-4CAA-A1CC-B182686A978C}"/>
    <cellStyle name="40% - Accent6 2 2 2 5 2 4" xfId="12618" xr:uid="{9026D833-C802-482C-8CF4-40C4876124A6}"/>
    <cellStyle name="40% - Accent6 2 2 2 5 3" xfId="6249" xr:uid="{00000000-0005-0000-0000-0000F4060000}"/>
    <cellStyle name="40% - Accent6 2 2 2 5 3 2" xfId="23132" xr:uid="{677AC377-C593-452E-899D-359B65A4ED4B}"/>
    <cellStyle name="40% - Accent6 2 2 2 5 3 3" xfId="14691" xr:uid="{1ACB81DD-6AB7-497B-A185-7C2FE5B7EACB}"/>
    <cellStyle name="40% - Accent6 2 2 2 5 4" xfId="18914" xr:uid="{34D8C735-9C91-4E70-8028-2D75DBD48762}"/>
    <cellStyle name="40% - Accent6 2 2 2 5 5" xfId="10473" xr:uid="{27807C80-5DBF-434F-8692-B3EEFC1167CA}"/>
    <cellStyle name="40% - Accent6 2 2 2 6" xfId="2355" xr:uid="{00000000-0005-0000-0000-0000F5060000}"/>
    <cellStyle name="40% - Accent6 2 2 2 6 2" xfId="6662" xr:uid="{00000000-0005-0000-0000-0000F6060000}"/>
    <cellStyle name="40% - Accent6 2 2 2 6 2 2" xfId="23545" xr:uid="{7D0F8F60-E757-4D43-AC8F-D950C04E46F0}"/>
    <cellStyle name="40% - Accent6 2 2 2 6 2 3" xfId="15104" xr:uid="{FB45CE6D-4B01-4B75-A7EE-068EFD13F5C0}"/>
    <cellStyle name="40% - Accent6 2 2 2 6 3" xfId="19327" xr:uid="{F1A90B36-34A3-490B-89D3-5E32543B8466}"/>
    <cellStyle name="40% - Accent6 2 2 2 6 4" xfId="10886" xr:uid="{95D32335-D489-401F-9901-F5F8B70B3071}"/>
    <cellStyle name="40% - Accent6 2 2 2 7" xfId="4596" xr:uid="{00000000-0005-0000-0000-0000F7060000}"/>
    <cellStyle name="40% - Accent6 2 2 2 7 2" xfId="21479" xr:uid="{FC3FA2E7-79D3-4E5A-9E5B-0660E2AD9604}"/>
    <cellStyle name="40% - Accent6 2 2 2 7 3" xfId="13038" xr:uid="{94371DFE-816D-4C54-98DB-E5738BB28E05}"/>
    <cellStyle name="40% - Accent6 2 2 2 8" xfId="17261" xr:uid="{03CEAAD1-6B8D-4E53-8D41-9570EBE4C90C}"/>
    <cellStyle name="40% - Accent6 2 2 2 9" xfId="8820" xr:uid="{BC6F8108-9386-40AA-82D1-218FB193F255}"/>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24037" xr:uid="{D94CA043-A2B6-4B89-81DF-0B8E5CD5E38D}"/>
    <cellStyle name="40% - Accent6 2 2 3 2 2 3" xfId="15596" xr:uid="{DDA0AF9F-F3DA-40B8-A20F-EA91241EBE2B}"/>
    <cellStyle name="40% - Accent6 2 2 3 2 3" xfId="19819" xr:uid="{15FC332C-676C-454D-A886-37ECCEEFFC53}"/>
    <cellStyle name="40% - Accent6 2 2 3 2 4" xfId="11378" xr:uid="{5D423EA8-054E-4214-9EE0-EF20B6039FF5}"/>
    <cellStyle name="40% - Accent6 2 2 3 3" xfId="5009" xr:uid="{00000000-0005-0000-0000-0000FB060000}"/>
    <cellStyle name="40% - Accent6 2 2 3 3 2" xfId="21892" xr:uid="{454BC4F1-730E-48FE-8135-E5590D112829}"/>
    <cellStyle name="40% - Accent6 2 2 3 3 3" xfId="13451" xr:uid="{D23B9C6D-6EEA-41C2-BEF7-8DD31ECC66A4}"/>
    <cellStyle name="40% - Accent6 2 2 3 4" xfId="17674" xr:uid="{EE124AC7-83F4-408D-B53D-FBAC5B9E4BB0}"/>
    <cellStyle name="40% - Accent6 2 2 3 5" xfId="9233" xr:uid="{800F3FA3-7FB5-460D-9677-F89F6A2120F9}"/>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24450" xr:uid="{A552A9D5-B12C-4564-87C8-EC55F9EB89A8}"/>
    <cellStyle name="40% - Accent6 2 2 4 2 2 3" xfId="16009" xr:uid="{AB1D745E-4819-43D8-8FD5-DC9209817E9F}"/>
    <cellStyle name="40% - Accent6 2 2 4 2 3" xfId="20232" xr:uid="{D1BB7840-FE2E-4675-A172-CB7822C1C739}"/>
    <cellStyle name="40% - Accent6 2 2 4 2 4" xfId="11791" xr:uid="{E6847564-B00E-4213-B0E3-AEBEB8E5BBD8}"/>
    <cellStyle name="40% - Accent6 2 2 4 3" xfId="5422" xr:uid="{00000000-0005-0000-0000-0000FF060000}"/>
    <cellStyle name="40% - Accent6 2 2 4 3 2" xfId="22305" xr:uid="{8573862D-0E51-4F54-9927-84C36572D661}"/>
    <cellStyle name="40% - Accent6 2 2 4 3 3" xfId="13864" xr:uid="{2FF867B2-D8EB-40BA-B902-03FBFFC94A37}"/>
    <cellStyle name="40% - Accent6 2 2 4 4" xfId="18087" xr:uid="{BBF61B88-0D6B-4628-88A7-75678E8C944B}"/>
    <cellStyle name="40% - Accent6 2 2 4 5" xfId="9646" xr:uid="{95164729-D2E1-4477-A659-060D8D5AF230}"/>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24863" xr:uid="{3999EEB2-2406-4BD4-8081-B5B90E3A3517}"/>
    <cellStyle name="40% - Accent6 2 2 5 2 2 3" xfId="16422" xr:uid="{54C02565-00D9-4585-8D1D-1B66CAC4BD8C}"/>
    <cellStyle name="40% - Accent6 2 2 5 2 3" xfId="20645" xr:uid="{D504D159-9E82-4455-9305-DC133E266B73}"/>
    <cellStyle name="40% - Accent6 2 2 5 2 4" xfId="12204" xr:uid="{70EEA486-8723-4AC0-8365-F0718270E803}"/>
    <cellStyle name="40% - Accent6 2 2 5 3" xfId="5835" xr:uid="{00000000-0005-0000-0000-000003070000}"/>
    <cellStyle name="40% - Accent6 2 2 5 3 2" xfId="22718" xr:uid="{C22D740E-82B9-49F3-A170-043FC18E23CC}"/>
    <cellStyle name="40% - Accent6 2 2 5 3 3" xfId="14277" xr:uid="{ECBF91CE-CCFC-4FE6-8D5E-D69877986DA3}"/>
    <cellStyle name="40% - Accent6 2 2 5 4" xfId="18500" xr:uid="{AA3BD4E2-F542-47B1-B1CA-85DB3A86338E}"/>
    <cellStyle name="40% - Accent6 2 2 5 5" xfId="10059" xr:uid="{51170AD2-BDF6-4990-95F1-E7F2DAFE6112}"/>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25276" xr:uid="{80C83342-15AF-4DC0-AD6D-3BF8BEC02D45}"/>
    <cellStyle name="40% - Accent6 2 2 6 2 2 3" xfId="16835" xr:uid="{A5075555-52DA-40A4-8A51-FEEB374AE15E}"/>
    <cellStyle name="40% - Accent6 2 2 6 2 3" xfId="21058" xr:uid="{5C93B998-030D-4C3F-B20E-CD5B729D1409}"/>
    <cellStyle name="40% - Accent6 2 2 6 2 4" xfId="12617" xr:uid="{04A71AB1-9F28-48DF-A068-E07D3A411C6E}"/>
    <cellStyle name="40% - Accent6 2 2 6 3" xfId="6248" xr:uid="{00000000-0005-0000-0000-000007070000}"/>
    <cellStyle name="40% - Accent6 2 2 6 3 2" xfId="23131" xr:uid="{42482035-8B1B-4E9B-AC83-DDF127D25E80}"/>
    <cellStyle name="40% - Accent6 2 2 6 3 3" xfId="14690" xr:uid="{C8B2D877-72D7-49D9-82FF-55B2342E577F}"/>
    <cellStyle name="40% - Accent6 2 2 6 4" xfId="18913" xr:uid="{B5126CF5-57DD-49C3-AFB8-9F07F4774EA6}"/>
    <cellStyle name="40% - Accent6 2 2 6 5" xfId="10472" xr:uid="{9E098A3D-BEC3-4408-BF00-DAB7AFA51DBB}"/>
    <cellStyle name="40% - Accent6 2 2 7" xfId="2354" xr:uid="{00000000-0005-0000-0000-000008070000}"/>
    <cellStyle name="40% - Accent6 2 2 7 2" xfId="6661" xr:uid="{00000000-0005-0000-0000-000009070000}"/>
    <cellStyle name="40% - Accent6 2 2 7 2 2" xfId="23544" xr:uid="{CCB9D382-B1D4-478E-8450-68D3FF09449C}"/>
    <cellStyle name="40% - Accent6 2 2 7 2 3" xfId="15103" xr:uid="{761ED61A-9009-452F-A3B1-C261319D099F}"/>
    <cellStyle name="40% - Accent6 2 2 7 3" xfId="19326" xr:uid="{1280474B-1702-4409-8113-06FA6AC6D72B}"/>
    <cellStyle name="40% - Accent6 2 2 7 4" xfId="10885" xr:uid="{B986800E-1CFE-4036-B85D-1518C13EDE88}"/>
    <cellStyle name="40% - Accent6 2 2 8" xfId="4595" xr:uid="{00000000-0005-0000-0000-00000A070000}"/>
    <cellStyle name="40% - Accent6 2 2 8 2" xfId="21478" xr:uid="{3DC1D0CC-D9A3-4F1D-8B0E-9D16E7A9AF54}"/>
    <cellStyle name="40% - Accent6 2 2 8 3" xfId="13037" xr:uid="{10EB29CF-BACB-4786-AC46-C7944302EC7C}"/>
    <cellStyle name="40% - Accent6 2 2 9" xfId="17260" xr:uid="{FBC2BA48-BA19-467E-9A9A-DF4EDCAFFA28}"/>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24039" xr:uid="{4F7EC54D-E286-43E4-8417-E38254A01DFA}"/>
    <cellStyle name="40% - Accent6 2 3 2 2 2 3" xfId="15598" xr:uid="{410ED5DA-E613-4AFA-97FA-3D94913746F9}"/>
    <cellStyle name="40% - Accent6 2 3 2 2 3" xfId="19821" xr:uid="{B0DA3643-4593-4AA1-AE49-B8B19C72A288}"/>
    <cellStyle name="40% - Accent6 2 3 2 2 4" xfId="11380" xr:uid="{76ACF169-51D7-416B-A28C-CF854C085716}"/>
    <cellStyle name="40% - Accent6 2 3 2 3" xfId="5011" xr:uid="{00000000-0005-0000-0000-00000F070000}"/>
    <cellStyle name="40% - Accent6 2 3 2 3 2" xfId="21894" xr:uid="{11889077-618D-463C-B93A-C7950CA86811}"/>
    <cellStyle name="40% - Accent6 2 3 2 3 3" xfId="13453" xr:uid="{F307F45A-29E9-45AC-8755-3946353669E6}"/>
    <cellStyle name="40% - Accent6 2 3 2 4" xfId="17676" xr:uid="{D1D40E5D-5B66-45E8-8801-1A4E9C90E94F}"/>
    <cellStyle name="40% - Accent6 2 3 2 5" xfId="9235" xr:uid="{AF842396-8A0A-483C-8944-7070100F2A3C}"/>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24452" xr:uid="{570A452E-1D82-4D28-87C9-419F103CFE18}"/>
    <cellStyle name="40% - Accent6 2 3 3 2 2 3" xfId="16011" xr:uid="{E8863369-50B7-46CF-84F4-DB486854EF9C}"/>
    <cellStyle name="40% - Accent6 2 3 3 2 3" xfId="20234" xr:uid="{8F6D81B5-2BD1-4F1E-8C8F-56C0B8C6B828}"/>
    <cellStyle name="40% - Accent6 2 3 3 2 4" xfId="11793" xr:uid="{B11ABA8A-3EC8-4C4A-A797-F5161140D689}"/>
    <cellStyle name="40% - Accent6 2 3 3 3" xfId="5424" xr:uid="{00000000-0005-0000-0000-000013070000}"/>
    <cellStyle name="40% - Accent6 2 3 3 3 2" xfId="22307" xr:uid="{6595C8C9-4FEB-46C5-9BEE-B001634BCBD3}"/>
    <cellStyle name="40% - Accent6 2 3 3 3 3" xfId="13866" xr:uid="{5BE2F6E0-3BBC-4E61-A9C5-CA1B6EA4821D}"/>
    <cellStyle name="40% - Accent6 2 3 3 4" xfId="18089" xr:uid="{9D782CE8-3572-492F-8A73-7B3649663176}"/>
    <cellStyle name="40% - Accent6 2 3 3 5" xfId="9648" xr:uid="{7A9EBA0D-3BE9-44A5-AB39-CCD2BDC2EC26}"/>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24865" xr:uid="{4F59E019-21A6-4A5F-AE2F-21F6E7863011}"/>
    <cellStyle name="40% - Accent6 2 3 4 2 2 3" xfId="16424" xr:uid="{AA6F17FC-EDEA-4C6B-A9CA-07B31C94E6B4}"/>
    <cellStyle name="40% - Accent6 2 3 4 2 3" xfId="20647" xr:uid="{9BB2AA40-A627-4FD1-96E3-F950EDA02E77}"/>
    <cellStyle name="40% - Accent6 2 3 4 2 4" xfId="12206" xr:uid="{DA45BB9B-7622-40E1-A645-40832B2AA1EB}"/>
    <cellStyle name="40% - Accent6 2 3 4 3" xfId="5837" xr:uid="{00000000-0005-0000-0000-000017070000}"/>
    <cellStyle name="40% - Accent6 2 3 4 3 2" xfId="22720" xr:uid="{C3063B9A-FC16-45A4-BBD7-C9FBAE9ACC1C}"/>
    <cellStyle name="40% - Accent6 2 3 4 3 3" xfId="14279" xr:uid="{184FC28E-045A-49DB-9026-82E8C1A4C5DC}"/>
    <cellStyle name="40% - Accent6 2 3 4 4" xfId="18502" xr:uid="{A638E45B-5C9E-4F3A-9D50-D5CD4B04E698}"/>
    <cellStyle name="40% - Accent6 2 3 4 5" xfId="10061" xr:uid="{D130CDAE-C283-433A-9B9B-FF661BB5C22E}"/>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25278" xr:uid="{ADEFD0F3-8564-490B-8B9F-892206571377}"/>
    <cellStyle name="40% - Accent6 2 3 5 2 2 3" xfId="16837" xr:uid="{E3EB73B4-4F1F-47E1-AAA8-266A6633E518}"/>
    <cellStyle name="40% - Accent6 2 3 5 2 3" xfId="21060" xr:uid="{58E2A890-C149-4799-BF5C-9589E3CE007A}"/>
    <cellStyle name="40% - Accent6 2 3 5 2 4" xfId="12619" xr:uid="{907B3F25-B68F-4BBB-B79B-9CD5E3A5DB8C}"/>
    <cellStyle name="40% - Accent6 2 3 5 3" xfId="6250" xr:uid="{00000000-0005-0000-0000-00001B070000}"/>
    <cellStyle name="40% - Accent6 2 3 5 3 2" xfId="23133" xr:uid="{927F345C-A44B-4893-8467-CA007980BC53}"/>
    <cellStyle name="40% - Accent6 2 3 5 3 3" xfId="14692" xr:uid="{0FB892A4-2DC2-4B10-A81B-8A58FDDB6EE4}"/>
    <cellStyle name="40% - Accent6 2 3 5 4" xfId="18915" xr:uid="{4C85A9E7-31BE-4B68-BFF7-AD45778F6932}"/>
    <cellStyle name="40% - Accent6 2 3 5 5" xfId="10474" xr:uid="{FD7D03AA-198D-4CF3-B339-F1511A3F3D37}"/>
    <cellStyle name="40% - Accent6 2 3 6" xfId="2356" xr:uid="{00000000-0005-0000-0000-00001C070000}"/>
    <cellStyle name="40% - Accent6 2 3 6 2" xfId="6663" xr:uid="{00000000-0005-0000-0000-00001D070000}"/>
    <cellStyle name="40% - Accent6 2 3 6 2 2" xfId="23546" xr:uid="{A6B8E40C-ED2C-42D9-BAFF-8D0641417437}"/>
    <cellStyle name="40% - Accent6 2 3 6 2 3" xfId="15105" xr:uid="{2C64BB90-307B-45A8-A57C-3D79B7A39671}"/>
    <cellStyle name="40% - Accent6 2 3 6 3" xfId="19328" xr:uid="{327456E9-1281-471D-B207-380CFAFBBF29}"/>
    <cellStyle name="40% - Accent6 2 3 6 4" xfId="10887" xr:uid="{D447B44C-D58B-45C0-89C0-1677CE686530}"/>
    <cellStyle name="40% - Accent6 2 3 7" xfId="4597" xr:uid="{00000000-0005-0000-0000-00001E070000}"/>
    <cellStyle name="40% - Accent6 2 3 7 2" xfId="21480" xr:uid="{582D74FA-3E6A-42D9-AF66-9F6D82B25DCA}"/>
    <cellStyle name="40% - Accent6 2 3 7 3" xfId="13039" xr:uid="{F1BD4012-D4AB-4517-B343-0CDD7837DA48}"/>
    <cellStyle name="40% - Accent6 2 3 8" xfId="17262" xr:uid="{AA69733C-CC4F-4167-8731-796C8573EAF2}"/>
    <cellStyle name="40% - Accent6 2 3 9" xfId="8821" xr:uid="{F987DEB5-F95F-4901-B3AA-5C3829D544E7}"/>
    <cellStyle name="40% - Accent6 2 4" xfId="659" xr:uid="{00000000-0005-0000-0000-00001F070000}"/>
    <cellStyle name="40% - Accent6 2 4 2" xfId="2930" xr:uid="{00000000-0005-0000-0000-000020070000}"/>
    <cellStyle name="40% - Accent6 2 4 2 2" xfId="7153" xr:uid="{00000000-0005-0000-0000-000021070000}"/>
    <cellStyle name="40% - Accent6 2 4 2 2 2" xfId="24036" xr:uid="{A898D781-27F1-4512-B7A0-E96F0637A842}"/>
    <cellStyle name="40% - Accent6 2 4 2 2 3" xfId="15595" xr:uid="{D4A3A76E-236F-4C2A-B9EF-8C79DB1DE1F1}"/>
    <cellStyle name="40% - Accent6 2 4 2 3" xfId="19818" xr:uid="{27DC6452-A89D-498C-B154-22F621930040}"/>
    <cellStyle name="40% - Accent6 2 4 2 4" xfId="11377" xr:uid="{253516CD-66A3-4126-A69E-DF3CCB220203}"/>
    <cellStyle name="40% - Accent6 2 4 3" xfId="5008" xr:uid="{00000000-0005-0000-0000-000022070000}"/>
    <cellStyle name="40% - Accent6 2 4 3 2" xfId="21891" xr:uid="{A4EB4034-7074-4C2F-8987-8E936DE9C55A}"/>
    <cellStyle name="40% - Accent6 2 4 3 3" xfId="13450" xr:uid="{EE38A8F8-E916-44DA-B836-92311102ED60}"/>
    <cellStyle name="40% - Accent6 2 4 4" xfId="17673" xr:uid="{8481AAE8-8DC9-47C8-96C1-2BED33FAA208}"/>
    <cellStyle name="40% - Accent6 2 4 5" xfId="9232" xr:uid="{4BC3AAEB-31C1-4A46-9B5B-D9A5168022A8}"/>
    <cellStyle name="40% - Accent6 2 5" xfId="1112" xr:uid="{00000000-0005-0000-0000-000023070000}"/>
    <cellStyle name="40% - Accent6 2 5 2" xfId="3343" xr:uid="{00000000-0005-0000-0000-000024070000}"/>
    <cellStyle name="40% - Accent6 2 5 2 2" xfId="7566" xr:uid="{00000000-0005-0000-0000-000025070000}"/>
    <cellStyle name="40% - Accent6 2 5 2 2 2" xfId="24449" xr:uid="{AC4796EE-C9F1-41CD-BEE6-96078F03448A}"/>
    <cellStyle name="40% - Accent6 2 5 2 2 3" xfId="16008" xr:uid="{96E10FE4-E8D6-420B-8858-8DAFB04A30B6}"/>
    <cellStyle name="40% - Accent6 2 5 2 3" xfId="20231" xr:uid="{9C2ED44D-9AFF-4786-B3F7-71F1F2CD8AA3}"/>
    <cellStyle name="40% - Accent6 2 5 2 4" xfId="11790" xr:uid="{B3EE9476-F260-4B31-8633-75F3154530A8}"/>
    <cellStyle name="40% - Accent6 2 5 3" xfId="5421" xr:uid="{00000000-0005-0000-0000-000026070000}"/>
    <cellStyle name="40% - Accent6 2 5 3 2" xfId="22304" xr:uid="{6E5E52AF-3BE7-4546-8C52-F2F419365FBC}"/>
    <cellStyle name="40% - Accent6 2 5 3 3" xfId="13863" xr:uid="{9FBF9F5B-5DBE-4944-93D9-22FECB7ECE8A}"/>
    <cellStyle name="40% - Accent6 2 5 4" xfId="18086" xr:uid="{06638C37-513D-4798-88DA-D119168F0C07}"/>
    <cellStyle name="40% - Accent6 2 5 5" xfId="9645" xr:uid="{92A950C2-13C6-4107-81C4-ADAF7A48D8A5}"/>
    <cellStyle name="40% - Accent6 2 6" xfId="1526" xr:uid="{00000000-0005-0000-0000-000027070000}"/>
    <cellStyle name="40% - Accent6 2 6 2" xfId="3756" xr:uid="{00000000-0005-0000-0000-000028070000}"/>
    <cellStyle name="40% - Accent6 2 6 2 2" xfId="7979" xr:uid="{00000000-0005-0000-0000-000029070000}"/>
    <cellStyle name="40% - Accent6 2 6 2 2 2" xfId="24862" xr:uid="{92237F54-601A-40C5-81B5-6CE54EE17DB8}"/>
    <cellStyle name="40% - Accent6 2 6 2 2 3" xfId="16421" xr:uid="{CDCCFD71-1995-4F33-B052-67D063E0C5D6}"/>
    <cellStyle name="40% - Accent6 2 6 2 3" xfId="20644" xr:uid="{BB071109-E270-4E9C-9B88-29A8DDEF555B}"/>
    <cellStyle name="40% - Accent6 2 6 2 4" xfId="12203" xr:uid="{AD84989A-20E2-4814-98D7-342A43577615}"/>
    <cellStyle name="40% - Accent6 2 6 3" xfId="5834" xr:uid="{00000000-0005-0000-0000-00002A070000}"/>
    <cellStyle name="40% - Accent6 2 6 3 2" xfId="22717" xr:uid="{31CD4EBE-BB32-4ED8-8AC5-01A476E5843C}"/>
    <cellStyle name="40% - Accent6 2 6 3 3" xfId="14276" xr:uid="{5311D41B-A5E2-42A3-B54C-CA414FBB27BA}"/>
    <cellStyle name="40% - Accent6 2 6 4" xfId="18499" xr:uid="{7F392423-F5EF-49FE-9E63-54CB50B571D3}"/>
    <cellStyle name="40% - Accent6 2 6 5" xfId="10058" xr:uid="{BD9E2768-71FE-4A7B-AE53-F6A6FF6985A1}"/>
    <cellStyle name="40% - Accent6 2 7" xfId="1940" xr:uid="{00000000-0005-0000-0000-00002B070000}"/>
    <cellStyle name="40% - Accent6 2 7 2" xfId="4169" xr:uid="{00000000-0005-0000-0000-00002C070000}"/>
    <cellStyle name="40% - Accent6 2 7 2 2" xfId="8392" xr:uid="{00000000-0005-0000-0000-00002D070000}"/>
    <cellStyle name="40% - Accent6 2 7 2 2 2" xfId="25275" xr:uid="{ECED94FB-E654-4330-AFAE-4589916DD4ED}"/>
    <cellStyle name="40% - Accent6 2 7 2 2 3" xfId="16834" xr:uid="{3D591DAE-C98F-47D5-8019-B42E2910373E}"/>
    <cellStyle name="40% - Accent6 2 7 2 3" xfId="21057" xr:uid="{CDFE9BBD-E725-4CA3-ABE2-93BAFB3824D3}"/>
    <cellStyle name="40% - Accent6 2 7 2 4" xfId="12616" xr:uid="{F0F32D74-5FE3-4BDD-8CEF-06C1048CFDDF}"/>
    <cellStyle name="40% - Accent6 2 7 3" xfId="6247" xr:uid="{00000000-0005-0000-0000-00002E070000}"/>
    <cellStyle name="40% - Accent6 2 7 3 2" xfId="23130" xr:uid="{59F09568-8D9C-4633-BA47-EAEE34256749}"/>
    <cellStyle name="40% - Accent6 2 7 3 3" xfId="14689" xr:uid="{1AF043C1-2E19-4C26-8CF3-745CC3C57B28}"/>
    <cellStyle name="40% - Accent6 2 7 4" xfId="18912" xr:uid="{33161DBE-D2C9-4EA7-98BB-B2903676D67F}"/>
    <cellStyle name="40% - Accent6 2 7 5" xfId="10471" xr:uid="{B585406F-8AB8-419F-906D-79CAA46850FC}"/>
    <cellStyle name="40% - Accent6 2 8" xfId="2353" xr:uid="{00000000-0005-0000-0000-00002F070000}"/>
    <cellStyle name="40% - Accent6 2 8 2" xfId="6660" xr:uid="{00000000-0005-0000-0000-000030070000}"/>
    <cellStyle name="40% - Accent6 2 8 2 2" xfId="23543" xr:uid="{7848B42D-E1A6-43BA-8ED9-BEFF6AD52A52}"/>
    <cellStyle name="40% - Accent6 2 8 2 3" xfId="15102" xr:uid="{03B1B91E-482A-40F4-8A46-9F33145151D6}"/>
    <cellStyle name="40% - Accent6 2 8 3" xfId="19325" xr:uid="{BE51E49A-7545-4D79-9598-8EB1448DBBCC}"/>
    <cellStyle name="40% - Accent6 2 8 4" xfId="10884" xr:uid="{6D275421-86EE-4DB3-838A-B78D03132E54}"/>
    <cellStyle name="40% - Accent6 2 9" xfId="4594" xr:uid="{00000000-0005-0000-0000-000031070000}"/>
    <cellStyle name="40% - Accent6 2 9 2" xfId="21477" xr:uid="{0F7AB0EE-8FDD-4F4A-A86B-341F83715B6B}"/>
    <cellStyle name="40% - Accent6 2 9 3" xfId="13036" xr:uid="{838DE675-EAC0-4C0D-84DC-43C99D4D44FC}"/>
    <cellStyle name="40% - Accent6 3" xfId="94" xr:uid="{00000000-0005-0000-0000-000032070000}"/>
    <cellStyle name="40% - Accent6 3 10" xfId="8822" xr:uid="{15F73659-5128-4736-9A76-5D05BFA9CFC7}"/>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24041" xr:uid="{3D2F1DC9-AB98-4455-99B2-5595C8FACFF6}"/>
    <cellStyle name="40% - Accent6 3 2 2 2 2 3" xfId="15600" xr:uid="{F82F786B-B2F8-4748-A3C9-60F8D71F8D48}"/>
    <cellStyle name="40% - Accent6 3 2 2 2 3" xfId="19823" xr:uid="{5E711491-5D36-44CE-A2FF-68150D1206B8}"/>
    <cellStyle name="40% - Accent6 3 2 2 2 4" xfId="11382" xr:uid="{FA6B1654-BDDA-4F7C-914B-102DFEC86A94}"/>
    <cellStyle name="40% - Accent6 3 2 2 3" xfId="5013" xr:uid="{00000000-0005-0000-0000-000037070000}"/>
    <cellStyle name="40% - Accent6 3 2 2 3 2" xfId="21896" xr:uid="{4DF74397-AACA-42A6-B22C-2F48B9678BAA}"/>
    <cellStyle name="40% - Accent6 3 2 2 3 3" xfId="13455" xr:uid="{310DDFEB-E999-45F0-A60A-A76CBB405788}"/>
    <cellStyle name="40% - Accent6 3 2 2 4" xfId="17678" xr:uid="{2B18B10D-F874-4CCE-A157-147A33F3B982}"/>
    <cellStyle name="40% - Accent6 3 2 2 5" xfId="9237" xr:uid="{F26144A1-74DA-4904-A9BE-813FA67D6AC7}"/>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24454" xr:uid="{2425B7B5-302D-45FA-967C-E745CD06E8F5}"/>
    <cellStyle name="40% - Accent6 3 2 3 2 2 3" xfId="16013" xr:uid="{DA80BBE1-366E-476C-9717-6AF419ED386A}"/>
    <cellStyle name="40% - Accent6 3 2 3 2 3" xfId="20236" xr:uid="{CBE30CF5-6864-477C-8B89-6C81D61C83FC}"/>
    <cellStyle name="40% - Accent6 3 2 3 2 4" xfId="11795" xr:uid="{7C265A1D-A7AD-4A54-B551-260D411998C7}"/>
    <cellStyle name="40% - Accent6 3 2 3 3" xfId="5426" xr:uid="{00000000-0005-0000-0000-00003B070000}"/>
    <cellStyle name="40% - Accent6 3 2 3 3 2" xfId="22309" xr:uid="{94D7EA55-A72B-405F-81C6-9543F56559A3}"/>
    <cellStyle name="40% - Accent6 3 2 3 3 3" xfId="13868" xr:uid="{7EB6D80B-0A58-4AE4-AC34-4A139E35D057}"/>
    <cellStyle name="40% - Accent6 3 2 3 4" xfId="18091" xr:uid="{237F6AEE-2B21-4BFB-8ED1-6B6BE03C8D03}"/>
    <cellStyle name="40% - Accent6 3 2 3 5" xfId="9650" xr:uid="{124E0BEA-FFB9-40E0-8FDC-5DB056C8A6A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24867" xr:uid="{4584F729-6F92-4BD7-86CE-650F7ED40EFC}"/>
    <cellStyle name="40% - Accent6 3 2 4 2 2 3" xfId="16426" xr:uid="{A9B81D01-E2E1-4752-AC7F-07826D6435C5}"/>
    <cellStyle name="40% - Accent6 3 2 4 2 3" xfId="20649" xr:uid="{A67745E1-24A1-4CC1-A94D-C8EF207939DC}"/>
    <cellStyle name="40% - Accent6 3 2 4 2 4" xfId="12208" xr:uid="{B789176E-50DF-4A44-B401-50F32363881B}"/>
    <cellStyle name="40% - Accent6 3 2 4 3" xfId="5839" xr:uid="{00000000-0005-0000-0000-00003F070000}"/>
    <cellStyle name="40% - Accent6 3 2 4 3 2" xfId="22722" xr:uid="{4C7805BF-AD6A-4CDB-A0DC-06AEB6221CDA}"/>
    <cellStyle name="40% - Accent6 3 2 4 3 3" xfId="14281" xr:uid="{E2C13238-4FDF-4FC9-8AE1-FD5285ABBA80}"/>
    <cellStyle name="40% - Accent6 3 2 4 4" xfId="18504" xr:uid="{6A52CCDE-C28E-4F31-B824-8842F4E18042}"/>
    <cellStyle name="40% - Accent6 3 2 4 5" xfId="10063" xr:uid="{C9AF3CAF-FD06-427A-94D5-2A685FE826D3}"/>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25280" xr:uid="{F6A447C6-5F8A-4878-B487-1905C4512659}"/>
    <cellStyle name="40% - Accent6 3 2 5 2 2 3" xfId="16839" xr:uid="{BBEAF0A6-985F-44C8-B70C-3DD933C6D37B}"/>
    <cellStyle name="40% - Accent6 3 2 5 2 3" xfId="21062" xr:uid="{5D2A739D-EEF7-4A5D-8AF9-FBB2881AAE36}"/>
    <cellStyle name="40% - Accent6 3 2 5 2 4" xfId="12621" xr:uid="{96E08BA9-1AA4-4338-9900-F6C4E1754FD9}"/>
    <cellStyle name="40% - Accent6 3 2 5 3" xfId="6252" xr:uid="{00000000-0005-0000-0000-000043070000}"/>
    <cellStyle name="40% - Accent6 3 2 5 3 2" xfId="23135" xr:uid="{F17ACB0D-C380-47FC-BED3-1D6BCD95C3CA}"/>
    <cellStyle name="40% - Accent6 3 2 5 3 3" xfId="14694" xr:uid="{926E1EDC-CDA0-43C1-AAF0-4E485A24D7A5}"/>
    <cellStyle name="40% - Accent6 3 2 5 4" xfId="18917" xr:uid="{4C489295-EE5D-4CE6-90E4-093DE8DBB5BC}"/>
    <cellStyle name="40% - Accent6 3 2 5 5" xfId="10476" xr:uid="{33672149-207E-4718-868D-DEB15FA3FCFF}"/>
    <cellStyle name="40% - Accent6 3 2 6" xfId="2358" xr:uid="{00000000-0005-0000-0000-000044070000}"/>
    <cellStyle name="40% - Accent6 3 2 6 2" xfId="6665" xr:uid="{00000000-0005-0000-0000-000045070000}"/>
    <cellStyle name="40% - Accent6 3 2 6 2 2" xfId="23548" xr:uid="{68CC26FE-6484-4ACE-9EB4-10BFB36896B5}"/>
    <cellStyle name="40% - Accent6 3 2 6 2 3" xfId="15107" xr:uid="{D026DB8B-A45D-4A2A-94BE-997D35B5FB3F}"/>
    <cellStyle name="40% - Accent6 3 2 6 3" xfId="19330" xr:uid="{957F780A-FE46-4BF3-960F-8FD3DA5AD405}"/>
    <cellStyle name="40% - Accent6 3 2 6 4" xfId="10889" xr:uid="{1846B87D-0C88-4D90-98FD-F8777A009C21}"/>
    <cellStyle name="40% - Accent6 3 2 7" xfId="4599" xr:uid="{00000000-0005-0000-0000-000046070000}"/>
    <cellStyle name="40% - Accent6 3 2 7 2" xfId="21482" xr:uid="{1E808076-4C6E-42FC-8BA0-DD47980E07FD}"/>
    <cellStyle name="40% - Accent6 3 2 7 3" xfId="13041" xr:uid="{F12AE87C-078F-4146-BDB8-B3282C2AAFF9}"/>
    <cellStyle name="40% - Accent6 3 2 8" xfId="17264" xr:uid="{0D067B9E-6516-4AB8-BEC9-CEFFBDB560C3}"/>
    <cellStyle name="40% - Accent6 3 2 9" xfId="8823" xr:uid="{5874100D-4C03-4BD5-9EC3-51FB2D5452C7}"/>
    <cellStyle name="40% - Accent6 3 3" xfId="663" xr:uid="{00000000-0005-0000-0000-000047070000}"/>
    <cellStyle name="40% - Accent6 3 3 2" xfId="2934" xr:uid="{00000000-0005-0000-0000-000048070000}"/>
    <cellStyle name="40% - Accent6 3 3 2 2" xfId="7157" xr:uid="{00000000-0005-0000-0000-000049070000}"/>
    <cellStyle name="40% - Accent6 3 3 2 2 2" xfId="24040" xr:uid="{77A140FE-763D-4397-996D-FBCBFB3502C8}"/>
    <cellStyle name="40% - Accent6 3 3 2 2 3" xfId="15599" xr:uid="{14FB547F-FAA0-49B0-9FF7-B42F9C81603B}"/>
    <cellStyle name="40% - Accent6 3 3 2 3" xfId="19822" xr:uid="{BCD7BA3D-AE22-4088-9B63-C2F3F481DC8E}"/>
    <cellStyle name="40% - Accent6 3 3 2 4" xfId="11381" xr:uid="{6A5DD210-1796-428E-A147-91C9DC380AF6}"/>
    <cellStyle name="40% - Accent6 3 3 3" xfId="5012" xr:uid="{00000000-0005-0000-0000-00004A070000}"/>
    <cellStyle name="40% - Accent6 3 3 3 2" xfId="21895" xr:uid="{A91827B4-BC8C-4812-9B7E-CC605E40ED63}"/>
    <cellStyle name="40% - Accent6 3 3 3 3" xfId="13454" xr:uid="{1EF1D102-E065-4C0B-B1D9-7329B2573907}"/>
    <cellStyle name="40% - Accent6 3 3 4" xfId="17677" xr:uid="{FA9D0933-D3FB-4A16-B60C-F40DBB336B70}"/>
    <cellStyle name="40% - Accent6 3 3 5" xfId="9236" xr:uid="{93453C34-6384-4425-84D9-4D6D91B4D983}"/>
    <cellStyle name="40% - Accent6 3 4" xfId="1116" xr:uid="{00000000-0005-0000-0000-00004B070000}"/>
    <cellStyle name="40% - Accent6 3 4 2" xfId="3347" xr:uid="{00000000-0005-0000-0000-00004C070000}"/>
    <cellStyle name="40% - Accent6 3 4 2 2" xfId="7570" xr:uid="{00000000-0005-0000-0000-00004D070000}"/>
    <cellStyle name="40% - Accent6 3 4 2 2 2" xfId="24453" xr:uid="{B5961774-24C9-4664-9F01-2C8297DD73CE}"/>
    <cellStyle name="40% - Accent6 3 4 2 2 3" xfId="16012" xr:uid="{5451C361-3303-4435-A025-AE71D321409E}"/>
    <cellStyle name="40% - Accent6 3 4 2 3" xfId="20235" xr:uid="{F0961551-7879-481E-9CB5-D4CB67CA4700}"/>
    <cellStyle name="40% - Accent6 3 4 2 4" xfId="11794" xr:uid="{ABED517C-BA9A-4BD4-8AA7-79167DC75063}"/>
    <cellStyle name="40% - Accent6 3 4 3" xfId="5425" xr:uid="{00000000-0005-0000-0000-00004E070000}"/>
    <cellStyle name="40% - Accent6 3 4 3 2" xfId="22308" xr:uid="{DDCA1771-51F2-44FE-A663-BD06BF52805C}"/>
    <cellStyle name="40% - Accent6 3 4 3 3" xfId="13867" xr:uid="{A627DBC4-C1A2-400E-8ADE-037E022D4E9D}"/>
    <cellStyle name="40% - Accent6 3 4 4" xfId="18090" xr:uid="{CD631C7D-72DD-4564-BDEE-F395837F13AE}"/>
    <cellStyle name="40% - Accent6 3 4 5" xfId="9649" xr:uid="{F879BA72-BBCA-441E-AF57-B1B7D42817DE}"/>
    <cellStyle name="40% - Accent6 3 5" xfId="1530" xr:uid="{00000000-0005-0000-0000-00004F070000}"/>
    <cellStyle name="40% - Accent6 3 5 2" xfId="3760" xr:uid="{00000000-0005-0000-0000-000050070000}"/>
    <cellStyle name="40% - Accent6 3 5 2 2" xfId="7983" xr:uid="{00000000-0005-0000-0000-000051070000}"/>
    <cellStyle name="40% - Accent6 3 5 2 2 2" xfId="24866" xr:uid="{B9ABFEEA-E430-4381-9DD2-EA2C18B213F8}"/>
    <cellStyle name="40% - Accent6 3 5 2 2 3" xfId="16425" xr:uid="{3818A26F-0993-4094-8888-D860377FE791}"/>
    <cellStyle name="40% - Accent6 3 5 2 3" xfId="20648" xr:uid="{2768E151-69AB-4F31-B4E9-3755AE105AE1}"/>
    <cellStyle name="40% - Accent6 3 5 2 4" xfId="12207" xr:uid="{C5786F67-B5C8-4980-819A-9238D8A4E5B4}"/>
    <cellStyle name="40% - Accent6 3 5 3" xfId="5838" xr:uid="{00000000-0005-0000-0000-000052070000}"/>
    <cellStyle name="40% - Accent6 3 5 3 2" xfId="22721" xr:uid="{596937FC-1C1F-473A-AFBA-CC66C111D16D}"/>
    <cellStyle name="40% - Accent6 3 5 3 3" xfId="14280" xr:uid="{934083D2-F1EF-49AC-A8E8-CAF2B52B774B}"/>
    <cellStyle name="40% - Accent6 3 5 4" xfId="18503" xr:uid="{B3814D63-D661-498A-9171-CA8129C53078}"/>
    <cellStyle name="40% - Accent6 3 5 5" xfId="10062" xr:uid="{BB991CD5-660B-472C-8812-1ABB90AD30F0}"/>
    <cellStyle name="40% - Accent6 3 6" xfId="1944" xr:uid="{00000000-0005-0000-0000-000053070000}"/>
    <cellStyle name="40% - Accent6 3 6 2" xfId="4173" xr:uid="{00000000-0005-0000-0000-000054070000}"/>
    <cellStyle name="40% - Accent6 3 6 2 2" xfId="8396" xr:uid="{00000000-0005-0000-0000-000055070000}"/>
    <cellStyle name="40% - Accent6 3 6 2 2 2" xfId="25279" xr:uid="{48F05841-1D0B-423A-8AA3-20452DA3E6F9}"/>
    <cellStyle name="40% - Accent6 3 6 2 2 3" xfId="16838" xr:uid="{C40108EE-64B3-49A8-9926-D90041E89B52}"/>
    <cellStyle name="40% - Accent6 3 6 2 3" xfId="21061" xr:uid="{3614A10D-00BC-407D-ADF9-A9C31AC95435}"/>
    <cellStyle name="40% - Accent6 3 6 2 4" xfId="12620" xr:uid="{37AA25A1-09C7-4EA2-8727-5ACB29A55158}"/>
    <cellStyle name="40% - Accent6 3 6 3" xfId="6251" xr:uid="{00000000-0005-0000-0000-000056070000}"/>
    <cellStyle name="40% - Accent6 3 6 3 2" xfId="23134" xr:uid="{636FD8A9-2557-402B-AFE4-91DDF2EAD5C8}"/>
    <cellStyle name="40% - Accent6 3 6 3 3" xfId="14693" xr:uid="{7D8BC289-9F96-4AB9-B8D3-58D1C5118128}"/>
    <cellStyle name="40% - Accent6 3 6 4" xfId="18916" xr:uid="{B9D47D2F-5C58-41BC-ACE2-75F051360043}"/>
    <cellStyle name="40% - Accent6 3 6 5" xfId="10475" xr:uid="{36464EC6-57B1-4719-A9AC-0C7713C4E717}"/>
    <cellStyle name="40% - Accent6 3 7" xfId="2357" xr:uid="{00000000-0005-0000-0000-000057070000}"/>
    <cellStyle name="40% - Accent6 3 7 2" xfId="6664" xr:uid="{00000000-0005-0000-0000-000058070000}"/>
    <cellStyle name="40% - Accent6 3 7 2 2" xfId="23547" xr:uid="{F7131F90-DDEF-405D-84C5-081334BA6C82}"/>
    <cellStyle name="40% - Accent6 3 7 2 3" xfId="15106" xr:uid="{63E6DEB7-5FF3-45DC-932A-657A546E1EEF}"/>
    <cellStyle name="40% - Accent6 3 7 3" xfId="19329" xr:uid="{25978A27-A49C-4100-AB85-0D121DAC81B8}"/>
    <cellStyle name="40% - Accent6 3 7 4" xfId="10888" xr:uid="{9FAF7A65-CA6A-4D30-923B-2BA30B73A9C3}"/>
    <cellStyle name="40% - Accent6 3 8" xfId="4598" xr:uid="{00000000-0005-0000-0000-000059070000}"/>
    <cellStyle name="40% - Accent6 3 8 2" xfId="21481" xr:uid="{C1ED9FC5-FBA2-4639-A143-CA343604B287}"/>
    <cellStyle name="40% - Accent6 3 8 3" xfId="13040" xr:uid="{0F4CA232-6C06-47AE-A13C-05D47F6F20E1}"/>
    <cellStyle name="40% - Accent6 3 9" xfId="17263" xr:uid="{C5EC1D27-9941-45C6-9014-E7EEA19BF8F7}"/>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24042" xr:uid="{4C352C11-54C7-431F-B7B8-9CA60AF52D7C}"/>
    <cellStyle name="40% - Accent6 4 2 2 2 3" xfId="15601" xr:uid="{1DA4F6FB-3AF8-4D86-9734-4EC1291E4C14}"/>
    <cellStyle name="40% - Accent6 4 2 2 3" xfId="19824" xr:uid="{1F4F2161-EF27-44C7-964B-E93FD9C13A1B}"/>
    <cellStyle name="40% - Accent6 4 2 2 4" xfId="11383" xr:uid="{1B3925FB-ECE0-408C-B3C9-A023F1E033DB}"/>
    <cellStyle name="40% - Accent6 4 2 3" xfId="5014" xr:uid="{00000000-0005-0000-0000-00005E070000}"/>
    <cellStyle name="40% - Accent6 4 2 3 2" xfId="21897" xr:uid="{85F8EF92-6740-4B0D-B238-95B5DC680E78}"/>
    <cellStyle name="40% - Accent6 4 2 3 3" xfId="13456" xr:uid="{C4768C88-18D9-45D7-98D4-6B1DC5EA9FE3}"/>
    <cellStyle name="40% - Accent6 4 2 4" xfId="17679" xr:uid="{BD49998E-E26C-4417-99E0-E394D02A0B07}"/>
    <cellStyle name="40% - Accent6 4 2 5" xfId="9238" xr:uid="{3E99FF53-2999-48C6-9F7F-86AFD3F1F4F7}"/>
    <cellStyle name="40% - Accent6 4 3" xfId="1118" xr:uid="{00000000-0005-0000-0000-00005F070000}"/>
    <cellStyle name="40% - Accent6 4 3 2" xfId="3349" xr:uid="{00000000-0005-0000-0000-000060070000}"/>
    <cellStyle name="40% - Accent6 4 3 2 2" xfId="7572" xr:uid="{00000000-0005-0000-0000-000061070000}"/>
    <cellStyle name="40% - Accent6 4 3 2 2 2" xfId="24455" xr:uid="{12D726A9-9106-43CC-96A1-011154ACDFFE}"/>
    <cellStyle name="40% - Accent6 4 3 2 2 3" xfId="16014" xr:uid="{29568D68-1DCA-433E-921F-3171F4460BC1}"/>
    <cellStyle name="40% - Accent6 4 3 2 3" xfId="20237" xr:uid="{6B3301B3-DD7C-47A1-AD8B-FBCE978A896C}"/>
    <cellStyle name="40% - Accent6 4 3 2 4" xfId="11796" xr:uid="{22B62930-E1EA-4677-9BAC-060CB1F01DC6}"/>
    <cellStyle name="40% - Accent6 4 3 3" xfId="5427" xr:uid="{00000000-0005-0000-0000-000062070000}"/>
    <cellStyle name="40% - Accent6 4 3 3 2" xfId="22310" xr:uid="{32CAC0AB-03E4-4399-AEA5-3DDCE9127BEF}"/>
    <cellStyle name="40% - Accent6 4 3 3 3" xfId="13869" xr:uid="{228CDE82-C103-4514-83B9-51E5827B2812}"/>
    <cellStyle name="40% - Accent6 4 3 4" xfId="18092" xr:uid="{E1F1C755-634F-4015-861B-5C138F7E5BBB}"/>
    <cellStyle name="40% - Accent6 4 3 5" xfId="9651" xr:uid="{9EB683D0-EBB0-442F-9778-D6F212F34ABC}"/>
    <cellStyle name="40% - Accent6 4 4" xfId="1532" xr:uid="{00000000-0005-0000-0000-000063070000}"/>
    <cellStyle name="40% - Accent6 4 4 2" xfId="3762" xr:uid="{00000000-0005-0000-0000-000064070000}"/>
    <cellStyle name="40% - Accent6 4 4 2 2" xfId="7985" xr:uid="{00000000-0005-0000-0000-000065070000}"/>
    <cellStyle name="40% - Accent6 4 4 2 2 2" xfId="24868" xr:uid="{DE9DF980-0C76-4CB0-B152-1FBCE8B5D6CD}"/>
    <cellStyle name="40% - Accent6 4 4 2 2 3" xfId="16427" xr:uid="{3ED65C06-FF1E-4564-8662-88E5F1C8EA48}"/>
    <cellStyle name="40% - Accent6 4 4 2 3" xfId="20650" xr:uid="{90D0A736-EE4A-4774-9C4C-A40F70343BF4}"/>
    <cellStyle name="40% - Accent6 4 4 2 4" xfId="12209" xr:uid="{19A48468-F5F0-4514-A9AE-CE3258B47EC2}"/>
    <cellStyle name="40% - Accent6 4 4 3" xfId="5840" xr:uid="{00000000-0005-0000-0000-000066070000}"/>
    <cellStyle name="40% - Accent6 4 4 3 2" xfId="22723" xr:uid="{420995D0-A7CB-45F1-A67F-92F2CE5E3C66}"/>
    <cellStyle name="40% - Accent6 4 4 3 3" xfId="14282" xr:uid="{C9AC627F-B4E4-4500-A9E7-B92C7D6A222E}"/>
    <cellStyle name="40% - Accent6 4 4 4" xfId="18505" xr:uid="{D806119F-DC19-482E-B075-804103EBE0EF}"/>
    <cellStyle name="40% - Accent6 4 4 5" xfId="10064" xr:uid="{2E1DF7D6-8E46-4CAD-9E9A-BAC3258911BE}"/>
    <cellStyle name="40% - Accent6 4 5" xfId="1946" xr:uid="{00000000-0005-0000-0000-000067070000}"/>
    <cellStyle name="40% - Accent6 4 5 2" xfId="4175" xr:uid="{00000000-0005-0000-0000-000068070000}"/>
    <cellStyle name="40% - Accent6 4 5 2 2" xfId="8398" xr:uid="{00000000-0005-0000-0000-000069070000}"/>
    <cellStyle name="40% - Accent6 4 5 2 2 2" xfId="25281" xr:uid="{8803F2F6-E113-4C4E-94A2-8AB007ACDC5E}"/>
    <cellStyle name="40% - Accent6 4 5 2 2 3" xfId="16840" xr:uid="{D014C3FA-DBF4-40A7-8B22-B7B531468227}"/>
    <cellStyle name="40% - Accent6 4 5 2 3" xfId="21063" xr:uid="{8F45A2B9-6ACC-4E82-8747-E1FF6CAF7511}"/>
    <cellStyle name="40% - Accent6 4 5 2 4" xfId="12622" xr:uid="{66C0D2E6-E453-4D12-A4FF-F655F81E0711}"/>
    <cellStyle name="40% - Accent6 4 5 3" xfId="6253" xr:uid="{00000000-0005-0000-0000-00006A070000}"/>
    <cellStyle name="40% - Accent6 4 5 3 2" xfId="23136" xr:uid="{89262161-5DD5-41F3-8426-C4C13A1840C4}"/>
    <cellStyle name="40% - Accent6 4 5 3 3" xfId="14695" xr:uid="{7DE198DD-F5AC-4233-B5EE-273322A67D70}"/>
    <cellStyle name="40% - Accent6 4 5 4" xfId="18918" xr:uid="{D2F7A3DC-8B06-41F8-816E-02C94BC65E9C}"/>
    <cellStyle name="40% - Accent6 4 5 5" xfId="10477" xr:uid="{378A674D-4224-4ADC-BEE8-B4BD081FB7D3}"/>
    <cellStyle name="40% - Accent6 4 6" xfId="2359" xr:uid="{00000000-0005-0000-0000-00006B070000}"/>
    <cellStyle name="40% - Accent6 4 6 2" xfId="6666" xr:uid="{00000000-0005-0000-0000-00006C070000}"/>
    <cellStyle name="40% - Accent6 4 6 2 2" xfId="23549" xr:uid="{01E9A56A-81BC-4447-89AF-AC2000835E8A}"/>
    <cellStyle name="40% - Accent6 4 6 2 3" xfId="15108" xr:uid="{A9C26CAD-0EF6-4E94-89AF-861B6EBEB8D5}"/>
    <cellStyle name="40% - Accent6 4 6 3" xfId="19331" xr:uid="{F72FA1D9-815A-4C17-8D07-DBC4F3A9DFF6}"/>
    <cellStyle name="40% - Accent6 4 6 4" xfId="10890" xr:uid="{B764B2F7-EF5E-40CC-9D96-16A5DD571167}"/>
    <cellStyle name="40% - Accent6 4 7" xfId="4600" xr:uid="{00000000-0005-0000-0000-00006D070000}"/>
    <cellStyle name="40% - Accent6 4 7 2" xfId="21483" xr:uid="{3B212D67-04D2-41D0-A826-C5833DDDB826}"/>
    <cellStyle name="40% - Accent6 4 7 3" xfId="13042" xr:uid="{188E7385-524C-4321-9DA4-45AF4E06B44A}"/>
    <cellStyle name="40% - Accent6 4 8" xfId="17265" xr:uid="{D562ED16-E3EE-48CE-8DE0-E6DC6A02AADE}"/>
    <cellStyle name="40% - Accent6 4 9" xfId="8824" xr:uid="{BAE71B9B-AFD1-4FB5-8EFC-BBEA387C1AF0}"/>
    <cellStyle name="40% - Accent6 5" xfId="658" xr:uid="{00000000-0005-0000-0000-00006E070000}"/>
    <cellStyle name="40% - Accent6 5 2" xfId="2929" xr:uid="{00000000-0005-0000-0000-00006F070000}"/>
    <cellStyle name="40% - Accent6 5 2 2" xfId="7152" xr:uid="{00000000-0005-0000-0000-000070070000}"/>
    <cellStyle name="40% - Accent6 5 2 2 2" xfId="24035" xr:uid="{2049CBC4-72F3-49B4-97AA-4FDAE8AC7F04}"/>
    <cellStyle name="40% - Accent6 5 2 2 3" xfId="15594" xr:uid="{FC092CDA-F83E-4075-B72D-92BB67B6DA44}"/>
    <cellStyle name="40% - Accent6 5 2 3" xfId="19817" xr:uid="{9F2F12CB-625D-4436-8EF8-C6BA880AF0E5}"/>
    <cellStyle name="40% - Accent6 5 2 4" xfId="11376" xr:uid="{5A90169B-4F67-4301-A6C8-24AEAF516111}"/>
    <cellStyle name="40% - Accent6 5 3" xfId="5007" xr:uid="{00000000-0005-0000-0000-000071070000}"/>
    <cellStyle name="40% - Accent6 5 3 2" xfId="21890" xr:uid="{5B4508F5-2EEA-4F9A-8B42-EFED47214CEE}"/>
    <cellStyle name="40% - Accent6 5 3 3" xfId="13449" xr:uid="{44FA4AE7-0F9F-46DA-BCFD-24CA4AD12879}"/>
    <cellStyle name="40% - Accent6 5 4" xfId="17672" xr:uid="{BC130713-8145-4634-BFC8-CB5A1E777B02}"/>
    <cellStyle name="40% - Accent6 5 5" xfId="9231" xr:uid="{442B3DAE-CF82-4E44-8337-DC18FA499E36}"/>
    <cellStyle name="40% - Accent6 6" xfId="1111" xr:uid="{00000000-0005-0000-0000-000072070000}"/>
    <cellStyle name="40% - Accent6 6 2" xfId="3342" xr:uid="{00000000-0005-0000-0000-000073070000}"/>
    <cellStyle name="40% - Accent6 6 2 2" xfId="7565" xr:uid="{00000000-0005-0000-0000-000074070000}"/>
    <cellStyle name="40% - Accent6 6 2 2 2" xfId="24448" xr:uid="{2E38A65A-DFB9-40CD-BCF2-4A80C143179A}"/>
    <cellStyle name="40% - Accent6 6 2 2 3" xfId="16007" xr:uid="{E8E43C17-FB7E-4679-86CB-74A2A90B6E09}"/>
    <cellStyle name="40% - Accent6 6 2 3" xfId="20230" xr:uid="{B03DA18F-CC14-4614-880F-44AE896B2505}"/>
    <cellStyle name="40% - Accent6 6 2 4" xfId="11789" xr:uid="{D6D242C8-A12F-4C4F-9AB8-EDB97D3FFC36}"/>
    <cellStyle name="40% - Accent6 6 3" xfId="5420" xr:uid="{00000000-0005-0000-0000-000075070000}"/>
    <cellStyle name="40% - Accent6 6 3 2" xfId="22303" xr:uid="{B576C5D0-B826-43B8-A6E1-55C7A907E532}"/>
    <cellStyle name="40% - Accent6 6 3 3" xfId="13862" xr:uid="{56EE2BFC-FBA7-40F1-A3F7-CFF64AD05856}"/>
    <cellStyle name="40% - Accent6 6 4" xfId="18085" xr:uid="{FE9798C4-35FB-47F0-9F9D-1C8F4988BE7D}"/>
    <cellStyle name="40% - Accent6 6 5" xfId="9644" xr:uid="{9521DB3C-5775-4076-A889-5C9E29529D25}"/>
    <cellStyle name="40% - Accent6 7" xfId="1525" xr:uid="{00000000-0005-0000-0000-000076070000}"/>
    <cellStyle name="40% - Accent6 7 2" xfId="3755" xr:uid="{00000000-0005-0000-0000-000077070000}"/>
    <cellStyle name="40% - Accent6 7 2 2" xfId="7978" xr:uid="{00000000-0005-0000-0000-000078070000}"/>
    <cellStyle name="40% - Accent6 7 2 2 2" xfId="24861" xr:uid="{8D380880-DB51-4468-BC0E-E9B105D9ED10}"/>
    <cellStyle name="40% - Accent6 7 2 2 3" xfId="16420" xr:uid="{CA2793E8-0564-4D66-BE7A-39D01B7DBB26}"/>
    <cellStyle name="40% - Accent6 7 2 3" xfId="20643" xr:uid="{D21091A8-02BF-459B-A14C-9FE273F1647C}"/>
    <cellStyle name="40% - Accent6 7 2 4" xfId="12202" xr:uid="{CB071CA2-4316-4343-8891-7006CCAFAF2D}"/>
    <cellStyle name="40% - Accent6 7 3" xfId="5833" xr:uid="{00000000-0005-0000-0000-000079070000}"/>
    <cellStyle name="40% - Accent6 7 3 2" xfId="22716" xr:uid="{BF2B7D7A-C54D-4F51-BC93-CBFEE3E89660}"/>
    <cellStyle name="40% - Accent6 7 3 3" xfId="14275" xr:uid="{86F28F8F-CBB1-4C18-A572-B7ABCC732551}"/>
    <cellStyle name="40% - Accent6 7 4" xfId="18498" xr:uid="{02E29134-EFC2-429D-BAFE-ADEA51E8D453}"/>
    <cellStyle name="40% - Accent6 7 5" xfId="10057" xr:uid="{1647B7F6-4400-440D-80E4-40885732924C}"/>
    <cellStyle name="40% - Accent6 8" xfId="1939" xr:uid="{00000000-0005-0000-0000-00007A070000}"/>
    <cellStyle name="40% - Accent6 8 2" xfId="4168" xr:uid="{00000000-0005-0000-0000-00007B070000}"/>
    <cellStyle name="40% - Accent6 8 2 2" xfId="8391" xr:uid="{00000000-0005-0000-0000-00007C070000}"/>
    <cellStyle name="40% - Accent6 8 2 2 2" xfId="25274" xr:uid="{17D974FD-58B8-4A29-BCFB-DA4FB48A9DAB}"/>
    <cellStyle name="40% - Accent6 8 2 2 3" xfId="16833" xr:uid="{90AB13EF-EAC0-4CBF-B323-D25AD7F14143}"/>
    <cellStyle name="40% - Accent6 8 2 3" xfId="21056" xr:uid="{B681045B-1020-4F2D-8E50-5278FC0BB721}"/>
    <cellStyle name="40% - Accent6 8 2 4" xfId="12615" xr:uid="{1BB5DD44-3C88-41F7-9C21-39E269CD7522}"/>
    <cellStyle name="40% - Accent6 8 3" xfId="6246" xr:uid="{00000000-0005-0000-0000-00007D070000}"/>
    <cellStyle name="40% - Accent6 8 3 2" xfId="23129" xr:uid="{2A106142-7F5B-4E65-8CA4-A520AB031225}"/>
    <cellStyle name="40% - Accent6 8 3 3" xfId="14688" xr:uid="{69F7C848-9021-45C1-ADB6-B06A5F57B289}"/>
    <cellStyle name="40% - Accent6 8 4" xfId="18911" xr:uid="{701F0BAA-3EB8-43FF-92B7-3479461AE7B6}"/>
    <cellStyle name="40% - Accent6 8 5" xfId="10470" xr:uid="{2C2145BC-D81A-4FA4-B77C-98D4ACECD485}"/>
    <cellStyle name="40% - Accent6 9" xfId="2352" xr:uid="{00000000-0005-0000-0000-00007E070000}"/>
    <cellStyle name="40% - Accent6 9 2" xfId="6659" xr:uid="{00000000-0005-0000-0000-00007F070000}"/>
    <cellStyle name="40% - Accent6 9 2 2" xfId="23542" xr:uid="{43D5942D-EB53-45A2-BC70-9A6DF6D3B381}"/>
    <cellStyle name="40% - Accent6 9 2 3" xfId="15101" xr:uid="{11E02A42-DBAA-4339-9052-5F978EA0AB0D}"/>
    <cellStyle name="40% - Accent6 9 3" xfId="19324" xr:uid="{8D8A5056-EBEB-4BD3-A1E8-88D3EE8554CF}"/>
    <cellStyle name="40% - Accent6 9 4" xfId="10883" xr:uid="{74FD0F0A-7A52-4548-8DBE-CFE22D9E984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23867" xr:uid="{E5806794-F1CA-4A88-89A8-CD92370DC84C}"/>
    <cellStyle name="Comma 4 2 2 2 10 2 3" xfId="15426" xr:uid="{85C5D16F-D619-4C5E-8B2C-6D496EBE44B6}"/>
    <cellStyle name="Comma 4 2 2 2 10 3" xfId="19649" xr:uid="{0375C296-3474-4EA4-891E-0DEB5B3F40C4}"/>
    <cellStyle name="Comma 4 2 2 2 10 4" xfId="11208" xr:uid="{56735E6D-F659-464A-901E-24F64C53ACBA}"/>
    <cellStyle name="Comma 4 2 2 2 11" xfId="4601" xr:uid="{00000000-0005-0000-0000-0000A3070000}"/>
    <cellStyle name="Comma 4 2 2 2 11 2" xfId="21484" xr:uid="{7C013B49-D98D-46D0-A09D-DD7671BC5F0E}"/>
    <cellStyle name="Comma 4 2 2 2 11 3" xfId="13043" xr:uid="{1255C290-9BD6-49FB-B912-05D53C1BC31A}"/>
    <cellStyle name="Comma 4 2 2 2 12" xfId="17266" xr:uid="{7B3E1B41-8685-442C-B900-83324987F690}"/>
    <cellStyle name="Comma 4 2 2 2 13" xfId="8825" xr:uid="{9600C778-EDB6-4CF8-81CC-121E24587C36}"/>
    <cellStyle name="Comma 4 2 2 2 2" xfId="129" xr:uid="{00000000-0005-0000-0000-0000A4070000}"/>
    <cellStyle name="Comma 4 2 2 2 2 10" xfId="4602" xr:uid="{00000000-0005-0000-0000-0000A5070000}"/>
    <cellStyle name="Comma 4 2 2 2 2 10 2" xfId="21485" xr:uid="{A7F1FD30-5D8C-4122-A8A9-2CFF72CE0FAA}"/>
    <cellStyle name="Comma 4 2 2 2 2 10 3" xfId="13044" xr:uid="{A93DE032-C3C0-4D17-ABD5-74009B847903}"/>
    <cellStyle name="Comma 4 2 2 2 2 11" xfId="17267" xr:uid="{6D9B34E5-D54C-4E07-BAC4-7FEB11D26282}"/>
    <cellStyle name="Comma 4 2 2 2 2 12" xfId="8826" xr:uid="{44EBAA29-485D-463F-808A-8CC542A595F0}"/>
    <cellStyle name="Comma 4 2 2 2 2 2" xfId="130" xr:uid="{00000000-0005-0000-0000-0000A6070000}"/>
    <cellStyle name="Comma 4 2 2 2 2 2 10" xfId="17268" xr:uid="{E2E4D614-EE8B-4720-9B49-620004219DB1}"/>
    <cellStyle name="Comma 4 2 2 2 2 2 11" xfId="8827" xr:uid="{960AD165-166C-4D4A-8A88-41BB7EC82C0F}"/>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24045" xr:uid="{4B11A44B-66F7-4043-9AFB-3A01EA1A1F3F}"/>
    <cellStyle name="Comma 4 2 2 2 2 2 2 2 2 3" xfId="15604" xr:uid="{512BFA56-DFB1-413F-8DB0-0AC038BFBF38}"/>
    <cellStyle name="Comma 4 2 2 2 2 2 2 2 3" xfId="19827" xr:uid="{522B6029-9AFF-4A10-87B3-DB094F748036}"/>
    <cellStyle name="Comma 4 2 2 2 2 2 2 2 4" xfId="11386" xr:uid="{60F3AE50-22C2-45C6-A131-A4F7B084F770}"/>
    <cellStyle name="Comma 4 2 2 2 2 2 2 3" xfId="5017" xr:uid="{00000000-0005-0000-0000-0000AA070000}"/>
    <cellStyle name="Comma 4 2 2 2 2 2 2 3 2" xfId="21900" xr:uid="{F17EDB3F-3E50-43AC-A1ED-1DC64F226897}"/>
    <cellStyle name="Comma 4 2 2 2 2 2 2 3 3" xfId="13459" xr:uid="{74D7A358-5E25-4E52-8B0F-0E474BFE114C}"/>
    <cellStyle name="Comma 4 2 2 2 2 2 2 4" xfId="17682" xr:uid="{5FD6E861-1D25-4E07-91F9-1BA32D4169AC}"/>
    <cellStyle name="Comma 4 2 2 2 2 2 2 5" xfId="9241" xr:uid="{5807D645-EEC6-4C83-A6D0-68629D935C8F}"/>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24458" xr:uid="{C08DE3E6-9943-41A0-B3CD-73B987BC728D}"/>
    <cellStyle name="Comma 4 2 2 2 2 2 3 2 2 3" xfId="16017" xr:uid="{20CC7B5F-3919-44D8-8C71-483EC7947042}"/>
    <cellStyle name="Comma 4 2 2 2 2 2 3 2 3" xfId="20240" xr:uid="{8658D5AB-FD82-4335-BC6E-73ECF8198661}"/>
    <cellStyle name="Comma 4 2 2 2 2 2 3 2 4" xfId="11799" xr:uid="{950DE15A-99F0-4AED-8483-AA099060B901}"/>
    <cellStyle name="Comma 4 2 2 2 2 2 3 3" xfId="5430" xr:uid="{00000000-0005-0000-0000-0000AE070000}"/>
    <cellStyle name="Comma 4 2 2 2 2 2 3 3 2" xfId="22313" xr:uid="{0CE323E1-F757-4AB9-AC62-CD486FBD10F4}"/>
    <cellStyle name="Comma 4 2 2 2 2 2 3 3 3" xfId="13872" xr:uid="{901422F9-DE34-447D-85EE-3474B653EF1C}"/>
    <cellStyle name="Comma 4 2 2 2 2 2 3 4" xfId="18095" xr:uid="{687027B3-0424-42D6-905A-DF2066661C1E}"/>
    <cellStyle name="Comma 4 2 2 2 2 2 3 5" xfId="9654" xr:uid="{46860766-C511-4C7E-9CEB-01934CAC9C42}"/>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24871" xr:uid="{4EB87223-0777-4018-B997-06B03FDD9E8F}"/>
    <cellStyle name="Comma 4 2 2 2 2 2 4 2 2 3" xfId="16430" xr:uid="{BA74700C-1E36-46F7-86A1-3C95D009DA00}"/>
    <cellStyle name="Comma 4 2 2 2 2 2 4 2 3" xfId="20653" xr:uid="{4E7CABD2-04E7-45CA-8D15-F835B44EA0BC}"/>
    <cellStyle name="Comma 4 2 2 2 2 2 4 2 4" xfId="12212" xr:uid="{5D10A778-CCCA-479B-978C-88D46E47AC35}"/>
    <cellStyle name="Comma 4 2 2 2 2 2 4 3" xfId="5843" xr:uid="{00000000-0005-0000-0000-0000B2070000}"/>
    <cellStyle name="Comma 4 2 2 2 2 2 4 3 2" xfId="22726" xr:uid="{D601FF79-C072-44CA-ACCE-1D6AED069ED0}"/>
    <cellStyle name="Comma 4 2 2 2 2 2 4 3 3" xfId="14285" xr:uid="{D5AB9B46-224B-463F-9968-0A9F4ECAF174}"/>
    <cellStyle name="Comma 4 2 2 2 2 2 4 4" xfId="18508" xr:uid="{B2189678-B7DD-4EAB-835E-6AA468FC3384}"/>
    <cellStyle name="Comma 4 2 2 2 2 2 4 5" xfId="10067" xr:uid="{E75FBB21-2F5C-421B-9070-7BA81FAB36A3}"/>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25284" xr:uid="{F978E18D-FE52-4FB6-845A-987C9B5614CC}"/>
    <cellStyle name="Comma 4 2 2 2 2 2 5 2 2 3" xfId="16843" xr:uid="{F5FC1DB7-F051-405E-B9F5-506987A252E7}"/>
    <cellStyle name="Comma 4 2 2 2 2 2 5 2 3" xfId="21066" xr:uid="{5D79DD9D-E477-4131-8CEC-3E26EFC578DC}"/>
    <cellStyle name="Comma 4 2 2 2 2 2 5 2 4" xfId="12625" xr:uid="{9DFAECCD-21D6-4749-B9DD-09DB13B1896C}"/>
    <cellStyle name="Comma 4 2 2 2 2 2 5 3" xfId="6256" xr:uid="{00000000-0005-0000-0000-0000B6070000}"/>
    <cellStyle name="Comma 4 2 2 2 2 2 5 3 2" xfId="23139" xr:uid="{F124CAD3-CDB6-443A-AB6C-B860A118E631}"/>
    <cellStyle name="Comma 4 2 2 2 2 2 5 3 3" xfId="14698" xr:uid="{E03E6FA8-42D3-4727-9456-02E6A8290235}"/>
    <cellStyle name="Comma 4 2 2 2 2 2 5 4" xfId="18921" xr:uid="{5D93B63F-518F-49DC-8728-CF55B218127C}"/>
    <cellStyle name="Comma 4 2 2 2 2 2 5 5" xfId="10480" xr:uid="{FCB1F562-7223-4A44-9CBD-838C8810063C}"/>
    <cellStyle name="Comma 4 2 2 2 2 2 6" xfId="2384" xr:uid="{00000000-0005-0000-0000-0000B7070000}"/>
    <cellStyle name="Comma 4 2 2 2 2 2 6 2" xfId="6669" xr:uid="{00000000-0005-0000-0000-0000B8070000}"/>
    <cellStyle name="Comma 4 2 2 2 2 2 6 2 2" xfId="23552" xr:uid="{7EA298D3-4681-4FCE-9219-87863B5F3F4C}"/>
    <cellStyle name="Comma 4 2 2 2 2 2 6 2 3" xfId="15111" xr:uid="{4EFA99FE-5C75-4CF8-8612-C04060BE0C21}"/>
    <cellStyle name="Comma 4 2 2 2 2 2 6 3" xfId="19334" xr:uid="{9CCE729A-700A-491B-8AAE-DDEB8B20A79D}"/>
    <cellStyle name="Comma 4 2 2 2 2 2 6 4" xfId="10893" xr:uid="{04DE84A8-BD75-44FB-BE84-2D756F0A359C}"/>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23869" xr:uid="{FCA54FEF-5740-4555-BED3-D4B8FFA31F36}"/>
    <cellStyle name="Comma 4 2 2 2 2 2 8 2 3" xfId="15428" xr:uid="{5FCD0325-FC1C-4093-93FB-C3DEF821730B}"/>
    <cellStyle name="Comma 4 2 2 2 2 2 8 3" xfId="19651" xr:uid="{F8A1E09D-7330-47EF-99F9-9BB2223E5E32}"/>
    <cellStyle name="Comma 4 2 2 2 2 2 8 4" xfId="11210" xr:uid="{D9339A7F-C18F-4251-9305-71809E3EED52}"/>
    <cellStyle name="Comma 4 2 2 2 2 2 9" xfId="4603" xr:uid="{00000000-0005-0000-0000-0000BC070000}"/>
    <cellStyle name="Comma 4 2 2 2 2 2 9 2" xfId="21486" xr:uid="{8741819C-A373-4CCD-8B46-910DF2557D0B}"/>
    <cellStyle name="Comma 4 2 2 2 2 2 9 3" xfId="13045" xr:uid="{F61527CE-DEFF-4279-843F-0027A3339016}"/>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24044" xr:uid="{5175D44A-C031-4465-A3A5-7D477D931F0F}"/>
    <cellStyle name="Comma 4 2 2 2 2 3 2 2 3" xfId="15603" xr:uid="{63AB02DA-EE0A-49D5-A5F1-D58C47021A06}"/>
    <cellStyle name="Comma 4 2 2 2 2 3 2 3" xfId="19826" xr:uid="{AEEBA3ED-3F1C-4572-A21C-8886D70D3468}"/>
    <cellStyle name="Comma 4 2 2 2 2 3 2 4" xfId="11385" xr:uid="{E67F3610-D176-4994-A47A-2CC836D62348}"/>
    <cellStyle name="Comma 4 2 2 2 2 3 3" xfId="5016" xr:uid="{00000000-0005-0000-0000-0000C0070000}"/>
    <cellStyle name="Comma 4 2 2 2 2 3 3 2" xfId="21899" xr:uid="{E9C34019-CAD7-4FA3-8B7A-BC05B83F5C96}"/>
    <cellStyle name="Comma 4 2 2 2 2 3 3 3" xfId="13458" xr:uid="{49B8B041-8E13-4CAB-9499-6A0F85250B08}"/>
    <cellStyle name="Comma 4 2 2 2 2 3 4" xfId="17681" xr:uid="{E9567D77-B57C-4D66-A5A7-1D52C7D4BE8E}"/>
    <cellStyle name="Comma 4 2 2 2 2 3 5" xfId="9240" xr:uid="{0A1605BE-266C-41A8-8582-4A4129C2A930}"/>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24457" xr:uid="{17A77F69-773E-4D27-9F81-ACD49F9D8B50}"/>
    <cellStyle name="Comma 4 2 2 2 2 4 2 2 3" xfId="16016" xr:uid="{C4FE4BD8-E5B4-467E-A3A8-C256FE6BE16C}"/>
    <cellStyle name="Comma 4 2 2 2 2 4 2 3" xfId="20239" xr:uid="{EB5E008A-B5BE-4A97-B34E-B0600952ADD9}"/>
    <cellStyle name="Comma 4 2 2 2 2 4 2 4" xfId="11798" xr:uid="{E74A7900-159E-4FCF-BCB1-32AE18664A0F}"/>
    <cellStyle name="Comma 4 2 2 2 2 4 3" xfId="5429" xr:uid="{00000000-0005-0000-0000-0000C4070000}"/>
    <cellStyle name="Comma 4 2 2 2 2 4 3 2" xfId="22312" xr:uid="{530EA927-2F74-4012-8132-CB05D200C1FD}"/>
    <cellStyle name="Comma 4 2 2 2 2 4 3 3" xfId="13871" xr:uid="{5C6EADB4-9B87-4F7B-9D94-6CF38FF398EE}"/>
    <cellStyle name="Comma 4 2 2 2 2 4 4" xfId="18094" xr:uid="{36688ABC-138A-410E-A2A1-722F74F0D52E}"/>
    <cellStyle name="Comma 4 2 2 2 2 4 5" xfId="9653" xr:uid="{BDB67096-1A15-4046-B7E1-F625709548A9}"/>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24870" xr:uid="{DCE407E4-256C-44B5-A4B7-C3F55FA4BF3C}"/>
    <cellStyle name="Comma 4 2 2 2 2 5 2 2 3" xfId="16429" xr:uid="{B9048B8C-AAC7-4EE0-B302-EB9A5B2768C5}"/>
    <cellStyle name="Comma 4 2 2 2 2 5 2 3" xfId="20652" xr:uid="{18A21E9D-E038-4196-9CD9-3F207690B431}"/>
    <cellStyle name="Comma 4 2 2 2 2 5 2 4" xfId="12211" xr:uid="{F6197492-A915-4B94-9902-43596D3B9A76}"/>
    <cellStyle name="Comma 4 2 2 2 2 5 3" xfId="5842" xr:uid="{00000000-0005-0000-0000-0000C8070000}"/>
    <cellStyle name="Comma 4 2 2 2 2 5 3 2" xfId="22725" xr:uid="{3D684094-4BDF-4192-93A2-15EC67CEA449}"/>
    <cellStyle name="Comma 4 2 2 2 2 5 3 3" xfId="14284" xr:uid="{045E2A72-6EE2-4866-9354-FBCA5D5CA8DB}"/>
    <cellStyle name="Comma 4 2 2 2 2 5 4" xfId="18507" xr:uid="{4B1C9A2D-365D-4E77-A5AA-FE4E0FFEDECF}"/>
    <cellStyle name="Comma 4 2 2 2 2 5 5" xfId="10066" xr:uid="{98566A70-D844-4596-BC70-4B9E2E110E05}"/>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25283" xr:uid="{14425399-0EB6-4F29-A743-374E49BEE92A}"/>
    <cellStyle name="Comma 4 2 2 2 2 6 2 2 3" xfId="16842" xr:uid="{36A1ABC2-DB59-41A1-AF43-E855341CE3BF}"/>
    <cellStyle name="Comma 4 2 2 2 2 6 2 3" xfId="21065" xr:uid="{3EE7D942-3EB8-43C3-ABB9-6B0B3C1BEDAE}"/>
    <cellStyle name="Comma 4 2 2 2 2 6 2 4" xfId="12624" xr:uid="{1FFF817B-7F6D-4262-B859-005BCC5A5755}"/>
    <cellStyle name="Comma 4 2 2 2 2 6 3" xfId="6255" xr:uid="{00000000-0005-0000-0000-0000CC070000}"/>
    <cellStyle name="Comma 4 2 2 2 2 6 3 2" xfId="23138" xr:uid="{68C438D4-6E10-4F78-A389-4E1040A8315E}"/>
    <cellStyle name="Comma 4 2 2 2 2 6 3 3" xfId="14697" xr:uid="{23CE667C-2644-4A87-B1E8-CFDA6C9CEE78}"/>
    <cellStyle name="Comma 4 2 2 2 2 6 4" xfId="18920" xr:uid="{584B5F46-6F52-4E6B-9BF3-79F98968EF1A}"/>
    <cellStyle name="Comma 4 2 2 2 2 6 5" xfId="10479" xr:uid="{D6092709-2F96-42A4-98CE-571D0A18C0CE}"/>
    <cellStyle name="Comma 4 2 2 2 2 7" xfId="2383" xr:uid="{00000000-0005-0000-0000-0000CD070000}"/>
    <cellStyle name="Comma 4 2 2 2 2 7 2" xfId="6668" xr:uid="{00000000-0005-0000-0000-0000CE070000}"/>
    <cellStyle name="Comma 4 2 2 2 2 7 2 2" xfId="23551" xr:uid="{CFE7E366-BF19-4E74-AA45-7B654C140504}"/>
    <cellStyle name="Comma 4 2 2 2 2 7 2 3" xfId="15110" xr:uid="{F89C11B8-BA49-4E56-B48E-171E923953DC}"/>
    <cellStyle name="Comma 4 2 2 2 2 7 3" xfId="19333" xr:uid="{128EA753-FFFD-4CBC-9AEF-4627286FEF67}"/>
    <cellStyle name="Comma 4 2 2 2 2 7 4" xfId="10892" xr:uid="{49CD2758-1A71-4BEA-B848-5138180AC07B}"/>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23868" xr:uid="{9C711F1F-73B9-4377-AE95-60E9342F85DC}"/>
    <cellStyle name="Comma 4 2 2 2 2 9 2 3" xfId="15427" xr:uid="{0F347037-339B-4614-980B-57EE1899CC9E}"/>
    <cellStyle name="Comma 4 2 2 2 2 9 3" xfId="19650" xr:uid="{CC3DD7B7-AF98-4B72-A34E-739E5224686A}"/>
    <cellStyle name="Comma 4 2 2 2 2 9 4" xfId="11209" xr:uid="{628DCF5B-0656-44E3-969F-4B115FFEF378}"/>
    <cellStyle name="Comma 4 2 2 2 3" xfId="131" xr:uid="{00000000-0005-0000-0000-0000D2070000}"/>
    <cellStyle name="Comma 4 2 2 2 3 10" xfId="17269" xr:uid="{C53D5475-94ED-43CC-9B70-5A70F3B8251E}"/>
    <cellStyle name="Comma 4 2 2 2 3 11" xfId="8828" xr:uid="{A0066BE5-4E0B-44C5-80BC-ED5699998009}"/>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24046" xr:uid="{95A5BB94-7A8F-487C-84C5-6F4DE7ACA7FC}"/>
    <cellStyle name="Comma 4 2 2 2 3 2 2 2 3" xfId="15605" xr:uid="{3ECAEA59-18B3-4FAE-924E-BBDE7B6514B3}"/>
    <cellStyle name="Comma 4 2 2 2 3 2 2 3" xfId="19828" xr:uid="{BACCB7DB-4DBA-4D1D-9D02-D9586A5B7598}"/>
    <cellStyle name="Comma 4 2 2 2 3 2 2 4" xfId="11387" xr:uid="{E0602277-4CB8-44ED-9868-F6E7C0EA86F8}"/>
    <cellStyle name="Comma 4 2 2 2 3 2 3" xfId="5018" xr:uid="{00000000-0005-0000-0000-0000D6070000}"/>
    <cellStyle name="Comma 4 2 2 2 3 2 3 2" xfId="21901" xr:uid="{FF38697F-FF21-4853-84A3-F9052764230A}"/>
    <cellStyle name="Comma 4 2 2 2 3 2 3 3" xfId="13460" xr:uid="{ED1B20D2-3187-4CF2-BCA9-F7B39C0BFB50}"/>
    <cellStyle name="Comma 4 2 2 2 3 2 4" xfId="17683" xr:uid="{40E62E7E-09CE-4902-9EE5-DA3074D633B0}"/>
    <cellStyle name="Comma 4 2 2 2 3 2 5" xfId="9242" xr:uid="{21C2AAEE-9F40-4612-B01C-9C3FA4864087}"/>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24459" xr:uid="{84B1B533-38F8-44C1-9D73-239717ACA5D5}"/>
    <cellStyle name="Comma 4 2 2 2 3 3 2 2 3" xfId="16018" xr:uid="{8255AC53-4D09-4F8C-AE4C-0D93C0280833}"/>
    <cellStyle name="Comma 4 2 2 2 3 3 2 3" xfId="20241" xr:uid="{6468FBEE-B569-41B2-88A2-FEC3F77BE7EB}"/>
    <cellStyle name="Comma 4 2 2 2 3 3 2 4" xfId="11800" xr:uid="{F503939D-558F-4B30-9B19-064A37B6EF6C}"/>
    <cellStyle name="Comma 4 2 2 2 3 3 3" xfId="5431" xr:uid="{00000000-0005-0000-0000-0000DA070000}"/>
    <cellStyle name="Comma 4 2 2 2 3 3 3 2" xfId="22314" xr:uid="{EF35CBF8-BEB2-47D8-9707-20E2D4936DA8}"/>
    <cellStyle name="Comma 4 2 2 2 3 3 3 3" xfId="13873" xr:uid="{65B957F4-1A06-453B-A4C4-CFD3354E8279}"/>
    <cellStyle name="Comma 4 2 2 2 3 3 4" xfId="18096" xr:uid="{C76BB63A-8228-479E-9304-651EC42D29D2}"/>
    <cellStyle name="Comma 4 2 2 2 3 3 5" xfId="9655" xr:uid="{324F6E80-691F-44D3-9916-163903BD8CBD}"/>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24872" xr:uid="{8BDEF6CE-2A6C-4EBD-BF82-7FD80DBA95DE}"/>
    <cellStyle name="Comma 4 2 2 2 3 4 2 2 3" xfId="16431" xr:uid="{3956625B-F56E-4C95-84F1-BE57A1826506}"/>
    <cellStyle name="Comma 4 2 2 2 3 4 2 3" xfId="20654" xr:uid="{CD42502F-5E54-4F42-AD2F-245B77C8D1ED}"/>
    <cellStyle name="Comma 4 2 2 2 3 4 2 4" xfId="12213" xr:uid="{F423A68C-9A5D-4F75-BC88-7D9A667F4AB4}"/>
    <cellStyle name="Comma 4 2 2 2 3 4 3" xfId="5844" xr:uid="{00000000-0005-0000-0000-0000DE070000}"/>
    <cellStyle name="Comma 4 2 2 2 3 4 3 2" xfId="22727" xr:uid="{E2E77C38-32FF-45F8-AFDB-5FD4A6BB28E1}"/>
    <cellStyle name="Comma 4 2 2 2 3 4 3 3" xfId="14286" xr:uid="{50824F71-BCDC-4619-AA46-A857D37E4846}"/>
    <cellStyle name="Comma 4 2 2 2 3 4 4" xfId="18509" xr:uid="{FEFA9312-D714-4DEB-B344-83ED060B019D}"/>
    <cellStyle name="Comma 4 2 2 2 3 4 5" xfId="10068" xr:uid="{463781CA-9840-433A-A7ED-B91FC81DD538}"/>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25285" xr:uid="{F2F63A9F-DA5E-471B-8877-47CC3FB968C5}"/>
    <cellStyle name="Comma 4 2 2 2 3 5 2 2 3" xfId="16844" xr:uid="{ACEEFC3D-E171-4AEE-AAC0-50FE55F5013A}"/>
    <cellStyle name="Comma 4 2 2 2 3 5 2 3" xfId="21067" xr:uid="{10159E86-EF7E-431D-BB32-C75F1BAAC71A}"/>
    <cellStyle name="Comma 4 2 2 2 3 5 2 4" xfId="12626" xr:uid="{0A9281C3-62D9-443C-976C-C0EF11DB899D}"/>
    <cellStyle name="Comma 4 2 2 2 3 5 3" xfId="6257" xr:uid="{00000000-0005-0000-0000-0000E2070000}"/>
    <cellStyle name="Comma 4 2 2 2 3 5 3 2" xfId="23140" xr:uid="{1BC51FE6-18DD-4689-8EDA-0C0CBB80CAEA}"/>
    <cellStyle name="Comma 4 2 2 2 3 5 3 3" xfId="14699" xr:uid="{1F32A93E-D50E-40BC-B294-403C1F0DBAA4}"/>
    <cellStyle name="Comma 4 2 2 2 3 5 4" xfId="18922" xr:uid="{8F61210F-EC31-4864-B213-A390993D0705}"/>
    <cellStyle name="Comma 4 2 2 2 3 5 5" xfId="10481" xr:uid="{214C07BC-04D0-4D25-93C3-F4E8B745E7AE}"/>
    <cellStyle name="Comma 4 2 2 2 3 6" xfId="2385" xr:uid="{00000000-0005-0000-0000-0000E3070000}"/>
    <cellStyle name="Comma 4 2 2 2 3 6 2" xfId="6670" xr:uid="{00000000-0005-0000-0000-0000E4070000}"/>
    <cellStyle name="Comma 4 2 2 2 3 6 2 2" xfId="23553" xr:uid="{79DE6F61-8D37-44A1-9DD1-D970552480AA}"/>
    <cellStyle name="Comma 4 2 2 2 3 6 2 3" xfId="15112" xr:uid="{C92A95FA-0E1D-4FB7-BA21-B599F75C58E7}"/>
    <cellStyle name="Comma 4 2 2 2 3 6 3" xfId="19335" xr:uid="{BF66A8AB-0AA9-4E3D-9B53-B02BCD69C17D}"/>
    <cellStyle name="Comma 4 2 2 2 3 6 4" xfId="10894" xr:uid="{E95796F2-4DC1-46F0-BD98-BA67A1AEB1DF}"/>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23870" xr:uid="{846CF4E6-AD88-452C-8EB5-020839B09B29}"/>
    <cellStyle name="Comma 4 2 2 2 3 8 2 3" xfId="15429" xr:uid="{513447BA-0D67-4C68-B6A6-5B2ABDD94FD9}"/>
    <cellStyle name="Comma 4 2 2 2 3 8 3" xfId="19652" xr:uid="{14BE3272-74AA-4282-AD42-0144214DFB8F}"/>
    <cellStyle name="Comma 4 2 2 2 3 8 4" xfId="11211" xr:uid="{55B6D868-42CE-4995-911D-4A7E80342B6F}"/>
    <cellStyle name="Comma 4 2 2 2 3 9" xfId="4604" xr:uid="{00000000-0005-0000-0000-0000E8070000}"/>
    <cellStyle name="Comma 4 2 2 2 3 9 2" xfId="21487" xr:uid="{B1D3E59B-AB3C-4DBE-A504-07F0F061D469}"/>
    <cellStyle name="Comma 4 2 2 2 3 9 3" xfId="13046" xr:uid="{EC151D23-320B-415A-851D-B3A425048724}"/>
    <cellStyle name="Comma 4 2 2 2 4" xfId="666" xr:uid="{00000000-0005-0000-0000-0000E9070000}"/>
    <cellStyle name="Comma 4 2 2 2 4 2" xfId="2937" xr:uid="{00000000-0005-0000-0000-0000EA070000}"/>
    <cellStyle name="Comma 4 2 2 2 4 2 2" xfId="7160" xr:uid="{00000000-0005-0000-0000-0000EB070000}"/>
    <cellStyle name="Comma 4 2 2 2 4 2 2 2" xfId="24043" xr:uid="{FBC7B20B-3EC7-4032-B6EB-33817B62268E}"/>
    <cellStyle name="Comma 4 2 2 2 4 2 2 3" xfId="15602" xr:uid="{5AC0A610-2DEA-4596-988B-5B21BBBC69F2}"/>
    <cellStyle name="Comma 4 2 2 2 4 2 3" xfId="19825" xr:uid="{A283FB6C-F375-4D30-94EE-496F4F3F0B4A}"/>
    <cellStyle name="Comma 4 2 2 2 4 2 4" xfId="11384" xr:uid="{3A938AE8-74BA-4FF4-895F-E9A59102240B}"/>
    <cellStyle name="Comma 4 2 2 2 4 3" xfId="5015" xr:uid="{00000000-0005-0000-0000-0000EC070000}"/>
    <cellStyle name="Comma 4 2 2 2 4 3 2" xfId="21898" xr:uid="{3D52BC3E-555E-411B-AD9C-884DDC3C157C}"/>
    <cellStyle name="Comma 4 2 2 2 4 3 3" xfId="13457" xr:uid="{7CC89FD8-3E9B-4D18-A9E0-9B18016D8091}"/>
    <cellStyle name="Comma 4 2 2 2 4 4" xfId="17680" xr:uid="{D36276F4-F5D4-4416-971F-B029E135CD7C}"/>
    <cellStyle name="Comma 4 2 2 2 4 5" xfId="9239" xr:uid="{A4EC862C-B6DA-4B21-9700-81700730BED5}"/>
    <cellStyle name="Comma 4 2 2 2 5" xfId="1119" xr:uid="{00000000-0005-0000-0000-0000ED070000}"/>
    <cellStyle name="Comma 4 2 2 2 5 2" xfId="3350" xr:uid="{00000000-0005-0000-0000-0000EE070000}"/>
    <cellStyle name="Comma 4 2 2 2 5 2 2" xfId="7573" xr:uid="{00000000-0005-0000-0000-0000EF070000}"/>
    <cellStyle name="Comma 4 2 2 2 5 2 2 2" xfId="24456" xr:uid="{01604CC2-B197-4909-A33B-B6CE037077FA}"/>
    <cellStyle name="Comma 4 2 2 2 5 2 2 3" xfId="16015" xr:uid="{299C8FC8-6FE6-4801-B9A8-F4F34EDCD302}"/>
    <cellStyle name="Comma 4 2 2 2 5 2 3" xfId="20238" xr:uid="{508D9A8F-B4B1-4F9E-8766-092D2F5959DA}"/>
    <cellStyle name="Comma 4 2 2 2 5 2 4" xfId="11797" xr:uid="{1C2A3952-BD6C-48D8-A1AE-ECF9F1C17D28}"/>
    <cellStyle name="Comma 4 2 2 2 5 3" xfId="5428" xr:uid="{00000000-0005-0000-0000-0000F0070000}"/>
    <cellStyle name="Comma 4 2 2 2 5 3 2" xfId="22311" xr:uid="{318F993A-C6EC-4640-ABCF-FE20859F91A2}"/>
    <cellStyle name="Comma 4 2 2 2 5 3 3" xfId="13870" xr:uid="{A68B27D6-4CE2-4A64-9DCA-A525788D48B6}"/>
    <cellStyle name="Comma 4 2 2 2 5 4" xfId="18093" xr:uid="{591D6AE6-75A2-42FB-8014-D8490E271300}"/>
    <cellStyle name="Comma 4 2 2 2 5 5" xfId="9652" xr:uid="{414845A4-5F33-4808-8BE8-8832D0215BDA}"/>
    <cellStyle name="Comma 4 2 2 2 6" xfId="1533" xr:uid="{00000000-0005-0000-0000-0000F1070000}"/>
    <cellStyle name="Comma 4 2 2 2 6 2" xfId="3763" xr:uid="{00000000-0005-0000-0000-0000F2070000}"/>
    <cellStyle name="Comma 4 2 2 2 6 2 2" xfId="7986" xr:uid="{00000000-0005-0000-0000-0000F3070000}"/>
    <cellStyle name="Comma 4 2 2 2 6 2 2 2" xfId="24869" xr:uid="{38D60CB0-7612-47A5-A61E-4C218B3A79FC}"/>
    <cellStyle name="Comma 4 2 2 2 6 2 2 3" xfId="16428" xr:uid="{B28EF608-5292-45AB-B568-34A7BE04547C}"/>
    <cellStyle name="Comma 4 2 2 2 6 2 3" xfId="20651" xr:uid="{12633C50-AB8F-4083-963D-A79D0BCEDE6E}"/>
    <cellStyle name="Comma 4 2 2 2 6 2 4" xfId="12210" xr:uid="{0BAAD1E9-7677-4AB0-8119-2C937D9D2769}"/>
    <cellStyle name="Comma 4 2 2 2 6 3" xfId="5841" xr:uid="{00000000-0005-0000-0000-0000F4070000}"/>
    <cellStyle name="Comma 4 2 2 2 6 3 2" xfId="22724" xr:uid="{9922BBE1-EB7D-44FF-BF9F-66B982D933E3}"/>
    <cellStyle name="Comma 4 2 2 2 6 3 3" xfId="14283" xr:uid="{64D6F3C4-7497-4E8D-A384-EE6350D875B2}"/>
    <cellStyle name="Comma 4 2 2 2 6 4" xfId="18506" xr:uid="{67B3E5EE-F921-4C89-B2EC-D7824F6A5317}"/>
    <cellStyle name="Comma 4 2 2 2 6 5" xfId="10065" xr:uid="{8B650C25-C4CC-41E0-942A-3A7BC650BD91}"/>
    <cellStyle name="Comma 4 2 2 2 7" xfId="1947" xr:uid="{00000000-0005-0000-0000-0000F5070000}"/>
    <cellStyle name="Comma 4 2 2 2 7 2" xfId="4176" xr:uid="{00000000-0005-0000-0000-0000F6070000}"/>
    <cellStyle name="Comma 4 2 2 2 7 2 2" xfId="8399" xr:uid="{00000000-0005-0000-0000-0000F7070000}"/>
    <cellStyle name="Comma 4 2 2 2 7 2 2 2" xfId="25282" xr:uid="{AA023E2E-F3E6-4AA7-8273-628EA347B7DA}"/>
    <cellStyle name="Comma 4 2 2 2 7 2 2 3" xfId="16841" xr:uid="{360C5B01-C477-4A97-8715-664D5F74B2F3}"/>
    <cellStyle name="Comma 4 2 2 2 7 2 3" xfId="21064" xr:uid="{10BB0BFD-B6D2-46B1-8167-0229E791D7AA}"/>
    <cellStyle name="Comma 4 2 2 2 7 2 4" xfId="12623" xr:uid="{4735AC8C-90C8-4D6E-AB0C-3DF4B3F6F930}"/>
    <cellStyle name="Comma 4 2 2 2 7 3" xfId="6254" xr:uid="{00000000-0005-0000-0000-0000F8070000}"/>
    <cellStyle name="Comma 4 2 2 2 7 3 2" xfId="23137" xr:uid="{2CC20E38-A2B8-4696-9C11-955F12CD8131}"/>
    <cellStyle name="Comma 4 2 2 2 7 3 3" xfId="14696" xr:uid="{1EB48789-4911-4AFC-A0F0-6EE8F42F7A96}"/>
    <cellStyle name="Comma 4 2 2 2 7 4" xfId="18919" xr:uid="{736477B3-39B6-4D62-AC14-F087C1834B9B}"/>
    <cellStyle name="Comma 4 2 2 2 7 5" xfId="10478" xr:uid="{FDFBA15C-18FE-43EF-B7E3-E0BF01F73DC0}"/>
    <cellStyle name="Comma 4 2 2 2 8" xfId="2382" xr:uid="{00000000-0005-0000-0000-0000F9070000}"/>
    <cellStyle name="Comma 4 2 2 2 8 2" xfId="6667" xr:uid="{00000000-0005-0000-0000-0000FA070000}"/>
    <cellStyle name="Comma 4 2 2 2 8 2 2" xfId="23550" xr:uid="{D8D3C7AE-AB0B-445E-842C-CF6C16EEF5C7}"/>
    <cellStyle name="Comma 4 2 2 2 8 2 3" xfId="15109" xr:uid="{FEFDC5E0-A7BD-497B-BF63-2480E3843970}"/>
    <cellStyle name="Comma 4 2 2 2 8 3" xfId="19332" xr:uid="{BDE5BBB0-C36C-4F4B-8076-487EF54DA1BA}"/>
    <cellStyle name="Comma 4 2 2 2 8 4" xfId="10891" xr:uid="{3422841F-CA08-45A5-89A3-F43ABDE2D735}"/>
    <cellStyle name="Comma 4 2 2 2 9" xfId="2381" xr:uid="{00000000-0005-0000-0000-0000FB070000}"/>
    <cellStyle name="Comma 4 2 2 3" xfId="132" xr:uid="{00000000-0005-0000-0000-0000FC070000}"/>
    <cellStyle name="Comma 4 2 2 3 10" xfId="4605" xr:uid="{00000000-0005-0000-0000-0000FD070000}"/>
    <cellStyle name="Comma 4 2 2 3 10 2" xfId="21488" xr:uid="{C75C876F-B2B0-4A6E-9155-C5D59FEABB9A}"/>
    <cellStyle name="Comma 4 2 2 3 10 3" xfId="13047" xr:uid="{192EA17B-4406-4E55-BC72-5652D665A619}"/>
    <cellStyle name="Comma 4 2 2 3 11" xfId="17270" xr:uid="{BC69A3FC-32F0-4E29-A039-533703460C0B}"/>
    <cellStyle name="Comma 4 2 2 3 12" xfId="8829" xr:uid="{F7DB6EAC-CC3D-4862-8993-4634F68CA19E}"/>
    <cellStyle name="Comma 4 2 2 3 2" xfId="133" xr:uid="{00000000-0005-0000-0000-0000FE070000}"/>
    <cellStyle name="Comma 4 2 2 3 2 10" xfId="17271" xr:uid="{CA9B1AD3-DE82-45C1-B8E3-C50674FE2DB7}"/>
    <cellStyle name="Comma 4 2 2 3 2 11" xfId="8830" xr:uid="{291E7B89-0BF3-41CC-97BE-FA9C911B566A}"/>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24048" xr:uid="{51483FAA-0DFC-403A-A638-CA6C41BCE5D6}"/>
    <cellStyle name="Comma 4 2 2 3 2 2 2 2 3" xfId="15607" xr:uid="{15788931-D911-4DA4-A223-17D8FCE27660}"/>
    <cellStyle name="Comma 4 2 2 3 2 2 2 3" xfId="19830" xr:uid="{F2A64425-2A90-447B-80A3-3A14E55A9D86}"/>
    <cellStyle name="Comma 4 2 2 3 2 2 2 4" xfId="11389" xr:uid="{92AA2647-2D8A-4E38-A8DF-6C23DD990D59}"/>
    <cellStyle name="Comma 4 2 2 3 2 2 3" xfId="5020" xr:uid="{00000000-0005-0000-0000-000002080000}"/>
    <cellStyle name="Comma 4 2 2 3 2 2 3 2" xfId="21903" xr:uid="{473D3A2D-8B21-4464-BF6B-FD83A047901C}"/>
    <cellStyle name="Comma 4 2 2 3 2 2 3 3" xfId="13462" xr:uid="{ED34E737-6975-412D-9AEE-5C6C4137C332}"/>
    <cellStyle name="Comma 4 2 2 3 2 2 4" xfId="17685" xr:uid="{B1C3E32A-C995-4028-8C56-4CA86EB436AB}"/>
    <cellStyle name="Comma 4 2 2 3 2 2 5" xfId="9244" xr:uid="{2FB2DFE3-D2BF-487D-A501-8302E56AB7A2}"/>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24461" xr:uid="{F4FD826F-F389-4936-9640-B6DB06D80D6B}"/>
    <cellStyle name="Comma 4 2 2 3 2 3 2 2 3" xfId="16020" xr:uid="{9CD1D88F-A45D-43D7-A808-030C1A447C8D}"/>
    <cellStyle name="Comma 4 2 2 3 2 3 2 3" xfId="20243" xr:uid="{121275C4-EA99-4AF4-8CB9-B570339345F6}"/>
    <cellStyle name="Comma 4 2 2 3 2 3 2 4" xfId="11802" xr:uid="{4EFDADBD-2CB6-4731-95BD-B1734051F144}"/>
    <cellStyle name="Comma 4 2 2 3 2 3 3" xfId="5433" xr:uid="{00000000-0005-0000-0000-000006080000}"/>
    <cellStyle name="Comma 4 2 2 3 2 3 3 2" xfId="22316" xr:uid="{B34F3651-8EF1-40F9-866B-5D815D62C2A0}"/>
    <cellStyle name="Comma 4 2 2 3 2 3 3 3" xfId="13875" xr:uid="{C88AD514-C21E-4F42-A392-630864B07F79}"/>
    <cellStyle name="Comma 4 2 2 3 2 3 4" xfId="18098" xr:uid="{A74E7BE3-A212-40DD-B824-F0730DC583AF}"/>
    <cellStyle name="Comma 4 2 2 3 2 3 5" xfId="9657" xr:uid="{027208A6-9970-4BE5-A191-9C809DBC1DDB}"/>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24874" xr:uid="{CEA7322E-63D2-41CD-9949-9612818F8CC2}"/>
    <cellStyle name="Comma 4 2 2 3 2 4 2 2 3" xfId="16433" xr:uid="{ADD4FEE7-3697-48D1-9A81-A554A9C3EED5}"/>
    <cellStyle name="Comma 4 2 2 3 2 4 2 3" xfId="20656" xr:uid="{88CB23EC-13F6-4ABB-9BF5-FB1CDE52FEF6}"/>
    <cellStyle name="Comma 4 2 2 3 2 4 2 4" xfId="12215" xr:uid="{EF38F57D-59A7-4AF2-A3D4-13C028128EE0}"/>
    <cellStyle name="Comma 4 2 2 3 2 4 3" xfId="5846" xr:uid="{00000000-0005-0000-0000-00000A080000}"/>
    <cellStyle name="Comma 4 2 2 3 2 4 3 2" xfId="22729" xr:uid="{819872D3-55BB-4333-BB0E-D6C02001AAEF}"/>
    <cellStyle name="Comma 4 2 2 3 2 4 3 3" xfId="14288" xr:uid="{34E524B2-50AD-4F24-BA12-4732FA5495DB}"/>
    <cellStyle name="Comma 4 2 2 3 2 4 4" xfId="18511" xr:uid="{6C7EA6B5-1468-4470-85DB-42E85E38B30D}"/>
    <cellStyle name="Comma 4 2 2 3 2 4 5" xfId="10070" xr:uid="{AED82A87-8DDB-4CDA-A88F-DD7A7B7A4EFC}"/>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25287" xr:uid="{D8F7EAE0-D9C2-45B5-8144-A52359BAE123}"/>
    <cellStyle name="Comma 4 2 2 3 2 5 2 2 3" xfId="16846" xr:uid="{BF774A62-C579-4AA4-B178-1E28BAE7F870}"/>
    <cellStyle name="Comma 4 2 2 3 2 5 2 3" xfId="21069" xr:uid="{C0D7912C-C6F9-4165-9AB1-9879522BA8A0}"/>
    <cellStyle name="Comma 4 2 2 3 2 5 2 4" xfId="12628" xr:uid="{93FF6A5E-9C7A-4E3F-87F6-B1ABB434590A}"/>
    <cellStyle name="Comma 4 2 2 3 2 5 3" xfId="6259" xr:uid="{00000000-0005-0000-0000-00000E080000}"/>
    <cellStyle name="Comma 4 2 2 3 2 5 3 2" xfId="23142" xr:uid="{8D1795B4-4BC8-450E-BF84-299C87F8455F}"/>
    <cellStyle name="Comma 4 2 2 3 2 5 3 3" xfId="14701" xr:uid="{1F2DD3B4-6E12-4E5F-9541-4D20E47B3FBC}"/>
    <cellStyle name="Comma 4 2 2 3 2 5 4" xfId="18924" xr:uid="{D687F749-E570-40AA-8071-7258FEDA2CC9}"/>
    <cellStyle name="Comma 4 2 2 3 2 5 5" xfId="10483" xr:uid="{EF5CBECE-EADB-4691-966A-FCEF76D219C6}"/>
    <cellStyle name="Comma 4 2 2 3 2 6" xfId="2387" xr:uid="{00000000-0005-0000-0000-00000F080000}"/>
    <cellStyle name="Comma 4 2 2 3 2 6 2" xfId="6672" xr:uid="{00000000-0005-0000-0000-000010080000}"/>
    <cellStyle name="Comma 4 2 2 3 2 6 2 2" xfId="23555" xr:uid="{0520C7FF-E50D-497A-8C95-1C15A247D2B5}"/>
    <cellStyle name="Comma 4 2 2 3 2 6 2 3" xfId="15114" xr:uid="{72F1513C-CCAF-4660-A373-61C25E833B6B}"/>
    <cellStyle name="Comma 4 2 2 3 2 6 3" xfId="19337" xr:uid="{FF338302-4D87-45FA-BE73-0BDD9A3FEA52}"/>
    <cellStyle name="Comma 4 2 2 3 2 6 4" xfId="10896" xr:uid="{45A61F9B-C0F1-4B6C-9244-CFC2D108EE36}"/>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23872" xr:uid="{A20190AD-B28C-45C1-8670-80459E7130EE}"/>
    <cellStyle name="Comma 4 2 2 3 2 8 2 3" xfId="15431" xr:uid="{292F0C3A-E07D-49B6-9CAE-7650F18608F3}"/>
    <cellStyle name="Comma 4 2 2 3 2 8 3" xfId="19654" xr:uid="{AB0BF7DC-6884-4959-A447-EEB16D266674}"/>
    <cellStyle name="Comma 4 2 2 3 2 8 4" xfId="11213" xr:uid="{AAAFCC76-D7B9-452F-844C-04908D1EB7E0}"/>
    <cellStyle name="Comma 4 2 2 3 2 9" xfId="4606" xr:uid="{00000000-0005-0000-0000-000014080000}"/>
    <cellStyle name="Comma 4 2 2 3 2 9 2" xfId="21489" xr:uid="{38D872DC-F641-4A43-A8D4-B452FC8D06D0}"/>
    <cellStyle name="Comma 4 2 2 3 2 9 3" xfId="13048" xr:uid="{6C94329E-B435-4DA8-AAB0-B2A8E0A3B615}"/>
    <cellStyle name="Comma 4 2 2 3 3" xfId="670" xr:uid="{00000000-0005-0000-0000-000015080000}"/>
    <cellStyle name="Comma 4 2 2 3 3 2" xfId="2941" xr:uid="{00000000-0005-0000-0000-000016080000}"/>
    <cellStyle name="Comma 4 2 2 3 3 2 2" xfId="7164" xr:uid="{00000000-0005-0000-0000-000017080000}"/>
    <cellStyle name="Comma 4 2 2 3 3 2 2 2" xfId="24047" xr:uid="{E2A3EFE3-4270-490D-9BC6-1676AC1BD5AD}"/>
    <cellStyle name="Comma 4 2 2 3 3 2 2 3" xfId="15606" xr:uid="{1FFD0FC6-91BF-46C2-AA09-16395D9AEFB4}"/>
    <cellStyle name="Comma 4 2 2 3 3 2 3" xfId="19829" xr:uid="{EE05B8F5-060A-4070-A790-4A76A18BC803}"/>
    <cellStyle name="Comma 4 2 2 3 3 2 4" xfId="11388" xr:uid="{F808B723-40EC-4E7A-8BC2-5E635054E797}"/>
    <cellStyle name="Comma 4 2 2 3 3 3" xfId="5019" xr:uid="{00000000-0005-0000-0000-000018080000}"/>
    <cellStyle name="Comma 4 2 2 3 3 3 2" xfId="21902" xr:uid="{14E13CA2-59B9-4E4F-8C68-4E2587D30600}"/>
    <cellStyle name="Comma 4 2 2 3 3 3 3" xfId="13461" xr:uid="{7AF0D9B1-D44C-4734-9630-645E1F9AFBE3}"/>
    <cellStyle name="Comma 4 2 2 3 3 4" xfId="17684" xr:uid="{8ED0DA54-D4BF-4856-BB7B-470834BB0342}"/>
    <cellStyle name="Comma 4 2 2 3 3 5" xfId="9243" xr:uid="{E10B0FED-CA50-4823-87A5-446F3A31B045}"/>
    <cellStyle name="Comma 4 2 2 3 4" xfId="1123" xr:uid="{00000000-0005-0000-0000-000019080000}"/>
    <cellStyle name="Comma 4 2 2 3 4 2" xfId="3354" xr:uid="{00000000-0005-0000-0000-00001A080000}"/>
    <cellStyle name="Comma 4 2 2 3 4 2 2" xfId="7577" xr:uid="{00000000-0005-0000-0000-00001B080000}"/>
    <cellStyle name="Comma 4 2 2 3 4 2 2 2" xfId="24460" xr:uid="{B735F9C2-5938-4C07-8F34-76E85D5160C8}"/>
    <cellStyle name="Comma 4 2 2 3 4 2 2 3" xfId="16019" xr:uid="{4C6FE8A7-062A-4D6D-AB27-E72AEC133C69}"/>
    <cellStyle name="Comma 4 2 2 3 4 2 3" xfId="20242" xr:uid="{78E50BCF-2B17-4E2A-BDB7-D99FA41045FB}"/>
    <cellStyle name="Comma 4 2 2 3 4 2 4" xfId="11801" xr:uid="{84A8E6C2-32E9-411D-96D1-3BDCB6F87486}"/>
    <cellStyle name="Comma 4 2 2 3 4 3" xfId="5432" xr:uid="{00000000-0005-0000-0000-00001C080000}"/>
    <cellStyle name="Comma 4 2 2 3 4 3 2" xfId="22315" xr:uid="{D7C1C18F-431A-4B58-971A-A7F3B294A576}"/>
    <cellStyle name="Comma 4 2 2 3 4 3 3" xfId="13874" xr:uid="{C62E5F29-0F19-46F5-8C7D-8D6D06F718A3}"/>
    <cellStyle name="Comma 4 2 2 3 4 4" xfId="18097" xr:uid="{082F6662-C217-4936-920B-9546FB17BFF3}"/>
    <cellStyle name="Comma 4 2 2 3 4 5" xfId="9656" xr:uid="{C3907A0D-1E2B-405A-B960-DDCEB2835BBF}"/>
    <cellStyle name="Comma 4 2 2 3 5" xfId="1537" xr:uid="{00000000-0005-0000-0000-00001D080000}"/>
    <cellStyle name="Comma 4 2 2 3 5 2" xfId="3767" xr:uid="{00000000-0005-0000-0000-00001E080000}"/>
    <cellStyle name="Comma 4 2 2 3 5 2 2" xfId="7990" xr:uid="{00000000-0005-0000-0000-00001F080000}"/>
    <cellStyle name="Comma 4 2 2 3 5 2 2 2" xfId="24873" xr:uid="{BE742D61-FD90-4587-8DEA-A477D6A7712C}"/>
    <cellStyle name="Comma 4 2 2 3 5 2 2 3" xfId="16432" xr:uid="{0A01CCC1-4205-4742-8F20-A4E081BD9871}"/>
    <cellStyle name="Comma 4 2 2 3 5 2 3" xfId="20655" xr:uid="{D7D8A5AB-ABD0-4191-891C-AD8603D300C1}"/>
    <cellStyle name="Comma 4 2 2 3 5 2 4" xfId="12214" xr:uid="{4FAE8AC5-3E06-4E9C-B240-15982BF877B6}"/>
    <cellStyle name="Comma 4 2 2 3 5 3" xfId="5845" xr:uid="{00000000-0005-0000-0000-000020080000}"/>
    <cellStyle name="Comma 4 2 2 3 5 3 2" xfId="22728" xr:uid="{3EFEDADC-9B60-4001-88D2-44F568AE074E}"/>
    <cellStyle name="Comma 4 2 2 3 5 3 3" xfId="14287" xr:uid="{0ECFED8C-051E-4C39-B4FC-B1B6C8B1D669}"/>
    <cellStyle name="Comma 4 2 2 3 5 4" xfId="18510" xr:uid="{B0A82F69-DB87-4156-8749-6BD8C104115A}"/>
    <cellStyle name="Comma 4 2 2 3 5 5" xfId="10069" xr:uid="{20992C9B-084F-4C2B-8B48-6A88C6EED166}"/>
    <cellStyle name="Comma 4 2 2 3 6" xfId="1951" xr:uid="{00000000-0005-0000-0000-000021080000}"/>
    <cellStyle name="Comma 4 2 2 3 6 2" xfId="4180" xr:uid="{00000000-0005-0000-0000-000022080000}"/>
    <cellStyle name="Comma 4 2 2 3 6 2 2" xfId="8403" xr:uid="{00000000-0005-0000-0000-000023080000}"/>
    <cellStyle name="Comma 4 2 2 3 6 2 2 2" xfId="25286" xr:uid="{4CD2D79C-844F-49DD-946C-273F843E70AB}"/>
    <cellStyle name="Comma 4 2 2 3 6 2 2 3" xfId="16845" xr:uid="{9256B364-2EFC-4632-928E-1657E9EE88A3}"/>
    <cellStyle name="Comma 4 2 2 3 6 2 3" xfId="21068" xr:uid="{18F4F6CE-E91D-4070-81E1-BEECF48C2604}"/>
    <cellStyle name="Comma 4 2 2 3 6 2 4" xfId="12627" xr:uid="{47736A25-8244-4662-A605-5F1EA63DE16A}"/>
    <cellStyle name="Comma 4 2 2 3 6 3" xfId="6258" xr:uid="{00000000-0005-0000-0000-000024080000}"/>
    <cellStyle name="Comma 4 2 2 3 6 3 2" xfId="23141" xr:uid="{F37B8D98-82B1-4BD7-99F9-089AB2C6D806}"/>
    <cellStyle name="Comma 4 2 2 3 6 3 3" xfId="14700" xr:uid="{73CB7974-AE94-4305-9AFE-4AE5F6B6874C}"/>
    <cellStyle name="Comma 4 2 2 3 6 4" xfId="18923" xr:uid="{24FC4C0C-ECE7-4DC4-B53D-894DA102E8AF}"/>
    <cellStyle name="Comma 4 2 2 3 6 5" xfId="10482" xr:uid="{C77F89C6-6601-4428-824F-DCB05A757873}"/>
    <cellStyle name="Comma 4 2 2 3 7" xfId="2386" xr:uid="{00000000-0005-0000-0000-000025080000}"/>
    <cellStyle name="Comma 4 2 2 3 7 2" xfId="6671" xr:uid="{00000000-0005-0000-0000-000026080000}"/>
    <cellStyle name="Comma 4 2 2 3 7 2 2" xfId="23554" xr:uid="{4DF1F88B-7EA9-450D-AE79-DE6F2EFEF8CC}"/>
    <cellStyle name="Comma 4 2 2 3 7 2 3" xfId="15113" xr:uid="{EDEC0082-AA7C-455F-B7D4-1664B1D428E2}"/>
    <cellStyle name="Comma 4 2 2 3 7 3" xfId="19336" xr:uid="{C28FE0F9-E9AD-454F-B4C2-393C6304E34E}"/>
    <cellStyle name="Comma 4 2 2 3 7 4" xfId="10895" xr:uid="{A000152C-5969-443D-A777-5728845B1BC2}"/>
    <cellStyle name="Comma 4 2 2 3 8" xfId="2377" xr:uid="{00000000-0005-0000-0000-000027080000}"/>
    <cellStyle name="Comma 4 2 2 3 9" xfId="2764" xr:uid="{00000000-0005-0000-0000-000028080000}"/>
    <cellStyle name="Comma 4 2 2 3 9 2" xfId="6988" xr:uid="{00000000-0005-0000-0000-000029080000}"/>
    <cellStyle name="Comma 4 2 2 3 9 2 2" xfId="23871" xr:uid="{063B0A3E-0495-4888-ACC5-05138C86A0F9}"/>
    <cellStyle name="Comma 4 2 2 3 9 2 3" xfId="15430" xr:uid="{6BA80E4D-1B37-4AEF-A02A-821D53EB558C}"/>
    <cellStyle name="Comma 4 2 2 3 9 3" xfId="19653" xr:uid="{A7C18213-5355-4124-BD76-0F266CB89D40}"/>
    <cellStyle name="Comma 4 2 2 3 9 4" xfId="11212" xr:uid="{D30BD499-77D5-45CE-9548-56E09218F6B6}"/>
    <cellStyle name="Comma 4 2 2 4" xfId="134" xr:uid="{00000000-0005-0000-0000-00002A080000}"/>
    <cellStyle name="Comma 4 2 2 4 10" xfId="17272" xr:uid="{2D389AB6-A23B-44B3-987F-41F56105C14A}"/>
    <cellStyle name="Comma 4 2 2 4 11" xfId="8831" xr:uid="{773D6A13-92A1-479D-BC0C-BC34EFE9DA6D}"/>
    <cellStyle name="Comma 4 2 2 4 2" xfId="672" xr:uid="{00000000-0005-0000-0000-00002B080000}"/>
    <cellStyle name="Comma 4 2 2 4 2 2" xfId="2943" xr:uid="{00000000-0005-0000-0000-00002C080000}"/>
    <cellStyle name="Comma 4 2 2 4 2 2 2" xfId="7166" xr:uid="{00000000-0005-0000-0000-00002D080000}"/>
    <cellStyle name="Comma 4 2 2 4 2 2 2 2" xfId="24049" xr:uid="{EE7302BE-6E15-40F0-9BB7-8AE5A71A9093}"/>
    <cellStyle name="Comma 4 2 2 4 2 2 2 3" xfId="15608" xr:uid="{AA97F56C-1AE9-4E39-A033-BA42657A2335}"/>
    <cellStyle name="Comma 4 2 2 4 2 2 3" xfId="19831" xr:uid="{D90D4EF2-67E2-455B-ACE6-BC1A25D3AEE4}"/>
    <cellStyle name="Comma 4 2 2 4 2 2 4" xfId="11390" xr:uid="{AC6E0918-8EFD-4832-B550-F45A899F7FFA}"/>
    <cellStyle name="Comma 4 2 2 4 2 3" xfId="5021" xr:uid="{00000000-0005-0000-0000-00002E080000}"/>
    <cellStyle name="Comma 4 2 2 4 2 3 2" xfId="21904" xr:uid="{9BE119D8-9EF1-416E-99F4-C8F013158126}"/>
    <cellStyle name="Comma 4 2 2 4 2 3 3" xfId="13463" xr:uid="{E5CB3D94-C837-4691-8A0F-AE487D926B68}"/>
    <cellStyle name="Comma 4 2 2 4 2 4" xfId="17686" xr:uid="{5B8E6442-2163-4D80-A56F-54C5C3C6E1B7}"/>
    <cellStyle name="Comma 4 2 2 4 2 5" xfId="9245" xr:uid="{95F0471B-CD67-4408-9EEB-402B345D1B51}"/>
    <cellStyle name="Comma 4 2 2 4 3" xfId="1125" xr:uid="{00000000-0005-0000-0000-00002F080000}"/>
    <cellStyle name="Comma 4 2 2 4 3 2" xfId="3356" xr:uid="{00000000-0005-0000-0000-000030080000}"/>
    <cellStyle name="Comma 4 2 2 4 3 2 2" xfId="7579" xr:uid="{00000000-0005-0000-0000-000031080000}"/>
    <cellStyle name="Comma 4 2 2 4 3 2 2 2" xfId="24462" xr:uid="{8DF499D0-F9C5-4515-B2A8-0CE711B1B571}"/>
    <cellStyle name="Comma 4 2 2 4 3 2 2 3" xfId="16021" xr:uid="{9C05BE32-16DA-4E31-8695-5BD09C71B64A}"/>
    <cellStyle name="Comma 4 2 2 4 3 2 3" xfId="20244" xr:uid="{68A3A7B9-E674-4960-8BF2-9F3E74E944B7}"/>
    <cellStyle name="Comma 4 2 2 4 3 2 4" xfId="11803" xr:uid="{327A964B-D5EA-4C65-B32E-972F9EBB9C10}"/>
    <cellStyle name="Comma 4 2 2 4 3 3" xfId="5434" xr:uid="{00000000-0005-0000-0000-000032080000}"/>
    <cellStyle name="Comma 4 2 2 4 3 3 2" xfId="22317" xr:uid="{2BCBE2F8-D757-4A91-8922-7A86D2B320F3}"/>
    <cellStyle name="Comma 4 2 2 4 3 3 3" xfId="13876" xr:uid="{8A342AA5-84CA-4220-A4F4-4264EDCF3427}"/>
    <cellStyle name="Comma 4 2 2 4 3 4" xfId="18099" xr:uid="{ADC68168-CEF7-410F-81A0-01AF4CCEDC7B}"/>
    <cellStyle name="Comma 4 2 2 4 3 5" xfId="9658" xr:uid="{C20954F9-E1B7-44C3-851F-BB1FF2CA1619}"/>
    <cellStyle name="Comma 4 2 2 4 4" xfId="1539" xr:uid="{00000000-0005-0000-0000-000033080000}"/>
    <cellStyle name="Comma 4 2 2 4 4 2" xfId="3769" xr:uid="{00000000-0005-0000-0000-000034080000}"/>
    <cellStyle name="Comma 4 2 2 4 4 2 2" xfId="7992" xr:uid="{00000000-0005-0000-0000-000035080000}"/>
    <cellStyle name="Comma 4 2 2 4 4 2 2 2" xfId="24875" xr:uid="{075B5623-6825-428A-944B-5C636011045A}"/>
    <cellStyle name="Comma 4 2 2 4 4 2 2 3" xfId="16434" xr:uid="{0D5B638A-D35F-478A-B2E2-4D4252555925}"/>
    <cellStyle name="Comma 4 2 2 4 4 2 3" xfId="20657" xr:uid="{0CD389D6-81D8-43DA-BE47-8262D77A48BE}"/>
    <cellStyle name="Comma 4 2 2 4 4 2 4" xfId="12216" xr:uid="{D71475E0-A6EF-4D9C-9926-202851D596AD}"/>
    <cellStyle name="Comma 4 2 2 4 4 3" xfId="5847" xr:uid="{00000000-0005-0000-0000-000036080000}"/>
    <cellStyle name="Comma 4 2 2 4 4 3 2" xfId="22730" xr:uid="{D99BA603-2FCD-4D13-8033-BFEC04180F70}"/>
    <cellStyle name="Comma 4 2 2 4 4 3 3" xfId="14289" xr:uid="{D5038B62-E8E3-4791-B417-F1EECAD14B0B}"/>
    <cellStyle name="Comma 4 2 2 4 4 4" xfId="18512" xr:uid="{775E2FBB-8B88-49B7-B8C8-9459BF37C421}"/>
    <cellStyle name="Comma 4 2 2 4 4 5" xfId="10071" xr:uid="{FD781FB9-C168-4E7C-9E8F-AF94214F8489}"/>
    <cellStyle name="Comma 4 2 2 4 5" xfId="1953" xr:uid="{00000000-0005-0000-0000-000037080000}"/>
    <cellStyle name="Comma 4 2 2 4 5 2" xfId="4182" xr:uid="{00000000-0005-0000-0000-000038080000}"/>
    <cellStyle name="Comma 4 2 2 4 5 2 2" xfId="8405" xr:uid="{00000000-0005-0000-0000-000039080000}"/>
    <cellStyle name="Comma 4 2 2 4 5 2 2 2" xfId="25288" xr:uid="{7F96A448-50AF-4510-94BF-152BDDF0192C}"/>
    <cellStyle name="Comma 4 2 2 4 5 2 2 3" xfId="16847" xr:uid="{B9BEE610-73D7-4266-885C-E317CD173185}"/>
    <cellStyle name="Comma 4 2 2 4 5 2 3" xfId="21070" xr:uid="{2D71B099-A8DD-455D-876F-E9901CA78A50}"/>
    <cellStyle name="Comma 4 2 2 4 5 2 4" xfId="12629" xr:uid="{A567F8DD-87F1-4D25-9698-7E274B86B937}"/>
    <cellStyle name="Comma 4 2 2 4 5 3" xfId="6260" xr:uid="{00000000-0005-0000-0000-00003A080000}"/>
    <cellStyle name="Comma 4 2 2 4 5 3 2" xfId="23143" xr:uid="{D9308294-CC7C-44E6-B848-A68C28DC2CDA}"/>
    <cellStyle name="Comma 4 2 2 4 5 3 3" xfId="14702" xr:uid="{593B3F30-A74D-458B-B5F9-D8AD223D49CB}"/>
    <cellStyle name="Comma 4 2 2 4 5 4" xfId="18925" xr:uid="{F28C29AC-414B-40A3-8C47-0F4CE51567B5}"/>
    <cellStyle name="Comma 4 2 2 4 5 5" xfId="10484" xr:uid="{C0376E24-A7E5-40EC-8625-E51874132A51}"/>
    <cellStyle name="Comma 4 2 2 4 6" xfId="2388" xr:uid="{00000000-0005-0000-0000-00003B080000}"/>
    <cellStyle name="Comma 4 2 2 4 6 2" xfId="6673" xr:uid="{00000000-0005-0000-0000-00003C080000}"/>
    <cellStyle name="Comma 4 2 2 4 6 2 2" xfId="23556" xr:uid="{43E9AF21-44E8-467F-B38F-81385874E703}"/>
    <cellStyle name="Comma 4 2 2 4 6 2 3" xfId="15115" xr:uid="{4C9DA5CB-89A7-414C-BC28-C920FB8AE69E}"/>
    <cellStyle name="Comma 4 2 2 4 6 3" xfId="19338" xr:uid="{63929294-6501-4841-B15C-04D8E3E55704}"/>
    <cellStyle name="Comma 4 2 2 4 6 4" xfId="10897" xr:uid="{6E04F0AE-F0EE-4873-AEEA-FA3E43C8FACA}"/>
    <cellStyle name="Comma 4 2 2 4 7" xfId="2375" xr:uid="{00000000-0005-0000-0000-00003D080000}"/>
    <cellStyle name="Comma 4 2 2 4 8" xfId="2766" xr:uid="{00000000-0005-0000-0000-00003E080000}"/>
    <cellStyle name="Comma 4 2 2 4 8 2" xfId="6990" xr:uid="{00000000-0005-0000-0000-00003F080000}"/>
    <cellStyle name="Comma 4 2 2 4 8 2 2" xfId="23873" xr:uid="{A7B97E8E-62C9-4EF2-9AD0-0CB9FCB37233}"/>
    <cellStyle name="Comma 4 2 2 4 8 2 3" xfId="15432" xr:uid="{D773C8D7-67E3-41F0-80B6-FD46372F759C}"/>
    <cellStyle name="Comma 4 2 2 4 8 3" xfId="19655" xr:uid="{39B1F12B-E5F8-4DE7-A447-C6F4784FB30C}"/>
    <cellStyle name="Comma 4 2 2 4 8 4" xfId="11214" xr:uid="{CFCBFE4B-EC62-46A4-975C-106E54985407}"/>
    <cellStyle name="Comma 4 2 2 4 9" xfId="4607" xr:uid="{00000000-0005-0000-0000-000040080000}"/>
    <cellStyle name="Comma 4 2 2 4 9 2" xfId="21490" xr:uid="{CFEAB801-950B-4A20-9802-15B2D006B2D7}"/>
    <cellStyle name="Comma 4 2 2 4 9 3" xfId="13049" xr:uid="{A6C72620-9FC6-4DD8-9822-C60AC1472EFF}"/>
    <cellStyle name="Comma 4 2 2 5" xfId="135" xr:uid="{00000000-0005-0000-0000-000041080000}"/>
    <cellStyle name="Comma 4 2 2 5 10" xfId="17273" xr:uid="{750A1F61-C075-472F-ADF8-66F5D27F5635}"/>
    <cellStyle name="Comma 4 2 2 5 11" xfId="8832" xr:uid="{263B1657-868B-4147-8785-1FACAAA26349}"/>
    <cellStyle name="Comma 4 2 2 5 2" xfId="673" xr:uid="{00000000-0005-0000-0000-000042080000}"/>
    <cellStyle name="Comma 4 2 2 5 2 2" xfId="2944" xr:uid="{00000000-0005-0000-0000-000043080000}"/>
    <cellStyle name="Comma 4 2 2 5 2 2 2" xfId="7167" xr:uid="{00000000-0005-0000-0000-000044080000}"/>
    <cellStyle name="Comma 4 2 2 5 2 2 2 2" xfId="24050" xr:uid="{0E89C943-7F68-4067-8DB3-FD572A485E33}"/>
    <cellStyle name="Comma 4 2 2 5 2 2 2 3" xfId="15609" xr:uid="{EB66AF29-E5C0-4C3A-B986-2C2B7CDF39C6}"/>
    <cellStyle name="Comma 4 2 2 5 2 2 3" xfId="19832" xr:uid="{63732210-26A9-4DB2-9034-4CBC26AD4E5C}"/>
    <cellStyle name="Comma 4 2 2 5 2 2 4" xfId="11391" xr:uid="{6DE8116E-352E-4168-85DA-4EFAB45BFD11}"/>
    <cellStyle name="Comma 4 2 2 5 2 3" xfId="5022" xr:uid="{00000000-0005-0000-0000-000045080000}"/>
    <cellStyle name="Comma 4 2 2 5 2 3 2" xfId="21905" xr:uid="{7FCE764E-8D71-440F-9AC8-D01EDFB22CAD}"/>
    <cellStyle name="Comma 4 2 2 5 2 3 3" xfId="13464" xr:uid="{B47D4A97-2E2A-4123-93C5-291EB607C189}"/>
    <cellStyle name="Comma 4 2 2 5 2 4" xfId="17687" xr:uid="{6CB81CA5-BD3F-40A0-8BFA-01D2EB49F79F}"/>
    <cellStyle name="Comma 4 2 2 5 2 5" xfId="9246" xr:uid="{AC493701-BAB3-409C-A6DD-2D5592AFC1D7}"/>
    <cellStyle name="Comma 4 2 2 5 3" xfId="1126" xr:uid="{00000000-0005-0000-0000-000046080000}"/>
    <cellStyle name="Comma 4 2 2 5 3 2" xfId="3357" xr:uid="{00000000-0005-0000-0000-000047080000}"/>
    <cellStyle name="Comma 4 2 2 5 3 2 2" xfId="7580" xr:uid="{00000000-0005-0000-0000-000048080000}"/>
    <cellStyle name="Comma 4 2 2 5 3 2 2 2" xfId="24463" xr:uid="{D3031E15-FC36-48E4-8269-B354D91424A1}"/>
    <cellStyle name="Comma 4 2 2 5 3 2 2 3" xfId="16022" xr:uid="{BA653B48-8A77-4227-9DC2-519E201DCED2}"/>
    <cellStyle name="Comma 4 2 2 5 3 2 3" xfId="20245" xr:uid="{08CBE4AB-D6B7-4F79-B047-879380B3718F}"/>
    <cellStyle name="Comma 4 2 2 5 3 2 4" xfId="11804" xr:uid="{2BA987BF-188D-43D2-B7DD-4A2D5ACCA306}"/>
    <cellStyle name="Comma 4 2 2 5 3 3" xfId="5435" xr:uid="{00000000-0005-0000-0000-000049080000}"/>
    <cellStyle name="Comma 4 2 2 5 3 3 2" xfId="22318" xr:uid="{96C67A13-D56B-43F5-8A15-AED5234A4F13}"/>
    <cellStyle name="Comma 4 2 2 5 3 3 3" xfId="13877" xr:uid="{28613D9C-B2D3-4C0E-80A2-30AAAC4B747C}"/>
    <cellStyle name="Comma 4 2 2 5 3 4" xfId="18100" xr:uid="{88FE0E70-2B94-4027-A2F4-DC038F31E521}"/>
    <cellStyle name="Comma 4 2 2 5 3 5" xfId="9659" xr:uid="{87CF6FF4-D02A-4844-8BE0-7318C95373BB}"/>
    <cellStyle name="Comma 4 2 2 5 4" xfId="1540" xr:uid="{00000000-0005-0000-0000-00004A080000}"/>
    <cellStyle name="Comma 4 2 2 5 4 2" xfId="3770" xr:uid="{00000000-0005-0000-0000-00004B080000}"/>
    <cellStyle name="Comma 4 2 2 5 4 2 2" xfId="7993" xr:uid="{00000000-0005-0000-0000-00004C080000}"/>
    <cellStyle name="Comma 4 2 2 5 4 2 2 2" xfId="24876" xr:uid="{0531C9A9-16BE-4EC2-A595-14856F08C2DA}"/>
    <cellStyle name="Comma 4 2 2 5 4 2 2 3" xfId="16435" xr:uid="{D023D348-E058-4401-B2F2-7D3320E72EA2}"/>
    <cellStyle name="Comma 4 2 2 5 4 2 3" xfId="20658" xr:uid="{DAF09026-1696-429B-BA9D-8FBAB4DAF9C3}"/>
    <cellStyle name="Comma 4 2 2 5 4 2 4" xfId="12217" xr:uid="{98D1DD26-D134-4766-BCF6-4CA300F3A7EA}"/>
    <cellStyle name="Comma 4 2 2 5 4 3" xfId="5848" xr:uid="{00000000-0005-0000-0000-00004D080000}"/>
    <cellStyle name="Comma 4 2 2 5 4 3 2" xfId="22731" xr:uid="{696A9067-DA60-4868-A37A-6D80338E69BD}"/>
    <cellStyle name="Comma 4 2 2 5 4 3 3" xfId="14290" xr:uid="{6F41DCF4-8106-47B0-A010-FEDAFBB0443B}"/>
    <cellStyle name="Comma 4 2 2 5 4 4" xfId="18513" xr:uid="{6283BD32-7041-4E5C-B504-54C7AA6DD486}"/>
    <cellStyle name="Comma 4 2 2 5 4 5" xfId="10072" xr:uid="{921B48DD-503D-4646-AD10-327A7B047564}"/>
    <cellStyle name="Comma 4 2 2 5 5" xfId="1954" xr:uid="{00000000-0005-0000-0000-00004E080000}"/>
    <cellStyle name="Comma 4 2 2 5 5 2" xfId="4183" xr:uid="{00000000-0005-0000-0000-00004F080000}"/>
    <cellStyle name="Comma 4 2 2 5 5 2 2" xfId="8406" xr:uid="{00000000-0005-0000-0000-000050080000}"/>
    <cellStyle name="Comma 4 2 2 5 5 2 2 2" xfId="25289" xr:uid="{401B2E1C-DF01-497F-BD1C-953BCC70B7FA}"/>
    <cellStyle name="Comma 4 2 2 5 5 2 2 3" xfId="16848" xr:uid="{B76E7034-4613-452B-BAD2-9667C79A36D4}"/>
    <cellStyle name="Comma 4 2 2 5 5 2 3" xfId="21071" xr:uid="{5C62AA29-F99D-47E2-BDBB-426DF5C7B9C2}"/>
    <cellStyle name="Comma 4 2 2 5 5 2 4" xfId="12630" xr:uid="{22CB35EB-708D-4A52-8506-B4A32CA0EA88}"/>
    <cellStyle name="Comma 4 2 2 5 5 3" xfId="6261" xr:uid="{00000000-0005-0000-0000-000051080000}"/>
    <cellStyle name="Comma 4 2 2 5 5 3 2" xfId="23144" xr:uid="{C1843811-4B26-4BBB-9D8A-806745FDB0E0}"/>
    <cellStyle name="Comma 4 2 2 5 5 3 3" xfId="14703" xr:uid="{6CF64E40-B499-4E36-866B-C0DCA77AC3CA}"/>
    <cellStyle name="Comma 4 2 2 5 5 4" xfId="18926" xr:uid="{6F5AB4BE-2132-44AF-B1F4-7E06ADD6381E}"/>
    <cellStyle name="Comma 4 2 2 5 5 5" xfId="10485" xr:uid="{294C27AF-FF02-46D6-92FA-56ECAE4545F0}"/>
    <cellStyle name="Comma 4 2 2 5 6" xfId="2389" xr:uid="{00000000-0005-0000-0000-000052080000}"/>
    <cellStyle name="Comma 4 2 2 5 6 2" xfId="6674" xr:uid="{00000000-0005-0000-0000-000053080000}"/>
    <cellStyle name="Comma 4 2 2 5 6 2 2" xfId="23557" xr:uid="{7264260A-1E40-4E91-AD91-D9EB9BDED24F}"/>
    <cellStyle name="Comma 4 2 2 5 6 2 3" xfId="15116" xr:uid="{8653E9EE-5AB5-490D-8D4C-0A4B824CDD75}"/>
    <cellStyle name="Comma 4 2 2 5 6 3" xfId="19339" xr:uid="{9FCA02F8-37CF-48D7-B06A-819187D91762}"/>
    <cellStyle name="Comma 4 2 2 5 6 4" xfId="10898" xr:uid="{8E05A828-976D-4D49-A406-C218B455F529}"/>
    <cellStyle name="Comma 4 2 2 5 7" xfId="2374" xr:uid="{00000000-0005-0000-0000-000054080000}"/>
    <cellStyle name="Comma 4 2 2 5 8" xfId="2767" xr:uid="{00000000-0005-0000-0000-000055080000}"/>
    <cellStyle name="Comma 4 2 2 5 8 2" xfId="6991" xr:uid="{00000000-0005-0000-0000-000056080000}"/>
    <cellStyle name="Comma 4 2 2 5 8 2 2" xfId="23874" xr:uid="{D2BFCB15-6473-4DF0-9A54-3837AF894E0B}"/>
    <cellStyle name="Comma 4 2 2 5 8 2 3" xfId="15433" xr:uid="{239CFA4F-0A7E-4385-8228-5D2C9AFB502C}"/>
    <cellStyle name="Comma 4 2 2 5 8 3" xfId="19656" xr:uid="{F9F298B6-0106-44EF-86F3-1F8B68346D4F}"/>
    <cellStyle name="Comma 4 2 2 5 8 4" xfId="11215" xr:uid="{A04420E3-382A-46E8-BDC5-68B5BE1270A4}"/>
    <cellStyle name="Comma 4 2 2 5 9" xfId="4608" xr:uid="{00000000-0005-0000-0000-000057080000}"/>
    <cellStyle name="Comma 4 2 2 5 9 2" xfId="21491" xr:uid="{0472E71C-5853-4A49-B804-A47E39631F4F}"/>
    <cellStyle name="Comma 4 2 2 5 9 3" xfId="13050" xr:uid="{A23C7E0C-FDD0-4BEE-9525-D013BFBD8551}"/>
    <cellStyle name="Comma 4 2 3" xfId="136" xr:uid="{00000000-0005-0000-0000-000058080000}"/>
    <cellStyle name="Comma 4 2 3 10" xfId="2768" xr:uid="{00000000-0005-0000-0000-000059080000}"/>
    <cellStyle name="Comma 4 2 3 10 2" xfId="6992" xr:uid="{00000000-0005-0000-0000-00005A080000}"/>
    <cellStyle name="Comma 4 2 3 10 2 2" xfId="23875" xr:uid="{E876A7C8-9378-4DEB-B69A-D2BFDFB408D4}"/>
    <cellStyle name="Comma 4 2 3 10 2 3" xfId="15434" xr:uid="{618D3B87-8F3F-4D9F-AF4A-4F8B1694007A}"/>
    <cellStyle name="Comma 4 2 3 10 3" xfId="19657" xr:uid="{E6B1364B-2E04-4ADF-B2FF-C6E1B05DAE28}"/>
    <cellStyle name="Comma 4 2 3 10 4" xfId="11216" xr:uid="{628553F3-D568-409B-A137-0E2D4CD2FDB9}"/>
    <cellStyle name="Comma 4 2 3 11" xfId="4609" xr:uid="{00000000-0005-0000-0000-00005B080000}"/>
    <cellStyle name="Comma 4 2 3 11 2" xfId="21492" xr:uid="{0C49DA28-66CC-4F72-B913-31ABD1EF4936}"/>
    <cellStyle name="Comma 4 2 3 11 3" xfId="13051" xr:uid="{DF26277B-1B76-470D-A7F9-D18A8E7E7B64}"/>
    <cellStyle name="Comma 4 2 3 12" xfId="17274" xr:uid="{2AE074C8-95AD-440B-8FC0-17762BFD75CA}"/>
    <cellStyle name="Comma 4 2 3 13" xfId="8833" xr:uid="{5A782B26-CB7A-42A1-BB7E-251DC0F19485}"/>
    <cellStyle name="Comma 4 2 3 2" xfId="137" xr:uid="{00000000-0005-0000-0000-00005C080000}"/>
    <cellStyle name="Comma 4 2 3 2 10" xfId="4610" xr:uid="{00000000-0005-0000-0000-00005D080000}"/>
    <cellStyle name="Comma 4 2 3 2 10 2" xfId="21493" xr:uid="{4DB8DDBE-AA78-41CD-B7FA-5BC68E04F7F1}"/>
    <cellStyle name="Comma 4 2 3 2 10 3" xfId="13052" xr:uid="{4BC79CEF-5E06-4556-B50F-9163742A1352}"/>
    <cellStyle name="Comma 4 2 3 2 11" xfId="17275" xr:uid="{6D54C516-A1FE-42B6-943E-362FBFA65BA5}"/>
    <cellStyle name="Comma 4 2 3 2 12" xfId="8834" xr:uid="{38C4BBF9-F725-4ACB-837B-5FAAD33FA68A}"/>
    <cellStyle name="Comma 4 2 3 2 2" xfId="138" xr:uid="{00000000-0005-0000-0000-00005E080000}"/>
    <cellStyle name="Comma 4 2 3 2 2 10" xfId="17276" xr:uid="{0B4D638B-3BF3-42C1-B6BD-204E8148C119}"/>
    <cellStyle name="Comma 4 2 3 2 2 11" xfId="8835" xr:uid="{69586917-44A6-476B-BA7B-F7A2C0F08925}"/>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24053" xr:uid="{7D5BFE3D-5B3A-4AF5-B4CE-62EEBAD1F8A2}"/>
    <cellStyle name="Comma 4 2 3 2 2 2 2 2 3" xfId="15612" xr:uid="{4B6B9A6A-3701-4303-8BF6-305D108451EF}"/>
    <cellStyle name="Comma 4 2 3 2 2 2 2 3" xfId="19835" xr:uid="{4B0F385A-A344-4EAF-9404-5E3AD59292D2}"/>
    <cellStyle name="Comma 4 2 3 2 2 2 2 4" xfId="11394" xr:uid="{BBD7B143-3017-4B4C-B5F4-EDA905362D73}"/>
    <cellStyle name="Comma 4 2 3 2 2 2 3" xfId="5025" xr:uid="{00000000-0005-0000-0000-000062080000}"/>
    <cellStyle name="Comma 4 2 3 2 2 2 3 2" xfId="21908" xr:uid="{B50FD926-B7A4-4F89-95B9-865BBF3CBFB4}"/>
    <cellStyle name="Comma 4 2 3 2 2 2 3 3" xfId="13467" xr:uid="{01026BE1-B92F-4C25-A3CD-79E1F5628652}"/>
    <cellStyle name="Comma 4 2 3 2 2 2 4" xfId="17690" xr:uid="{DD47B553-20F2-43C6-933D-90EAFB7E78A1}"/>
    <cellStyle name="Comma 4 2 3 2 2 2 5" xfId="9249" xr:uid="{6A6C6818-12CA-43E4-A90F-893824376024}"/>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24466" xr:uid="{17E4CEF6-5CA1-4043-9895-44FE685AF02B}"/>
    <cellStyle name="Comma 4 2 3 2 2 3 2 2 3" xfId="16025" xr:uid="{F810C6C2-BB4C-4B06-8830-0EB1432097E6}"/>
    <cellStyle name="Comma 4 2 3 2 2 3 2 3" xfId="20248" xr:uid="{829F1FB8-2404-4FB7-BA98-CAD25501F53D}"/>
    <cellStyle name="Comma 4 2 3 2 2 3 2 4" xfId="11807" xr:uid="{EA646354-8F54-4FD9-A384-04A65E1B60D0}"/>
    <cellStyle name="Comma 4 2 3 2 2 3 3" xfId="5438" xr:uid="{00000000-0005-0000-0000-000066080000}"/>
    <cellStyle name="Comma 4 2 3 2 2 3 3 2" xfId="22321" xr:uid="{92C0CF8A-DC0E-48BE-9529-25C0D7FECF1F}"/>
    <cellStyle name="Comma 4 2 3 2 2 3 3 3" xfId="13880" xr:uid="{302A63A9-D7C9-4011-89C3-18330AC0CD37}"/>
    <cellStyle name="Comma 4 2 3 2 2 3 4" xfId="18103" xr:uid="{28F3B735-9ED7-441D-AC3F-A5A3D8304265}"/>
    <cellStyle name="Comma 4 2 3 2 2 3 5" xfId="9662" xr:uid="{03AA1CA3-74AF-47AF-90E6-C0ECD2B328B3}"/>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24879" xr:uid="{2FE7D6EA-54F0-49A4-AEA3-2FC3CE835D98}"/>
    <cellStyle name="Comma 4 2 3 2 2 4 2 2 3" xfId="16438" xr:uid="{03AA5A18-9516-4126-9C4B-12CC5C4DAE01}"/>
    <cellStyle name="Comma 4 2 3 2 2 4 2 3" xfId="20661" xr:uid="{668205FF-2625-4AA7-AB5A-DDEE46C1F225}"/>
    <cellStyle name="Comma 4 2 3 2 2 4 2 4" xfId="12220" xr:uid="{969CF2A3-97B8-4ED2-ACAF-0CB7C56741CD}"/>
    <cellStyle name="Comma 4 2 3 2 2 4 3" xfId="5851" xr:uid="{00000000-0005-0000-0000-00006A080000}"/>
    <cellStyle name="Comma 4 2 3 2 2 4 3 2" xfId="22734" xr:uid="{6076C9D6-B4F6-4F57-954C-1B293287E699}"/>
    <cellStyle name="Comma 4 2 3 2 2 4 3 3" xfId="14293" xr:uid="{031BAF35-3C39-4F1B-9234-93DB8C614DB6}"/>
    <cellStyle name="Comma 4 2 3 2 2 4 4" xfId="18516" xr:uid="{5FCA60A9-0F5B-4357-819F-55F3BB678094}"/>
    <cellStyle name="Comma 4 2 3 2 2 4 5" xfId="10075" xr:uid="{09C33AB6-01CE-4062-BD9D-DC2E12D97E9C}"/>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25292" xr:uid="{5C46B5DD-1E9A-48BC-926F-7488B6633059}"/>
    <cellStyle name="Comma 4 2 3 2 2 5 2 2 3" xfId="16851" xr:uid="{4FAE0886-EFF5-48E9-A3D9-3CCEF0F62DF3}"/>
    <cellStyle name="Comma 4 2 3 2 2 5 2 3" xfId="21074" xr:uid="{3B579DE6-BCD2-4F55-B516-2A8249B86F50}"/>
    <cellStyle name="Comma 4 2 3 2 2 5 2 4" xfId="12633" xr:uid="{F7C6D177-525A-49EB-AC02-594C148BEC72}"/>
    <cellStyle name="Comma 4 2 3 2 2 5 3" xfId="6264" xr:uid="{00000000-0005-0000-0000-00006E080000}"/>
    <cellStyle name="Comma 4 2 3 2 2 5 3 2" xfId="23147" xr:uid="{63786742-D199-4B8D-86E0-3EC9BD25A77B}"/>
    <cellStyle name="Comma 4 2 3 2 2 5 3 3" xfId="14706" xr:uid="{473D72A9-60AC-46CA-A040-17B0C41E0490}"/>
    <cellStyle name="Comma 4 2 3 2 2 5 4" xfId="18929" xr:uid="{F59D3709-E140-4A8B-987B-C7DADD0D5262}"/>
    <cellStyle name="Comma 4 2 3 2 2 5 5" xfId="10488" xr:uid="{C2F0ACB1-93B2-4AAC-B95B-530F69B0EAC6}"/>
    <cellStyle name="Comma 4 2 3 2 2 6" xfId="2392" xr:uid="{00000000-0005-0000-0000-00006F080000}"/>
    <cellStyle name="Comma 4 2 3 2 2 6 2" xfId="6677" xr:uid="{00000000-0005-0000-0000-000070080000}"/>
    <cellStyle name="Comma 4 2 3 2 2 6 2 2" xfId="23560" xr:uid="{73755B00-0726-4C5C-BCDD-5B777D904B2C}"/>
    <cellStyle name="Comma 4 2 3 2 2 6 2 3" xfId="15119" xr:uid="{A93F32D8-632C-4FE2-B506-B1A2DA16C996}"/>
    <cellStyle name="Comma 4 2 3 2 2 6 3" xfId="19342" xr:uid="{23BFA3D2-E545-4BAA-B407-76AB511B6714}"/>
    <cellStyle name="Comma 4 2 3 2 2 6 4" xfId="10901" xr:uid="{F10277F8-A835-406B-8B13-5DC2ECC57E20}"/>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23877" xr:uid="{AA449399-F8ED-4366-BDFB-C7F40DAAA7C0}"/>
    <cellStyle name="Comma 4 2 3 2 2 8 2 3" xfId="15436" xr:uid="{9919B41D-A6BE-4D26-92F5-C1FE23FD6723}"/>
    <cellStyle name="Comma 4 2 3 2 2 8 3" xfId="19659" xr:uid="{437ED85C-DC8E-44EA-A8FA-E3B011C086B3}"/>
    <cellStyle name="Comma 4 2 3 2 2 8 4" xfId="11218" xr:uid="{62700EC7-D8A0-4028-AB42-B00AE71404A5}"/>
    <cellStyle name="Comma 4 2 3 2 2 9" xfId="4611" xr:uid="{00000000-0005-0000-0000-000074080000}"/>
    <cellStyle name="Comma 4 2 3 2 2 9 2" xfId="21494" xr:uid="{E64FC165-D9CD-46AF-A47E-BDDB0DC6A0F1}"/>
    <cellStyle name="Comma 4 2 3 2 2 9 3" xfId="13053" xr:uid="{E86BF72D-F280-465D-921B-1FBF99F9BB62}"/>
    <cellStyle name="Comma 4 2 3 2 3" xfId="675" xr:uid="{00000000-0005-0000-0000-000075080000}"/>
    <cellStyle name="Comma 4 2 3 2 3 2" xfId="2946" xr:uid="{00000000-0005-0000-0000-000076080000}"/>
    <cellStyle name="Comma 4 2 3 2 3 2 2" xfId="7169" xr:uid="{00000000-0005-0000-0000-000077080000}"/>
    <cellStyle name="Comma 4 2 3 2 3 2 2 2" xfId="24052" xr:uid="{E2332F7F-10BB-489A-B7B6-E21F2EA83078}"/>
    <cellStyle name="Comma 4 2 3 2 3 2 2 3" xfId="15611" xr:uid="{86D4F050-FC54-4531-AC90-E508E06C7046}"/>
    <cellStyle name="Comma 4 2 3 2 3 2 3" xfId="19834" xr:uid="{9ECE5D17-654B-45F1-A6CE-FBC374B37321}"/>
    <cellStyle name="Comma 4 2 3 2 3 2 4" xfId="11393" xr:uid="{F8311B20-7EF7-448D-AF3F-1995336CD2C4}"/>
    <cellStyle name="Comma 4 2 3 2 3 3" xfId="5024" xr:uid="{00000000-0005-0000-0000-000078080000}"/>
    <cellStyle name="Comma 4 2 3 2 3 3 2" xfId="21907" xr:uid="{FF812FBD-F01A-4A67-A0AF-ECFEAEB0C590}"/>
    <cellStyle name="Comma 4 2 3 2 3 3 3" xfId="13466" xr:uid="{D08B1664-8883-4A90-B649-8E79126F9D17}"/>
    <cellStyle name="Comma 4 2 3 2 3 4" xfId="17689" xr:uid="{A718E761-0B44-4060-86B7-10BB962483E3}"/>
    <cellStyle name="Comma 4 2 3 2 3 5" xfId="9248" xr:uid="{930B3E3F-F713-42C2-9A27-1F2DFF01D999}"/>
    <cellStyle name="Comma 4 2 3 2 4" xfId="1128" xr:uid="{00000000-0005-0000-0000-000079080000}"/>
    <cellStyle name="Comma 4 2 3 2 4 2" xfId="3359" xr:uid="{00000000-0005-0000-0000-00007A080000}"/>
    <cellStyle name="Comma 4 2 3 2 4 2 2" xfId="7582" xr:uid="{00000000-0005-0000-0000-00007B080000}"/>
    <cellStyle name="Comma 4 2 3 2 4 2 2 2" xfId="24465" xr:uid="{0F4FA64F-DD13-427B-B40F-D33370C666A3}"/>
    <cellStyle name="Comma 4 2 3 2 4 2 2 3" xfId="16024" xr:uid="{D681727A-9E6F-4E3D-B738-72248EC53986}"/>
    <cellStyle name="Comma 4 2 3 2 4 2 3" xfId="20247" xr:uid="{FB0A9AE7-B035-45AC-94CE-E3E60BF347FA}"/>
    <cellStyle name="Comma 4 2 3 2 4 2 4" xfId="11806" xr:uid="{7D018796-0AD8-4315-AFF1-4D7DEC8091CB}"/>
    <cellStyle name="Comma 4 2 3 2 4 3" xfId="5437" xr:uid="{00000000-0005-0000-0000-00007C080000}"/>
    <cellStyle name="Comma 4 2 3 2 4 3 2" xfId="22320" xr:uid="{BE84BCE0-DFBB-4A25-9E19-95593C83D43D}"/>
    <cellStyle name="Comma 4 2 3 2 4 3 3" xfId="13879" xr:uid="{E0AFF850-6395-48BA-9636-73C516E67E99}"/>
    <cellStyle name="Comma 4 2 3 2 4 4" xfId="18102" xr:uid="{DC3B6A7F-A6D1-4EEB-851A-DC61EDCAAFF3}"/>
    <cellStyle name="Comma 4 2 3 2 4 5" xfId="9661" xr:uid="{46ACB899-562B-467A-847E-44640D8FAC57}"/>
    <cellStyle name="Comma 4 2 3 2 5" xfId="1542" xr:uid="{00000000-0005-0000-0000-00007D080000}"/>
    <cellStyle name="Comma 4 2 3 2 5 2" xfId="3772" xr:uid="{00000000-0005-0000-0000-00007E080000}"/>
    <cellStyle name="Comma 4 2 3 2 5 2 2" xfId="7995" xr:uid="{00000000-0005-0000-0000-00007F080000}"/>
    <cellStyle name="Comma 4 2 3 2 5 2 2 2" xfId="24878" xr:uid="{5F3579BD-5562-4FCA-8E58-AD40362F18E1}"/>
    <cellStyle name="Comma 4 2 3 2 5 2 2 3" xfId="16437" xr:uid="{550C460F-7F5B-437F-9A9D-D85CC0059DDA}"/>
    <cellStyle name="Comma 4 2 3 2 5 2 3" xfId="20660" xr:uid="{F0C8F89A-12B0-410D-93D0-E058FEE562B5}"/>
    <cellStyle name="Comma 4 2 3 2 5 2 4" xfId="12219" xr:uid="{2247F5C1-AA61-42E5-BB54-709A0FB1DC09}"/>
    <cellStyle name="Comma 4 2 3 2 5 3" xfId="5850" xr:uid="{00000000-0005-0000-0000-000080080000}"/>
    <cellStyle name="Comma 4 2 3 2 5 3 2" xfId="22733" xr:uid="{C707C989-9EF2-4835-8C1C-8E8DFE93F9BB}"/>
    <cellStyle name="Comma 4 2 3 2 5 3 3" xfId="14292" xr:uid="{0361221E-5674-460A-9E91-2D1BFA722F1A}"/>
    <cellStyle name="Comma 4 2 3 2 5 4" xfId="18515" xr:uid="{9A1AD5B7-4715-4EAC-A027-968D93A5213D}"/>
    <cellStyle name="Comma 4 2 3 2 5 5" xfId="10074" xr:uid="{559BF91F-5CF3-4101-9504-01F65DCACB34}"/>
    <cellStyle name="Comma 4 2 3 2 6" xfId="1956" xr:uid="{00000000-0005-0000-0000-000081080000}"/>
    <cellStyle name="Comma 4 2 3 2 6 2" xfId="4185" xr:uid="{00000000-0005-0000-0000-000082080000}"/>
    <cellStyle name="Comma 4 2 3 2 6 2 2" xfId="8408" xr:uid="{00000000-0005-0000-0000-000083080000}"/>
    <cellStyle name="Comma 4 2 3 2 6 2 2 2" xfId="25291" xr:uid="{2732CE7E-57EA-4E22-8927-68216DFEE7B6}"/>
    <cellStyle name="Comma 4 2 3 2 6 2 2 3" xfId="16850" xr:uid="{E7775600-2086-4451-882C-D45C50B59DD2}"/>
    <cellStyle name="Comma 4 2 3 2 6 2 3" xfId="21073" xr:uid="{DF6D4507-E2D1-4D9E-A17D-FBC4EF799D33}"/>
    <cellStyle name="Comma 4 2 3 2 6 2 4" xfId="12632" xr:uid="{DEB9EE4B-D40D-4ACB-9562-B49EB697B170}"/>
    <cellStyle name="Comma 4 2 3 2 6 3" xfId="6263" xr:uid="{00000000-0005-0000-0000-000084080000}"/>
    <cellStyle name="Comma 4 2 3 2 6 3 2" xfId="23146" xr:uid="{5015A97F-EB24-4B0B-9C8D-3FB60C6B947C}"/>
    <cellStyle name="Comma 4 2 3 2 6 3 3" xfId="14705" xr:uid="{B7CBB69C-2550-4065-B6F3-A4321888C4F5}"/>
    <cellStyle name="Comma 4 2 3 2 6 4" xfId="18928" xr:uid="{AFE9460A-226E-4BF1-B8FC-3AD0F324E089}"/>
    <cellStyle name="Comma 4 2 3 2 6 5" xfId="10487" xr:uid="{71A6AF45-5D69-494B-A3AC-A77B10BE26F6}"/>
    <cellStyle name="Comma 4 2 3 2 7" xfId="2391" xr:uid="{00000000-0005-0000-0000-000085080000}"/>
    <cellStyle name="Comma 4 2 3 2 7 2" xfId="6676" xr:uid="{00000000-0005-0000-0000-000086080000}"/>
    <cellStyle name="Comma 4 2 3 2 7 2 2" xfId="23559" xr:uid="{F436746F-F84F-42C5-B55B-750F5D1215D7}"/>
    <cellStyle name="Comma 4 2 3 2 7 2 3" xfId="15118" xr:uid="{423BC5A9-82CC-4138-B57A-5D600AFEE3D7}"/>
    <cellStyle name="Comma 4 2 3 2 7 3" xfId="19341" xr:uid="{62D12D38-CEE1-4363-B09E-1CD5BCB0992C}"/>
    <cellStyle name="Comma 4 2 3 2 7 4" xfId="10900" xr:uid="{26A7D8AB-E20F-46CB-9521-BECDB5637263}"/>
    <cellStyle name="Comma 4 2 3 2 8" xfId="2372" xr:uid="{00000000-0005-0000-0000-000087080000}"/>
    <cellStyle name="Comma 4 2 3 2 9" xfId="2769" xr:uid="{00000000-0005-0000-0000-000088080000}"/>
    <cellStyle name="Comma 4 2 3 2 9 2" xfId="6993" xr:uid="{00000000-0005-0000-0000-000089080000}"/>
    <cellStyle name="Comma 4 2 3 2 9 2 2" xfId="23876" xr:uid="{060FA912-1F0D-4190-B2B2-8A77D95D9640}"/>
    <cellStyle name="Comma 4 2 3 2 9 2 3" xfId="15435" xr:uid="{9B13E0A9-46D5-4B2F-B045-C526FF039829}"/>
    <cellStyle name="Comma 4 2 3 2 9 3" xfId="19658" xr:uid="{5008693C-B8E8-4D05-B6D7-6C1B951F066D}"/>
    <cellStyle name="Comma 4 2 3 2 9 4" xfId="11217" xr:uid="{B52A4194-9A1D-4F86-A115-EAB1BA763726}"/>
    <cellStyle name="Comma 4 2 3 3" xfId="139" xr:uid="{00000000-0005-0000-0000-00008A080000}"/>
    <cellStyle name="Comma 4 2 3 3 10" xfId="17277" xr:uid="{19C7D152-A408-4D48-9C45-A492207DBF31}"/>
    <cellStyle name="Comma 4 2 3 3 11" xfId="8836" xr:uid="{50A12F6E-F38A-477B-A4CB-C6FC9AF98D03}"/>
    <cellStyle name="Comma 4 2 3 3 2" xfId="677" xr:uid="{00000000-0005-0000-0000-00008B080000}"/>
    <cellStyle name="Comma 4 2 3 3 2 2" xfId="2948" xr:uid="{00000000-0005-0000-0000-00008C080000}"/>
    <cellStyle name="Comma 4 2 3 3 2 2 2" xfId="7171" xr:uid="{00000000-0005-0000-0000-00008D080000}"/>
    <cellStyle name="Comma 4 2 3 3 2 2 2 2" xfId="24054" xr:uid="{7B012213-852B-462A-AA50-C20E121BC9D8}"/>
    <cellStyle name="Comma 4 2 3 3 2 2 2 3" xfId="15613" xr:uid="{F7F9EA22-7C32-440C-B1DA-F561611E0A01}"/>
    <cellStyle name="Comma 4 2 3 3 2 2 3" xfId="19836" xr:uid="{839503E0-FBD9-4431-AA3D-A126ABEE8329}"/>
    <cellStyle name="Comma 4 2 3 3 2 2 4" xfId="11395" xr:uid="{F3B70B22-A358-4175-9D87-89BA28F36EC5}"/>
    <cellStyle name="Comma 4 2 3 3 2 3" xfId="5026" xr:uid="{00000000-0005-0000-0000-00008E080000}"/>
    <cellStyle name="Comma 4 2 3 3 2 3 2" xfId="21909" xr:uid="{75D44CA5-DF15-4E38-970A-44F3E3849A9A}"/>
    <cellStyle name="Comma 4 2 3 3 2 3 3" xfId="13468" xr:uid="{5D84D74E-2C96-4A0B-A43E-070C287FA3E5}"/>
    <cellStyle name="Comma 4 2 3 3 2 4" xfId="17691" xr:uid="{B41CD5E3-008E-478A-88A9-AB72DD3C791B}"/>
    <cellStyle name="Comma 4 2 3 3 2 5" xfId="9250" xr:uid="{534A785A-D688-45CB-8B23-405A40503301}"/>
    <cellStyle name="Comma 4 2 3 3 3" xfId="1130" xr:uid="{00000000-0005-0000-0000-00008F080000}"/>
    <cellStyle name="Comma 4 2 3 3 3 2" xfId="3361" xr:uid="{00000000-0005-0000-0000-000090080000}"/>
    <cellStyle name="Comma 4 2 3 3 3 2 2" xfId="7584" xr:uid="{00000000-0005-0000-0000-000091080000}"/>
    <cellStyle name="Comma 4 2 3 3 3 2 2 2" xfId="24467" xr:uid="{9D1F3368-0414-4406-9C41-FB45313E83B0}"/>
    <cellStyle name="Comma 4 2 3 3 3 2 2 3" xfId="16026" xr:uid="{7B7596E7-22C9-4CC0-AFCD-F11710E6B42C}"/>
    <cellStyle name="Comma 4 2 3 3 3 2 3" xfId="20249" xr:uid="{4032CFF1-62E6-471C-9D16-865E1BCDBB81}"/>
    <cellStyle name="Comma 4 2 3 3 3 2 4" xfId="11808" xr:uid="{F9F42574-F7B4-48EE-AAB9-CC7A2163FE88}"/>
    <cellStyle name="Comma 4 2 3 3 3 3" xfId="5439" xr:uid="{00000000-0005-0000-0000-000092080000}"/>
    <cellStyle name="Comma 4 2 3 3 3 3 2" xfId="22322" xr:uid="{D565F744-1A24-4168-8CFD-8427270407EC}"/>
    <cellStyle name="Comma 4 2 3 3 3 3 3" xfId="13881" xr:uid="{D8520B1A-A8D3-4AEB-B2B7-0B25845BD35F}"/>
    <cellStyle name="Comma 4 2 3 3 3 4" xfId="18104" xr:uid="{711C598B-87BA-439F-B7AD-89133A36AC1D}"/>
    <cellStyle name="Comma 4 2 3 3 3 5" xfId="9663" xr:uid="{E480E681-6EDC-4AA8-9D40-E8FB05681BAF}"/>
    <cellStyle name="Comma 4 2 3 3 4" xfId="1544" xr:uid="{00000000-0005-0000-0000-000093080000}"/>
    <cellStyle name="Comma 4 2 3 3 4 2" xfId="3774" xr:uid="{00000000-0005-0000-0000-000094080000}"/>
    <cellStyle name="Comma 4 2 3 3 4 2 2" xfId="7997" xr:uid="{00000000-0005-0000-0000-000095080000}"/>
    <cellStyle name="Comma 4 2 3 3 4 2 2 2" xfId="24880" xr:uid="{DF50C45F-7BA6-493F-9164-FACE88E3CD74}"/>
    <cellStyle name="Comma 4 2 3 3 4 2 2 3" xfId="16439" xr:uid="{D4197F4F-4747-410A-91FB-888FD05C5EBF}"/>
    <cellStyle name="Comma 4 2 3 3 4 2 3" xfId="20662" xr:uid="{07FFA38B-F9E5-453A-9CB4-CEA7B6D403BF}"/>
    <cellStyle name="Comma 4 2 3 3 4 2 4" xfId="12221" xr:uid="{6103A8CF-75F5-4736-94B0-81354572A46E}"/>
    <cellStyle name="Comma 4 2 3 3 4 3" xfId="5852" xr:uid="{00000000-0005-0000-0000-000096080000}"/>
    <cellStyle name="Comma 4 2 3 3 4 3 2" xfId="22735" xr:uid="{5232DBA3-D4EE-4F60-8400-46B6E8A7F62E}"/>
    <cellStyle name="Comma 4 2 3 3 4 3 3" xfId="14294" xr:uid="{CBD82BE2-5E39-4F74-8AD8-4E4A93C31EC2}"/>
    <cellStyle name="Comma 4 2 3 3 4 4" xfId="18517" xr:uid="{5E4AD88F-EE3A-4125-B981-EB8A71F4C218}"/>
    <cellStyle name="Comma 4 2 3 3 4 5" xfId="10076" xr:uid="{993732DA-0C79-437B-A9F6-7660F3171B9D}"/>
    <cellStyle name="Comma 4 2 3 3 5" xfId="1958" xr:uid="{00000000-0005-0000-0000-000097080000}"/>
    <cellStyle name="Comma 4 2 3 3 5 2" xfId="4187" xr:uid="{00000000-0005-0000-0000-000098080000}"/>
    <cellStyle name="Comma 4 2 3 3 5 2 2" xfId="8410" xr:uid="{00000000-0005-0000-0000-000099080000}"/>
    <cellStyle name="Comma 4 2 3 3 5 2 2 2" xfId="25293" xr:uid="{3657E7F1-60F0-4AF8-AEE9-F8DD5D97676A}"/>
    <cellStyle name="Comma 4 2 3 3 5 2 2 3" xfId="16852" xr:uid="{7D6A0AC3-CB1B-4F1E-A7ED-7E73EAC404AD}"/>
    <cellStyle name="Comma 4 2 3 3 5 2 3" xfId="21075" xr:uid="{AFD07B26-ACC6-4D97-A8BF-2FAC05E1C819}"/>
    <cellStyle name="Comma 4 2 3 3 5 2 4" xfId="12634" xr:uid="{9E1B4025-A478-49B5-A2C6-D81B7B7B8CF0}"/>
    <cellStyle name="Comma 4 2 3 3 5 3" xfId="6265" xr:uid="{00000000-0005-0000-0000-00009A080000}"/>
    <cellStyle name="Comma 4 2 3 3 5 3 2" xfId="23148" xr:uid="{D725C1C3-63DC-422B-A04F-76FF4636A1D7}"/>
    <cellStyle name="Comma 4 2 3 3 5 3 3" xfId="14707" xr:uid="{7D9E778C-5D99-44CF-99CF-32B147231B09}"/>
    <cellStyle name="Comma 4 2 3 3 5 4" xfId="18930" xr:uid="{0D8F7902-7B67-4963-B47A-5C3CA5D88FAC}"/>
    <cellStyle name="Comma 4 2 3 3 5 5" xfId="10489" xr:uid="{F660E878-CEFD-47EC-A902-1AAD3B101636}"/>
    <cellStyle name="Comma 4 2 3 3 6" xfId="2393" xr:uid="{00000000-0005-0000-0000-00009B080000}"/>
    <cellStyle name="Comma 4 2 3 3 6 2" xfId="6678" xr:uid="{00000000-0005-0000-0000-00009C080000}"/>
    <cellStyle name="Comma 4 2 3 3 6 2 2" xfId="23561" xr:uid="{60302DE7-1BC7-4531-A386-09D5F80F97D2}"/>
    <cellStyle name="Comma 4 2 3 3 6 2 3" xfId="15120" xr:uid="{BC395929-A917-4DEB-830E-3CAADDC10F7D}"/>
    <cellStyle name="Comma 4 2 3 3 6 3" xfId="19343" xr:uid="{1E2D9C5B-5A03-44C8-BB8F-71140FC7CB70}"/>
    <cellStyle name="Comma 4 2 3 3 6 4" xfId="10902" xr:uid="{2BC86043-8015-4593-A7C9-D38FED022D66}"/>
    <cellStyle name="Comma 4 2 3 3 7" xfId="2370" xr:uid="{00000000-0005-0000-0000-00009D080000}"/>
    <cellStyle name="Comma 4 2 3 3 8" xfId="2771" xr:uid="{00000000-0005-0000-0000-00009E080000}"/>
    <cellStyle name="Comma 4 2 3 3 8 2" xfId="6995" xr:uid="{00000000-0005-0000-0000-00009F080000}"/>
    <cellStyle name="Comma 4 2 3 3 8 2 2" xfId="23878" xr:uid="{D35D9833-C6DA-41BB-B471-470325ED02E6}"/>
    <cellStyle name="Comma 4 2 3 3 8 2 3" xfId="15437" xr:uid="{C661C505-CFDD-41BB-82F6-4B9C4357314A}"/>
    <cellStyle name="Comma 4 2 3 3 8 3" xfId="19660" xr:uid="{0B3A18E7-152D-4153-B5BF-C6B733BD56AF}"/>
    <cellStyle name="Comma 4 2 3 3 8 4" xfId="11219" xr:uid="{BF2E748E-21EB-421A-8F48-58FB4AA436EA}"/>
    <cellStyle name="Comma 4 2 3 3 9" xfId="4612" xr:uid="{00000000-0005-0000-0000-0000A0080000}"/>
    <cellStyle name="Comma 4 2 3 3 9 2" xfId="21495" xr:uid="{209CD6B0-1309-477F-B8D1-2E75BEB3F144}"/>
    <cellStyle name="Comma 4 2 3 3 9 3" xfId="13054" xr:uid="{83ADDAE3-FE2A-48DE-86B3-BE315C411314}"/>
    <cellStyle name="Comma 4 2 3 4" xfId="674" xr:uid="{00000000-0005-0000-0000-0000A1080000}"/>
    <cellStyle name="Comma 4 2 3 4 2" xfId="2945" xr:uid="{00000000-0005-0000-0000-0000A2080000}"/>
    <cellStyle name="Comma 4 2 3 4 2 2" xfId="7168" xr:uid="{00000000-0005-0000-0000-0000A3080000}"/>
    <cellStyle name="Comma 4 2 3 4 2 2 2" xfId="24051" xr:uid="{D19DE00D-DF97-4A9B-9A01-AAB39980FA3E}"/>
    <cellStyle name="Comma 4 2 3 4 2 2 3" xfId="15610" xr:uid="{D59DBB1D-EADD-4313-8084-E61C13A559E7}"/>
    <cellStyle name="Comma 4 2 3 4 2 3" xfId="19833" xr:uid="{44FD22CF-3D30-4F8D-AF79-A8A51D14647A}"/>
    <cellStyle name="Comma 4 2 3 4 2 4" xfId="11392" xr:uid="{D6173BA2-C0FB-4773-83B9-95211BB88FA5}"/>
    <cellStyle name="Comma 4 2 3 4 3" xfId="5023" xr:uid="{00000000-0005-0000-0000-0000A4080000}"/>
    <cellStyle name="Comma 4 2 3 4 3 2" xfId="21906" xr:uid="{0EACDE27-F68E-4D1F-8646-39ECF4CAB663}"/>
    <cellStyle name="Comma 4 2 3 4 3 3" xfId="13465" xr:uid="{F8FEBCDC-BFD7-4F91-A45A-439F72FDB4CA}"/>
    <cellStyle name="Comma 4 2 3 4 4" xfId="17688" xr:uid="{15BE7CB6-32E9-48FF-B8DC-5A823788999C}"/>
    <cellStyle name="Comma 4 2 3 4 5" xfId="9247" xr:uid="{5CF39E2D-3A9E-44EB-83F4-DB9A8E199E61}"/>
    <cellStyle name="Comma 4 2 3 5" xfId="1127" xr:uid="{00000000-0005-0000-0000-0000A5080000}"/>
    <cellStyle name="Comma 4 2 3 5 2" xfId="3358" xr:uid="{00000000-0005-0000-0000-0000A6080000}"/>
    <cellStyle name="Comma 4 2 3 5 2 2" xfId="7581" xr:uid="{00000000-0005-0000-0000-0000A7080000}"/>
    <cellStyle name="Comma 4 2 3 5 2 2 2" xfId="24464" xr:uid="{52F2D8B1-8AE8-4EB0-8EDB-1D91C5B39F3A}"/>
    <cellStyle name="Comma 4 2 3 5 2 2 3" xfId="16023" xr:uid="{41FA8C2E-962C-4D9C-8F17-C25F42859141}"/>
    <cellStyle name="Comma 4 2 3 5 2 3" xfId="20246" xr:uid="{C3AB55D6-0B93-4A72-9122-2B8D9B2ABE19}"/>
    <cellStyle name="Comma 4 2 3 5 2 4" xfId="11805" xr:uid="{25BC79E1-3BCC-44D6-B738-A81678C8925F}"/>
    <cellStyle name="Comma 4 2 3 5 3" xfId="5436" xr:uid="{00000000-0005-0000-0000-0000A8080000}"/>
    <cellStyle name="Comma 4 2 3 5 3 2" xfId="22319" xr:uid="{01AF7E12-1FF7-488F-BD62-5F1728B62E15}"/>
    <cellStyle name="Comma 4 2 3 5 3 3" xfId="13878" xr:uid="{C5F6D84F-BA53-46C1-92D9-143084D7D288}"/>
    <cellStyle name="Comma 4 2 3 5 4" xfId="18101" xr:uid="{120E29EC-560D-49B8-AD03-1F15D16E4F28}"/>
    <cellStyle name="Comma 4 2 3 5 5" xfId="9660" xr:uid="{F2E4B530-0E2A-47B2-B8C8-B92B0C191215}"/>
    <cellStyle name="Comma 4 2 3 6" xfId="1541" xr:uid="{00000000-0005-0000-0000-0000A9080000}"/>
    <cellStyle name="Comma 4 2 3 6 2" xfId="3771" xr:uid="{00000000-0005-0000-0000-0000AA080000}"/>
    <cellStyle name="Comma 4 2 3 6 2 2" xfId="7994" xr:uid="{00000000-0005-0000-0000-0000AB080000}"/>
    <cellStyle name="Comma 4 2 3 6 2 2 2" xfId="24877" xr:uid="{D81F7EC4-5D01-4914-AB25-FBDED312E7CA}"/>
    <cellStyle name="Comma 4 2 3 6 2 2 3" xfId="16436" xr:uid="{6E5280D3-E497-4D54-AFCA-08319BE67243}"/>
    <cellStyle name="Comma 4 2 3 6 2 3" xfId="20659" xr:uid="{A3536709-B731-44FE-BA0D-A4226494C35C}"/>
    <cellStyle name="Comma 4 2 3 6 2 4" xfId="12218" xr:uid="{88CEBE8E-0A41-4CF6-BB78-DC9CF412D098}"/>
    <cellStyle name="Comma 4 2 3 6 3" xfId="5849" xr:uid="{00000000-0005-0000-0000-0000AC080000}"/>
    <cellStyle name="Comma 4 2 3 6 3 2" xfId="22732" xr:uid="{0A4FFDF2-1F8A-4A41-83FA-EFB440644E46}"/>
    <cellStyle name="Comma 4 2 3 6 3 3" xfId="14291" xr:uid="{D05F51E7-FC2E-426A-BD9F-76704A7A9B5F}"/>
    <cellStyle name="Comma 4 2 3 6 4" xfId="18514" xr:uid="{497C608A-CF12-48B0-B69A-E88B59C7ECAE}"/>
    <cellStyle name="Comma 4 2 3 6 5" xfId="10073" xr:uid="{8CE49BFB-8BDE-4DDE-A673-716B0B71D1C5}"/>
    <cellStyle name="Comma 4 2 3 7" xfId="1955" xr:uid="{00000000-0005-0000-0000-0000AD080000}"/>
    <cellStyle name="Comma 4 2 3 7 2" xfId="4184" xr:uid="{00000000-0005-0000-0000-0000AE080000}"/>
    <cellStyle name="Comma 4 2 3 7 2 2" xfId="8407" xr:uid="{00000000-0005-0000-0000-0000AF080000}"/>
    <cellStyle name="Comma 4 2 3 7 2 2 2" xfId="25290" xr:uid="{0DA6ACAE-1B17-4860-8A90-2D80796E17E2}"/>
    <cellStyle name="Comma 4 2 3 7 2 2 3" xfId="16849" xr:uid="{7794B1D7-F74F-416F-9281-4054BAC7B3A6}"/>
    <cellStyle name="Comma 4 2 3 7 2 3" xfId="21072" xr:uid="{1679D544-BD37-40A7-A38E-6A33AB015B54}"/>
    <cellStyle name="Comma 4 2 3 7 2 4" xfId="12631" xr:uid="{378A73BD-8081-4E2D-B0BF-4A7AA74CBFCC}"/>
    <cellStyle name="Comma 4 2 3 7 3" xfId="6262" xr:uid="{00000000-0005-0000-0000-0000B0080000}"/>
    <cellStyle name="Comma 4 2 3 7 3 2" xfId="23145" xr:uid="{ECDDE668-3A01-4974-9FA1-27B7EBA68795}"/>
    <cellStyle name="Comma 4 2 3 7 3 3" xfId="14704" xr:uid="{81BB63F6-1E6A-44F8-A003-0E0CE5E0BF00}"/>
    <cellStyle name="Comma 4 2 3 7 4" xfId="18927" xr:uid="{4F37C4C7-CE2E-43CA-85BE-AA6052FF5521}"/>
    <cellStyle name="Comma 4 2 3 7 5" xfId="10486" xr:uid="{DBBEBD94-7B83-4D15-9B81-A4C980E94ADC}"/>
    <cellStyle name="Comma 4 2 3 8" xfId="2390" xr:uid="{00000000-0005-0000-0000-0000B1080000}"/>
    <cellStyle name="Comma 4 2 3 8 2" xfId="6675" xr:uid="{00000000-0005-0000-0000-0000B2080000}"/>
    <cellStyle name="Comma 4 2 3 8 2 2" xfId="23558" xr:uid="{66167571-9884-4968-AB37-59C6FD8C9B5C}"/>
    <cellStyle name="Comma 4 2 3 8 2 3" xfId="15117" xr:uid="{0732E19E-E1EE-4B60-B591-5A85886FBB19}"/>
    <cellStyle name="Comma 4 2 3 8 3" xfId="19340" xr:uid="{3ADD4690-CE1C-4AA3-91CC-479C08ADB35F}"/>
    <cellStyle name="Comma 4 2 3 8 4" xfId="10899" xr:uid="{9B5027B6-ABFF-4779-B81B-5FB74AC98ABE}"/>
    <cellStyle name="Comma 4 2 3 9" xfId="2373" xr:uid="{00000000-0005-0000-0000-0000B3080000}"/>
    <cellStyle name="Comma 4 2 4" xfId="140" xr:uid="{00000000-0005-0000-0000-0000B4080000}"/>
    <cellStyle name="Comma 4 2 4 10" xfId="4613" xr:uid="{00000000-0005-0000-0000-0000B5080000}"/>
    <cellStyle name="Comma 4 2 4 10 2" xfId="21496" xr:uid="{777D88DD-BF85-47C1-8E0F-D414086278D8}"/>
    <cellStyle name="Comma 4 2 4 10 3" xfId="13055" xr:uid="{C8AEF79C-2CC2-4DB2-885F-4A695D7C19AF}"/>
    <cellStyle name="Comma 4 2 4 11" xfId="17278" xr:uid="{52E3ED95-AF30-4D6A-A76E-6B2179DFEF29}"/>
    <cellStyle name="Comma 4 2 4 12" xfId="8837" xr:uid="{7DC3B5D1-E839-4CB5-9358-12B3B2BE23FD}"/>
    <cellStyle name="Comma 4 2 4 2" xfId="141" xr:uid="{00000000-0005-0000-0000-0000B6080000}"/>
    <cellStyle name="Comma 4 2 4 2 10" xfId="17279" xr:uid="{37C519FD-688D-4663-891B-1F5B232FD6E0}"/>
    <cellStyle name="Comma 4 2 4 2 11" xfId="8838" xr:uid="{E0BA4260-5E83-4B6F-9DF9-F979BC564745}"/>
    <cellStyle name="Comma 4 2 4 2 2" xfId="679" xr:uid="{00000000-0005-0000-0000-0000B7080000}"/>
    <cellStyle name="Comma 4 2 4 2 2 2" xfId="2950" xr:uid="{00000000-0005-0000-0000-0000B8080000}"/>
    <cellStyle name="Comma 4 2 4 2 2 2 2" xfId="7173" xr:uid="{00000000-0005-0000-0000-0000B9080000}"/>
    <cellStyle name="Comma 4 2 4 2 2 2 2 2" xfId="24056" xr:uid="{F55A65BA-901D-4AE2-A05B-6B46EEAB21E8}"/>
    <cellStyle name="Comma 4 2 4 2 2 2 2 3" xfId="15615" xr:uid="{4A8C0A7D-5799-490B-87EF-01A1C2ABC4A6}"/>
    <cellStyle name="Comma 4 2 4 2 2 2 3" xfId="19838" xr:uid="{8413CC5F-5127-4474-8924-34B8DB82AD68}"/>
    <cellStyle name="Comma 4 2 4 2 2 2 4" xfId="11397" xr:uid="{45A6016F-6392-4805-B458-C0DC9152033F}"/>
    <cellStyle name="Comma 4 2 4 2 2 3" xfId="5028" xr:uid="{00000000-0005-0000-0000-0000BA080000}"/>
    <cellStyle name="Comma 4 2 4 2 2 3 2" xfId="21911" xr:uid="{666E048E-05BB-41E8-8230-88C4005A23F5}"/>
    <cellStyle name="Comma 4 2 4 2 2 3 3" xfId="13470" xr:uid="{6CF46ACB-8629-4E48-B037-01554B2D4BB4}"/>
    <cellStyle name="Comma 4 2 4 2 2 4" xfId="17693" xr:uid="{EECC53D7-54C1-4282-8689-8246EDB1C45C}"/>
    <cellStyle name="Comma 4 2 4 2 2 5" xfId="9252" xr:uid="{0186DEA0-6931-4CC4-A178-F7DE50E73E2A}"/>
    <cellStyle name="Comma 4 2 4 2 3" xfId="1132" xr:uid="{00000000-0005-0000-0000-0000BB080000}"/>
    <cellStyle name="Comma 4 2 4 2 3 2" xfId="3363" xr:uid="{00000000-0005-0000-0000-0000BC080000}"/>
    <cellStyle name="Comma 4 2 4 2 3 2 2" xfId="7586" xr:uid="{00000000-0005-0000-0000-0000BD080000}"/>
    <cellStyle name="Comma 4 2 4 2 3 2 2 2" xfId="24469" xr:uid="{B2E85C15-5F36-4113-BB1E-0C57D631B698}"/>
    <cellStyle name="Comma 4 2 4 2 3 2 2 3" xfId="16028" xr:uid="{CE212E3B-D12A-488B-9372-B2273FFC6D4F}"/>
    <cellStyle name="Comma 4 2 4 2 3 2 3" xfId="20251" xr:uid="{C3EFBB57-C897-4C99-B0E3-4965A5DEC57B}"/>
    <cellStyle name="Comma 4 2 4 2 3 2 4" xfId="11810" xr:uid="{3A8F7BD8-4D2F-45B7-A328-F89DDD511386}"/>
    <cellStyle name="Comma 4 2 4 2 3 3" xfId="5441" xr:uid="{00000000-0005-0000-0000-0000BE080000}"/>
    <cellStyle name="Comma 4 2 4 2 3 3 2" xfId="22324" xr:uid="{507FE5D8-A1E1-487E-9898-5D0F71E52B78}"/>
    <cellStyle name="Comma 4 2 4 2 3 3 3" xfId="13883" xr:uid="{DBAB9388-CCDF-4F17-9C5F-231DE7228CAD}"/>
    <cellStyle name="Comma 4 2 4 2 3 4" xfId="18106" xr:uid="{1D5C926B-27E7-4C1F-9E4A-26ED53004A98}"/>
    <cellStyle name="Comma 4 2 4 2 3 5" xfId="9665" xr:uid="{743209CE-7E21-41B6-981A-7B2B783A164A}"/>
    <cellStyle name="Comma 4 2 4 2 4" xfId="1546" xr:uid="{00000000-0005-0000-0000-0000BF080000}"/>
    <cellStyle name="Comma 4 2 4 2 4 2" xfId="3776" xr:uid="{00000000-0005-0000-0000-0000C0080000}"/>
    <cellStyle name="Comma 4 2 4 2 4 2 2" xfId="7999" xr:uid="{00000000-0005-0000-0000-0000C1080000}"/>
    <cellStyle name="Comma 4 2 4 2 4 2 2 2" xfId="24882" xr:uid="{8E9C9297-FD2C-4863-8ADF-2B3027FB7FA2}"/>
    <cellStyle name="Comma 4 2 4 2 4 2 2 3" xfId="16441" xr:uid="{DC3B0189-4374-4AAD-8338-F546E2B50CFB}"/>
    <cellStyle name="Comma 4 2 4 2 4 2 3" xfId="20664" xr:uid="{E7CC1370-55CE-40B7-8497-1BE9A8E11CCC}"/>
    <cellStyle name="Comma 4 2 4 2 4 2 4" xfId="12223" xr:uid="{E1DF5DD6-5325-4162-9D37-6BA6EA5ED4DD}"/>
    <cellStyle name="Comma 4 2 4 2 4 3" xfId="5854" xr:uid="{00000000-0005-0000-0000-0000C2080000}"/>
    <cellStyle name="Comma 4 2 4 2 4 3 2" xfId="22737" xr:uid="{1186E316-EF83-4037-9B61-F7666F41C54A}"/>
    <cellStyle name="Comma 4 2 4 2 4 3 3" xfId="14296" xr:uid="{CA3A399B-E6BB-4D43-8B99-9D2A5A92FB83}"/>
    <cellStyle name="Comma 4 2 4 2 4 4" xfId="18519" xr:uid="{6024C9FA-A8D5-43B5-A87E-5018F586EC3C}"/>
    <cellStyle name="Comma 4 2 4 2 4 5" xfId="10078" xr:uid="{6F668572-7109-4A40-8089-2BC4CC82DD2D}"/>
    <cellStyle name="Comma 4 2 4 2 5" xfId="1960" xr:uid="{00000000-0005-0000-0000-0000C3080000}"/>
    <cellStyle name="Comma 4 2 4 2 5 2" xfId="4189" xr:uid="{00000000-0005-0000-0000-0000C4080000}"/>
    <cellStyle name="Comma 4 2 4 2 5 2 2" xfId="8412" xr:uid="{00000000-0005-0000-0000-0000C5080000}"/>
    <cellStyle name="Comma 4 2 4 2 5 2 2 2" xfId="25295" xr:uid="{26E39BEA-69B5-42C1-9ED0-C81AD24B4FC8}"/>
    <cellStyle name="Comma 4 2 4 2 5 2 2 3" xfId="16854" xr:uid="{6174A0B4-475C-42DE-816B-2F7C7FB2510B}"/>
    <cellStyle name="Comma 4 2 4 2 5 2 3" xfId="21077" xr:uid="{4C53ACD7-D15D-4FB5-91F6-5337EEF0B8C4}"/>
    <cellStyle name="Comma 4 2 4 2 5 2 4" xfId="12636" xr:uid="{8FA807A6-109E-4691-AAAB-26565522EAA7}"/>
    <cellStyle name="Comma 4 2 4 2 5 3" xfId="6267" xr:uid="{00000000-0005-0000-0000-0000C6080000}"/>
    <cellStyle name="Comma 4 2 4 2 5 3 2" xfId="23150" xr:uid="{41B8E5AD-249E-4F27-AE3B-8CEEAE9C9D27}"/>
    <cellStyle name="Comma 4 2 4 2 5 3 3" xfId="14709" xr:uid="{B384BD40-2410-4505-B76B-6F4A4A663148}"/>
    <cellStyle name="Comma 4 2 4 2 5 4" xfId="18932" xr:uid="{7D9D1FA5-E12F-459D-B2E5-A88BCC46562D}"/>
    <cellStyle name="Comma 4 2 4 2 5 5" xfId="10491" xr:uid="{ABA5A802-AB3F-4766-8921-4EA136CC1215}"/>
    <cellStyle name="Comma 4 2 4 2 6" xfId="2395" xr:uid="{00000000-0005-0000-0000-0000C7080000}"/>
    <cellStyle name="Comma 4 2 4 2 6 2" xfId="6680" xr:uid="{00000000-0005-0000-0000-0000C8080000}"/>
    <cellStyle name="Comma 4 2 4 2 6 2 2" xfId="23563" xr:uid="{128BD43B-4107-461E-828E-6B0980F26B60}"/>
    <cellStyle name="Comma 4 2 4 2 6 2 3" xfId="15122" xr:uid="{2C6148E4-8658-4B15-A80D-5134C52376DF}"/>
    <cellStyle name="Comma 4 2 4 2 6 3" xfId="19345" xr:uid="{44F5895D-4759-41B6-95B9-553568315D4C}"/>
    <cellStyle name="Comma 4 2 4 2 6 4" xfId="10904" xr:uid="{41F367F3-105C-4F3B-BD30-DA79832F8F81}"/>
    <cellStyle name="Comma 4 2 4 2 7" xfId="2368" xr:uid="{00000000-0005-0000-0000-0000C9080000}"/>
    <cellStyle name="Comma 4 2 4 2 8" xfId="2773" xr:uid="{00000000-0005-0000-0000-0000CA080000}"/>
    <cellStyle name="Comma 4 2 4 2 8 2" xfId="6997" xr:uid="{00000000-0005-0000-0000-0000CB080000}"/>
    <cellStyle name="Comma 4 2 4 2 8 2 2" xfId="23880" xr:uid="{E6CD154F-B750-4739-94CA-715CFC4EAD31}"/>
    <cellStyle name="Comma 4 2 4 2 8 2 3" xfId="15439" xr:uid="{08FA166D-E21B-48A9-96A7-346CDB5BEB45}"/>
    <cellStyle name="Comma 4 2 4 2 8 3" xfId="19662" xr:uid="{60A1B9DA-102F-4EC4-AB5F-82A86B63B3E8}"/>
    <cellStyle name="Comma 4 2 4 2 8 4" xfId="11221" xr:uid="{8D7E7D30-1FB0-4BB7-9D5A-64B707166DEB}"/>
    <cellStyle name="Comma 4 2 4 2 9" xfId="4614" xr:uid="{00000000-0005-0000-0000-0000CC080000}"/>
    <cellStyle name="Comma 4 2 4 2 9 2" xfId="21497" xr:uid="{D8ACEEDD-89A8-4FC8-88E7-116730E3FACE}"/>
    <cellStyle name="Comma 4 2 4 2 9 3" xfId="13056" xr:uid="{CA3EC5FB-D9ED-4315-870E-991D942A1392}"/>
    <cellStyle name="Comma 4 2 4 3" xfId="678" xr:uid="{00000000-0005-0000-0000-0000CD080000}"/>
    <cellStyle name="Comma 4 2 4 3 2" xfId="2949" xr:uid="{00000000-0005-0000-0000-0000CE080000}"/>
    <cellStyle name="Comma 4 2 4 3 2 2" xfId="7172" xr:uid="{00000000-0005-0000-0000-0000CF080000}"/>
    <cellStyle name="Comma 4 2 4 3 2 2 2" xfId="24055" xr:uid="{6527A601-4C78-4143-85E0-010884BCFDA1}"/>
    <cellStyle name="Comma 4 2 4 3 2 2 3" xfId="15614" xr:uid="{23275294-695F-435D-8EDA-C0C5FAB7326D}"/>
    <cellStyle name="Comma 4 2 4 3 2 3" xfId="19837" xr:uid="{38F67EC8-EEDF-4BD5-9BF3-4176F840B890}"/>
    <cellStyle name="Comma 4 2 4 3 2 4" xfId="11396" xr:uid="{AB62B39E-DF47-4528-AE66-9000582262E1}"/>
    <cellStyle name="Comma 4 2 4 3 3" xfId="5027" xr:uid="{00000000-0005-0000-0000-0000D0080000}"/>
    <cellStyle name="Comma 4 2 4 3 3 2" xfId="21910" xr:uid="{7BA65C24-CAB7-40F3-A1D9-D20B9896A910}"/>
    <cellStyle name="Comma 4 2 4 3 3 3" xfId="13469" xr:uid="{32CCA90B-298C-47CF-B37A-6F7075298D5F}"/>
    <cellStyle name="Comma 4 2 4 3 4" xfId="17692" xr:uid="{6D72A35F-AF36-4636-B06F-CE272348E155}"/>
    <cellStyle name="Comma 4 2 4 3 5" xfId="9251" xr:uid="{A91C1EC2-F893-4B46-BEE1-DD5DC929D371}"/>
    <cellStyle name="Comma 4 2 4 4" xfId="1131" xr:uid="{00000000-0005-0000-0000-0000D1080000}"/>
    <cellStyle name="Comma 4 2 4 4 2" xfId="3362" xr:uid="{00000000-0005-0000-0000-0000D2080000}"/>
    <cellStyle name="Comma 4 2 4 4 2 2" xfId="7585" xr:uid="{00000000-0005-0000-0000-0000D3080000}"/>
    <cellStyle name="Comma 4 2 4 4 2 2 2" xfId="24468" xr:uid="{E935AFF0-07CD-4D45-AA76-E99D144B895A}"/>
    <cellStyle name="Comma 4 2 4 4 2 2 3" xfId="16027" xr:uid="{6A62DB28-408A-4C00-AA35-990160C53C24}"/>
    <cellStyle name="Comma 4 2 4 4 2 3" xfId="20250" xr:uid="{B4E89BD9-E08F-4B97-9C27-29DD43C19413}"/>
    <cellStyle name="Comma 4 2 4 4 2 4" xfId="11809" xr:uid="{89CB7DB3-9C1A-448D-8A45-0E6AEB976A26}"/>
    <cellStyle name="Comma 4 2 4 4 3" xfId="5440" xr:uid="{00000000-0005-0000-0000-0000D4080000}"/>
    <cellStyle name="Comma 4 2 4 4 3 2" xfId="22323" xr:uid="{FC645A0E-3C3F-4430-B412-D7A6AD3D5CE6}"/>
    <cellStyle name="Comma 4 2 4 4 3 3" xfId="13882" xr:uid="{CEFEDC07-A5AB-441B-9E34-05A1A5B98675}"/>
    <cellStyle name="Comma 4 2 4 4 4" xfId="18105" xr:uid="{B82F26CC-16C2-4D8C-BB90-15231D475A6F}"/>
    <cellStyle name="Comma 4 2 4 4 5" xfId="9664" xr:uid="{4E943F65-4249-478B-A827-E1F55CF761BD}"/>
    <cellStyle name="Comma 4 2 4 5" xfId="1545" xr:uid="{00000000-0005-0000-0000-0000D5080000}"/>
    <cellStyle name="Comma 4 2 4 5 2" xfId="3775" xr:uid="{00000000-0005-0000-0000-0000D6080000}"/>
    <cellStyle name="Comma 4 2 4 5 2 2" xfId="7998" xr:uid="{00000000-0005-0000-0000-0000D7080000}"/>
    <cellStyle name="Comma 4 2 4 5 2 2 2" xfId="24881" xr:uid="{83B96D1E-3766-4C20-9113-668EA268810A}"/>
    <cellStyle name="Comma 4 2 4 5 2 2 3" xfId="16440" xr:uid="{3CDA7375-182F-4042-B489-0E64F36880FA}"/>
    <cellStyle name="Comma 4 2 4 5 2 3" xfId="20663" xr:uid="{7A0C20AD-E0CF-40D0-90BE-04D7DA1EB930}"/>
    <cellStyle name="Comma 4 2 4 5 2 4" xfId="12222" xr:uid="{3D647955-4294-4F3E-A16A-D3CB8ABEDEA7}"/>
    <cellStyle name="Comma 4 2 4 5 3" xfId="5853" xr:uid="{00000000-0005-0000-0000-0000D8080000}"/>
    <cellStyle name="Comma 4 2 4 5 3 2" xfId="22736" xr:uid="{6BDC0A7C-0708-44B4-A7F0-1E62D70F2C98}"/>
    <cellStyle name="Comma 4 2 4 5 3 3" xfId="14295" xr:uid="{84A73A98-4F69-4DC6-98CA-D8F4C008D0BA}"/>
    <cellStyle name="Comma 4 2 4 5 4" xfId="18518" xr:uid="{ED13A661-0BE6-4D08-8D08-DD3D83CF92BC}"/>
    <cellStyle name="Comma 4 2 4 5 5" xfId="10077" xr:uid="{AD31E2C4-94DF-4F6B-A365-DD99108EAA90}"/>
    <cellStyle name="Comma 4 2 4 6" xfId="1959" xr:uid="{00000000-0005-0000-0000-0000D9080000}"/>
    <cellStyle name="Comma 4 2 4 6 2" xfId="4188" xr:uid="{00000000-0005-0000-0000-0000DA080000}"/>
    <cellStyle name="Comma 4 2 4 6 2 2" xfId="8411" xr:uid="{00000000-0005-0000-0000-0000DB080000}"/>
    <cellStyle name="Comma 4 2 4 6 2 2 2" xfId="25294" xr:uid="{65C88C53-ABB1-4B63-8547-5828CDDDD548}"/>
    <cellStyle name="Comma 4 2 4 6 2 2 3" xfId="16853" xr:uid="{70D18B35-0D83-482B-BEC0-395C4F86EA98}"/>
    <cellStyle name="Comma 4 2 4 6 2 3" xfId="21076" xr:uid="{9D707464-8941-464D-9DF0-22427C1D88BE}"/>
    <cellStyle name="Comma 4 2 4 6 2 4" xfId="12635" xr:uid="{E38E008D-A040-4695-A3E6-F79BD97613FC}"/>
    <cellStyle name="Comma 4 2 4 6 3" xfId="6266" xr:uid="{00000000-0005-0000-0000-0000DC080000}"/>
    <cellStyle name="Comma 4 2 4 6 3 2" xfId="23149" xr:uid="{C1CDE7F9-23B1-493D-951F-952634F86E93}"/>
    <cellStyle name="Comma 4 2 4 6 3 3" xfId="14708" xr:uid="{019447D2-4647-4169-899B-79E0992B099C}"/>
    <cellStyle name="Comma 4 2 4 6 4" xfId="18931" xr:uid="{CC4AAC3B-7357-49BD-83C7-9F9FD4567925}"/>
    <cellStyle name="Comma 4 2 4 6 5" xfId="10490" xr:uid="{4600FEC9-B7B0-4F2D-BE29-248EB5B527F0}"/>
    <cellStyle name="Comma 4 2 4 7" xfId="2394" xr:uid="{00000000-0005-0000-0000-0000DD080000}"/>
    <cellStyle name="Comma 4 2 4 7 2" xfId="6679" xr:uid="{00000000-0005-0000-0000-0000DE080000}"/>
    <cellStyle name="Comma 4 2 4 7 2 2" xfId="23562" xr:uid="{6F1DBC76-8E8B-4F6A-928E-DAF8873E6354}"/>
    <cellStyle name="Comma 4 2 4 7 2 3" xfId="15121" xr:uid="{3146C189-991C-4D98-8203-E78C28EDB23E}"/>
    <cellStyle name="Comma 4 2 4 7 3" xfId="19344" xr:uid="{91E111E4-750A-49A5-925F-8CC26E5F21AE}"/>
    <cellStyle name="Comma 4 2 4 7 4" xfId="10903" xr:uid="{22ED3F86-AC39-4BCF-A75B-AB05B6F40FA9}"/>
    <cellStyle name="Comma 4 2 4 8" xfId="2369" xr:uid="{00000000-0005-0000-0000-0000DF080000}"/>
    <cellStyle name="Comma 4 2 4 9" xfId="2772" xr:uid="{00000000-0005-0000-0000-0000E0080000}"/>
    <cellStyle name="Comma 4 2 4 9 2" xfId="6996" xr:uid="{00000000-0005-0000-0000-0000E1080000}"/>
    <cellStyle name="Comma 4 2 4 9 2 2" xfId="23879" xr:uid="{BD212D06-7091-467A-A7B3-2CDB4CBA808F}"/>
    <cellStyle name="Comma 4 2 4 9 2 3" xfId="15438" xr:uid="{63F939A5-2832-454C-8B41-10D667DF9F24}"/>
    <cellStyle name="Comma 4 2 4 9 3" xfId="19661" xr:uid="{217B8529-B48B-46F3-A567-78C91836CF4F}"/>
    <cellStyle name="Comma 4 2 4 9 4" xfId="11220" xr:uid="{D5741B85-AA3B-4F2A-A84E-821FB2CCE232}"/>
    <cellStyle name="Comma 4 2 5" xfId="142" xr:uid="{00000000-0005-0000-0000-0000E2080000}"/>
    <cellStyle name="Comma 4 2 5 10" xfId="17280" xr:uid="{0108E65A-8992-4704-8E6B-A517EE2C5464}"/>
    <cellStyle name="Comma 4 2 5 11" xfId="8839" xr:uid="{71F48DF8-E6A0-4F06-A5CA-92EA27C808DE}"/>
    <cellStyle name="Comma 4 2 5 2" xfId="680" xr:uid="{00000000-0005-0000-0000-0000E3080000}"/>
    <cellStyle name="Comma 4 2 5 2 2" xfId="2951" xr:uid="{00000000-0005-0000-0000-0000E4080000}"/>
    <cellStyle name="Comma 4 2 5 2 2 2" xfId="7174" xr:uid="{00000000-0005-0000-0000-0000E5080000}"/>
    <cellStyle name="Comma 4 2 5 2 2 2 2" xfId="24057" xr:uid="{DFCB9C3F-101F-4A11-8261-DAA88E5925D0}"/>
    <cellStyle name="Comma 4 2 5 2 2 2 3" xfId="15616" xr:uid="{286970B1-A181-4666-9A0F-2AB4516B6B73}"/>
    <cellStyle name="Comma 4 2 5 2 2 3" xfId="19839" xr:uid="{46CF93A3-9C70-431A-8B7B-FAB744F8FBB0}"/>
    <cellStyle name="Comma 4 2 5 2 2 4" xfId="11398" xr:uid="{21574248-67E5-4166-BFF7-D7CFBA790AE3}"/>
    <cellStyle name="Comma 4 2 5 2 3" xfId="5029" xr:uid="{00000000-0005-0000-0000-0000E6080000}"/>
    <cellStyle name="Comma 4 2 5 2 3 2" xfId="21912" xr:uid="{238C46E5-E3A0-4641-AB09-13067FCFE86E}"/>
    <cellStyle name="Comma 4 2 5 2 3 3" xfId="13471" xr:uid="{A41AC2C7-6F8A-49AB-982F-019700B8112F}"/>
    <cellStyle name="Comma 4 2 5 2 4" xfId="17694" xr:uid="{885EFBBA-A552-401E-90C3-52230773009C}"/>
    <cellStyle name="Comma 4 2 5 2 5" xfId="9253" xr:uid="{CBABB2F4-AC9D-4219-A0B8-DFE7CE8156F0}"/>
    <cellStyle name="Comma 4 2 5 3" xfId="1133" xr:uid="{00000000-0005-0000-0000-0000E7080000}"/>
    <cellStyle name="Comma 4 2 5 3 2" xfId="3364" xr:uid="{00000000-0005-0000-0000-0000E8080000}"/>
    <cellStyle name="Comma 4 2 5 3 2 2" xfId="7587" xr:uid="{00000000-0005-0000-0000-0000E9080000}"/>
    <cellStyle name="Comma 4 2 5 3 2 2 2" xfId="24470" xr:uid="{9001EB5C-F70F-4162-996C-D45CD76EA61B}"/>
    <cellStyle name="Comma 4 2 5 3 2 2 3" xfId="16029" xr:uid="{FA7E19F3-2F28-4883-B49A-9C61BB1D2B53}"/>
    <cellStyle name="Comma 4 2 5 3 2 3" xfId="20252" xr:uid="{C58B80A1-EEB0-478A-AC88-2656764C628A}"/>
    <cellStyle name="Comma 4 2 5 3 2 4" xfId="11811" xr:uid="{1FB887D1-374D-413F-A3B0-897A1F30F0CB}"/>
    <cellStyle name="Comma 4 2 5 3 3" xfId="5442" xr:uid="{00000000-0005-0000-0000-0000EA080000}"/>
    <cellStyle name="Comma 4 2 5 3 3 2" xfId="22325" xr:uid="{4E4C1F81-E4EC-4906-ABA1-9E1F59A92123}"/>
    <cellStyle name="Comma 4 2 5 3 3 3" xfId="13884" xr:uid="{2F20FA52-DF07-4D43-AA77-09FF8BD75EE1}"/>
    <cellStyle name="Comma 4 2 5 3 4" xfId="18107" xr:uid="{8BB846F6-A0D1-46BA-BFF8-61B6526F2658}"/>
    <cellStyle name="Comma 4 2 5 3 5" xfId="9666" xr:uid="{5F568719-5235-409F-989B-0F1A79A5F1D1}"/>
    <cellStyle name="Comma 4 2 5 4" xfId="1547" xr:uid="{00000000-0005-0000-0000-0000EB080000}"/>
    <cellStyle name="Comma 4 2 5 4 2" xfId="3777" xr:uid="{00000000-0005-0000-0000-0000EC080000}"/>
    <cellStyle name="Comma 4 2 5 4 2 2" xfId="8000" xr:uid="{00000000-0005-0000-0000-0000ED080000}"/>
    <cellStyle name="Comma 4 2 5 4 2 2 2" xfId="24883" xr:uid="{92BA4003-29E4-4176-AACC-81EB4126018F}"/>
    <cellStyle name="Comma 4 2 5 4 2 2 3" xfId="16442" xr:uid="{556D7652-A1F9-480F-8152-0D5CB8958BB1}"/>
    <cellStyle name="Comma 4 2 5 4 2 3" xfId="20665" xr:uid="{F8214308-6A76-4201-94E2-11E75D67AD1D}"/>
    <cellStyle name="Comma 4 2 5 4 2 4" xfId="12224" xr:uid="{DBC4FBDF-CB8E-40A7-9273-4AC338F506DA}"/>
    <cellStyle name="Comma 4 2 5 4 3" xfId="5855" xr:uid="{00000000-0005-0000-0000-0000EE080000}"/>
    <cellStyle name="Comma 4 2 5 4 3 2" xfId="22738" xr:uid="{FD41D23F-F3F8-4D11-9D9F-FCE0F708E5DF}"/>
    <cellStyle name="Comma 4 2 5 4 3 3" xfId="14297" xr:uid="{F4AB1138-094C-42B7-86AD-E4D8DC7CE3C0}"/>
    <cellStyle name="Comma 4 2 5 4 4" xfId="18520" xr:uid="{C4614323-B3BB-4983-A12E-46111752C4EF}"/>
    <cellStyle name="Comma 4 2 5 4 5" xfId="10079" xr:uid="{E42DDD85-EC89-45B4-87A0-282BCB3A6475}"/>
    <cellStyle name="Comma 4 2 5 5" xfId="1961" xr:uid="{00000000-0005-0000-0000-0000EF080000}"/>
    <cellStyle name="Comma 4 2 5 5 2" xfId="4190" xr:uid="{00000000-0005-0000-0000-0000F0080000}"/>
    <cellStyle name="Comma 4 2 5 5 2 2" xfId="8413" xr:uid="{00000000-0005-0000-0000-0000F1080000}"/>
    <cellStyle name="Comma 4 2 5 5 2 2 2" xfId="25296" xr:uid="{CF02AE0B-4F67-4041-AE78-C38E4461F59A}"/>
    <cellStyle name="Comma 4 2 5 5 2 2 3" xfId="16855" xr:uid="{C4C3A6D1-6EB8-4D6E-8A5A-258EBA20098F}"/>
    <cellStyle name="Comma 4 2 5 5 2 3" xfId="21078" xr:uid="{5BF730AF-90F0-494A-B678-594EE9CF9AA6}"/>
    <cellStyle name="Comma 4 2 5 5 2 4" xfId="12637" xr:uid="{D4FE0617-6AEA-4993-A22E-A421C3331402}"/>
    <cellStyle name="Comma 4 2 5 5 3" xfId="6268" xr:uid="{00000000-0005-0000-0000-0000F2080000}"/>
    <cellStyle name="Comma 4 2 5 5 3 2" xfId="23151" xr:uid="{45EC450A-9D68-481A-BBEF-B66A87F97DF1}"/>
    <cellStyle name="Comma 4 2 5 5 3 3" xfId="14710" xr:uid="{6E3303CA-4E66-41C3-8043-1BBFCEDF6BE6}"/>
    <cellStyle name="Comma 4 2 5 5 4" xfId="18933" xr:uid="{0A7658BD-C284-4E81-B747-6601F1F2BB09}"/>
    <cellStyle name="Comma 4 2 5 5 5" xfId="10492" xr:uid="{CEB4F6C4-6172-4830-99A4-4160EB3354BE}"/>
    <cellStyle name="Comma 4 2 5 6" xfId="2396" xr:uid="{00000000-0005-0000-0000-0000F3080000}"/>
    <cellStyle name="Comma 4 2 5 6 2" xfId="6681" xr:uid="{00000000-0005-0000-0000-0000F4080000}"/>
    <cellStyle name="Comma 4 2 5 6 2 2" xfId="23564" xr:uid="{68A68F8D-6459-432A-B53A-A03DE4C9D911}"/>
    <cellStyle name="Comma 4 2 5 6 2 3" xfId="15123" xr:uid="{4B21BBEE-4BB3-4A8A-9EA4-AE0151A97B4E}"/>
    <cellStyle name="Comma 4 2 5 6 3" xfId="19346" xr:uid="{64F4883C-FE8C-485F-9DC1-BAFF5FD55554}"/>
    <cellStyle name="Comma 4 2 5 6 4" xfId="10905" xr:uid="{95CA55EF-EDC0-43F0-A3B2-CAF4721C84D3}"/>
    <cellStyle name="Comma 4 2 5 7" xfId="2367" xr:uid="{00000000-0005-0000-0000-0000F5080000}"/>
    <cellStyle name="Comma 4 2 5 8" xfId="2774" xr:uid="{00000000-0005-0000-0000-0000F6080000}"/>
    <cellStyle name="Comma 4 2 5 8 2" xfId="6998" xr:uid="{00000000-0005-0000-0000-0000F7080000}"/>
    <cellStyle name="Comma 4 2 5 8 2 2" xfId="23881" xr:uid="{5892D8D6-E425-4942-970A-247FE4A192D9}"/>
    <cellStyle name="Comma 4 2 5 8 2 3" xfId="15440" xr:uid="{391C539A-7262-41EE-9649-77C6A8A68869}"/>
    <cellStyle name="Comma 4 2 5 8 3" xfId="19663" xr:uid="{DE52D278-48BD-4199-A839-ECDC3A34690D}"/>
    <cellStyle name="Comma 4 2 5 8 4" xfId="11222" xr:uid="{67E8F497-08BA-4928-B847-7745A36FB42E}"/>
    <cellStyle name="Comma 4 2 5 9" xfId="4615" xr:uid="{00000000-0005-0000-0000-0000F8080000}"/>
    <cellStyle name="Comma 4 2 5 9 2" xfId="21498" xr:uid="{85DA02E6-E060-4B9A-A306-19139281D543}"/>
    <cellStyle name="Comma 4 2 5 9 3" xfId="13057" xr:uid="{DDAD41DE-8663-4B60-9D6F-5CAF3EBD8EE3}"/>
    <cellStyle name="Comma 4 2 6" xfId="143" xr:uid="{00000000-0005-0000-0000-0000F9080000}"/>
    <cellStyle name="Comma 4 2 6 10" xfId="17281" xr:uid="{09F56094-92F0-43B3-B9EC-BF7D9E4DD428}"/>
    <cellStyle name="Comma 4 2 6 11" xfId="8840" xr:uid="{15F8920B-4033-4316-AA2F-0771BF699316}"/>
    <cellStyle name="Comma 4 2 6 2" xfId="681" xr:uid="{00000000-0005-0000-0000-0000FA080000}"/>
    <cellStyle name="Comma 4 2 6 2 2" xfId="2952" xr:uid="{00000000-0005-0000-0000-0000FB080000}"/>
    <cellStyle name="Comma 4 2 6 2 2 2" xfId="7175" xr:uid="{00000000-0005-0000-0000-0000FC080000}"/>
    <cellStyle name="Comma 4 2 6 2 2 2 2" xfId="24058" xr:uid="{CCAA5FB7-D4F0-4F42-8576-6A3C7086479F}"/>
    <cellStyle name="Comma 4 2 6 2 2 2 3" xfId="15617" xr:uid="{6E119AD9-9CA4-4445-BF5E-FDE4EE2F99DB}"/>
    <cellStyle name="Comma 4 2 6 2 2 3" xfId="19840" xr:uid="{A54C36BF-6C26-4796-B6FC-A13101EF8059}"/>
    <cellStyle name="Comma 4 2 6 2 2 4" xfId="11399" xr:uid="{C9A14224-5D69-483F-BBAC-F49761C9A6E5}"/>
    <cellStyle name="Comma 4 2 6 2 3" xfId="5030" xr:uid="{00000000-0005-0000-0000-0000FD080000}"/>
    <cellStyle name="Comma 4 2 6 2 3 2" xfId="21913" xr:uid="{E33A8B84-E042-48B4-910D-F85F166EBFA5}"/>
    <cellStyle name="Comma 4 2 6 2 3 3" xfId="13472" xr:uid="{51E8724B-1AA5-446E-9D08-73F8F46BC324}"/>
    <cellStyle name="Comma 4 2 6 2 4" xfId="17695" xr:uid="{A9E3523A-8FCE-4A14-9DE0-DDB6D7DC5B97}"/>
    <cellStyle name="Comma 4 2 6 2 5" xfId="9254" xr:uid="{4A08FB85-5339-4090-B8DA-31AA79C69125}"/>
    <cellStyle name="Comma 4 2 6 3" xfId="1134" xr:uid="{00000000-0005-0000-0000-0000FE080000}"/>
    <cellStyle name="Comma 4 2 6 3 2" xfId="3365" xr:uid="{00000000-0005-0000-0000-0000FF080000}"/>
    <cellStyle name="Comma 4 2 6 3 2 2" xfId="7588" xr:uid="{00000000-0005-0000-0000-000000090000}"/>
    <cellStyle name="Comma 4 2 6 3 2 2 2" xfId="24471" xr:uid="{E0D42034-234C-49FC-B010-C37351D65DDE}"/>
    <cellStyle name="Comma 4 2 6 3 2 2 3" xfId="16030" xr:uid="{E4768158-9970-4FBD-B5F6-3BAF4298E8FE}"/>
    <cellStyle name="Comma 4 2 6 3 2 3" xfId="20253" xr:uid="{CEB0FA9F-E4E4-4FCB-8E7D-41E8ACB01EAD}"/>
    <cellStyle name="Comma 4 2 6 3 2 4" xfId="11812" xr:uid="{B8F8FA0E-B906-4EA5-A443-B996549E3854}"/>
    <cellStyle name="Comma 4 2 6 3 3" xfId="5443" xr:uid="{00000000-0005-0000-0000-000001090000}"/>
    <cellStyle name="Comma 4 2 6 3 3 2" xfId="22326" xr:uid="{E5F5A717-F53A-4121-80F9-CF9623303FFA}"/>
    <cellStyle name="Comma 4 2 6 3 3 3" xfId="13885" xr:uid="{2C8CC44E-3258-4A7F-8D91-7F36B7524F58}"/>
    <cellStyle name="Comma 4 2 6 3 4" xfId="18108" xr:uid="{9BE90D80-64C2-4624-AE06-77979E3FB8D9}"/>
    <cellStyle name="Comma 4 2 6 3 5" xfId="9667" xr:uid="{99B3799E-5B35-4CA6-B5F5-1D81BD63471B}"/>
    <cellStyle name="Comma 4 2 6 4" xfId="1548" xr:uid="{00000000-0005-0000-0000-000002090000}"/>
    <cellStyle name="Comma 4 2 6 4 2" xfId="3778" xr:uid="{00000000-0005-0000-0000-000003090000}"/>
    <cellStyle name="Comma 4 2 6 4 2 2" xfId="8001" xr:uid="{00000000-0005-0000-0000-000004090000}"/>
    <cellStyle name="Comma 4 2 6 4 2 2 2" xfId="24884" xr:uid="{BFDAEBBF-ECDC-4012-921C-EF6927FAF035}"/>
    <cellStyle name="Comma 4 2 6 4 2 2 3" xfId="16443" xr:uid="{691F2720-65D3-4398-B22A-D9F1FF62F7B8}"/>
    <cellStyle name="Comma 4 2 6 4 2 3" xfId="20666" xr:uid="{266D2AC6-FEA6-4AAC-AE12-9A73D486E040}"/>
    <cellStyle name="Comma 4 2 6 4 2 4" xfId="12225" xr:uid="{36412047-5B4A-4640-B69F-599F7CCBB88E}"/>
    <cellStyle name="Comma 4 2 6 4 3" xfId="5856" xr:uid="{00000000-0005-0000-0000-000005090000}"/>
    <cellStyle name="Comma 4 2 6 4 3 2" xfId="22739" xr:uid="{4ED43797-3776-4116-837C-A8BD19D9FE78}"/>
    <cellStyle name="Comma 4 2 6 4 3 3" xfId="14298" xr:uid="{BA46EA18-4A14-4D75-B6B3-C965C8C231D6}"/>
    <cellStyle name="Comma 4 2 6 4 4" xfId="18521" xr:uid="{1DEF6137-3A85-49A1-BD29-F1783EB3908D}"/>
    <cellStyle name="Comma 4 2 6 4 5" xfId="10080" xr:uid="{93AC2A08-9262-4B2E-AC1E-1C0A97C05A3B}"/>
    <cellStyle name="Comma 4 2 6 5" xfId="1962" xr:uid="{00000000-0005-0000-0000-000006090000}"/>
    <cellStyle name="Comma 4 2 6 5 2" xfId="4191" xr:uid="{00000000-0005-0000-0000-000007090000}"/>
    <cellStyle name="Comma 4 2 6 5 2 2" xfId="8414" xr:uid="{00000000-0005-0000-0000-000008090000}"/>
    <cellStyle name="Comma 4 2 6 5 2 2 2" xfId="25297" xr:uid="{AD5F65BE-F9F6-40F8-8C44-B8F54800D627}"/>
    <cellStyle name="Comma 4 2 6 5 2 2 3" xfId="16856" xr:uid="{A08CF6DA-E23B-4D43-AE12-8F471B252B9C}"/>
    <cellStyle name="Comma 4 2 6 5 2 3" xfId="21079" xr:uid="{77F4B30A-8BC9-4320-8F85-CC0184383F49}"/>
    <cellStyle name="Comma 4 2 6 5 2 4" xfId="12638" xr:uid="{86C67868-AC4D-4D60-98E5-57EC9275374E}"/>
    <cellStyle name="Comma 4 2 6 5 3" xfId="6269" xr:uid="{00000000-0005-0000-0000-000009090000}"/>
    <cellStyle name="Comma 4 2 6 5 3 2" xfId="23152" xr:uid="{2FF16EAD-020B-47C8-B29A-58BBE35B6F92}"/>
    <cellStyle name="Comma 4 2 6 5 3 3" xfId="14711" xr:uid="{500AC716-DCEA-4650-B96F-A284301F3700}"/>
    <cellStyle name="Comma 4 2 6 5 4" xfId="18934" xr:uid="{A22C1EBE-DD21-4A1D-900C-7487D0338617}"/>
    <cellStyle name="Comma 4 2 6 5 5" xfId="10493" xr:uid="{9343AE95-9ACB-4515-86E6-A651D398C647}"/>
    <cellStyle name="Comma 4 2 6 6" xfId="2397" xr:uid="{00000000-0005-0000-0000-00000A090000}"/>
    <cellStyle name="Comma 4 2 6 6 2" xfId="6682" xr:uid="{00000000-0005-0000-0000-00000B090000}"/>
    <cellStyle name="Comma 4 2 6 6 2 2" xfId="23565" xr:uid="{3949F631-8129-4295-8C2D-1837AE4CD127}"/>
    <cellStyle name="Comma 4 2 6 6 2 3" xfId="15124" xr:uid="{5DE36B33-5773-4551-AE94-9F6914292F4E}"/>
    <cellStyle name="Comma 4 2 6 6 3" xfId="19347" xr:uid="{94C91601-BD9B-418C-AAD6-2D754321EBFB}"/>
    <cellStyle name="Comma 4 2 6 6 4" xfId="10906" xr:uid="{EE036852-0B8E-4FD4-A7F7-D800F33AD1B6}"/>
    <cellStyle name="Comma 4 2 6 7" xfId="2366" xr:uid="{00000000-0005-0000-0000-00000C090000}"/>
    <cellStyle name="Comma 4 2 6 8" xfId="2775" xr:uid="{00000000-0005-0000-0000-00000D090000}"/>
    <cellStyle name="Comma 4 2 6 8 2" xfId="6999" xr:uid="{00000000-0005-0000-0000-00000E090000}"/>
    <cellStyle name="Comma 4 2 6 8 2 2" xfId="23882" xr:uid="{974264EF-C13A-4E4A-BCFA-E71F8F12E828}"/>
    <cellStyle name="Comma 4 2 6 8 2 3" xfId="15441" xr:uid="{6FCB5ABF-C028-4FE7-AE50-1674BAB81227}"/>
    <cellStyle name="Comma 4 2 6 8 3" xfId="19664" xr:uid="{4BA61115-52FE-4871-B6F0-1FA3C844CB42}"/>
    <cellStyle name="Comma 4 2 6 8 4" xfId="11223" xr:uid="{1198F163-241C-4E5E-9BFA-219DE6412F99}"/>
    <cellStyle name="Comma 4 2 6 9" xfId="4616" xr:uid="{00000000-0005-0000-0000-00000F090000}"/>
    <cellStyle name="Comma 4 2 6 9 2" xfId="21499" xr:uid="{B60AA234-C570-4FA5-B667-1A742698EC0B}"/>
    <cellStyle name="Comma 4 2 6 9 3" xfId="13058" xr:uid="{4B38D8B2-84F7-4A5F-9A7D-AB2DE35C0253}"/>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23883" xr:uid="{B778DDA1-32FC-4F83-BEF3-58F7DA4F82FE}"/>
    <cellStyle name="Comma 4 3 2 10 2 3" xfId="15442" xr:uid="{91FC10AE-3FE6-433C-B157-6DC045C2CCAE}"/>
    <cellStyle name="Comma 4 3 2 10 3" xfId="19665" xr:uid="{CDF42B5E-3019-43E6-A996-F2DBB511EE3E}"/>
    <cellStyle name="Comma 4 3 2 10 4" xfId="11224" xr:uid="{3199EA46-CE28-4D56-B2D0-89CE36EA48AF}"/>
    <cellStyle name="Comma 4 3 2 11" xfId="4617" xr:uid="{00000000-0005-0000-0000-000014090000}"/>
    <cellStyle name="Comma 4 3 2 11 2" xfId="21500" xr:uid="{18F4F34A-07CF-4A8A-919B-49043B4145B3}"/>
    <cellStyle name="Comma 4 3 2 11 3" xfId="13059" xr:uid="{F9CFEF0F-401C-42DA-98C7-401AA5A59104}"/>
    <cellStyle name="Comma 4 3 2 12" xfId="17282" xr:uid="{5C382DCF-6B32-471F-B4AC-37432C96CCE7}"/>
    <cellStyle name="Comma 4 3 2 13" xfId="8841" xr:uid="{830B4BEC-C3B5-4FAB-A331-9AC8A92C9392}"/>
    <cellStyle name="Comma 4 3 2 2" xfId="146" xr:uid="{00000000-0005-0000-0000-000015090000}"/>
    <cellStyle name="Comma 4 3 2 2 10" xfId="4618" xr:uid="{00000000-0005-0000-0000-000016090000}"/>
    <cellStyle name="Comma 4 3 2 2 10 2" xfId="21501" xr:uid="{B8486DCC-87DC-46C6-8CCD-BC400DCDB5B2}"/>
    <cellStyle name="Comma 4 3 2 2 10 3" xfId="13060" xr:uid="{0A1F3B28-2423-447D-9BC4-13CD3A23E696}"/>
    <cellStyle name="Comma 4 3 2 2 11" xfId="17283" xr:uid="{20F19CE6-D371-4DD7-A50F-275E2A60F4F8}"/>
    <cellStyle name="Comma 4 3 2 2 12" xfId="8842" xr:uid="{E876B39A-5CD4-4E5C-A026-7AF8D39D26A7}"/>
    <cellStyle name="Comma 4 3 2 2 2" xfId="147" xr:uid="{00000000-0005-0000-0000-000017090000}"/>
    <cellStyle name="Comma 4 3 2 2 2 10" xfId="17284" xr:uid="{DAB58224-64A2-4932-9DC5-230782F609F9}"/>
    <cellStyle name="Comma 4 3 2 2 2 11" xfId="8843" xr:uid="{7FA1D4B1-A23B-4C62-90FF-C0FA33BD0F33}"/>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24061" xr:uid="{F1B2F991-E9E8-4F1F-8226-FFDE7C004F90}"/>
    <cellStyle name="Comma 4 3 2 2 2 2 2 2 3" xfId="15620" xr:uid="{D1C34D75-79FE-4BB9-B085-8DF0692409A9}"/>
    <cellStyle name="Comma 4 3 2 2 2 2 2 3" xfId="19843" xr:uid="{983E3940-084F-42DF-AAFE-38326B6315F9}"/>
    <cellStyle name="Comma 4 3 2 2 2 2 2 4" xfId="11402" xr:uid="{7915EC47-07D4-4141-BE6A-10EFB77A5195}"/>
    <cellStyle name="Comma 4 3 2 2 2 2 3" xfId="5033" xr:uid="{00000000-0005-0000-0000-00001B090000}"/>
    <cellStyle name="Comma 4 3 2 2 2 2 3 2" xfId="21916" xr:uid="{E3500B86-9DE5-4412-AABE-9954EFCE8DD3}"/>
    <cellStyle name="Comma 4 3 2 2 2 2 3 3" xfId="13475" xr:uid="{54214C86-9029-4EE2-BE86-1CD669D48AAF}"/>
    <cellStyle name="Comma 4 3 2 2 2 2 4" xfId="17698" xr:uid="{F7E6BB82-3CD0-4108-BF29-E0C072152CEC}"/>
    <cellStyle name="Comma 4 3 2 2 2 2 5" xfId="9257" xr:uid="{8DD73C1A-47EE-4DF9-B27F-CD4CD802B923}"/>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24474" xr:uid="{8D7013D5-503A-4EEC-86B9-5436379ED827}"/>
    <cellStyle name="Comma 4 3 2 2 2 3 2 2 3" xfId="16033" xr:uid="{B1141707-610C-48A6-99DD-14ABA7E008D0}"/>
    <cellStyle name="Comma 4 3 2 2 2 3 2 3" xfId="20256" xr:uid="{1BB05437-59F3-4FA6-BB6B-3CA330E3CE52}"/>
    <cellStyle name="Comma 4 3 2 2 2 3 2 4" xfId="11815" xr:uid="{FB1AEFAA-7CC2-44FD-8CE8-4C63A72E6520}"/>
    <cellStyle name="Comma 4 3 2 2 2 3 3" xfId="5446" xr:uid="{00000000-0005-0000-0000-00001F090000}"/>
    <cellStyle name="Comma 4 3 2 2 2 3 3 2" xfId="22329" xr:uid="{4A8D7220-1EB2-4F9A-B18D-ED3E2AF8257D}"/>
    <cellStyle name="Comma 4 3 2 2 2 3 3 3" xfId="13888" xr:uid="{845F2186-F527-4D60-9C5C-BCFE83A7C7AB}"/>
    <cellStyle name="Comma 4 3 2 2 2 3 4" xfId="18111" xr:uid="{06B53A8E-4B17-4719-A0E3-3AE3839F0716}"/>
    <cellStyle name="Comma 4 3 2 2 2 3 5" xfId="9670" xr:uid="{221E8F26-EAF9-4982-AD29-C201F572FCD0}"/>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24887" xr:uid="{8B76CA98-1A89-4D27-BB6C-0296061D1B40}"/>
    <cellStyle name="Comma 4 3 2 2 2 4 2 2 3" xfId="16446" xr:uid="{1D16DADC-6170-4029-BF48-D00DB83B68C7}"/>
    <cellStyle name="Comma 4 3 2 2 2 4 2 3" xfId="20669" xr:uid="{F21D23D9-E952-4C7B-9D00-44BD0E686CDB}"/>
    <cellStyle name="Comma 4 3 2 2 2 4 2 4" xfId="12228" xr:uid="{A1C65C98-13C7-4772-B923-A35342841E56}"/>
    <cellStyle name="Comma 4 3 2 2 2 4 3" xfId="5859" xr:uid="{00000000-0005-0000-0000-000023090000}"/>
    <cellStyle name="Comma 4 3 2 2 2 4 3 2" xfId="22742" xr:uid="{8876E100-462D-4588-A2F5-539BE681A26B}"/>
    <cellStyle name="Comma 4 3 2 2 2 4 3 3" xfId="14301" xr:uid="{A9F1A371-E03D-4911-B197-D87E9218530A}"/>
    <cellStyle name="Comma 4 3 2 2 2 4 4" xfId="18524" xr:uid="{A2A0A5B4-5031-41DA-936B-052B0C421984}"/>
    <cellStyle name="Comma 4 3 2 2 2 4 5" xfId="10083" xr:uid="{4A432994-9D4A-4F78-8F01-50D3E6837CE4}"/>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25300" xr:uid="{349A3907-08CB-4CCD-8A1E-4B94B4F60BE1}"/>
    <cellStyle name="Comma 4 3 2 2 2 5 2 2 3" xfId="16859" xr:uid="{05A96CC9-F840-4941-9ADB-36C04B53EE88}"/>
    <cellStyle name="Comma 4 3 2 2 2 5 2 3" xfId="21082" xr:uid="{E7D60634-18FC-43BE-A86E-DA4D9F929124}"/>
    <cellStyle name="Comma 4 3 2 2 2 5 2 4" xfId="12641" xr:uid="{E0177C52-299B-4F59-9ACC-1188834D3A7A}"/>
    <cellStyle name="Comma 4 3 2 2 2 5 3" xfId="6272" xr:uid="{00000000-0005-0000-0000-000027090000}"/>
    <cellStyle name="Comma 4 3 2 2 2 5 3 2" xfId="23155" xr:uid="{51D3DC4B-7F1E-42AC-82E2-F3CAE99C0363}"/>
    <cellStyle name="Comma 4 3 2 2 2 5 3 3" xfId="14714" xr:uid="{6BC4639B-13A9-4781-B5D9-FCA289A88BF7}"/>
    <cellStyle name="Comma 4 3 2 2 2 5 4" xfId="18937" xr:uid="{1674579C-6823-44DD-9A88-D880A89E4D59}"/>
    <cellStyle name="Comma 4 3 2 2 2 5 5" xfId="10496" xr:uid="{C811BBC1-D798-498D-B46F-2B9125E30564}"/>
    <cellStyle name="Comma 4 3 2 2 2 6" xfId="2400" xr:uid="{00000000-0005-0000-0000-000028090000}"/>
    <cellStyle name="Comma 4 3 2 2 2 6 2" xfId="6685" xr:uid="{00000000-0005-0000-0000-000029090000}"/>
    <cellStyle name="Comma 4 3 2 2 2 6 2 2" xfId="23568" xr:uid="{7BAF2E83-4D65-42BE-876D-585C42D9C40D}"/>
    <cellStyle name="Comma 4 3 2 2 2 6 2 3" xfId="15127" xr:uid="{E504B105-3084-4FEB-A0D5-AC4A216F5C48}"/>
    <cellStyle name="Comma 4 3 2 2 2 6 3" xfId="19350" xr:uid="{451510E6-520D-4E00-9C8D-E1EF114D24C3}"/>
    <cellStyle name="Comma 4 3 2 2 2 6 4" xfId="10909" xr:uid="{9D74E5F6-FEC2-48FD-8347-47B504559E0D}"/>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23885" xr:uid="{2587CF08-9EE9-464A-8077-CB05C384D0C5}"/>
    <cellStyle name="Comma 4 3 2 2 2 8 2 3" xfId="15444" xr:uid="{F0AD4C1E-2FC6-470D-A1DA-6A3C13995F21}"/>
    <cellStyle name="Comma 4 3 2 2 2 8 3" xfId="19667" xr:uid="{17185E99-E682-4E24-B3B0-357EFB02755E}"/>
    <cellStyle name="Comma 4 3 2 2 2 8 4" xfId="11226" xr:uid="{1E05890A-0FC2-401D-B56F-75ABC5DFD7F9}"/>
    <cellStyle name="Comma 4 3 2 2 2 9" xfId="4619" xr:uid="{00000000-0005-0000-0000-00002D090000}"/>
    <cellStyle name="Comma 4 3 2 2 2 9 2" xfId="21502" xr:uid="{38E3DAB5-70E4-434F-9680-671299FC1825}"/>
    <cellStyle name="Comma 4 3 2 2 2 9 3" xfId="13061" xr:uid="{D235D169-FEAA-41CA-9E2A-17D7857DD87D}"/>
    <cellStyle name="Comma 4 3 2 2 3" xfId="683" xr:uid="{00000000-0005-0000-0000-00002E090000}"/>
    <cellStyle name="Comma 4 3 2 2 3 2" xfId="2954" xr:uid="{00000000-0005-0000-0000-00002F090000}"/>
    <cellStyle name="Comma 4 3 2 2 3 2 2" xfId="7177" xr:uid="{00000000-0005-0000-0000-000030090000}"/>
    <cellStyle name="Comma 4 3 2 2 3 2 2 2" xfId="24060" xr:uid="{9CE6A6C6-F189-492E-A6D5-4C51540BC142}"/>
    <cellStyle name="Comma 4 3 2 2 3 2 2 3" xfId="15619" xr:uid="{16146009-2001-41E1-B2E9-AC19D1C95853}"/>
    <cellStyle name="Comma 4 3 2 2 3 2 3" xfId="19842" xr:uid="{FBF0603F-AE91-41A6-BE00-B22DFAF62B0B}"/>
    <cellStyle name="Comma 4 3 2 2 3 2 4" xfId="11401" xr:uid="{92C67D05-FC51-420C-8F66-5B26F1079BE9}"/>
    <cellStyle name="Comma 4 3 2 2 3 3" xfId="5032" xr:uid="{00000000-0005-0000-0000-000031090000}"/>
    <cellStyle name="Comma 4 3 2 2 3 3 2" xfId="21915" xr:uid="{A7E18EF7-90B6-45B3-8DB1-6C790ABDBFFB}"/>
    <cellStyle name="Comma 4 3 2 2 3 3 3" xfId="13474" xr:uid="{ABF65DF1-6595-401D-A5A0-4AD79613CF92}"/>
    <cellStyle name="Comma 4 3 2 2 3 4" xfId="17697" xr:uid="{8EE2A474-2952-43D6-A6B7-638A2DEEBE37}"/>
    <cellStyle name="Comma 4 3 2 2 3 5" xfId="9256" xr:uid="{ABC43BBB-1D18-4399-A5B0-F123A7E7973F}"/>
    <cellStyle name="Comma 4 3 2 2 4" xfId="1136" xr:uid="{00000000-0005-0000-0000-000032090000}"/>
    <cellStyle name="Comma 4 3 2 2 4 2" xfId="3367" xr:uid="{00000000-0005-0000-0000-000033090000}"/>
    <cellStyle name="Comma 4 3 2 2 4 2 2" xfId="7590" xr:uid="{00000000-0005-0000-0000-000034090000}"/>
    <cellStyle name="Comma 4 3 2 2 4 2 2 2" xfId="24473" xr:uid="{0D49CD7B-A67C-4F07-B95B-936776E38CED}"/>
    <cellStyle name="Comma 4 3 2 2 4 2 2 3" xfId="16032" xr:uid="{A29EB8CE-8A1D-4479-BBA6-5E9FF7F316A7}"/>
    <cellStyle name="Comma 4 3 2 2 4 2 3" xfId="20255" xr:uid="{DBFD1443-81CB-4A1B-847D-0C65442A021B}"/>
    <cellStyle name="Comma 4 3 2 2 4 2 4" xfId="11814" xr:uid="{40D0562B-5811-4B04-959A-368C901E401F}"/>
    <cellStyle name="Comma 4 3 2 2 4 3" xfId="5445" xr:uid="{00000000-0005-0000-0000-000035090000}"/>
    <cellStyle name="Comma 4 3 2 2 4 3 2" xfId="22328" xr:uid="{648850B4-5E6E-4933-8B38-AA559FAC5031}"/>
    <cellStyle name="Comma 4 3 2 2 4 3 3" xfId="13887" xr:uid="{25C2CB12-9F07-4181-B9FA-82D3404B4527}"/>
    <cellStyle name="Comma 4 3 2 2 4 4" xfId="18110" xr:uid="{7146E0F9-2848-4082-85BC-E41C88090529}"/>
    <cellStyle name="Comma 4 3 2 2 4 5" xfId="9669" xr:uid="{7E2551C4-18F8-48F6-886A-D4DF3087478A}"/>
    <cellStyle name="Comma 4 3 2 2 5" xfId="1550" xr:uid="{00000000-0005-0000-0000-000036090000}"/>
    <cellStyle name="Comma 4 3 2 2 5 2" xfId="3780" xr:uid="{00000000-0005-0000-0000-000037090000}"/>
    <cellStyle name="Comma 4 3 2 2 5 2 2" xfId="8003" xr:uid="{00000000-0005-0000-0000-000038090000}"/>
    <cellStyle name="Comma 4 3 2 2 5 2 2 2" xfId="24886" xr:uid="{485C0886-C348-4A03-9925-FD99BDE5A8BA}"/>
    <cellStyle name="Comma 4 3 2 2 5 2 2 3" xfId="16445" xr:uid="{10F009FD-9952-461E-B9BA-43EC3C1FA9DA}"/>
    <cellStyle name="Comma 4 3 2 2 5 2 3" xfId="20668" xr:uid="{59D7A017-D3A1-4B68-A18B-427B3FDEA3B8}"/>
    <cellStyle name="Comma 4 3 2 2 5 2 4" xfId="12227" xr:uid="{4646D059-E49E-495A-9B89-731CF9E2195C}"/>
    <cellStyle name="Comma 4 3 2 2 5 3" xfId="5858" xr:uid="{00000000-0005-0000-0000-000039090000}"/>
    <cellStyle name="Comma 4 3 2 2 5 3 2" xfId="22741" xr:uid="{FEC2EFE3-6B53-4C20-89B6-9CD12CA648B5}"/>
    <cellStyle name="Comma 4 3 2 2 5 3 3" xfId="14300" xr:uid="{B79D9424-2AFF-4D76-9349-6ABD2C856FF5}"/>
    <cellStyle name="Comma 4 3 2 2 5 4" xfId="18523" xr:uid="{9E22A496-E604-46AB-A014-97CF982692CE}"/>
    <cellStyle name="Comma 4 3 2 2 5 5" xfId="10082" xr:uid="{483FF9F1-654A-4D73-B5F0-F7CE5C8048DC}"/>
    <cellStyle name="Comma 4 3 2 2 6" xfId="1964" xr:uid="{00000000-0005-0000-0000-00003A090000}"/>
    <cellStyle name="Comma 4 3 2 2 6 2" xfId="4193" xr:uid="{00000000-0005-0000-0000-00003B090000}"/>
    <cellStyle name="Comma 4 3 2 2 6 2 2" xfId="8416" xr:uid="{00000000-0005-0000-0000-00003C090000}"/>
    <cellStyle name="Comma 4 3 2 2 6 2 2 2" xfId="25299" xr:uid="{ACF8F63D-5288-4CAF-8C96-6FE1FAF8557C}"/>
    <cellStyle name="Comma 4 3 2 2 6 2 2 3" xfId="16858" xr:uid="{74CE1B49-6696-4E43-B9CA-6B4A1ED7F894}"/>
    <cellStyle name="Comma 4 3 2 2 6 2 3" xfId="21081" xr:uid="{FD6E6A05-EBAA-4540-9469-D8B3C5ACD109}"/>
    <cellStyle name="Comma 4 3 2 2 6 2 4" xfId="12640" xr:uid="{AE6F56B4-8CE3-4F89-BB43-20D64276E12D}"/>
    <cellStyle name="Comma 4 3 2 2 6 3" xfId="6271" xr:uid="{00000000-0005-0000-0000-00003D090000}"/>
    <cellStyle name="Comma 4 3 2 2 6 3 2" xfId="23154" xr:uid="{9578AFD2-3952-4307-AC41-1F2013D7EFCC}"/>
    <cellStyle name="Comma 4 3 2 2 6 3 3" xfId="14713" xr:uid="{D5754896-1E0D-4900-91AB-6445893A084D}"/>
    <cellStyle name="Comma 4 3 2 2 6 4" xfId="18936" xr:uid="{D7E1D78C-851A-4277-9430-B7C9BA7AB117}"/>
    <cellStyle name="Comma 4 3 2 2 6 5" xfId="10495" xr:uid="{61CCBAF2-6614-4559-8477-6BD9B1293827}"/>
    <cellStyle name="Comma 4 3 2 2 7" xfId="2399" xr:uid="{00000000-0005-0000-0000-00003E090000}"/>
    <cellStyle name="Comma 4 3 2 2 7 2" xfId="6684" xr:uid="{00000000-0005-0000-0000-00003F090000}"/>
    <cellStyle name="Comma 4 3 2 2 7 2 2" xfId="23567" xr:uid="{43B5F157-10C1-4596-86FD-5C3BECE99932}"/>
    <cellStyle name="Comma 4 3 2 2 7 2 3" xfId="15126" xr:uid="{58B5EBF0-6E87-4295-A48D-C37EEA227404}"/>
    <cellStyle name="Comma 4 3 2 2 7 3" xfId="19349" xr:uid="{A9D7D1EF-5337-4F45-B96D-7B6AD92D01E7}"/>
    <cellStyle name="Comma 4 3 2 2 7 4" xfId="10908" xr:uid="{CA0B90A1-CC7A-4D8E-A1CF-8CFAC5AA1657}"/>
    <cellStyle name="Comma 4 3 2 2 8" xfId="2364" xr:uid="{00000000-0005-0000-0000-000040090000}"/>
    <cellStyle name="Comma 4 3 2 2 9" xfId="2777" xr:uid="{00000000-0005-0000-0000-000041090000}"/>
    <cellStyle name="Comma 4 3 2 2 9 2" xfId="7001" xr:uid="{00000000-0005-0000-0000-000042090000}"/>
    <cellStyle name="Comma 4 3 2 2 9 2 2" xfId="23884" xr:uid="{0D9F1619-80F9-4231-B9E5-60AAA97FFA9E}"/>
    <cellStyle name="Comma 4 3 2 2 9 2 3" xfId="15443" xr:uid="{6CF458B0-D250-4E60-ADFE-EBBC46B26AB0}"/>
    <cellStyle name="Comma 4 3 2 2 9 3" xfId="19666" xr:uid="{40F5F303-3BAD-44C7-820D-CC7C624AF83C}"/>
    <cellStyle name="Comma 4 3 2 2 9 4" xfId="11225" xr:uid="{FDB12FE0-E373-487E-97AD-81B4D337AF8A}"/>
    <cellStyle name="Comma 4 3 2 3" xfId="148" xr:uid="{00000000-0005-0000-0000-000043090000}"/>
    <cellStyle name="Comma 4 3 2 3 10" xfId="17285" xr:uid="{479195C1-4C00-48CB-A809-38172D45CE0E}"/>
    <cellStyle name="Comma 4 3 2 3 11" xfId="8844" xr:uid="{0CC6C75B-7D1C-4198-B2A1-442C870B8BF5}"/>
    <cellStyle name="Comma 4 3 2 3 2" xfId="685" xr:uid="{00000000-0005-0000-0000-000044090000}"/>
    <cellStyle name="Comma 4 3 2 3 2 2" xfId="2956" xr:uid="{00000000-0005-0000-0000-000045090000}"/>
    <cellStyle name="Comma 4 3 2 3 2 2 2" xfId="7179" xr:uid="{00000000-0005-0000-0000-000046090000}"/>
    <cellStyle name="Comma 4 3 2 3 2 2 2 2" xfId="24062" xr:uid="{5AA609BF-651F-4FCB-8989-08DAD744A341}"/>
    <cellStyle name="Comma 4 3 2 3 2 2 2 3" xfId="15621" xr:uid="{7C576A58-F1A4-41EB-93FE-54E84490EE77}"/>
    <cellStyle name="Comma 4 3 2 3 2 2 3" xfId="19844" xr:uid="{557208B4-D1A6-4DBA-8F5B-0D34AAE60CA6}"/>
    <cellStyle name="Comma 4 3 2 3 2 2 4" xfId="11403" xr:uid="{6B5DB432-FC53-4E60-B3E8-0E30B951149A}"/>
    <cellStyle name="Comma 4 3 2 3 2 3" xfId="5034" xr:uid="{00000000-0005-0000-0000-000047090000}"/>
    <cellStyle name="Comma 4 3 2 3 2 3 2" xfId="21917" xr:uid="{1D4FBD98-165C-46C3-9B06-AF8E25B3091B}"/>
    <cellStyle name="Comma 4 3 2 3 2 3 3" xfId="13476" xr:uid="{C39A742C-FBAD-469F-A90A-E3D5567589F5}"/>
    <cellStyle name="Comma 4 3 2 3 2 4" xfId="17699" xr:uid="{CDC31417-55AD-498B-A073-E1436AD59516}"/>
    <cellStyle name="Comma 4 3 2 3 2 5" xfId="9258" xr:uid="{93AD8500-7334-4A34-A027-6640ADC2D1B4}"/>
    <cellStyle name="Comma 4 3 2 3 3" xfId="1138" xr:uid="{00000000-0005-0000-0000-000048090000}"/>
    <cellStyle name="Comma 4 3 2 3 3 2" xfId="3369" xr:uid="{00000000-0005-0000-0000-000049090000}"/>
    <cellStyle name="Comma 4 3 2 3 3 2 2" xfId="7592" xr:uid="{00000000-0005-0000-0000-00004A090000}"/>
    <cellStyle name="Comma 4 3 2 3 3 2 2 2" xfId="24475" xr:uid="{70C35FFE-7E02-41EF-B0DB-7C3C7E36CBBA}"/>
    <cellStyle name="Comma 4 3 2 3 3 2 2 3" xfId="16034" xr:uid="{520B9F1D-EAD1-48EF-9E9F-1769E717B0F5}"/>
    <cellStyle name="Comma 4 3 2 3 3 2 3" xfId="20257" xr:uid="{42431F95-B10C-41B8-841F-A608551FAFFD}"/>
    <cellStyle name="Comma 4 3 2 3 3 2 4" xfId="11816" xr:uid="{4D26D535-1851-49EF-BE42-CA3443D6B701}"/>
    <cellStyle name="Comma 4 3 2 3 3 3" xfId="5447" xr:uid="{00000000-0005-0000-0000-00004B090000}"/>
    <cellStyle name="Comma 4 3 2 3 3 3 2" xfId="22330" xr:uid="{F028F82B-C938-4789-A0E3-C7A1778E25E9}"/>
    <cellStyle name="Comma 4 3 2 3 3 3 3" xfId="13889" xr:uid="{8A28036C-AD7F-4A52-B612-EBCE39B4E402}"/>
    <cellStyle name="Comma 4 3 2 3 3 4" xfId="18112" xr:uid="{CFD985C6-693F-470D-AAD9-5907F45B8F88}"/>
    <cellStyle name="Comma 4 3 2 3 3 5" xfId="9671" xr:uid="{EB842B9F-D523-47BB-ADE2-06443E118256}"/>
    <cellStyle name="Comma 4 3 2 3 4" xfId="1552" xr:uid="{00000000-0005-0000-0000-00004C090000}"/>
    <cellStyle name="Comma 4 3 2 3 4 2" xfId="3782" xr:uid="{00000000-0005-0000-0000-00004D090000}"/>
    <cellStyle name="Comma 4 3 2 3 4 2 2" xfId="8005" xr:uid="{00000000-0005-0000-0000-00004E090000}"/>
    <cellStyle name="Comma 4 3 2 3 4 2 2 2" xfId="24888" xr:uid="{CAE73D6D-04CA-4E96-998C-AEC33E3A393B}"/>
    <cellStyle name="Comma 4 3 2 3 4 2 2 3" xfId="16447" xr:uid="{38EF18BD-A44F-4694-9EF6-5ABF70F52E79}"/>
    <cellStyle name="Comma 4 3 2 3 4 2 3" xfId="20670" xr:uid="{ABF97F53-CA5F-402C-9BBB-E172516AC28A}"/>
    <cellStyle name="Comma 4 3 2 3 4 2 4" xfId="12229" xr:uid="{C3FDEDBB-4897-4323-B056-8131A21C36C8}"/>
    <cellStyle name="Comma 4 3 2 3 4 3" xfId="5860" xr:uid="{00000000-0005-0000-0000-00004F090000}"/>
    <cellStyle name="Comma 4 3 2 3 4 3 2" xfId="22743" xr:uid="{F41F922D-8636-412A-A1A2-E3531C9EE175}"/>
    <cellStyle name="Comma 4 3 2 3 4 3 3" xfId="14302" xr:uid="{2FDE781C-1D07-48C0-A610-8DB46E651025}"/>
    <cellStyle name="Comma 4 3 2 3 4 4" xfId="18525" xr:uid="{7B5DD492-470A-4E75-BF28-3100CCEBE60A}"/>
    <cellStyle name="Comma 4 3 2 3 4 5" xfId="10084" xr:uid="{58064E38-6D53-4265-811D-0785D62845BD}"/>
    <cellStyle name="Comma 4 3 2 3 5" xfId="1966" xr:uid="{00000000-0005-0000-0000-000050090000}"/>
    <cellStyle name="Comma 4 3 2 3 5 2" xfId="4195" xr:uid="{00000000-0005-0000-0000-000051090000}"/>
    <cellStyle name="Comma 4 3 2 3 5 2 2" xfId="8418" xr:uid="{00000000-0005-0000-0000-000052090000}"/>
    <cellStyle name="Comma 4 3 2 3 5 2 2 2" xfId="25301" xr:uid="{7B04027F-907E-40B9-9273-6899A5353887}"/>
    <cellStyle name="Comma 4 3 2 3 5 2 2 3" xfId="16860" xr:uid="{ED8D409E-BF3A-47F0-8D34-05BCF792B067}"/>
    <cellStyle name="Comma 4 3 2 3 5 2 3" xfId="21083" xr:uid="{9B46C1D0-D235-4E58-9C18-CCA52BD0B99B}"/>
    <cellStyle name="Comma 4 3 2 3 5 2 4" xfId="12642" xr:uid="{B894208C-078E-4C7E-864E-A48A75946597}"/>
    <cellStyle name="Comma 4 3 2 3 5 3" xfId="6273" xr:uid="{00000000-0005-0000-0000-000053090000}"/>
    <cellStyle name="Comma 4 3 2 3 5 3 2" xfId="23156" xr:uid="{94AEEA3E-F2A5-443E-AC4B-788FDA9FF46D}"/>
    <cellStyle name="Comma 4 3 2 3 5 3 3" xfId="14715" xr:uid="{1BFF8A12-5609-452D-AEA1-EC39E377F2EC}"/>
    <cellStyle name="Comma 4 3 2 3 5 4" xfId="18938" xr:uid="{65B9E468-BA13-4345-BBB7-EF28E07BB70B}"/>
    <cellStyle name="Comma 4 3 2 3 5 5" xfId="10497" xr:uid="{0771B44C-5E16-49C4-9A4C-56F197963F11}"/>
    <cellStyle name="Comma 4 3 2 3 6" xfId="2401" xr:uid="{00000000-0005-0000-0000-000054090000}"/>
    <cellStyle name="Comma 4 3 2 3 6 2" xfId="6686" xr:uid="{00000000-0005-0000-0000-000055090000}"/>
    <cellStyle name="Comma 4 3 2 3 6 2 2" xfId="23569" xr:uid="{891B6326-5B1C-4273-A69D-41F732239014}"/>
    <cellStyle name="Comma 4 3 2 3 6 2 3" xfId="15128" xr:uid="{0BAB1D78-17D9-4A41-BCA5-22D47101AD36}"/>
    <cellStyle name="Comma 4 3 2 3 6 3" xfId="19351" xr:uid="{5EBE5E8B-80BB-46DA-900D-BE5CCE9C7CF7}"/>
    <cellStyle name="Comma 4 3 2 3 6 4" xfId="10910" xr:uid="{A8CD8B7E-EB20-4E25-877E-B8C89122E4F3}"/>
    <cellStyle name="Comma 4 3 2 3 7" xfId="2362" xr:uid="{00000000-0005-0000-0000-000056090000}"/>
    <cellStyle name="Comma 4 3 2 3 8" xfId="2779" xr:uid="{00000000-0005-0000-0000-000057090000}"/>
    <cellStyle name="Comma 4 3 2 3 8 2" xfId="7003" xr:uid="{00000000-0005-0000-0000-000058090000}"/>
    <cellStyle name="Comma 4 3 2 3 8 2 2" xfId="23886" xr:uid="{6FE3C75A-0648-41F7-AF57-FA61178F8202}"/>
    <cellStyle name="Comma 4 3 2 3 8 2 3" xfId="15445" xr:uid="{44F17A9A-AB1A-476B-BF53-75348FE1CA93}"/>
    <cellStyle name="Comma 4 3 2 3 8 3" xfId="19668" xr:uid="{925DAECC-BEFB-4AC9-B3AF-8248E97182BB}"/>
    <cellStyle name="Comma 4 3 2 3 8 4" xfId="11227" xr:uid="{03E428E3-7EDD-4942-AF25-1D56CC3D6BD2}"/>
    <cellStyle name="Comma 4 3 2 3 9" xfId="4620" xr:uid="{00000000-0005-0000-0000-000059090000}"/>
    <cellStyle name="Comma 4 3 2 3 9 2" xfId="21503" xr:uid="{4AF85BFA-8F87-4335-BBAE-969A3A1B13EF}"/>
    <cellStyle name="Comma 4 3 2 3 9 3" xfId="13062" xr:uid="{743EB06A-14D8-450D-B9A9-EC5C2A00B36D}"/>
    <cellStyle name="Comma 4 3 2 4" xfId="682" xr:uid="{00000000-0005-0000-0000-00005A090000}"/>
    <cellStyle name="Comma 4 3 2 4 2" xfId="2953" xr:uid="{00000000-0005-0000-0000-00005B090000}"/>
    <cellStyle name="Comma 4 3 2 4 2 2" xfId="7176" xr:uid="{00000000-0005-0000-0000-00005C090000}"/>
    <cellStyle name="Comma 4 3 2 4 2 2 2" xfId="24059" xr:uid="{AD46D889-36D8-4380-BDD0-65A89392D791}"/>
    <cellStyle name="Comma 4 3 2 4 2 2 3" xfId="15618" xr:uid="{3BB16406-981B-49E4-8DE1-4582ED8BCFBC}"/>
    <cellStyle name="Comma 4 3 2 4 2 3" xfId="19841" xr:uid="{4C31C40A-4792-4ECE-9A1F-ED919723E2A0}"/>
    <cellStyle name="Comma 4 3 2 4 2 4" xfId="11400" xr:uid="{BCF7FD6B-92A8-4CD4-8C98-13C6BB00C67D}"/>
    <cellStyle name="Comma 4 3 2 4 3" xfId="5031" xr:uid="{00000000-0005-0000-0000-00005D090000}"/>
    <cellStyle name="Comma 4 3 2 4 3 2" xfId="21914" xr:uid="{25608958-FC53-4659-B7F6-40441DF259EB}"/>
    <cellStyle name="Comma 4 3 2 4 3 3" xfId="13473" xr:uid="{96808305-8F07-4EB2-9CCA-F2EC2ECC8970}"/>
    <cellStyle name="Comma 4 3 2 4 4" xfId="17696" xr:uid="{5C92C1CD-C3C3-470E-BFEC-B0FEA923FE48}"/>
    <cellStyle name="Comma 4 3 2 4 5" xfId="9255" xr:uid="{A75F329D-30AE-400B-B90A-0DBC4C25703C}"/>
    <cellStyle name="Comma 4 3 2 5" xfId="1135" xr:uid="{00000000-0005-0000-0000-00005E090000}"/>
    <cellStyle name="Comma 4 3 2 5 2" xfId="3366" xr:uid="{00000000-0005-0000-0000-00005F090000}"/>
    <cellStyle name="Comma 4 3 2 5 2 2" xfId="7589" xr:uid="{00000000-0005-0000-0000-000060090000}"/>
    <cellStyle name="Comma 4 3 2 5 2 2 2" xfId="24472" xr:uid="{C3BA5CF8-6B46-423C-BC5E-B25A805D87A4}"/>
    <cellStyle name="Comma 4 3 2 5 2 2 3" xfId="16031" xr:uid="{F3E2DA23-3686-40CC-BF97-6FF7CE222F99}"/>
    <cellStyle name="Comma 4 3 2 5 2 3" xfId="20254" xr:uid="{ACB88661-ECED-45FA-BE01-6FBB161DB9F1}"/>
    <cellStyle name="Comma 4 3 2 5 2 4" xfId="11813" xr:uid="{6A456BD3-6C64-47EF-9544-9B9F017139B7}"/>
    <cellStyle name="Comma 4 3 2 5 3" xfId="5444" xr:uid="{00000000-0005-0000-0000-000061090000}"/>
    <cellStyle name="Comma 4 3 2 5 3 2" xfId="22327" xr:uid="{BD637BAA-AA19-4115-873D-46E582840979}"/>
    <cellStyle name="Comma 4 3 2 5 3 3" xfId="13886" xr:uid="{953FB604-BD41-46A3-9EE7-4D5ED73497BD}"/>
    <cellStyle name="Comma 4 3 2 5 4" xfId="18109" xr:uid="{88F22929-15FF-48DA-90F1-5EC32BC514DB}"/>
    <cellStyle name="Comma 4 3 2 5 5" xfId="9668" xr:uid="{A4D227DA-AB70-40B2-A5B6-C376597FC35D}"/>
    <cellStyle name="Comma 4 3 2 6" xfId="1549" xr:uid="{00000000-0005-0000-0000-000062090000}"/>
    <cellStyle name="Comma 4 3 2 6 2" xfId="3779" xr:uid="{00000000-0005-0000-0000-000063090000}"/>
    <cellStyle name="Comma 4 3 2 6 2 2" xfId="8002" xr:uid="{00000000-0005-0000-0000-000064090000}"/>
    <cellStyle name="Comma 4 3 2 6 2 2 2" xfId="24885" xr:uid="{161CDE40-AC92-460E-8974-C6D2BD7E2C14}"/>
    <cellStyle name="Comma 4 3 2 6 2 2 3" xfId="16444" xr:uid="{F5D2DCB9-52A3-4951-911B-55A8F130313C}"/>
    <cellStyle name="Comma 4 3 2 6 2 3" xfId="20667" xr:uid="{98C9E775-CFE6-4D80-BC0E-BEE708C1D29F}"/>
    <cellStyle name="Comma 4 3 2 6 2 4" xfId="12226" xr:uid="{6636BF26-5272-43D5-9D67-1D522C469257}"/>
    <cellStyle name="Comma 4 3 2 6 3" xfId="5857" xr:uid="{00000000-0005-0000-0000-000065090000}"/>
    <cellStyle name="Comma 4 3 2 6 3 2" xfId="22740" xr:uid="{722F78E0-8FD6-48F1-BE69-97794E4057C7}"/>
    <cellStyle name="Comma 4 3 2 6 3 3" xfId="14299" xr:uid="{3D6D5922-3D90-4773-97F3-4FDD6C05867B}"/>
    <cellStyle name="Comma 4 3 2 6 4" xfId="18522" xr:uid="{2BB8F7BF-3660-4B19-ADF9-9E8F4FFE9EE1}"/>
    <cellStyle name="Comma 4 3 2 6 5" xfId="10081" xr:uid="{6D331591-E422-4B9B-BC60-148B60BDA743}"/>
    <cellStyle name="Comma 4 3 2 7" xfId="1963" xr:uid="{00000000-0005-0000-0000-000066090000}"/>
    <cellStyle name="Comma 4 3 2 7 2" xfId="4192" xr:uid="{00000000-0005-0000-0000-000067090000}"/>
    <cellStyle name="Comma 4 3 2 7 2 2" xfId="8415" xr:uid="{00000000-0005-0000-0000-000068090000}"/>
    <cellStyle name="Comma 4 3 2 7 2 2 2" xfId="25298" xr:uid="{806E3E6A-AD25-48A2-8EDF-69A724FB7313}"/>
    <cellStyle name="Comma 4 3 2 7 2 2 3" xfId="16857" xr:uid="{D369509E-A1AF-4A66-BC66-E9CDC78D36EE}"/>
    <cellStyle name="Comma 4 3 2 7 2 3" xfId="21080" xr:uid="{73498A58-2229-4980-A453-CBDD5F6EAB1A}"/>
    <cellStyle name="Comma 4 3 2 7 2 4" xfId="12639" xr:uid="{9A5C3066-9513-4926-9936-293FE9367759}"/>
    <cellStyle name="Comma 4 3 2 7 3" xfId="6270" xr:uid="{00000000-0005-0000-0000-000069090000}"/>
    <cellStyle name="Comma 4 3 2 7 3 2" xfId="23153" xr:uid="{A8EA425D-F469-4754-BB04-0E5250CBD8F0}"/>
    <cellStyle name="Comma 4 3 2 7 3 3" xfId="14712" xr:uid="{69766524-96FD-4C23-B8F9-7DFFF0B058AF}"/>
    <cellStyle name="Comma 4 3 2 7 4" xfId="18935" xr:uid="{8BC452A3-817D-4CFC-B984-A460FA82DDAF}"/>
    <cellStyle name="Comma 4 3 2 7 5" xfId="10494" xr:uid="{41A32CC2-94EE-4FEB-9B1D-15022EA282E3}"/>
    <cellStyle name="Comma 4 3 2 8" xfId="2398" xr:uid="{00000000-0005-0000-0000-00006A090000}"/>
    <cellStyle name="Comma 4 3 2 8 2" xfId="6683" xr:uid="{00000000-0005-0000-0000-00006B090000}"/>
    <cellStyle name="Comma 4 3 2 8 2 2" xfId="23566" xr:uid="{801D3B5B-099D-48EF-B2F2-8BC2881B6B1C}"/>
    <cellStyle name="Comma 4 3 2 8 2 3" xfId="15125" xr:uid="{8F2F950F-F767-42DC-818E-46A3CD966DB7}"/>
    <cellStyle name="Comma 4 3 2 8 3" xfId="19348" xr:uid="{CFEA9D00-9BEC-4E27-8B9B-52980DF96F27}"/>
    <cellStyle name="Comma 4 3 2 8 4" xfId="10907" xr:uid="{6D533F00-A4AD-425A-9422-9E797D6DEB95}"/>
    <cellStyle name="Comma 4 3 2 9" xfId="2365" xr:uid="{00000000-0005-0000-0000-00006C090000}"/>
    <cellStyle name="Comma 4 3 3" xfId="149" xr:uid="{00000000-0005-0000-0000-00006D090000}"/>
    <cellStyle name="Comma 4 3 3 10" xfId="4621" xr:uid="{00000000-0005-0000-0000-00006E090000}"/>
    <cellStyle name="Comma 4 3 3 10 2" xfId="21504" xr:uid="{E16D10D7-ED18-41DD-896E-7C8EDAAED14D}"/>
    <cellStyle name="Comma 4 3 3 10 3" xfId="13063" xr:uid="{12B4A0E3-E66D-45C3-90AA-3429BE69E8D6}"/>
    <cellStyle name="Comma 4 3 3 11" xfId="17286" xr:uid="{B7C420FE-4376-4EE0-87AA-0EEE2BE365A3}"/>
    <cellStyle name="Comma 4 3 3 12" xfId="8845" xr:uid="{D246D94B-703F-41FB-AE9D-5E6458D8F99F}"/>
    <cellStyle name="Comma 4 3 3 2" xfId="150" xr:uid="{00000000-0005-0000-0000-00006F090000}"/>
    <cellStyle name="Comma 4 3 3 2 10" xfId="17287" xr:uid="{5D99376E-C9CD-42D2-8EED-56A659AA66C4}"/>
    <cellStyle name="Comma 4 3 3 2 11" xfId="8846" xr:uid="{6C17862E-6C75-4CE4-9668-3EA1D2EC418B}"/>
    <cellStyle name="Comma 4 3 3 2 2" xfId="687" xr:uid="{00000000-0005-0000-0000-000070090000}"/>
    <cellStyle name="Comma 4 3 3 2 2 2" xfId="2958" xr:uid="{00000000-0005-0000-0000-000071090000}"/>
    <cellStyle name="Comma 4 3 3 2 2 2 2" xfId="7181" xr:uid="{00000000-0005-0000-0000-000072090000}"/>
    <cellStyle name="Comma 4 3 3 2 2 2 2 2" xfId="24064" xr:uid="{62979D8B-3499-4728-BA0D-96CCB620E112}"/>
    <cellStyle name="Comma 4 3 3 2 2 2 2 3" xfId="15623" xr:uid="{E9C52CCF-327A-4FA8-BFF6-679C29503249}"/>
    <cellStyle name="Comma 4 3 3 2 2 2 3" xfId="19846" xr:uid="{697D6795-59F4-4BD2-BA96-A9B2AC06B289}"/>
    <cellStyle name="Comma 4 3 3 2 2 2 4" xfId="11405" xr:uid="{04C2F265-C58E-41AE-A6DF-208584731E11}"/>
    <cellStyle name="Comma 4 3 3 2 2 3" xfId="5036" xr:uid="{00000000-0005-0000-0000-000073090000}"/>
    <cellStyle name="Comma 4 3 3 2 2 3 2" xfId="21919" xr:uid="{23D5C973-D903-4469-A970-196E731F3D11}"/>
    <cellStyle name="Comma 4 3 3 2 2 3 3" xfId="13478" xr:uid="{D5E33492-283F-407D-8775-69F9023FAB68}"/>
    <cellStyle name="Comma 4 3 3 2 2 4" xfId="17701" xr:uid="{69658550-915B-486C-A9A2-22C028F9ACDC}"/>
    <cellStyle name="Comma 4 3 3 2 2 5" xfId="9260" xr:uid="{903B686A-98ED-4B8F-8386-F93CC0B4D6A5}"/>
    <cellStyle name="Comma 4 3 3 2 3" xfId="1140" xr:uid="{00000000-0005-0000-0000-000074090000}"/>
    <cellStyle name="Comma 4 3 3 2 3 2" xfId="3371" xr:uid="{00000000-0005-0000-0000-000075090000}"/>
    <cellStyle name="Comma 4 3 3 2 3 2 2" xfId="7594" xr:uid="{00000000-0005-0000-0000-000076090000}"/>
    <cellStyle name="Comma 4 3 3 2 3 2 2 2" xfId="24477" xr:uid="{45EFF67F-7324-45FB-8C44-308959083310}"/>
    <cellStyle name="Comma 4 3 3 2 3 2 2 3" xfId="16036" xr:uid="{A88ED819-8AF9-4FB6-88A4-39545B3883C3}"/>
    <cellStyle name="Comma 4 3 3 2 3 2 3" xfId="20259" xr:uid="{7F20A715-7EBF-440E-9161-061222624112}"/>
    <cellStyle name="Comma 4 3 3 2 3 2 4" xfId="11818" xr:uid="{85B36771-B24E-475D-9B98-9106472620D4}"/>
    <cellStyle name="Comma 4 3 3 2 3 3" xfId="5449" xr:uid="{00000000-0005-0000-0000-000077090000}"/>
    <cellStyle name="Comma 4 3 3 2 3 3 2" xfId="22332" xr:uid="{AD028F19-B323-438C-B293-5577F07889A1}"/>
    <cellStyle name="Comma 4 3 3 2 3 3 3" xfId="13891" xr:uid="{810D75B8-1D2A-4952-8BFB-8043A02E2A0B}"/>
    <cellStyle name="Comma 4 3 3 2 3 4" xfId="18114" xr:uid="{A72CB542-2E41-402F-9686-AD2B47F3E0AB}"/>
    <cellStyle name="Comma 4 3 3 2 3 5" xfId="9673" xr:uid="{54AB63F0-B599-480C-B2CB-7B97D4ECCFBA}"/>
    <cellStyle name="Comma 4 3 3 2 4" xfId="1554" xr:uid="{00000000-0005-0000-0000-000078090000}"/>
    <cellStyle name="Comma 4 3 3 2 4 2" xfId="3784" xr:uid="{00000000-0005-0000-0000-000079090000}"/>
    <cellStyle name="Comma 4 3 3 2 4 2 2" xfId="8007" xr:uid="{00000000-0005-0000-0000-00007A090000}"/>
    <cellStyle name="Comma 4 3 3 2 4 2 2 2" xfId="24890" xr:uid="{0C3C2824-ABFE-4771-A22C-08F437C7C6FE}"/>
    <cellStyle name="Comma 4 3 3 2 4 2 2 3" xfId="16449" xr:uid="{9C44F4CC-7E2A-44E5-9878-E77E84319682}"/>
    <cellStyle name="Comma 4 3 3 2 4 2 3" xfId="20672" xr:uid="{0E0CFBB3-7159-4CD0-9598-0983DF3E7245}"/>
    <cellStyle name="Comma 4 3 3 2 4 2 4" xfId="12231" xr:uid="{F4F77FD8-C4B7-4FC7-8A6A-E0CE701CB3F0}"/>
    <cellStyle name="Comma 4 3 3 2 4 3" xfId="5862" xr:uid="{00000000-0005-0000-0000-00007B090000}"/>
    <cellStyle name="Comma 4 3 3 2 4 3 2" xfId="22745" xr:uid="{DB33F70C-CF31-42A5-A855-C508BD6F2F41}"/>
    <cellStyle name="Comma 4 3 3 2 4 3 3" xfId="14304" xr:uid="{2406D057-5955-4F58-B3B6-9A2514550D4D}"/>
    <cellStyle name="Comma 4 3 3 2 4 4" xfId="18527" xr:uid="{B033A18B-68DD-4183-9B48-73A81F5F6EE8}"/>
    <cellStyle name="Comma 4 3 3 2 4 5" xfId="10086" xr:uid="{D78D2003-844F-4A3C-B457-5EC4010DE0E6}"/>
    <cellStyle name="Comma 4 3 3 2 5" xfId="1968" xr:uid="{00000000-0005-0000-0000-00007C090000}"/>
    <cellStyle name="Comma 4 3 3 2 5 2" xfId="4197" xr:uid="{00000000-0005-0000-0000-00007D090000}"/>
    <cellStyle name="Comma 4 3 3 2 5 2 2" xfId="8420" xr:uid="{00000000-0005-0000-0000-00007E090000}"/>
    <cellStyle name="Comma 4 3 3 2 5 2 2 2" xfId="25303" xr:uid="{92CEDA4D-9AA0-46BC-AE2A-D401F28CC21A}"/>
    <cellStyle name="Comma 4 3 3 2 5 2 2 3" xfId="16862" xr:uid="{C22AF5E1-3733-4E46-88D9-C8C483E0C2ED}"/>
    <cellStyle name="Comma 4 3 3 2 5 2 3" xfId="21085" xr:uid="{072AB17C-6330-4093-9434-213A2DBA364A}"/>
    <cellStyle name="Comma 4 3 3 2 5 2 4" xfId="12644" xr:uid="{B9B4A659-8537-4FAA-AF5D-1EA47A69BAC8}"/>
    <cellStyle name="Comma 4 3 3 2 5 3" xfId="6275" xr:uid="{00000000-0005-0000-0000-00007F090000}"/>
    <cellStyle name="Comma 4 3 3 2 5 3 2" xfId="23158" xr:uid="{5B9EEA8F-81F4-46AD-B6AE-8EF3198D3403}"/>
    <cellStyle name="Comma 4 3 3 2 5 3 3" xfId="14717" xr:uid="{39DB1BAE-5F7D-495D-8D2D-DDEB3ED64A61}"/>
    <cellStyle name="Comma 4 3 3 2 5 4" xfId="18940" xr:uid="{91490D5E-946A-4EDC-872C-AAE6C43FCC09}"/>
    <cellStyle name="Comma 4 3 3 2 5 5" xfId="10499" xr:uid="{1185C57E-6F8C-4BBE-BF19-BE67D90A3E4A}"/>
    <cellStyle name="Comma 4 3 3 2 6" xfId="2403" xr:uid="{00000000-0005-0000-0000-000080090000}"/>
    <cellStyle name="Comma 4 3 3 2 6 2" xfId="6688" xr:uid="{00000000-0005-0000-0000-000081090000}"/>
    <cellStyle name="Comma 4 3 3 2 6 2 2" xfId="23571" xr:uid="{39E5BA58-89E8-4D20-AE3E-EEDB10F9D2C7}"/>
    <cellStyle name="Comma 4 3 3 2 6 2 3" xfId="15130" xr:uid="{44D2F9C8-AB6B-417D-A75E-A8542DBA1ABE}"/>
    <cellStyle name="Comma 4 3 3 2 6 3" xfId="19353" xr:uid="{F918E80B-11DC-4163-953A-3D8172D7E8FA}"/>
    <cellStyle name="Comma 4 3 3 2 6 4" xfId="10912" xr:uid="{CB85CC88-1D50-4AB0-AB56-5837ED8024AF}"/>
    <cellStyle name="Comma 4 3 3 2 7" xfId="2360" xr:uid="{00000000-0005-0000-0000-000082090000}"/>
    <cellStyle name="Comma 4 3 3 2 8" xfId="2781" xr:uid="{00000000-0005-0000-0000-000083090000}"/>
    <cellStyle name="Comma 4 3 3 2 8 2" xfId="7005" xr:uid="{00000000-0005-0000-0000-000084090000}"/>
    <cellStyle name="Comma 4 3 3 2 8 2 2" xfId="23888" xr:uid="{2B331A5E-DF69-4A91-8FF0-272C97A3452D}"/>
    <cellStyle name="Comma 4 3 3 2 8 2 3" xfId="15447" xr:uid="{F3405155-A229-4600-9419-87FF2F3530F1}"/>
    <cellStyle name="Comma 4 3 3 2 8 3" xfId="19670" xr:uid="{54FA2186-4737-444C-880F-904275CC87F5}"/>
    <cellStyle name="Comma 4 3 3 2 8 4" xfId="11229" xr:uid="{9E0D5768-2051-42BE-AB46-65FDA61F3C6D}"/>
    <cellStyle name="Comma 4 3 3 2 9" xfId="4622" xr:uid="{00000000-0005-0000-0000-000085090000}"/>
    <cellStyle name="Comma 4 3 3 2 9 2" xfId="21505" xr:uid="{71F24D1F-3024-475B-8EC4-97DFC5CF82CA}"/>
    <cellStyle name="Comma 4 3 3 2 9 3" xfId="13064" xr:uid="{4A820906-D3D2-43C2-8742-EE0954C0BCF4}"/>
    <cellStyle name="Comma 4 3 3 3" xfId="686" xr:uid="{00000000-0005-0000-0000-000086090000}"/>
    <cellStyle name="Comma 4 3 3 3 2" xfId="2957" xr:uid="{00000000-0005-0000-0000-000087090000}"/>
    <cellStyle name="Comma 4 3 3 3 2 2" xfId="7180" xr:uid="{00000000-0005-0000-0000-000088090000}"/>
    <cellStyle name="Comma 4 3 3 3 2 2 2" xfId="24063" xr:uid="{CC4FA783-B9CA-4F51-8F33-E920FC4E8A63}"/>
    <cellStyle name="Comma 4 3 3 3 2 2 3" xfId="15622" xr:uid="{CEFB29D3-1475-41AB-AF67-5595FCC98683}"/>
    <cellStyle name="Comma 4 3 3 3 2 3" xfId="19845" xr:uid="{3FDF71EA-CDFA-446A-9A45-57593D558B27}"/>
    <cellStyle name="Comma 4 3 3 3 2 4" xfId="11404" xr:uid="{E3900D3D-C3E2-4100-8191-3FCEDB01EDCE}"/>
    <cellStyle name="Comma 4 3 3 3 3" xfId="5035" xr:uid="{00000000-0005-0000-0000-000089090000}"/>
    <cellStyle name="Comma 4 3 3 3 3 2" xfId="21918" xr:uid="{9E560010-CF63-489A-A4E3-BAF8504E2EF1}"/>
    <cellStyle name="Comma 4 3 3 3 3 3" xfId="13477" xr:uid="{3AD70371-C302-4D79-AB01-4597ECFC13AF}"/>
    <cellStyle name="Comma 4 3 3 3 4" xfId="17700" xr:uid="{E91ED0CA-E4E4-4FA6-AF30-6AAF891AABF7}"/>
    <cellStyle name="Comma 4 3 3 3 5" xfId="9259" xr:uid="{DE617C3D-47A0-41BE-B647-9C219D6B89C8}"/>
    <cellStyle name="Comma 4 3 3 4" xfId="1139" xr:uid="{00000000-0005-0000-0000-00008A090000}"/>
    <cellStyle name="Comma 4 3 3 4 2" xfId="3370" xr:uid="{00000000-0005-0000-0000-00008B090000}"/>
    <cellStyle name="Comma 4 3 3 4 2 2" xfId="7593" xr:uid="{00000000-0005-0000-0000-00008C090000}"/>
    <cellStyle name="Comma 4 3 3 4 2 2 2" xfId="24476" xr:uid="{6EFDCB00-7EFC-49BA-AF41-853F2B4BFDE4}"/>
    <cellStyle name="Comma 4 3 3 4 2 2 3" xfId="16035" xr:uid="{E508EA1D-C80F-458F-AC4C-0A8D8E83F1D7}"/>
    <cellStyle name="Comma 4 3 3 4 2 3" xfId="20258" xr:uid="{8D371D15-4F8B-46BF-8A28-91BF3A25EFBA}"/>
    <cellStyle name="Comma 4 3 3 4 2 4" xfId="11817" xr:uid="{A8CD0FEB-2D0A-4F28-AAEC-A39BFEACDFD8}"/>
    <cellStyle name="Comma 4 3 3 4 3" xfId="5448" xr:uid="{00000000-0005-0000-0000-00008D090000}"/>
    <cellStyle name="Comma 4 3 3 4 3 2" xfId="22331" xr:uid="{7C85D81E-035E-46EE-ABED-A4E73385CD13}"/>
    <cellStyle name="Comma 4 3 3 4 3 3" xfId="13890" xr:uid="{A3B666A3-35CB-4071-ACEB-6CAAF03C8B06}"/>
    <cellStyle name="Comma 4 3 3 4 4" xfId="18113" xr:uid="{509A0B8A-9347-46BC-8259-68D8AB352C9B}"/>
    <cellStyle name="Comma 4 3 3 4 5" xfId="9672" xr:uid="{1533D211-BB39-4352-9225-C5197F45CADB}"/>
    <cellStyle name="Comma 4 3 3 5" xfId="1553" xr:uid="{00000000-0005-0000-0000-00008E090000}"/>
    <cellStyle name="Comma 4 3 3 5 2" xfId="3783" xr:uid="{00000000-0005-0000-0000-00008F090000}"/>
    <cellStyle name="Comma 4 3 3 5 2 2" xfId="8006" xr:uid="{00000000-0005-0000-0000-000090090000}"/>
    <cellStyle name="Comma 4 3 3 5 2 2 2" xfId="24889" xr:uid="{43579EBD-615D-4406-A0C9-CF3F0AB01C57}"/>
    <cellStyle name="Comma 4 3 3 5 2 2 3" xfId="16448" xr:uid="{41187223-A728-4432-9A47-59E433DF2F6D}"/>
    <cellStyle name="Comma 4 3 3 5 2 3" xfId="20671" xr:uid="{4DA04829-1375-49F1-AFC7-A02349C4CC8F}"/>
    <cellStyle name="Comma 4 3 3 5 2 4" xfId="12230" xr:uid="{E54004AD-0EC0-4D13-995E-C9A8CF870404}"/>
    <cellStyle name="Comma 4 3 3 5 3" xfId="5861" xr:uid="{00000000-0005-0000-0000-000091090000}"/>
    <cellStyle name="Comma 4 3 3 5 3 2" xfId="22744" xr:uid="{D902984A-9B8B-4294-8201-1B182DC1F70A}"/>
    <cellStyle name="Comma 4 3 3 5 3 3" xfId="14303" xr:uid="{A54F2F3E-CAFB-441C-BC9E-9BF30F727322}"/>
    <cellStyle name="Comma 4 3 3 5 4" xfId="18526" xr:uid="{258F55EA-8FAB-45D5-90E6-3201EADDB40B}"/>
    <cellStyle name="Comma 4 3 3 5 5" xfId="10085" xr:uid="{23D3681D-42E1-45CF-81D4-AA91DDB1C4C7}"/>
    <cellStyle name="Comma 4 3 3 6" xfId="1967" xr:uid="{00000000-0005-0000-0000-000092090000}"/>
    <cellStyle name="Comma 4 3 3 6 2" xfId="4196" xr:uid="{00000000-0005-0000-0000-000093090000}"/>
    <cellStyle name="Comma 4 3 3 6 2 2" xfId="8419" xr:uid="{00000000-0005-0000-0000-000094090000}"/>
    <cellStyle name="Comma 4 3 3 6 2 2 2" xfId="25302" xr:uid="{B8C36A8F-B74A-46C9-9BC5-E741C01374DE}"/>
    <cellStyle name="Comma 4 3 3 6 2 2 3" xfId="16861" xr:uid="{825C1FC3-560B-467A-B8D4-C55F16D036AB}"/>
    <cellStyle name="Comma 4 3 3 6 2 3" xfId="21084" xr:uid="{9F4E15FC-BFD8-4C12-8686-C39083A0A3B9}"/>
    <cellStyle name="Comma 4 3 3 6 2 4" xfId="12643" xr:uid="{BA09DF76-B0CE-4E21-826D-B4FFE48BD0AA}"/>
    <cellStyle name="Comma 4 3 3 6 3" xfId="6274" xr:uid="{00000000-0005-0000-0000-000095090000}"/>
    <cellStyle name="Comma 4 3 3 6 3 2" xfId="23157" xr:uid="{09DCAEFA-DBA5-4912-A8AD-6FF2E810FAA5}"/>
    <cellStyle name="Comma 4 3 3 6 3 3" xfId="14716" xr:uid="{240FEAD6-B4B7-4AB5-B0F7-82B2324B6960}"/>
    <cellStyle name="Comma 4 3 3 6 4" xfId="18939" xr:uid="{AF823C24-5979-4006-A7D3-8BD5CA997F1C}"/>
    <cellStyle name="Comma 4 3 3 6 5" xfId="10498" xr:uid="{1AECE71E-21B4-4F26-A59D-BFAAE2329376}"/>
    <cellStyle name="Comma 4 3 3 7" xfId="2402" xr:uid="{00000000-0005-0000-0000-000096090000}"/>
    <cellStyle name="Comma 4 3 3 7 2" xfId="6687" xr:uid="{00000000-0005-0000-0000-000097090000}"/>
    <cellStyle name="Comma 4 3 3 7 2 2" xfId="23570" xr:uid="{3E1BAECD-96D4-4FF7-8EFA-8CEAA3CA9307}"/>
    <cellStyle name="Comma 4 3 3 7 2 3" xfId="15129" xr:uid="{0AE53B3A-FD84-4CFF-8CD2-A3BE2025F2F2}"/>
    <cellStyle name="Comma 4 3 3 7 3" xfId="19352" xr:uid="{FD474A0B-B5F2-4E52-9F85-A517711B7B80}"/>
    <cellStyle name="Comma 4 3 3 7 4" xfId="10911" xr:uid="{D687FFAD-5CEF-4CD0-A4E2-7071BD5313F8}"/>
    <cellStyle name="Comma 4 3 3 8" xfId="2361" xr:uid="{00000000-0005-0000-0000-000098090000}"/>
    <cellStyle name="Comma 4 3 3 9" xfId="2780" xr:uid="{00000000-0005-0000-0000-000099090000}"/>
    <cellStyle name="Comma 4 3 3 9 2" xfId="7004" xr:uid="{00000000-0005-0000-0000-00009A090000}"/>
    <cellStyle name="Comma 4 3 3 9 2 2" xfId="23887" xr:uid="{EF790673-5A46-49B1-B342-F45073ED595D}"/>
    <cellStyle name="Comma 4 3 3 9 2 3" xfId="15446" xr:uid="{CE90C1E0-A6F4-4908-A8B2-579F1C08610A}"/>
    <cellStyle name="Comma 4 3 3 9 3" xfId="19669" xr:uid="{2A10269A-D772-4D39-ADD8-FAD4C792AECE}"/>
    <cellStyle name="Comma 4 3 3 9 4" xfId="11228" xr:uid="{0451E2C3-BBCE-4ADD-BDF1-2D13B69E6EEE}"/>
    <cellStyle name="Comma 4 3 4" xfId="151" xr:uid="{00000000-0005-0000-0000-00009B090000}"/>
    <cellStyle name="Comma 4 3 4 10" xfId="17288" xr:uid="{5D3316BD-C7A5-436C-A0D5-B1303861864D}"/>
    <cellStyle name="Comma 4 3 4 11" xfId="8847" xr:uid="{5CE136EC-451A-4478-997E-739840989C0A}"/>
    <cellStyle name="Comma 4 3 4 2" xfId="688" xr:uid="{00000000-0005-0000-0000-00009C090000}"/>
    <cellStyle name="Comma 4 3 4 2 2" xfId="2959" xr:uid="{00000000-0005-0000-0000-00009D090000}"/>
    <cellStyle name="Comma 4 3 4 2 2 2" xfId="7182" xr:uid="{00000000-0005-0000-0000-00009E090000}"/>
    <cellStyle name="Comma 4 3 4 2 2 2 2" xfId="24065" xr:uid="{3DFB840B-700A-4F53-990E-684E97667571}"/>
    <cellStyle name="Comma 4 3 4 2 2 2 3" xfId="15624" xr:uid="{3EC49EE9-2C98-4DDE-A3A7-646829A7D5C9}"/>
    <cellStyle name="Comma 4 3 4 2 2 3" xfId="19847" xr:uid="{886B6496-19E9-47BE-B9BB-0F5161933376}"/>
    <cellStyle name="Comma 4 3 4 2 2 4" xfId="11406" xr:uid="{2B9E06CA-716D-43CC-AA89-A6F98D76A7E1}"/>
    <cellStyle name="Comma 4 3 4 2 3" xfId="5037" xr:uid="{00000000-0005-0000-0000-00009F090000}"/>
    <cellStyle name="Comma 4 3 4 2 3 2" xfId="21920" xr:uid="{482FC8B6-AFE8-44E0-B6C4-29649BE21B27}"/>
    <cellStyle name="Comma 4 3 4 2 3 3" xfId="13479" xr:uid="{B79F9E84-9904-46BA-A050-449433275A51}"/>
    <cellStyle name="Comma 4 3 4 2 4" xfId="17702" xr:uid="{74B629C1-D419-4D97-B56A-CA558734450B}"/>
    <cellStyle name="Comma 4 3 4 2 5" xfId="9261" xr:uid="{732B6D37-353A-4C76-822E-2FDC2D6C4F9F}"/>
    <cellStyle name="Comma 4 3 4 3" xfId="1141" xr:uid="{00000000-0005-0000-0000-0000A0090000}"/>
    <cellStyle name="Comma 4 3 4 3 2" xfId="3372" xr:uid="{00000000-0005-0000-0000-0000A1090000}"/>
    <cellStyle name="Comma 4 3 4 3 2 2" xfId="7595" xr:uid="{00000000-0005-0000-0000-0000A2090000}"/>
    <cellStyle name="Comma 4 3 4 3 2 2 2" xfId="24478" xr:uid="{C1895A52-E493-422E-A48A-E093C0BBC0B4}"/>
    <cellStyle name="Comma 4 3 4 3 2 2 3" xfId="16037" xr:uid="{6CBC7C76-E991-4658-9D67-ED6856156AA2}"/>
    <cellStyle name="Comma 4 3 4 3 2 3" xfId="20260" xr:uid="{835BC4D2-A720-435D-B924-51090DD50FA6}"/>
    <cellStyle name="Comma 4 3 4 3 2 4" xfId="11819" xr:uid="{DB44C705-53E7-4C8C-AA4A-0AB0BC3FAF07}"/>
    <cellStyle name="Comma 4 3 4 3 3" xfId="5450" xr:uid="{00000000-0005-0000-0000-0000A3090000}"/>
    <cellStyle name="Comma 4 3 4 3 3 2" xfId="22333" xr:uid="{28BF57B5-2A01-459A-A05E-F4255394C730}"/>
    <cellStyle name="Comma 4 3 4 3 3 3" xfId="13892" xr:uid="{1939F5EB-0A15-498F-8E7B-A5E86619EA94}"/>
    <cellStyle name="Comma 4 3 4 3 4" xfId="18115" xr:uid="{0B9EF616-75BC-492E-ACD2-68304A5423BE}"/>
    <cellStyle name="Comma 4 3 4 3 5" xfId="9674" xr:uid="{3721C442-94B7-42F5-91BC-B6BF6F596F5C}"/>
    <cellStyle name="Comma 4 3 4 4" xfId="1555" xr:uid="{00000000-0005-0000-0000-0000A4090000}"/>
    <cellStyle name="Comma 4 3 4 4 2" xfId="3785" xr:uid="{00000000-0005-0000-0000-0000A5090000}"/>
    <cellStyle name="Comma 4 3 4 4 2 2" xfId="8008" xr:uid="{00000000-0005-0000-0000-0000A6090000}"/>
    <cellStyle name="Comma 4 3 4 4 2 2 2" xfId="24891" xr:uid="{886ACE89-8D37-46F4-8FE3-F548C31EDCB5}"/>
    <cellStyle name="Comma 4 3 4 4 2 2 3" xfId="16450" xr:uid="{A1590272-F4F0-445B-8FBC-6B041CE71CCA}"/>
    <cellStyle name="Comma 4 3 4 4 2 3" xfId="20673" xr:uid="{5E1F1FA9-D6CA-459B-A1CB-E13899A4970A}"/>
    <cellStyle name="Comma 4 3 4 4 2 4" xfId="12232" xr:uid="{E225365D-9743-49E0-95FC-4444EB050761}"/>
    <cellStyle name="Comma 4 3 4 4 3" xfId="5863" xr:uid="{00000000-0005-0000-0000-0000A7090000}"/>
    <cellStyle name="Comma 4 3 4 4 3 2" xfId="22746" xr:uid="{AF0FA38D-6D23-4F2D-A0BE-9427F78DA17D}"/>
    <cellStyle name="Comma 4 3 4 4 3 3" xfId="14305" xr:uid="{AAD58234-723E-436F-A09E-9A12F3B11B03}"/>
    <cellStyle name="Comma 4 3 4 4 4" xfId="18528" xr:uid="{24797D36-63C2-4706-9CF4-2701BAA34FA1}"/>
    <cellStyle name="Comma 4 3 4 4 5" xfId="10087" xr:uid="{F3D96BB0-B622-4ACB-B427-7B3C05DB3C9D}"/>
    <cellStyle name="Comma 4 3 4 5" xfId="1969" xr:uid="{00000000-0005-0000-0000-0000A8090000}"/>
    <cellStyle name="Comma 4 3 4 5 2" xfId="4198" xr:uid="{00000000-0005-0000-0000-0000A9090000}"/>
    <cellStyle name="Comma 4 3 4 5 2 2" xfId="8421" xr:uid="{00000000-0005-0000-0000-0000AA090000}"/>
    <cellStyle name="Comma 4 3 4 5 2 2 2" xfId="25304" xr:uid="{EB94F4A0-FACF-4ED2-A7D0-15A7A3B40CFD}"/>
    <cellStyle name="Comma 4 3 4 5 2 2 3" xfId="16863" xr:uid="{453ABD21-CF10-4951-9CA0-6A3711578D01}"/>
    <cellStyle name="Comma 4 3 4 5 2 3" xfId="21086" xr:uid="{32A5A9D9-0CB0-47D5-AEA7-C2C4649890E4}"/>
    <cellStyle name="Comma 4 3 4 5 2 4" xfId="12645" xr:uid="{F3989C60-B4BA-43A3-8995-52C824EC38E3}"/>
    <cellStyle name="Comma 4 3 4 5 3" xfId="6276" xr:uid="{00000000-0005-0000-0000-0000AB090000}"/>
    <cellStyle name="Comma 4 3 4 5 3 2" xfId="23159" xr:uid="{BFD0AE34-BEA0-4763-A58D-F78688D13D48}"/>
    <cellStyle name="Comma 4 3 4 5 3 3" xfId="14718" xr:uid="{4255119C-B3FB-4514-9B11-7E6027074FC7}"/>
    <cellStyle name="Comma 4 3 4 5 4" xfId="18941" xr:uid="{637BAAB4-5E98-4A79-949C-2198244BBBA1}"/>
    <cellStyle name="Comma 4 3 4 5 5" xfId="10500" xr:uid="{CA7D54CE-C112-4756-A798-A62E075B080A}"/>
    <cellStyle name="Comma 4 3 4 6" xfId="2404" xr:uid="{00000000-0005-0000-0000-0000AC090000}"/>
    <cellStyle name="Comma 4 3 4 6 2" xfId="6689" xr:uid="{00000000-0005-0000-0000-0000AD090000}"/>
    <cellStyle name="Comma 4 3 4 6 2 2" xfId="23572" xr:uid="{C2B0114D-5E6F-46F1-9342-8A8574355286}"/>
    <cellStyle name="Comma 4 3 4 6 2 3" xfId="15131" xr:uid="{4763BEED-5954-4B96-9FF9-CE666BCAB865}"/>
    <cellStyle name="Comma 4 3 4 6 3" xfId="19354" xr:uid="{9F41D9C2-8B78-4036-BC73-6DFD1D7FFE88}"/>
    <cellStyle name="Comma 4 3 4 6 4" xfId="10913" xr:uid="{74137CF4-E2CF-4BA5-9EEA-A6F1EBE927E2}"/>
    <cellStyle name="Comma 4 3 4 7" xfId="2700" xr:uid="{00000000-0005-0000-0000-0000AE090000}"/>
    <cellStyle name="Comma 4 3 4 8" xfId="2782" xr:uid="{00000000-0005-0000-0000-0000AF090000}"/>
    <cellStyle name="Comma 4 3 4 8 2" xfId="7006" xr:uid="{00000000-0005-0000-0000-0000B0090000}"/>
    <cellStyle name="Comma 4 3 4 8 2 2" xfId="23889" xr:uid="{D41A5A90-F3EE-40A4-8AE5-7AD02511ADDE}"/>
    <cellStyle name="Comma 4 3 4 8 2 3" xfId="15448" xr:uid="{0064C3D3-6A36-4820-AF35-1860A0D8BA1D}"/>
    <cellStyle name="Comma 4 3 4 8 3" xfId="19671" xr:uid="{500B63D8-B23F-4671-86C1-8B51578744C7}"/>
    <cellStyle name="Comma 4 3 4 8 4" xfId="11230" xr:uid="{A9229B09-D5B3-4005-943D-A534E4155B80}"/>
    <cellStyle name="Comma 4 3 4 9" xfId="4623" xr:uid="{00000000-0005-0000-0000-0000B1090000}"/>
    <cellStyle name="Comma 4 3 4 9 2" xfId="21506" xr:uid="{9F03659E-4153-4234-9C05-28AB59FE4864}"/>
    <cellStyle name="Comma 4 3 4 9 3" xfId="13065" xr:uid="{B7C84C51-5C26-448D-B1AC-2A169C164461}"/>
    <cellStyle name="Comma 4 3 5" xfId="152" xr:uid="{00000000-0005-0000-0000-0000B2090000}"/>
    <cellStyle name="Comma 4 3 5 10" xfId="17289" xr:uid="{50E64030-6569-4E56-9A27-FAC59B80DF92}"/>
    <cellStyle name="Comma 4 3 5 11" xfId="8848" xr:uid="{7B117272-8B16-48AF-94EF-9E44ED6BC332}"/>
    <cellStyle name="Comma 4 3 5 2" xfId="689" xr:uid="{00000000-0005-0000-0000-0000B3090000}"/>
    <cellStyle name="Comma 4 3 5 2 2" xfId="2960" xr:uid="{00000000-0005-0000-0000-0000B4090000}"/>
    <cellStyle name="Comma 4 3 5 2 2 2" xfId="7183" xr:uid="{00000000-0005-0000-0000-0000B5090000}"/>
    <cellStyle name="Comma 4 3 5 2 2 2 2" xfId="24066" xr:uid="{2B6F74DD-E979-46AD-B67E-7C272F7DC2D4}"/>
    <cellStyle name="Comma 4 3 5 2 2 2 3" xfId="15625" xr:uid="{55DCF854-B81E-466B-9901-BFF179FAA994}"/>
    <cellStyle name="Comma 4 3 5 2 2 3" xfId="19848" xr:uid="{AE3A15EF-F128-436E-924B-F3B7B5C40419}"/>
    <cellStyle name="Comma 4 3 5 2 2 4" xfId="11407" xr:uid="{BD7AD80C-EC0E-4E8D-AD99-46896F3C9548}"/>
    <cellStyle name="Comma 4 3 5 2 3" xfId="5038" xr:uid="{00000000-0005-0000-0000-0000B6090000}"/>
    <cellStyle name="Comma 4 3 5 2 3 2" xfId="21921" xr:uid="{74BF1A51-5E22-42C5-A014-F0526D0F7D0D}"/>
    <cellStyle name="Comma 4 3 5 2 3 3" xfId="13480" xr:uid="{EF250C00-356F-417C-8D64-16215C7EAF9E}"/>
    <cellStyle name="Comma 4 3 5 2 4" xfId="17703" xr:uid="{70EB16CF-318C-4B45-8D0F-39F3944D38BE}"/>
    <cellStyle name="Comma 4 3 5 2 5" xfId="9262" xr:uid="{A0D4AA54-2425-4793-A63E-E9687D8522B9}"/>
    <cellStyle name="Comma 4 3 5 3" xfId="1142" xr:uid="{00000000-0005-0000-0000-0000B7090000}"/>
    <cellStyle name="Comma 4 3 5 3 2" xfId="3373" xr:uid="{00000000-0005-0000-0000-0000B8090000}"/>
    <cellStyle name="Comma 4 3 5 3 2 2" xfId="7596" xr:uid="{00000000-0005-0000-0000-0000B9090000}"/>
    <cellStyle name="Comma 4 3 5 3 2 2 2" xfId="24479" xr:uid="{59B9C46D-6D42-4264-9B09-8E2B21B5D9D5}"/>
    <cellStyle name="Comma 4 3 5 3 2 2 3" xfId="16038" xr:uid="{D864FA3B-E94F-4D1E-8360-CB073E0934AE}"/>
    <cellStyle name="Comma 4 3 5 3 2 3" xfId="20261" xr:uid="{384676AA-566B-43E5-96E7-4C75B93A2143}"/>
    <cellStyle name="Comma 4 3 5 3 2 4" xfId="11820" xr:uid="{50E9468F-12E6-443B-BCFA-4401A158ECAF}"/>
    <cellStyle name="Comma 4 3 5 3 3" xfId="5451" xr:uid="{00000000-0005-0000-0000-0000BA090000}"/>
    <cellStyle name="Comma 4 3 5 3 3 2" xfId="22334" xr:uid="{FBCAB92B-A2A6-4F20-9736-57C7962C82EF}"/>
    <cellStyle name="Comma 4 3 5 3 3 3" xfId="13893" xr:uid="{72AA51F0-76D9-403C-A761-55730E083B7E}"/>
    <cellStyle name="Comma 4 3 5 3 4" xfId="18116" xr:uid="{187A6FE4-D186-494F-96A7-FC934C36C35F}"/>
    <cellStyle name="Comma 4 3 5 3 5" xfId="9675" xr:uid="{C941E56C-2C00-4E81-BBFC-34497E9F8AFA}"/>
    <cellStyle name="Comma 4 3 5 4" xfId="1556" xr:uid="{00000000-0005-0000-0000-0000BB090000}"/>
    <cellStyle name="Comma 4 3 5 4 2" xfId="3786" xr:uid="{00000000-0005-0000-0000-0000BC090000}"/>
    <cellStyle name="Comma 4 3 5 4 2 2" xfId="8009" xr:uid="{00000000-0005-0000-0000-0000BD090000}"/>
    <cellStyle name="Comma 4 3 5 4 2 2 2" xfId="24892" xr:uid="{A0ABD3FC-C36C-4EA1-AE12-542FAC8084FE}"/>
    <cellStyle name="Comma 4 3 5 4 2 2 3" xfId="16451" xr:uid="{DE49D14F-071B-426B-891A-3D09686A5BA0}"/>
    <cellStyle name="Comma 4 3 5 4 2 3" xfId="20674" xr:uid="{D95B9201-2473-4478-BEC5-0BF8B93FE65C}"/>
    <cellStyle name="Comma 4 3 5 4 2 4" xfId="12233" xr:uid="{5AF50D1E-FE5B-4D64-A2C8-9BBAAA8B51B6}"/>
    <cellStyle name="Comma 4 3 5 4 3" xfId="5864" xr:uid="{00000000-0005-0000-0000-0000BE090000}"/>
    <cellStyle name="Comma 4 3 5 4 3 2" xfId="22747" xr:uid="{C44891C5-DE55-477B-B763-B5BED25A3F74}"/>
    <cellStyle name="Comma 4 3 5 4 3 3" xfId="14306" xr:uid="{29EBC074-11FE-482D-9B0C-1F41B9A702CD}"/>
    <cellStyle name="Comma 4 3 5 4 4" xfId="18529" xr:uid="{7AC42A01-552A-4BBE-A8D2-0CE63BA8342B}"/>
    <cellStyle name="Comma 4 3 5 4 5" xfId="10088" xr:uid="{2022739E-1572-459F-BA07-46BC978A6811}"/>
    <cellStyle name="Comma 4 3 5 5" xfId="1970" xr:uid="{00000000-0005-0000-0000-0000BF090000}"/>
    <cellStyle name="Comma 4 3 5 5 2" xfId="4199" xr:uid="{00000000-0005-0000-0000-0000C0090000}"/>
    <cellStyle name="Comma 4 3 5 5 2 2" xfId="8422" xr:uid="{00000000-0005-0000-0000-0000C1090000}"/>
    <cellStyle name="Comma 4 3 5 5 2 2 2" xfId="25305" xr:uid="{7B49B64B-DC65-44A6-A452-63143E7138F4}"/>
    <cellStyle name="Comma 4 3 5 5 2 2 3" xfId="16864" xr:uid="{625FF62C-F241-4587-BE8E-58F627E8F37F}"/>
    <cellStyle name="Comma 4 3 5 5 2 3" xfId="21087" xr:uid="{8923E615-ADA7-4EE1-91B7-5070B2A5D72B}"/>
    <cellStyle name="Comma 4 3 5 5 2 4" xfId="12646" xr:uid="{B88BFA66-C6F0-4D32-A311-748485A758B3}"/>
    <cellStyle name="Comma 4 3 5 5 3" xfId="6277" xr:uid="{00000000-0005-0000-0000-0000C2090000}"/>
    <cellStyle name="Comma 4 3 5 5 3 2" xfId="23160" xr:uid="{B1BB5DBA-FF8E-4B6D-9490-9609FB026B71}"/>
    <cellStyle name="Comma 4 3 5 5 3 3" xfId="14719" xr:uid="{021E74BE-9E9E-456B-BABD-CFE04B29CD89}"/>
    <cellStyle name="Comma 4 3 5 5 4" xfId="18942" xr:uid="{C2C3B305-3B91-4761-AD52-C83AC96BA527}"/>
    <cellStyle name="Comma 4 3 5 5 5" xfId="10501" xr:uid="{0347FECB-1D5E-403C-A5A1-0F882E6C1A5A}"/>
    <cellStyle name="Comma 4 3 5 6" xfId="2405" xr:uid="{00000000-0005-0000-0000-0000C3090000}"/>
    <cellStyle name="Comma 4 3 5 6 2" xfId="6690" xr:uid="{00000000-0005-0000-0000-0000C4090000}"/>
    <cellStyle name="Comma 4 3 5 6 2 2" xfId="23573" xr:uid="{69CEB2E3-20D1-4395-90F4-BFEFE2A81717}"/>
    <cellStyle name="Comma 4 3 5 6 2 3" xfId="15132" xr:uid="{FA383783-0125-4344-A128-DD0B599CE5CA}"/>
    <cellStyle name="Comma 4 3 5 6 3" xfId="19355" xr:uid="{9EC80178-FBE4-4D97-B75D-C8CAE392816E}"/>
    <cellStyle name="Comma 4 3 5 6 4" xfId="10914" xr:uid="{5F68EADF-0E94-4D4F-A499-6E78A176E789}"/>
    <cellStyle name="Comma 4 3 5 7" xfId="2701" xr:uid="{00000000-0005-0000-0000-0000C5090000}"/>
    <cellStyle name="Comma 4 3 5 8" xfId="2783" xr:uid="{00000000-0005-0000-0000-0000C6090000}"/>
    <cellStyle name="Comma 4 3 5 8 2" xfId="7007" xr:uid="{00000000-0005-0000-0000-0000C7090000}"/>
    <cellStyle name="Comma 4 3 5 8 2 2" xfId="23890" xr:uid="{034DE838-A6DC-47B4-ACE8-0C9CCFE68A85}"/>
    <cellStyle name="Comma 4 3 5 8 2 3" xfId="15449" xr:uid="{968C8861-37AD-4CE9-B05E-C0702787B420}"/>
    <cellStyle name="Comma 4 3 5 8 3" xfId="19672" xr:uid="{C2927A7C-8414-437A-9291-CEE32C1AE7F8}"/>
    <cellStyle name="Comma 4 3 5 8 4" xfId="11231" xr:uid="{D308F927-2276-45EF-B109-9A4B066DFCE3}"/>
    <cellStyle name="Comma 4 3 5 9" xfId="4624" xr:uid="{00000000-0005-0000-0000-0000C8090000}"/>
    <cellStyle name="Comma 4 3 5 9 2" xfId="21507" xr:uid="{FAE40BC4-6D7F-4BDA-A43C-7EA88B40F2FE}"/>
    <cellStyle name="Comma 4 3 5 9 3" xfId="13066" xr:uid="{24CE8E54-B3D7-4C40-9B2D-3BC8AE5D7737}"/>
    <cellStyle name="Comma 4 4" xfId="153" xr:uid="{00000000-0005-0000-0000-0000C9090000}"/>
    <cellStyle name="Comma 4 4 10" xfId="2784" xr:uid="{00000000-0005-0000-0000-0000CA090000}"/>
    <cellStyle name="Comma 4 4 10 2" xfId="7008" xr:uid="{00000000-0005-0000-0000-0000CB090000}"/>
    <cellStyle name="Comma 4 4 10 2 2" xfId="23891" xr:uid="{001DB1E3-0F22-43D0-8124-A38193AA0A83}"/>
    <cellStyle name="Comma 4 4 10 2 3" xfId="15450" xr:uid="{132E6297-F077-4A6F-B2D9-1F756007B01C}"/>
    <cellStyle name="Comma 4 4 10 3" xfId="19673" xr:uid="{E1655BAF-0C59-4B0F-BC35-BD1341E32FD0}"/>
    <cellStyle name="Comma 4 4 10 4" xfId="11232" xr:uid="{2482D89C-5C6A-4174-884A-FBCC15D2EC3F}"/>
    <cellStyle name="Comma 4 4 11" xfId="4625" xr:uid="{00000000-0005-0000-0000-0000CC090000}"/>
    <cellStyle name="Comma 4 4 11 2" xfId="21508" xr:uid="{E57F45C7-FF1C-45FA-97AF-1E9E2B5451E9}"/>
    <cellStyle name="Comma 4 4 11 3" xfId="13067" xr:uid="{3D0F776A-1892-4E00-BA81-E3FB2C3518EC}"/>
    <cellStyle name="Comma 4 4 12" xfId="17290" xr:uid="{A047EED2-BD3C-4DEF-ABFF-FA6F71083A16}"/>
    <cellStyle name="Comma 4 4 13" xfId="8849" xr:uid="{892AE37F-DD01-48B4-9C42-4F6198C3B1C3}"/>
    <cellStyle name="Comma 4 4 2" xfId="154" xr:uid="{00000000-0005-0000-0000-0000CD090000}"/>
    <cellStyle name="Comma 4 4 2 10" xfId="4626" xr:uid="{00000000-0005-0000-0000-0000CE090000}"/>
    <cellStyle name="Comma 4 4 2 10 2" xfId="21509" xr:uid="{860A1980-DD5F-49F5-B718-358A595D5F11}"/>
    <cellStyle name="Comma 4 4 2 10 3" xfId="13068" xr:uid="{60ECD6A3-162A-4709-BB5C-91F9D9727D48}"/>
    <cellStyle name="Comma 4 4 2 11" xfId="17291" xr:uid="{1F821E21-D0BD-4AE1-A6DD-FB15B587CCBD}"/>
    <cellStyle name="Comma 4 4 2 12" xfId="8850" xr:uid="{479B5B95-A412-469B-A7AA-ADD036A639B4}"/>
    <cellStyle name="Comma 4 4 2 2" xfId="155" xr:uid="{00000000-0005-0000-0000-0000CF090000}"/>
    <cellStyle name="Comma 4 4 2 2 10" xfId="17292" xr:uid="{1CDE0185-07BE-4345-831B-327593467273}"/>
    <cellStyle name="Comma 4 4 2 2 11" xfId="8851" xr:uid="{CD7EDD85-3D4C-4A1B-8C90-F6C057F49913}"/>
    <cellStyle name="Comma 4 4 2 2 2" xfId="692" xr:uid="{00000000-0005-0000-0000-0000D0090000}"/>
    <cellStyle name="Comma 4 4 2 2 2 2" xfId="2963" xr:uid="{00000000-0005-0000-0000-0000D1090000}"/>
    <cellStyle name="Comma 4 4 2 2 2 2 2" xfId="7186" xr:uid="{00000000-0005-0000-0000-0000D2090000}"/>
    <cellStyle name="Comma 4 4 2 2 2 2 2 2" xfId="24069" xr:uid="{93CE73E3-D7CA-42CA-B639-C917DB62DDE1}"/>
    <cellStyle name="Comma 4 4 2 2 2 2 2 3" xfId="15628" xr:uid="{C85D5738-7DDB-46E6-AF42-7719E5F13D4B}"/>
    <cellStyle name="Comma 4 4 2 2 2 2 3" xfId="19851" xr:uid="{F33D6FE1-55E6-460A-92D8-9AF4E88B8DDE}"/>
    <cellStyle name="Comma 4 4 2 2 2 2 4" xfId="11410" xr:uid="{68357FAE-F6CC-4879-809D-AE9F471A5839}"/>
    <cellStyle name="Comma 4 4 2 2 2 3" xfId="5041" xr:uid="{00000000-0005-0000-0000-0000D3090000}"/>
    <cellStyle name="Comma 4 4 2 2 2 3 2" xfId="21924" xr:uid="{949B14D4-263C-4EA6-A57F-C1ACB44BB45D}"/>
    <cellStyle name="Comma 4 4 2 2 2 3 3" xfId="13483" xr:uid="{C352D732-B4E3-40BF-B448-8CFAC0D2E881}"/>
    <cellStyle name="Comma 4 4 2 2 2 4" xfId="17706" xr:uid="{456A3008-E47F-4807-AF53-8771F9F81BE7}"/>
    <cellStyle name="Comma 4 4 2 2 2 5" xfId="9265" xr:uid="{6A4AEDED-0EA6-4B70-AABC-B40C58CB6E50}"/>
    <cellStyle name="Comma 4 4 2 2 3" xfId="1145" xr:uid="{00000000-0005-0000-0000-0000D4090000}"/>
    <cellStyle name="Comma 4 4 2 2 3 2" xfId="3376" xr:uid="{00000000-0005-0000-0000-0000D5090000}"/>
    <cellStyle name="Comma 4 4 2 2 3 2 2" xfId="7599" xr:uid="{00000000-0005-0000-0000-0000D6090000}"/>
    <cellStyle name="Comma 4 4 2 2 3 2 2 2" xfId="24482" xr:uid="{714F1E1D-FA80-432D-BAC0-7086A25EC418}"/>
    <cellStyle name="Comma 4 4 2 2 3 2 2 3" xfId="16041" xr:uid="{42276E76-A3F5-475E-A01E-0744ACF68211}"/>
    <cellStyle name="Comma 4 4 2 2 3 2 3" xfId="20264" xr:uid="{77F0381D-C030-4503-8943-EDB7D6FAA08B}"/>
    <cellStyle name="Comma 4 4 2 2 3 2 4" xfId="11823" xr:uid="{66005219-2042-4500-9141-4898E0D0E3BF}"/>
    <cellStyle name="Comma 4 4 2 2 3 3" xfId="5454" xr:uid="{00000000-0005-0000-0000-0000D7090000}"/>
    <cellStyle name="Comma 4 4 2 2 3 3 2" xfId="22337" xr:uid="{F004A989-3570-49B5-972E-62FD3816579F}"/>
    <cellStyle name="Comma 4 4 2 2 3 3 3" xfId="13896" xr:uid="{D4E7A59D-9882-4B55-9328-3A2A46AFA90D}"/>
    <cellStyle name="Comma 4 4 2 2 3 4" xfId="18119" xr:uid="{5231285C-BA12-44B4-8B71-31E693142DB8}"/>
    <cellStyle name="Comma 4 4 2 2 3 5" xfId="9678" xr:uid="{48F39865-F10D-42CA-914C-CE942B2B5846}"/>
    <cellStyle name="Comma 4 4 2 2 4" xfId="1559" xr:uid="{00000000-0005-0000-0000-0000D8090000}"/>
    <cellStyle name="Comma 4 4 2 2 4 2" xfId="3789" xr:uid="{00000000-0005-0000-0000-0000D9090000}"/>
    <cellStyle name="Comma 4 4 2 2 4 2 2" xfId="8012" xr:uid="{00000000-0005-0000-0000-0000DA090000}"/>
    <cellStyle name="Comma 4 4 2 2 4 2 2 2" xfId="24895" xr:uid="{18E83FC5-FEC9-4AE0-ACCC-89B38F9EA02B}"/>
    <cellStyle name="Comma 4 4 2 2 4 2 2 3" xfId="16454" xr:uid="{0CC658F9-A91E-40FF-A489-18281AA320B6}"/>
    <cellStyle name="Comma 4 4 2 2 4 2 3" xfId="20677" xr:uid="{37472161-4FDD-4E56-924B-8E5A98E7B2F6}"/>
    <cellStyle name="Comma 4 4 2 2 4 2 4" xfId="12236" xr:uid="{ECA29FFA-4B21-4500-A868-6BB20370BC4E}"/>
    <cellStyle name="Comma 4 4 2 2 4 3" xfId="5867" xr:uid="{00000000-0005-0000-0000-0000DB090000}"/>
    <cellStyle name="Comma 4 4 2 2 4 3 2" xfId="22750" xr:uid="{CAA67040-0CFF-43D3-8733-7556F00C9427}"/>
    <cellStyle name="Comma 4 4 2 2 4 3 3" xfId="14309" xr:uid="{5C4060E6-D318-4693-930F-C8EDCDD59942}"/>
    <cellStyle name="Comma 4 4 2 2 4 4" xfId="18532" xr:uid="{CC1D6383-50AE-4170-BA1D-2B470D969FFC}"/>
    <cellStyle name="Comma 4 4 2 2 4 5" xfId="10091" xr:uid="{8CD3C637-18FF-4D3E-9A5A-A823F0DCC2DB}"/>
    <cellStyle name="Comma 4 4 2 2 5" xfId="1973" xr:uid="{00000000-0005-0000-0000-0000DC090000}"/>
    <cellStyle name="Comma 4 4 2 2 5 2" xfId="4202" xr:uid="{00000000-0005-0000-0000-0000DD090000}"/>
    <cellStyle name="Comma 4 4 2 2 5 2 2" xfId="8425" xr:uid="{00000000-0005-0000-0000-0000DE090000}"/>
    <cellStyle name="Comma 4 4 2 2 5 2 2 2" xfId="25308" xr:uid="{17A11DD4-6BBF-4634-BE82-66C37B5A2242}"/>
    <cellStyle name="Comma 4 4 2 2 5 2 2 3" xfId="16867" xr:uid="{6008F07C-D848-4708-A5E6-B1CAD0D9C811}"/>
    <cellStyle name="Comma 4 4 2 2 5 2 3" xfId="21090" xr:uid="{3C091AC7-681C-45C1-BA84-7550D980D5A5}"/>
    <cellStyle name="Comma 4 4 2 2 5 2 4" xfId="12649" xr:uid="{2F032212-7603-4B3E-A736-BBA483EB0899}"/>
    <cellStyle name="Comma 4 4 2 2 5 3" xfId="6280" xr:uid="{00000000-0005-0000-0000-0000DF090000}"/>
    <cellStyle name="Comma 4 4 2 2 5 3 2" xfId="23163" xr:uid="{23F65773-C2A1-42B7-88C5-9CE1224782E3}"/>
    <cellStyle name="Comma 4 4 2 2 5 3 3" xfId="14722" xr:uid="{5BF32014-A7A5-4D26-82DA-73446F671453}"/>
    <cellStyle name="Comma 4 4 2 2 5 4" xfId="18945" xr:uid="{792A5A7B-C943-40C7-B197-627E67C0F70D}"/>
    <cellStyle name="Comma 4 4 2 2 5 5" xfId="10504" xr:uid="{1333484B-50DC-4FD1-8C10-D8F4EF974D8A}"/>
    <cellStyle name="Comma 4 4 2 2 6" xfId="2408" xr:uid="{00000000-0005-0000-0000-0000E0090000}"/>
    <cellStyle name="Comma 4 4 2 2 6 2" xfId="6693" xr:uid="{00000000-0005-0000-0000-0000E1090000}"/>
    <cellStyle name="Comma 4 4 2 2 6 2 2" xfId="23576" xr:uid="{1AE339CD-4D1D-4B70-83C1-A20822FD4BBE}"/>
    <cellStyle name="Comma 4 4 2 2 6 2 3" xfId="15135" xr:uid="{B8D849EF-DA91-43AE-964B-8F38687B7B3D}"/>
    <cellStyle name="Comma 4 4 2 2 6 3" xfId="19358" xr:uid="{1702D0F5-3078-43E8-9F19-3547DE9A3419}"/>
    <cellStyle name="Comma 4 4 2 2 6 4" xfId="10917" xr:uid="{37067654-5D40-4B9A-BC58-AB00E6224562}"/>
    <cellStyle name="Comma 4 4 2 2 7" xfId="2704" xr:uid="{00000000-0005-0000-0000-0000E2090000}"/>
    <cellStyle name="Comma 4 4 2 2 8" xfId="2786" xr:uid="{00000000-0005-0000-0000-0000E3090000}"/>
    <cellStyle name="Comma 4 4 2 2 8 2" xfId="7010" xr:uid="{00000000-0005-0000-0000-0000E4090000}"/>
    <cellStyle name="Comma 4 4 2 2 8 2 2" xfId="23893" xr:uid="{5D55DBFC-2AC0-42B6-9AC5-FBD5A86CC89D}"/>
    <cellStyle name="Comma 4 4 2 2 8 2 3" xfId="15452" xr:uid="{CFC48DB1-4A61-44C0-A4BA-7DDFDC2EDF86}"/>
    <cellStyle name="Comma 4 4 2 2 8 3" xfId="19675" xr:uid="{8D79DFB8-C88D-4968-9610-04E6A8733631}"/>
    <cellStyle name="Comma 4 4 2 2 8 4" xfId="11234" xr:uid="{A576DBA1-DC6E-4C23-A0CC-B67E96A0F553}"/>
    <cellStyle name="Comma 4 4 2 2 9" xfId="4627" xr:uid="{00000000-0005-0000-0000-0000E5090000}"/>
    <cellStyle name="Comma 4 4 2 2 9 2" xfId="21510" xr:uid="{69ABF960-11DC-4301-8B68-6A80C408BF16}"/>
    <cellStyle name="Comma 4 4 2 2 9 3" xfId="13069" xr:uid="{77A95C29-FA14-4B2F-9855-5677916501E9}"/>
    <cellStyle name="Comma 4 4 2 3" xfId="691" xr:uid="{00000000-0005-0000-0000-0000E6090000}"/>
    <cellStyle name="Comma 4 4 2 3 2" xfId="2962" xr:uid="{00000000-0005-0000-0000-0000E7090000}"/>
    <cellStyle name="Comma 4 4 2 3 2 2" xfId="7185" xr:uid="{00000000-0005-0000-0000-0000E8090000}"/>
    <cellStyle name="Comma 4 4 2 3 2 2 2" xfId="24068" xr:uid="{D904B699-54D0-4B7E-AAA3-25D24F6B5092}"/>
    <cellStyle name="Comma 4 4 2 3 2 2 3" xfId="15627" xr:uid="{6821A00D-D608-47A8-9B3E-5CCD0E7A8C48}"/>
    <cellStyle name="Comma 4 4 2 3 2 3" xfId="19850" xr:uid="{B4C82B78-2236-40EC-A153-B0FFE7AEB2F0}"/>
    <cellStyle name="Comma 4 4 2 3 2 4" xfId="11409" xr:uid="{9785679E-45BB-4260-B1F7-A3A42CBDE1DE}"/>
    <cellStyle name="Comma 4 4 2 3 3" xfId="5040" xr:uid="{00000000-0005-0000-0000-0000E9090000}"/>
    <cellStyle name="Comma 4 4 2 3 3 2" xfId="21923" xr:uid="{C3FFE96D-CDB7-4B7A-8CC1-45AB26F17FCF}"/>
    <cellStyle name="Comma 4 4 2 3 3 3" xfId="13482" xr:uid="{61C5CE8C-5E3E-4E0A-9410-AB2772E0B7F7}"/>
    <cellStyle name="Comma 4 4 2 3 4" xfId="17705" xr:uid="{92FB5DBF-498C-4BD4-A233-D84BD91B7F65}"/>
    <cellStyle name="Comma 4 4 2 3 5" xfId="9264" xr:uid="{97D4D0A7-8EA7-4854-BC1F-D8BC2C74E7B3}"/>
    <cellStyle name="Comma 4 4 2 4" xfId="1144" xr:uid="{00000000-0005-0000-0000-0000EA090000}"/>
    <cellStyle name="Comma 4 4 2 4 2" xfId="3375" xr:uid="{00000000-0005-0000-0000-0000EB090000}"/>
    <cellStyle name="Comma 4 4 2 4 2 2" xfId="7598" xr:uid="{00000000-0005-0000-0000-0000EC090000}"/>
    <cellStyle name="Comma 4 4 2 4 2 2 2" xfId="24481" xr:uid="{721D6159-9638-4EFC-8066-5E0C2EAA19EC}"/>
    <cellStyle name="Comma 4 4 2 4 2 2 3" xfId="16040" xr:uid="{E945E72A-4B9D-4F4A-8CC6-08E575975875}"/>
    <cellStyle name="Comma 4 4 2 4 2 3" xfId="20263" xr:uid="{8FC27040-AAAF-4A8F-8C01-31F2F819D2C3}"/>
    <cellStyle name="Comma 4 4 2 4 2 4" xfId="11822" xr:uid="{48296288-6329-45CB-A10A-91B66823E905}"/>
    <cellStyle name="Comma 4 4 2 4 3" xfId="5453" xr:uid="{00000000-0005-0000-0000-0000ED090000}"/>
    <cellStyle name="Comma 4 4 2 4 3 2" xfId="22336" xr:uid="{39FDB5A4-2D75-4EE1-9410-EF638E0C84A6}"/>
    <cellStyle name="Comma 4 4 2 4 3 3" xfId="13895" xr:uid="{B1639E96-C2D7-4035-9D85-25D77FAAF04A}"/>
    <cellStyle name="Comma 4 4 2 4 4" xfId="18118" xr:uid="{C6693170-A683-437C-B515-729986D5DC7E}"/>
    <cellStyle name="Comma 4 4 2 4 5" xfId="9677" xr:uid="{A8B5FE00-37C5-4712-8E0A-451B47166AEC}"/>
    <cellStyle name="Comma 4 4 2 5" xfId="1558" xr:uid="{00000000-0005-0000-0000-0000EE090000}"/>
    <cellStyle name="Comma 4 4 2 5 2" xfId="3788" xr:uid="{00000000-0005-0000-0000-0000EF090000}"/>
    <cellStyle name="Comma 4 4 2 5 2 2" xfId="8011" xr:uid="{00000000-0005-0000-0000-0000F0090000}"/>
    <cellStyle name="Comma 4 4 2 5 2 2 2" xfId="24894" xr:uid="{5C460430-4BC6-4007-94AA-24CA69180129}"/>
    <cellStyle name="Comma 4 4 2 5 2 2 3" xfId="16453" xr:uid="{4B469362-2F63-489A-B570-27405A77A2A7}"/>
    <cellStyle name="Comma 4 4 2 5 2 3" xfId="20676" xr:uid="{C8A45A88-2985-4213-93A8-0B39FF8BB7AC}"/>
    <cellStyle name="Comma 4 4 2 5 2 4" xfId="12235" xr:uid="{AFB22702-2BEA-402F-8C7C-08C7F1B87831}"/>
    <cellStyle name="Comma 4 4 2 5 3" xfId="5866" xr:uid="{00000000-0005-0000-0000-0000F1090000}"/>
    <cellStyle name="Comma 4 4 2 5 3 2" xfId="22749" xr:uid="{14843CBD-EF75-4976-A7D8-20D490A4FC16}"/>
    <cellStyle name="Comma 4 4 2 5 3 3" xfId="14308" xr:uid="{68C8386F-19ED-4FF9-AB9E-435717673960}"/>
    <cellStyle name="Comma 4 4 2 5 4" xfId="18531" xr:uid="{4C0340AF-C420-4C4F-8226-54993F8C84DC}"/>
    <cellStyle name="Comma 4 4 2 5 5" xfId="10090" xr:uid="{EB31E1DD-E0AA-4E71-888E-59AB912C43F4}"/>
    <cellStyle name="Comma 4 4 2 6" xfId="1972" xr:uid="{00000000-0005-0000-0000-0000F2090000}"/>
    <cellStyle name="Comma 4 4 2 6 2" xfId="4201" xr:uid="{00000000-0005-0000-0000-0000F3090000}"/>
    <cellStyle name="Comma 4 4 2 6 2 2" xfId="8424" xr:uid="{00000000-0005-0000-0000-0000F4090000}"/>
    <cellStyle name="Comma 4 4 2 6 2 2 2" xfId="25307" xr:uid="{3F71C132-641D-4622-9705-7BFE5731CCC2}"/>
    <cellStyle name="Comma 4 4 2 6 2 2 3" xfId="16866" xr:uid="{4626CB9F-B520-4830-B041-68EB5841AB06}"/>
    <cellStyle name="Comma 4 4 2 6 2 3" xfId="21089" xr:uid="{F31EEFB4-1285-4BCB-B581-1B0A5F1952B7}"/>
    <cellStyle name="Comma 4 4 2 6 2 4" xfId="12648" xr:uid="{4707819F-CD74-4755-AA08-C21EDD49D5B2}"/>
    <cellStyle name="Comma 4 4 2 6 3" xfId="6279" xr:uid="{00000000-0005-0000-0000-0000F5090000}"/>
    <cellStyle name="Comma 4 4 2 6 3 2" xfId="23162" xr:uid="{160BA6D9-1B5B-4FB4-93D1-3794939503A2}"/>
    <cellStyle name="Comma 4 4 2 6 3 3" xfId="14721" xr:uid="{03A8E047-CC82-4051-85B3-2599DAE4BDF0}"/>
    <cellStyle name="Comma 4 4 2 6 4" xfId="18944" xr:uid="{9763513D-1FB3-461C-9A76-845DF77DB844}"/>
    <cellStyle name="Comma 4 4 2 6 5" xfId="10503" xr:uid="{2F31A81E-610A-4EF5-A609-68D41BB71A1A}"/>
    <cellStyle name="Comma 4 4 2 7" xfId="2407" xr:uid="{00000000-0005-0000-0000-0000F6090000}"/>
    <cellStyle name="Comma 4 4 2 7 2" xfId="6692" xr:uid="{00000000-0005-0000-0000-0000F7090000}"/>
    <cellStyle name="Comma 4 4 2 7 2 2" xfId="23575" xr:uid="{C49EED28-71D5-462E-9DF5-9232385F9EB9}"/>
    <cellStyle name="Comma 4 4 2 7 2 3" xfId="15134" xr:uid="{A1F72FB2-B592-4536-B7F3-57A3A6EECBD3}"/>
    <cellStyle name="Comma 4 4 2 7 3" xfId="19357" xr:uid="{061F7BD4-E2FE-4F67-AF15-2DB7CCB43EC6}"/>
    <cellStyle name="Comma 4 4 2 7 4" xfId="10916" xr:uid="{0A5760E3-C836-4DE5-9590-2B98EB2467F2}"/>
    <cellStyle name="Comma 4 4 2 8" xfId="2703" xr:uid="{00000000-0005-0000-0000-0000F8090000}"/>
    <cellStyle name="Comma 4 4 2 9" xfId="2785" xr:uid="{00000000-0005-0000-0000-0000F9090000}"/>
    <cellStyle name="Comma 4 4 2 9 2" xfId="7009" xr:uid="{00000000-0005-0000-0000-0000FA090000}"/>
    <cellStyle name="Comma 4 4 2 9 2 2" xfId="23892" xr:uid="{728FA841-684D-4707-A686-65F63A5E5898}"/>
    <cellStyle name="Comma 4 4 2 9 2 3" xfId="15451" xr:uid="{04FCFE3F-2407-48AC-9FCE-218A03488D17}"/>
    <cellStyle name="Comma 4 4 2 9 3" xfId="19674" xr:uid="{677779ED-5FCD-49A0-A62E-A6DC72636339}"/>
    <cellStyle name="Comma 4 4 2 9 4" xfId="11233" xr:uid="{49137086-E9B6-428B-A02A-79E3BE982488}"/>
    <cellStyle name="Comma 4 4 3" xfId="156" xr:uid="{00000000-0005-0000-0000-0000FB090000}"/>
    <cellStyle name="Comma 4 4 3 10" xfId="17293" xr:uid="{273A48D8-3023-474C-B41D-922D74596464}"/>
    <cellStyle name="Comma 4 4 3 11" xfId="8852" xr:uid="{21C24B95-035B-4FB6-82C9-1C277637E671}"/>
    <cellStyle name="Comma 4 4 3 2" xfId="693" xr:uid="{00000000-0005-0000-0000-0000FC090000}"/>
    <cellStyle name="Comma 4 4 3 2 2" xfId="2964" xr:uid="{00000000-0005-0000-0000-0000FD090000}"/>
    <cellStyle name="Comma 4 4 3 2 2 2" xfId="7187" xr:uid="{00000000-0005-0000-0000-0000FE090000}"/>
    <cellStyle name="Comma 4 4 3 2 2 2 2" xfId="24070" xr:uid="{A2CFFC99-9AAE-4F46-A22D-52A7BC0B311E}"/>
    <cellStyle name="Comma 4 4 3 2 2 2 3" xfId="15629" xr:uid="{740D5A19-2C2D-4A2D-A63F-3E132AD62EA0}"/>
    <cellStyle name="Comma 4 4 3 2 2 3" xfId="19852" xr:uid="{D9096F36-5D8A-44A9-8307-3F565AFA35E4}"/>
    <cellStyle name="Comma 4 4 3 2 2 4" xfId="11411" xr:uid="{3D030127-E0E9-44BD-AC0A-FD2B08253EB8}"/>
    <cellStyle name="Comma 4 4 3 2 3" xfId="5042" xr:uid="{00000000-0005-0000-0000-0000FF090000}"/>
    <cellStyle name="Comma 4 4 3 2 3 2" xfId="21925" xr:uid="{FFB0E6F4-D6D0-4966-8B9C-3690E9A021EA}"/>
    <cellStyle name="Comma 4 4 3 2 3 3" xfId="13484" xr:uid="{449F42B5-6AE5-4DDD-ACC8-937D4D44A890}"/>
    <cellStyle name="Comma 4 4 3 2 4" xfId="17707" xr:uid="{DF86A6EF-0215-4345-A864-676BE6DE41BE}"/>
    <cellStyle name="Comma 4 4 3 2 5" xfId="9266" xr:uid="{66E4F72C-C1E9-4BB8-9264-7F0F8058DE90}"/>
    <cellStyle name="Comma 4 4 3 3" xfId="1146" xr:uid="{00000000-0005-0000-0000-0000000A0000}"/>
    <cellStyle name="Comma 4 4 3 3 2" xfId="3377" xr:uid="{00000000-0005-0000-0000-0000010A0000}"/>
    <cellStyle name="Comma 4 4 3 3 2 2" xfId="7600" xr:uid="{00000000-0005-0000-0000-0000020A0000}"/>
    <cellStyle name="Comma 4 4 3 3 2 2 2" xfId="24483" xr:uid="{6FEF61E3-ADB9-466E-97E3-8536E912BE27}"/>
    <cellStyle name="Comma 4 4 3 3 2 2 3" xfId="16042" xr:uid="{CB362D9A-4044-411E-A54A-C33576487F67}"/>
    <cellStyle name="Comma 4 4 3 3 2 3" xfId="20265" xr:uid="{F7E79B28-5147-4FF8-930F-BAB5D6BBEC45}"/>
    <cellStyle name="Comma 4 4 3 3 2 4" xfId="11824" xr:uid="{7870ED1E-D735-4093-A002-C890FF6385EE}"/>
    <cellStyle name="Comma 4 4 3 3 3" xfId="5455" xr:uid="{00000000-0005-0000-0000-0000030A0000}"/>
    <cellStyle name="Comma 4 4 3 3 3 2" xfId="22338" xr:uid="{332FE096-F51C-4DCC-9B09-72EE8F317896}"/>
    <cellStyle name="Comma 4 4 3 3 3 3" xfId="13897" xr:uid="{E9B0B13C-84FA-484F-92D0-1C2ABE25EC60}"/>
    <cellStyle name="Comma 4 4 3 3 4" xfId="18120" xr:uid="{0D90BF33-B19B-43AA-967C-5BD67B5D8933}"/>
    <cellStyle name="Comma 4 4 3 3 5" xfId="9679" xr:uid="{676E5A7C-1B13-45F8-82FC-21A0F00185BB}"/>
    <cellStyle name="Comma 4 4 3 4" xfId="1560" xr:uid="{00000000-0005-0000-0000-0000040A0000}"/>
    <cellStyle name="Comma 4 4 3 4 2" xfId="3790" xr:uid="{00000000-0005-0000-0000-0000050A0000}"/>
    <cellStyle name="Comma 4 4 3 4 2 2" xfId="8013" xr:uid="{00000000-0005-0000-0000-0000060A0000}"/>
    <cellStyle name="Comma 4 4 3 4 2 2 2" xfId="24896" xr:uid="{0C3B893E-13C3-4624-AEB7-DF5F7E232A7D}"/>
    <cellStyle name="Comma 4 4 3 4 2 2 3" xfId="16455" xr:uid="{2E976F37-9255-44BA-B565-5DF2118EE135}"/>
    <cellStyle name="Comma 4 4 3 4 2 3" xfId="20678" xr:uid="{34B31548-4EB1-4D9F-8D6F-FD1FB1EEF9B2}"/>
    <cellStyle name="Comma 4 4 3 4 2 4" xfId="12237" xr:uid="{9ACC32A1-3691-4BD8-95B8-482B5FA2CA9C}"/>
    <cellStyle name="Comma 4 4 3 4 3" xfId="5868" xr:uid="{00000000-0005-0000-0000-0000070A0000}"/>
    <cellStyle name="Comma 4 4 3 4 3 2" xfId="22751" xr:uid="{01E84E16-B249-4F85-A8F3-FF704690166A}"/>
    <cellStyle name="Comma 4 4 3 4 3 3" xfId="14310" xr:uid="{A4E4A82C-0CE6-4345-A326-D03F19B18526}"/>
    <cellStyle name="Comma 4 4 3 4 4" xfId="18533" xr:uid="{07BE8CC6-11C1-41A9-AA89-CD31F0F431D0}"/>
    <cellStyle name="Comma 4 4 3 4 5" xfId="10092" xr:uid="{92A5FC63-1605-44C5-B6FA-8E768E432137}"/>
    <cellStyle name="Comma 4 4 3 5" xfId="1974" xr:uid="{00000000-0005-0000-0000-0000080A0000}"/>
    <cellStyle name="Comma 4 4 3 5 2" xfId="4203" xr:uid="{00000000-0005-0000-0000-0000090A0000}"/>
    <cellStyle name="Comma 4 4 3 5 2 2" xfId="8426" xr:uid="{00000000-0005-0000-0000-00000A0A0000}"/>
    <cellStyle name="Comma 4 4 3 5 2 2 2" xfId="25309" xr:uid="{8E8382FF-3754-4408-9A3E-95F35C176DC8}"/>
    <cellStyle name="Comma 4 4 3 5 2 2 3" xfId="16868" xr:uid="{23DBC9F2-6763-4EFF-8D9B-BF1992C1D75D}"/>
    <cellStyle name="Comma 4 4 3 5 2 3" xfId="21091" xr:uid="{ECE0A372-F037-49FD-B48D-9BF35C6CA485}"/>
    <cellStyle name="Comma 4 4 3 5 2 4" xfId="12650" xr:uid="{8B0F11A3-64EA-4C4D-8CE2-022C0F52B9EB}"/>
    <cellStyle name="Comma 4 4 3 5 3" xfId="6281" xr:uid="{00000000-0005-0000-0000-00000B0A0000}"/>
    <cellStyle name="Comma 4 4 3 5 3 2" xfId="23164" xr:uid="{18A1E308-D1F0-43C7-A920-EDB5B3669A47}"/>
    <cellStyle name="Comma 4 4 3 5 3 3" xfId="14723" xr:uid="{4731B159-AC2E-4D3C-88DC-6D3AE66885B7}"/>
    <cellStyle name="Comma 4 4 3 5 4" xfId="18946" xr:uid="{2AED4062-44EC-494F-AFB5-FABB0E224D53}"/>
    <cellStyle name="Comma 4 4 3 5 5" xfId="10505" xr:uid="{ED3DFDF1-037A-49B8-8D53-C92BCC1C33BE}"/>
    <cellStyle name="Comma 4 4 3 6" xfId="2409" xr:uid="{00000000-0005-0000-0000-00000C0A0000}"/>
    <cellStyle name="Comma 4 4 3 6 2" xfId="6694" xr:uid="{00000000-0005-0000-0000-00000D0A0000}"/>
    <cellStyle name="Comma 4 4 3 6 2 2" xfId="23577" xr:uid="{3953FB78-BE4C-496C-B73E-7E9F22B9B510}"/>
    <cellStyle name="Comma 4 4 3 6 2 3" xfId="15136" xr:uid="{916DEA4A-D639-4F4A-9D53-07AA37792DC8}"/>
    <cellStyle name="Comma 4 4 3 6 3" xfId="19359" xr:uid="{7FDA37FC-63E5-4028-B68F-CC6BFCF6BD3E}"/>
    <cellStyle name="Comma 4 4 3 6 4" xfId="10918" xr:uid="{F1887C82-57CF-441E-A790-2EE65866DF0C}"/>
    <cellStyle name="Comma 4 4 3 7" xfId="2705" xr:uid="{00000000-0005-0000-0000-00000E0A0000}"/>
    <cellStyle name="Comma 4 4 3 8" xfId="2787" xr:uid="{00000000-0005-0000-0000-00000F0A0000}"/>
    <cellStyle name="Comma 4 4 3 8 2" xfId="7011" xr:uid="{00000000-0005-0000-0000-0000100A0000}"/>
    <cellStyle name="Comma 4 4 3 8 2 2" xfId="23894" xr:uid="{E642CF0C-BDCF-49E0-9789-CC9BCE156FBD}"/>
    <cellStyle name="Comma 4 4 3 8 2 3" xfId="15453" xr:uid="{3DE5EBC1-F9D6-4945-8C83-7CAE035C383A}"/>
    <cellStyle name="Comma 4 4 3 8 3" xfId="19676" xr:uid="{F4104035-BFDD-4F3C-B0D2-BC7281AFB5C7}"/>
    <cellStyle name="Comma 4 4 3 8 4" xfId="11235" xr:uid="{F6600AD5-8FD4-4F02-8B8C-95BB9C488308}"/>
    <cellStyle name="Comma 4 4 3 9" xfId="4628" xr:uid="{00000000-0005-0000-0000-0000110A0000}"/>
    <cellStyle name="Comma 4 4 3 9 2" xfId="21511" xr:uid="{3A4C4B36-038E-4D74-AF19-CFDDECAEC2DE}"/>
    <cellStyle name="Comma 4 4 3 9 3" xfId="13070" xr:uid="{60D6DDAD-5F9E-40ED-B5CE-D46CF3626E06}"/>
    <cellStyle name="Comma 4 4 4" xfId="690" xr:uid="{00000000-0005-0000-0000-0000120A0000}"/>
    <cellStyle name="Comma 4 4 4 2" xfId="2961" xr:uid="{00000000-0005-0000-0000-0000130A0000}"/>
    <cellStyle name="Comma 4 4 4 2 2" xfId="7184" xr:uid="{00000000-0005-0000-0000-0000140A0000}"/>
    <cellStyle name="Comma 4 4 4 2 2 2" xfId="24067" xr:uid="{A85BF812-41F1-482E-8E8E-55B3CBCEA5DF}"/>
    <cellStyle name="Comma 4 4 4 2 2 3" xfId="15626" xr:uid="{A1B6586D-F0B2-4BEE-ABB7-58C475B12B91}"/>
    <cellStyle name="Comma 4 4 4 2 3" xfId="19849" xr:uid="{FE546E59-0CDA-4D43-92C2-F9A5266BBAD4}"/>
    <cellStyle name="Comma 4 4 4 2 4" xfId="11408" xr:uid="{E2536F2E-6819-4E5F-BFFA-83C73F3B80F0}"/>
    <cellStyle name="Comma 4 4 4 3" xfId="5039" xr:uid="{00000000-0005-0000-0000-0000150A0000}"/>
    <cellStyle name="Comma 4 4 4 3 2" xfId="21922" xr:uid="{FE142860-B146-4BC7-8C46-AA5975E9A68D}"/>
    <cellStyle name="Comma 4 4 4 3 3" xfId="13481" xr:uid="{EAD14E5F-3FF0-445E-9E6B-826FBB132EAE}"/>
    <cellStyle name="Comma 4 4 4 4" xfId="17704" xr:uid="{669B2E19-6AA5-41B5-9C94-52ED4F10E686}"/>
    <cellStyle name="Comma 4 4 4 5" xfId="9263" xr:uid="{ACDB876B-D64E-4308-8E50-EA0F56AE0A85}"/>
    <cellStyle name="Comma 4 4 5" xfId="1143" xr:uid="{00000000-0005-0000-0000-0000160A0000}"/>
    <cellStyle name="Comma 4 4 5 2" xfId="3374" xr:uid="{00000000-0005-0000-0000-0000170A0000}"/>
    <cellStyle name="Comma 4 4 5 2 2" xfId="7597" xr:uid="{00000000-0005-0000-0000-0000180A0000}"/>
    <cellStyle name="Comma 4 4 5 2 2 2" xfId="24480" xr:uid="{A283A802-9F7D-4023-8F01-9ADF33728369}"/>
    <cellStyle name="Comma 4 4 5 2 2 3" xfId="16039" xr:uid="{A9A0C365-7B56-4030-B9D6-93B79DDB3E22}"/>
    <cellStyle name="Comma 4 4 5 2 3" xfId="20262" xr:uid="{AC8C4B74-BEA3-48C4-A610-EF45928B1AB1}"/>
    <cellStyle name="Comma 4 4 5 2 4" xfId="11821" xr:uid="{3599E456-B0D1-489C-B44A-923A34FB4972}"/>
    <cellStyle name="Comma 4 4 5 3" xfId="5452" xr:uid="{00000000-0005-0000-0000-0000190A0000}"/>
    <cellStyle name="Comma 4 4 5 3 2" xfId="22335" xr:uid="{4C137818-B2CA-4535-A1B8-659BFE9A9EDA}"/>
    <cellStyle name="Comma 4 4 5 3 3" xfId="13894" xr:uid="{12F01D90-17C8-493E-909C-69BAE2C0FDDA}"/>
    <cellStyle name="Comma 4 4 5 4" xfId="18117" xr:uid="{A80E50CC-B592-4AAF-8A4D-EEAD50FD18F6}"/>
    <cellStyle name="Comma 4 4 5 5" xfId="9676" xr:uid="{CF61B3E2-8AA8-4C3E-ABA0-414678909B58}"/>
    <cellStyle name="Comma 4 4 6" xfId="1557" xr:uid="{00000000-0005-0000-0000-00001A0A0000}"/>
    <cellStyle name="Comma 4 4 6 2" xfId="3787" xr:uid="{00000000-0005-0000-0000-00001B0A0000}"/>
    <cellStyle name="Comma 4 4 6 2 2" xfId="8010" xr:uid="{00000000-0005-0000-0000-00001C0A0000}"/>
    <cellStyle name="Comma 4 4 6 2 2 2" xfId="24893" xr:uid="{7A1AE7D8-E8C6-4EED-995F-9AF9DCEFDAC7}"/>
    <cellStyle name="Comma 4 4 6 2 2 3" xfId="16452" xr:uid="{90A73793-8AE0-488F-8994-957745A50F6A}"/>
    <cellStyle name="Comma 4 4 6 2 3" xfId="20675" xr:uid="{24C537BF-94A3-4157-B058-EE4B94920AC2}"/>
    <cellStyle name="Comma 4 4 6 2 4" xfId="12234" xr:uid="{790A729B-93D3-4126-A809-412467339FE4}"/>
    <cellStyle name="Comma 4 4 6 3" xfId="5865" xr:uid="{00000000-0005-0000-0000-00001D0A0000}"/>
    <cellStyle name="Comma 4 4 6 3 2" xfId="22748" xr:uid="{7F944788-EEED-4E5A-92A6-66A2246A6248}"/>
    <cellStyle name="Comma 4 4 6 3 3" xfId="14307" xr:uid="{0FB041C4-8822-45F4-8CA7-E20DAA80C907}"/>
    <cellStyle name="Comma 4 4 6 4" xfId="18530" xr:uid="{A156240C-2189-47C2-9256-788826769BCD}"/>
    <cellStyle name="Comma 4 4 6 5" xfId="10089" xr:uid="{F56EB4BF-EB20-43AA-842B-6D3257CC066E}"/>
    <cellStyle name="Comma 4 4 7" xfId="1971" xr:uid="{00000000-0005-0000-0000-00001E0A0000}"/>
    <cellStyle name="Comma 4 4 7 2" xfId="4200" xr:uid="{00000000-0005-0000-0000-00001F0A0000}"/>
    <cellStyle name="Comma 4 4 7 2 2" xfId="8423" xr:uid="{00000000-0005-0000-0000-0000200A0000}"/>
    <cellStyle name="Comma 4 4 7 2 2 2" xfId="25306" xr:uid="{F5A7AD4F-B6BE-43F1-8A08-5A1E97013A51}"/>
    <cellStyle name="Comma 4 4 7 2 2 3" xfId="16865" xr:uid="{B9F2E990-0AD3-40CE-B491-8D85024A4F03}"/>
    <cellStyle name="Comma 4 4 7 2 3" xfId="21088" xr:uid="{0631C31C-3B94-4D4B-9988-2476D6BB59A6}"/>
    <cellStyle name="Comma 4 4 7 2 4" xfId="12647" xr:uid="{513EF991-8D5C-4A95-ACD2-E5AE8B19D839}"/>
    <cellStyle name="Comma 4 4 7 3" xfId="6278" xr:uid="{00000000-0005-0000-0000-0000210A0000}"/>
    <cellStyle name="Comma 4 4 7 3 2" xfId="23161" xr:uid="{2A930257-EA79-4AAA-98AE-CC6CB7A4B101}"/>
    <cellStyle name="Comma 4 4 7 3 3" xfId="14720" xr:uid="{79874661-ADB7-4DD1-BD88-3FD24F62A8BE}"/>
    <cellStyle name="Comma 4 4 7 4" xfId="18943" xr:uid="{957992C7-A35E-45B7-B19C-49CEC947BAA4}"/>
    <cellStyle name="Comma 4 4 7 5" xfId="10502" xr:uid="{7BBF3D8C-782A-4A42-9B51-3F675DE6445E}"/>
    <cellStyle name="Comma 4 4 8" xfId="2406" xr:uid="{00000000-0005-0000-0000-0000220A0000}"/>
    <cellStyle name="Comma 4 4 8 2" xfId="6691" xr:uid="{00000000-0005-0000-0000-0000230A0000}"/>
    <cellStyle name="Comma 4 4 8 2 2" xfId="23574" xr:uid="{3F080A6C-25E7-4364-9D70-ECB9F06A3F7D}"/>
    <cellStyle name="Comma 4 4 8 2 3" xfId="15133" xr:uid="{E2BE9727-2E94-4703-9C50-D07BCED1B2E4}"/>
    <cellStyle name="Comma 4 4 8 3" xfId="19356" xr:uid="{C97FEB5F-9EA8-4FA1-ACAB-242AD56DDC54}"/>
    <cellStyle name="Comma 4 4 8 4" xfId="10915" xr:uid="{F1AEEEAD-1E00-4D80-8058-041AB18C5A6B}"/>
    <cellStyle name="Comma 4 4 9" xfId="2702" xr:uid="{00000000-0005-0000-0000-0000240A0000}"/>
    <cellStyle name="Comma 4 5" xfId="157" xr:uid="{00000000-0005-0000-0000-0000250A0000}"/>
    <cellStyle name="Comma 4 5 10" xfId="4629" xr:uid="{00000000-0005-0000-0000-0000260A0000}"/>
    <cellStyle name="Comma 4 5 10 2" xfId="21512" xr:uid="{BAF2DA36-C2E5-42DA-9F50-D31CC650AC57}"/>
    <cellStyle name="Comma 4 5 10 3" xfId="13071" xr:uid="{F214CD3C-4902-4413-B03F-D00405DAE383}"/>
    <cellStyle name="Comma 4 5 11" xfId="17294" xr:uid="{B0FC458B-65FB-419E-8A5E-84B492ADD08F}"/>
    <cellStyle name="Comma 4 5 12" xfId="8853" xr:uid="{147680A5-DF0B-4C23-B98C-EC0CB67F7A56}"/>
    <cellStyle name="Comma 4 5 2" xfId="158" xr:uid="{00000000-0005-0000-0000-0000270A0000}"/>
    <cellStyle name="Comma 4 5 2 10" xfId="17295" xr:uid="{73839FB2-B8CC-42B7-96F2-4CBE1223A4F7}"/>
    <cellStyle name="Comma 4 5 2 11" xfId="8854" xr:uid="{DAD7FBD4-E2E6-4681-AAB1-82D15E79E581}"/>
    <cellStyle name="Comma 4 5 2 2" xfId="695" xr:uid="{00000000-0005-0000-0000-0000280A0000}"/>
    <cellStyle name="Comma 4 5 2 2 2" xfId="2966" xr:uid="{00000000-0005-0000-0000-0000290A0000}"/>
    <cellStyle name="Comma 4 5 2 2 2 2" xfId="7189" xr:uid="{00000000-0005-0000-0000-00002A0A0000}"/>
    <cellStyle name="Comma 4 5 2 2 2 2 2" xfId="24072" xr:uid="{A6210206-5F04-4532-9370-0A7A61BC0309}"/>
    <cellStyle name="Comma 4 5 2 2 2 2 3" xfId="15631" xr:uid="{01F9B563-E2EE-4C0C-A74D-3DFB293985CB}"/>
    <cellStyle name="Comma 4 5 2 2 2 3" xfId="19854" xr:uid="{433E36C3-EE55-4A90-9088-2ABC7DEB2DA9}"/>
    <cellStyle name="Comma 4 5 2 2 2 4" xfId="11413" xr:uid="{831980BA-72DA-400B-B7A2-41B81895ADF1}"/>
    <cellStyle name="Comma 4 5 2 2 3" xfId="5044" xr:uid="{00000000-0005-0000-0000-00002B0A0000}"/>
    <cellStyle name="Comma 4 5 2 2 3 2" xfId="21927" xr:uid="{9D4A3AD4-BD36-4F29-B0A0-7425639FA76D}"/>
    <cellStyle name="Comma 4 5 2 2 3 3" xfId="13486" xr:uid="{F48624DD-A0A9-4DA2-B463-D241BDE25E1E}"/>
    <cellStyle name="Comma 4 5 2 2 4" xfId="17709" xr:uid="{0412A1B4-150B-46D3-BAB2-5B2827535E73}"/>
    <cellStyle name="Comma 4 5 2 2 5" xfId="9268" xr:uid="{44A46F8C-D68F-4B90-A51C-1CBAAF3414B9}"/>
    <cellStyle name="Comma 4 5 2 3" xfId="1148" xr:uid="{00000000-0005-0000-0000-00002C0A0000}"/>
    <cellStyle name="Comma 4 5 2 3 2" xfId="3379" xr:uid="{00000000-0005-0000-0000-00002D0A0000}"/>
    <cellStyle name="Comma 4 5 2 3 2 2" xfId="7602" xr:uid="{00000000-0005-0000-0000-00002E0A0000}"/>
    <cellStyle name="Comma 4 5 2 3 2 2 2" xfId="24485" xr:uid="{8DB4FCCC-4BF2-4CA7-8128-3314D7A40803}"/>
    <cellStyle name="Comma 4 5 2 3 2 2 3" xfId="16044" xr:uid="{04E287DB-3C3A-4C48-B56F-2CC8FF7BB0D1}"/>
    <cellStyle name="Comma 4 5 2 3 2 3" xfId="20267" xr:uid="{DEB5D4AC-C209-46AB-85E2-53A4F50E2ED8}"/>
    <cellStyle name="Comma 4 5 2 3 2 4" xfId="11826" xr:uid="{DA3988AA-C356-4C3D-B171-AC4021A770AF}"/>
    <cellStyle name="Comma 4 5 2 3 3" xfId="5457" xr:uid="{00000000-0005-0000-0000-00002F0A0000}"/>
    <cellStyle name="Comma 4 5 2 3 3 2" xfId="22340" xr:uid="{9C5B9F26-E173-45B3-AA89-8D866961857E}"/>
    <cellStyle name="Comma 4 5 2 3 3 3" xfId="13899" xr:uid="{B5505738-83F7-42D3-BF3C-AA9018DDFF28}"/>
    <cellStyle name="Comma 4 5 2 3 4" xfId="18122" xr:uid="{B6AFC96D-413B-4A60-AD42-068F938134A0}"/>
    <cellStyle name="Comma 4 5 2 3 5" xfId="9681" xr:uid="{0C4DEB4C-C8B7-41AA-937C-307619B2106C}"/>
    <cellStyle name="Comma 4 5 2 4" xfId="1562" xr:uid="{00000000-0005-0000-0000-0000300A0000}"/>
    <cellStyle name="Comma 4 5 2 4 2" xfId="3792" xr:uid="{00000000-0005-0000-0000-0000310A0000}"/>
    <cellStyle name="Comma 4 5 2 4 2 2" xfId="8015" xr:uid="{00000000-0005-0000-0000-0000320A0000}"/>
    <cellStyle name="Comma 4 5 2 4 2 2 2" xfId="24898" xr:uid="{2F69B6E3-6565-4632-8427-04E725BA7A88}"/>
    <cellStyle name="Comma 4 5 2 4 2 2 3" xfId="16457" xr:uid="{92DED7C9-0ABA-4A95-870A-0F115C28701A}"/>
    <cellStyle name="Comma 4 5 2 4 2 3" xfId="20680" xr:uid="{BA43432E-F500-4017-8833-F659AE2C79DE}"/>
    <cellStyle name="Comma 4 5 2 4 2 4" xfId="12239" xr:uid="{66AF3402-1999-41D2-A853-A6AEE20A8C7E}"/>
    <cellStyle name="Comma 4 5 2 4 3" xfId="5870" xr:uid="{00000000-0005-0000-0000-0000330A0000}"/>
    <cellStyle name="Comma 4 5 2 4 3 2" xfId="22753" xr:uid="{06A1BCA6-CE50-4254-9E88-D2EE29733255}"/>
    <cellStyle name="Comma 4 5 2 4 3 3" xfId="14312" xr:uid="{7DDE0B03-445F-4F7F-A651-758C5472C2D9}"/>
    <cellStyle name="Comma 4 5 2 4 4" xfId="18535" xr:uid="{DEDEB6BC-EF9A-48B6-8FB5-3ADA02F33A3D}"/>
    <cellStyle name="Comma 4 5 2 4 5" xfId="10094" xr:uid="{482A79D6-DBD1-408E-9A5F-1C72CD9630FC}"/>
    <cellStyle name="Comma 4 5 2 5" xfId="1976" xr:uid="{00000000-0005-0000-0000-0000340A0000}"/>
    <cellStyle name="Comma 4 5 2 5 2" xfId="4205" xr:uid="{00000000-0005-0000-0000-0000350A0000}"/>
    <cellStyle name="Comma 4 5 2 5 2 2" xfId="8428" xr:uid="{00000000-0005-0000-0000-0000360A0000}"/>
    <cellStyle name="Comma 4 5 2 5 2 2 2" xfId="25311" xr:uid="{81953CC8-B50F-45C5-8F1F-2E29DABCD106}"/>
    <cellStyle name="Comma 4 5 2 5 2 2 3" xfId="16870" xr:uid="{27200735-BD89-4AAD-9C15-85FF5B2993EB}"/>
    <cellStyle name="Comma 4 5 2 5 2 3" xfId="21093" xr:uid="{517008FD-37DB-4C09-A25E-12C74376F9AD}"/>
    <cellStyle name="Comma 4 5 2 5 2 4" xfId="12652" xr:uid="{CD17564C-2C2D-4B2B-9C14-7D720BB2BEDD}"/>
    <cellStyle name="Comma 4 5 2 5 3" xfId="6283" xr:uid="{00000000-0005-0000-0000-0000370A0000}"/>
    <cellStyle name="Comma 4 5 2 5 3 2" xfId="23166" xr:uid="{C86A1F9F-51B9-4B2D-ACCE-1D46BD924873}"/>
    <cellStyle name="Comma 4 5 2 5 3 3" xfId="14725" xr:uid="{34B92679-C34C-4041-9D4B-267D6E08F70F}"/>
    <cellStyle name="Comma 4 5 2 5 4" xfId="18948" xr:uid="{D174D6D9-C990-4ECD-8604-AC151BB58837}"/>
    <cellStyle name="Comma 4 5 2 5 5" xfId="10507" xr:uid="{4CD7C369-83C0-40B3-A7D9-E2E0B6074B03}"/>
    <cellStyle name="Comma 4 5 2 6" xfId="2411" xr:uid="{00000000-0005-0000-0000-0000380A0000}"/>
    <cellStyle name="Comma 4 5 2 6 2" xfId="6696" xr:uid="{00000000-0005-0000-0000-0000390A0000}"/>
    <cellStyle name="Comma 4 5 2 6 2 2" xfId="23579" xr:uid="{F162D02D-D840-4DD2-851A-82EDBA5BB6AF}"/>
    <cellStyle name="Comma 4 5 2 6 2 3" xfId="15138" xr:uid="{E94667EF-9E8F-4E8E-BC3E-B855485B6975}"/>
    <cellStyle name="Comma 4 5 2 6 3" xfId="19361" xr:uid="{EB06ABBB-3667-4750-8362-87429C98FF55}"/>
    <cellStyle name="Comma 4 5 2 6 4" xfId="10920" xr:uid="{6B19E158-41BE-42F8-AC39-FD120903A613}"/>
    <cellStyle name="Comma 4 5 2 7" xfId="2707" xr:uid="{00000000-0005-0000-0000-00003A0A0000}"/>
    <cellStyle name="Comma 4 5 2 8" xfId="2789" xr:uid="{00000000-0005-0000-0000-00003B0A0000}"/>
    <cellStyle name="Comma 4 5 2 8 2" xfId="7013" xr:uid="{00000000-0005-0000-0000-00003C0A0000}"/>
    <cellStyle name="Comma 4 5 2 8 2 2" xfId="23896" xr:uid="{2C0DD9A2-DA87-4E06-BD19-78CF6171C4A1}"/>
    <cellStyle name="Comma 4 5 2 8 2 3" xfId="15455" xr:uid="{109F10EF-7E1D-49E6-A5A2-908E321A82B8}"/>
    <cellStyle name="Comma 4 5 2 8 3" xfId="19678" xr:uid="{873E12B3-E5E5-41AD-A699-41B5191DB606}"/>
    <cellStyle name="Comma 4 5 2 8 4" xfId="11237" xr:uid="{3913A8D3-7FEF-4D7B-AD9C-21D8636F16C2}"/>
    <cellStyle name="Comma 4 5 2 9" xfId="4630" xr:uid="{00000000-0005-0000-0000-00003D0A0000}"/>
    <cellStyle name="Comma 4 5 2 9 2" xfId="21513" xr:uid="{39F9ACC6-4150-4424-8758-800477B1A4F3}"/>
    <cellStyle name="Comma 4 5 2 9 3" xfId="13072" xr:uid="{8D987FD9-BC98-4C74-BC11-A95514F160D4}"/>
    <cellStyle name="Comma 4 5 3" xfId="694" xr:uid="{00000000-0005-0000-0000-00003E0A0000}"/>
    <cellStyle name="Comma 4 5 3 2" xfId="2965" xr:uid="{00000000-0005-0000-0000-00003F0A0000}"/>
    <cellStyle name="Comma 4 5 3 2 2" xfId="7188" xr:uid="{00000000-0005-0000-0000-0000400A0000}"/>
    <cellStyle name="Comma 4 5 3 2 2 2" xfId="24071" xr:uid="{9CD94B26-8279-4C25-8291-99DB97D16D99}"/>
    <cellStyle name="Comma 4 5 3 2 2 3" xfId="15630" xr:uid="{D48D7DFC-7F3E-465B-BDE3-8D6E39C97CFF}"/>
    <cellStyle name="Comma 4 5 3 2 3" xfId="19853" xr:uid="{0EF9CF37-0CC9-485F-924F-1EECEAA7FBFA}"/>
    <cellStyle name="Comma 4 5 3 2 4" xfId="11412" xr:uid="{CEE48D95-CA44-48F6-A6A8-D0B85D1D0B78}"/>
    <cellStyle name="Comma 4 5 3 3" xfId="5043" xr:uid="{00000000-0005-0000-0000-0000410A0000}"/>
    <cellStyle name="Comma 4 5 3 3 2" xfId="21926" xr:uid="{1022F8FE-610D-4128-8C0D-C8F79854F549}"/>
    <cellStyle name="Comma 4 5 3 3 3" xfId="13485" xr:uid="{5FA1824D-D6E0-4024-BF6A-74621494FA33}"/>
    <cellStyle name="Comma 4 5 3 4" xfId="17708" xr:uid="{798E5A2B-8C9D-414E-8753-42563C58960A}"/>
    <cellStyle name="Comma 4 5 3 5" xfId="9267" xr:uid="{7B62D8F2-B089-408D-9F0E-6F9081CEBD98}"/>
    <cellStyle name="Comma 4 5 4" xfId="1147" xr:uid="{00000000-0005-0000-0000-0000420A0000}"/>
    <cellStyle name="Comma 4 5 4 2" xfId="3378" xr:uid="{00000000-0005-0000-0000-0000430A0000}"/>
    <cellStyle name="Comma 4 5 4 2 2" xfId="7601" xr:uid="{00000000-0005-0000-0000-0000440A0000}"/>
    <cellStyle name="Comma 4 5 4 2 2 2" xfId="24484" xr:uid="{99833255-B82C-4A5F-8FDA-4438AB237541}"/>
    <cellStyle name="Comma 4 5 4 2 2 3" xfId="16043" xr:uid="{EF95EB49-C397-4EE6-8114-BCFBD8E239C3}"/>
    <cellStyle name="Comma 4 5 4 2 3" xfId="20266" xr:uid="{6A35743C-9517-41E7-BE10-DEF82FBD1A6C}"/>
    <cellStyle name="Comma 4 5 4 2 4" xfId="11825" xr:uid="{192BEAA3-7FC2-41FE-90DE-6864232E468E}"/>
    <cellStyle name="Comma 4 5 4 3" xfId="5456" xr:uid="{00000000-0005-0000-0000-0000450A0000}"/>
    <cellStyle name="Comma 4 5 4 3 2" xfId="22339" xr:uid="{BE4B7E2B-404F-4AFE-A914-C03913A2425B}"/>
    <cellStyle name="Comma 4 5 4 3 3" xfId="13898" xr:uid="{18FB3B22-9147-4452-9FAE-81AB9DF8330D}"/>
    <cellStyle name="Comma 4 5 4 4" xfId="18121" xr:uid="{5B050219-DB76-4F58-A02D-26CBAAF196F1}"/>
    <cellStyle name="Comma 4 5 4 5" xfId="9680" xr:uid="{995089F2-60D1-4DC6-B86A-81D448C0D8BA}"/>
    <cellStyle name="Comma 4 5 5" xfId="1561" xr:uid="{00000000-0005-0000-0000-0000460A0000}"/>
    <cellStyle name="Comma 4 5 5 2" xfId="3791" xr:uid="{00000000-0005-0000-0000-0000470A0000}"/>
    <cellStyle name="Comma 4 5 5 2 2" xfId="8014" xr:uid="{00000000-0005-0000-0000-0000480A0000}"/>
    <cellStyle name="Comma 4 5 5 2 2 2" xfId="24897" xr:uid="{509C90EC-EAA7-4532-86B7-613203AE7D93}"/>
    <cellStyle name="Comma 4 5 5 2 2 3" xfId="16456" xr:uid="{0B268BF1-D91A-4B4F-82AE-511E6D3B493D}"/>
    <cellStyle name="Comma 4 5 5 2 3" xfId="20679" xr:uid="{83FBCAD5-3F31-491C-B453-D6423EEDC707}"/>
    <cellStyle name="Comma 4 5 5 2 4" xfId="12238" xr:uid="{2845ABDD-CEAE-451A-8C9A-908F9C9EE952}"/>
    <cellStyle name="Comma 4 5 5 3" xfId="5869" xr:uid="{00000000-0005-0000-0000-0000490A0000}"/>
    <cellStyle name="Comma 4 5 5 3 2" xfId="22752" xr:uid="{B2ACCCD2-DCBB-45D4-86BA-2D17A0412ACD}"/>
    <cellStyle name="Comma 4 5 5 3 3" xfId="14311" xr:uid="{DB55D6D9-AD8A-4C81-8734-43FEB095CDE0}"/>
    <cellStyle name="Comma 4 5 5 4" xfId="18534" xr:uid="{CA6E711F-8632-42EC-882C-DB06ED3FD391}"/>
    <cellStyle name="Comma 4 5 5 5" xfId="10093" xr:uid="{5F8A6AA0-84D7-4B50-818C-BF383E7BA90F}"/>
    <cellStyle name="Comma 4 5 6" xfId="1975" xr:uid="{00000000-0005-0000-0000-00004A0A0000}"/>
    <cellStyle name="Comma 4 5 6 2" xfId="4204" xr:uid="{00000000-0005-0000-0000-00004B0A0000}"/>
    <cellStyle name="Comma 4 5 6 2 2" xfId="8427" xr:uid="{00000000-0005-0000-0000-00004C0A0000}"/>
    <cellStyle name="Comma 4 5 6 2 2 2" xfId="25310" xr:uid="{18915B7A-651F-481C-83D0-F3381F1C4349}"/>
    <cellStyle name="Comma 4 5 6 2 2 3" xfId="16869" xr:uid="{25DF1705-2E9A-4FC6-B4D4-C103BC47A3D8}"/>
    <cellStyle name="Comma 4 5 6 2 3" xfId="21092" xr:uid="{10BB55F7-E657-42F1-BB3D-39C929F82F7B}"/>
    <cellStyle name="Comma 4 5 6 2 4" xfId="12651" xr:uid="{49D46831-961F-4E53-B968-9D823AFC8DF4}"/>
    <cellStyle name="Comma 4 5 6 3" xfId="6282" xr:uid="{00000000-0005-0000-0000-00004D0A0000}"/>
    <cellStyle name="Comma 4 5 6 3 2" xfId="23165" xr:uid="{628F2025-CA5C-4323-9B72-80723B99D4B2}"/>
    <cellStyle name="Comma 4 5 6 3 3" xfId="14724" xr:uid="{212FA970-FD6A-48F2-A039-8B89BBDA461A}"/>
    <cellStyle name="Comma 4 5 6 4" xfId="18947" xr:uid="{2A4BA180-9435-4274-B736-F13CF9468111}"/>
    <cellStyle name="Comma 4 5 6 5" xfId="10506" xr:uid="{584EBCD6-F4AC-4E97-8224-0F9B29690B27}"/>
    <cellStyle name="Comma 4 5 7" xfId="2410" xr:uid="{00000000-0005-0000-0000-00004E0A0000}"/>
    <cellStyle name="Comma 4 5 7 2" xfId="6695" xr:uid="{00000000-0005-0000-0000-00004F0A0000}"/>
    <cellStyle name="Comma 4 5 7 2 2" xfId="23578" xr:uid="{8DDF0E28-9F5C-46FE-950B-8D004E19B09A}"/>
    <cellStyle name="Comma 4 5 7 2 3" xfId="15137" xr:uid="{49F3B796-8164-4C55-836F-88F456261B51}"/>
    <cellStyle name="Comma 4 5 7 3" xfId="19360" xr:uid="{AD4513E3-89D8-450A-BEC0-1FB420F4BE8D}"/>
    <cellStyle name="Comma 4 5 7 4" xfId="10919" xr:uid="{3E455DF3-1694-425E-91C9-4CE13F42F94E}"/>
    <cellStyle name="Comma 4 5 8" xfId="2706" xr:uid="{00000000-0005-0000-0000-0000500A0000}"/>
    <cellStyle name="Comma 4 5 9" xfId="2788" xr:uid="{00000000-0005-0000-0000-0000510A0000}"/>
    <cellStyle name="Comma 4 5 9 2" xfId="7012" xr:uid="{00000000-0005-0000-0000-0000520A0000}"/>
    <cellStyle name="Comma 4 5 9 2 2" xfId="23895" xr:uid="{9DBDC926-2E3B-4125-9FD1-EC06AA192F28}"/>
    <cellStyle name="Comma 4 5 9 2 3" xfId="15454" xr:uid="{A6E38D00-2B35-469A-9F16-0CFF90C460CB}"/>
    <cellStyle name="Comma 4 5 9 3" xfId="19677" xr:uid="{8647A357-3746-4DB4-A701-4325DDE3020B}"/>
    <cellStyle name="Comma 4 5 9 4" xfId="11236" xr:uid="{5F77DBA2-8796-480E-BBEE-99237223237F}"/>
    <cellStyle name="Comma 4 6" xfId="159" xr:uid="{00000000-0005-0000-0000-0000530A0000}"/>
    <cellStyle name="Comma 4 6 10" xfId="17296" xr:uid="{E0A46CA6-A3C9-40A4-960E-467D381F7675}"/>
    <cellStyle name="Comma 4 6 11" xfId="8855" xr:uid="{4A64A530-DD0D-46A0-A84B-680F7D2F01E9}"/>
    <cellStyle name="Comma 4 6 2" xfId="696" xr:uid="{00000000-0005-0000-0000-0000540A0000}"/>
    <cellStyle name="Comma 4 6 2 2" xfId="2967" xr:uid="{00000000-0005-0000-0000-0000550A0000}"/>
    <cellStyle name="Comma 4 6 2 2 2" xfId="7190" xr:uid="{00000000-0005-0000-0000-0000560A0000}"/>
    <cellStyle name="Comma 4 6 2 2 2 2" xfId="24073" xr:uid="{B57DFC75-1CCC-4EFA-B72F-B2B1A371E804}"/>
    <cellStyle name="Comma 4 6 2 2 2 3" xfId="15632" xr:uid="{2F809454-AE95-48A7-9AE0-3AF3CF3A1122}"/>
    <cellStyle name="Comma 4 6 2 2 3" xfId="19855" xr:uid="{50A5AB0B-8444-4BBE-8835-2F8C7CEBBED2}"/>
    <cellStyle name="Comma 4 6 2 2 4" xfId="11414" xr:uid="{39AFD027-323F-4710-9543-F76782FBF913}"/>
    <cellStyle name="Comma 4 6 2 3" xfId="5045" xr:uid="{00000000-0005-0000-0000-0000570A0000}"/>
    <cellStyle name="Comma 4 6 2 3 2" xfId="21928" xr:uid="{E3739DA0-2791-412A-A4FF-46011F1B58AA}"/>
    <cellStyle name="Comma 4 6 2 3 3" xfId="13487" xr:uid="{B36D7084-D69B-47FC-ADDB-F63F11183C34}"/>
    <cellStyle name="Comma 4 6 2 4" xfId="17710" xr:uid="{08154688-D598-4FCB-9F2A-4F7C6FF5FC70}"/>
    <cellStyle name="Comma 4 6 2 5" xfId="9269" xr:uid="{51487CAC-529F-4AAF-AFB5-07E55D9CFCC5}"/>
    <cellStyle name="Comma 4 6 3" xfId="1149" xr:uid="{00000000-0005-0000-0000-0000580A0000}"/>
    <cellStyle name="Comma 4 6 3 2" xfId="3380" xr:uid="{00000000-0005-0000-0000-0000590A0000}"/>
    <cellStyle name="Comma 4 6 3 2 2" xfId="7603" xr:uid="{00000000-0005-0000-0000-00005A0A0000}"/>
    <cellStyle name="Comma 4 6 3 2 2 2" xfId="24486" xr:uid="{A4797637-0A52-435E-BC3B-CDA52157E866}"/>
    <cellStyle name="Comma 4 6 3 2 2 3" xfId="16045" xr:uid="{1AC3205A-C619-4143-B1AD-3E7DF22C9D82}"/>
    <cellStyle name="Comma 4 6 3 2 3" xfId="20268" xr:uid="{42A98102-62B0-4569-B4CE-F2FD107C2169}"/>
    <cellStyle name="Comma 4 6 3 2 4" xfId="11827" xr:uid="{21953247-0C36-4844-80B0-4D9A6AE14CF1}"/>
    <cellStyle name="Comma 4 6 3 3" xfId="5458" xr:uid="{00000000-0005-0000-0000-00005B0A0000}"/>
    <cellStyle name="Comma 4 6 3 3 2" xfId="22341" xr:uid="{16BA32D6-F93A-49FC-8F2C-D1817A2B4769}"/>
    <cellStyle name="Comma 4 6 3 3 3" xfId="13900" xr:uid="{5BB73FF2-EA27-4A05-97F1-79DDEC6AEA5D}"/>
    <cellStyle name="Comma 4 6 3 4" xfId="18123" xr:uid="{978387AD-9840-4EAB-9B89-BAA2F2295A2A}"/>
    <cellStyle name="Comma 4 6 3 5" xfId="9682" xr:uid="{46BE1BB0-C5DE-4378-8E24-A2D2B5B92720}"/>
    <cellStyle name="Comma 4 6 4" xfId="1563" xr:uid="{00000000-0005-0000-0000-00005C0A0000}"/>
    <cellStyle name="Comma 4 6 4 2" xfId="3793" xr:uid="{00000000-0005-0000-0000-00005D0A0000}"/>
    <cellStyle name="Comma 4 6 4 2 2" xfId="8016" xr:uid="{00000000-0005-0000-0000-00005E0A0000}"/>
    <cellStyle name="Comma 4 6 4 2 2 2" xfId="24899" xr:uid="{C9EADC7F-7A11-4530-AD22-E43596D46398}"/>
    <cellStyle name="Comma 4 6 4 2 2 3" xfId="16458" xr:uid="{81111ED7-09F7-4F5F-919D-317AAB6984FC}"/>
    <cellStyle name="Comma 4 6 4 2 3" xfId="20681" xr:uid="{1E7FD82D-8C66-45EA-8929-8ACEA8557DB8}"/>
    <cellStyle name="Comma 4 6 4 2 4" xfId="12240" xr:uid="{4C3819CB-D2DA-415F-937E-9B59385AA51C}"/>
    <cellStyle name="Comma 4 6 4 3" xfId="5871" xr:uid="{00000000-0005-0000-0000-00005F0A0000}"/>
    <cellStyle name="Comma 4 6 4 3 2" xfId="22754" xr:uid="{CEC634C5-0B1F-4CDD-AC89-C926EBE4BBA0}"/>
    <cellStyle name="Comma 4 6 4 3 3" xfId="14313" xr:uid="{30FF59A8-A7A7-40DA-B6C6-894AF9161FE3}"/>
    <cellStyle name="Comma 4 6 4 4" xfId="18536" xr:uid="{3B5938F8-FF5B-42C0-A0B5-7B6D13D3F155}"/>
    <cellStyle name="Comma 4 6 4 5" xfId="10095" xr:uid="{0052DD29-7196-413D-98B1-8ECC1B6E7F68}"/>
    <cellStyle name="Comma 4 6 5" xfId="1977" xr:uid="{00000000-0005-0000-0000-0000600A0000}"/>
    <cellStyle name="Comma 4 6 5 2" xfId="4206" xr:uid="{00000000-0005-0000-0000-0000610A0000}"/>
    <cellStyle name="Comma 4 6 5 2 2" xfId="8429" xr:uid="{00000000-0005-0000-0000-0000620A0000}"/>
    <cellStyle name="Comma 4 6 5 2 2 2" xfId="25312" xr:uid="{81586998-DEC8-4ACD-96FB-963787E56BBA}"/>
    <cellStyle name="Comma 4 6 5 2 2 3" xfId="16871" xr:uid="{C6657371-0C46-4151-B644-3B059FE5F0BF}"/>
    <cellStyle name="Comma 4 6 5 2 3" xfId="21094" xr:uid="{D0CB47ED-1540-44B5-ADDB-3D421CB81C79}"/>
    <cellStyle name="Comma 4 6 5 2 4" xfId="12653" xr:uid="{9EAE5624-D886-45CC-BE5A-CABC732C98F1}"/>
    <cellStyle name="Comma 4 6 5 3" xfId="6284" xr:uid="{00000000-0005-0000-0000-0000630A0000}"/>
    <cellStyle name="Comma 4 6 5 3 2" xfId="23167" xr:uid="{65324D08-6CD4-4C6F-B4CF-EE239789628F}"/>
    <cellStyle name="Comma 4 6 5 3 3" xfId="14726" xr:uid="{678F4311-A568-42C0-8ABD-DB07FD221F4E}"/>
    <cellStyle name="Comma 4 6 5 4" xfId="18949" xr:uid="{139983A4-C968-4C8C-A2A1-C037A034E172}"/>
    <cellStyle name="Comma 4 6 5 5" xfId="10508" xr:uid="{3249877F-8608-4000-842A-635E955AF2BB}"/>
    <cellStyle name="Comma 4 6 6" xfId="2412" xr:uid="{00000000-0005-0000-0000-0000640A0000}"/>
    <cellStyle name="Comma 4 6 6 2" xfId="6697" xr:uid="{00000000-0005-0000-0000-0000650A0000}"/>
    <cellStyle name="Comma 4 6 6 2 2" xfId="23580" xr:uid="{E5564094-2423-4FA2-87FD-74D779308DE1}"/>
    <cellStyle name="Comma 4 6 6 2 3" xfId="15139" xr:uid="{45B7CE6B-9304-4142-9554-1E9A2C9A14ED}"/>
    <cellStyle name="Comma 4 6 6 3" xfId="19362" xr:uid="{9315FF9F-2CC8-47FA-B153-0EE10572EB8A}"/>
    <cellStyle name="Comma 4 6 6 4" xfId="10921" xr:uid="{D5A10A0D-6A7A-4FD3-B4C1-893782A22292}"/>
    <cellStyle name="Comma 4 6 7" xfId="2708" xr:uid="{00000000-0005-0000-0000-0000660A0000}"/>
    <cellStyle name="Comma 4 6 8" xfId="2790" xr:uid="{00000000-0005-0000-0000-0000670A0000}"/>
    <cellStyle name="Comma 4 6 8 2" xfId="7014" xr:uid="{00000000-0005-0000-0000-0000680A0000}"/>
    <cellStyle name="Comma 4 6 8 2 2" xfId="23897" xr:uid="{B5879E29-F981-4CEB-802F-4F5B5F44B901}"/>
    <cellStyle name="Comma 4 6 8 2 3" xfId="15456" xr:uid="{BD8D135A-B9E7-4D14-813C-6B02BC551378}"/>
    <cellStyle name="Comma 4 6 8 3" xfId="19679" xr:uid="{48AC8B98-FB47-4709-A15A-C77769CA449E}"/>
    <cellStyle name="Comma 4 6 8 4" xfId="11238" xr:uid="{3064B1DD-46FD-4BA8-AB04-FD09B0D0AEEF}"/>
    <cellStyle name="Comma 4 6 9" xfId="4631" xr:uid="{00000000-0005-0000-0000-0000690A0000}"/>
    <cellStyle name="Comma 4 6 9 2" xfId="21514" xr:uid="{D3A030AF-8F0A-4FF2-984C-9712D4F7A3EC}"/>
    <cellStyle name="Comma 4 6 9 3" xfId="13073" xr:uid="{D62A8120-3DF2-44B6-B1EB-34DE19C73947}"/>
    <cellStyle name="Comma 4 7" xfId="160" xr:uid="{00000000-0005-0000-0000-00006A0A0000}"/>
    <cellStyle name="Comma 4 7 10" xfId="17297" xr:uid="{E32314CE-24BF-4429-BEDD-8D835794E1A3}"/>
    <cellStyle name="Comma 4 7 11" xfId="8856" xr:uid="{F6A440B9-CA56-4BBA-B764-1BB1169F3A66}"/>
    <cellStyle name="Comma 4 7 2" xfId="697" xr:uid="{00000000-0005-0000-0000-00006B0A0000}"/>
    <cellStyle name="Comma 4 7 2 2" xfId="2968" xr:uid="{00000000-0005-0000-0000-00006C0A0000}"/>
    <cellStyle name="Comma 4 7 2 2 2" xfId="7191" xr:uid="{00000000-0005-0000-0000-00006D0A0000}"/>
    <cellStyle name="Comma 4 7 2 2 2 2" xfId="24074" xr:uid="{091CC90E-A8ED-4734-B016-45382E65C6EB}"/>
    <cellStyle name="Comma 4 7 2 2 2 3" xfId="15633" xr:uid="{2620CCE6-04EE-4F56-B35C-0203C4CD4D55}"/>
    <cellStyle name="Comma 4 7 2 2 3" xfId="19856" xr:uid="{66A06FC0-04FC-4F02-8344-70FB18879AAD}"/>
    <cellStyle name="Comma 4 7 2 2 4" xfId="11415" xr:uid="{956D0602-DCC0-4149-A3B2-005311292907}"/>
    <cellStyle name="Comma 4 7 2 3" xfId="5046" xr:uid="{00000000-0005-0000-0000-00006E0A0000}"/>
    <cellStyle name="Comma 4 7 2 3 2" xfId="21929" xr:uid="{EB782419-04CA-4AAE-A8DF-9FBE728CD4AC}"/>
    <cellStyle name="Comma 4 7 2 3 3" xfId="13488" xr:uid="{4F331704-399F-4447-B7B8-C512AF30AB72}"/>
    <cellStyle name="Comma 4 7 2 4" xfId="17711" xr:uid="{5DD29126-E4D1-40EF-8919-3B53D767B780}"/>
    <cellStyle name="Comma 4 7 2 5" xfId="9270" xr:uid="{231A194D-412B-489E-ACBB-9CE1D5BFB859}"/>
    <cellStyle name="Comma 4 7 3" xfId="1150" xr:uid="{00000000-0005-0000-0000-00006F0A0000}"/>
    <cellStyle name="Comma 4 7 3 2" xfId="3381" xr:uid="{00000000-0005-0000-0000-0000700A0000}"/>
    <cellStyle name="Comma 4 7 3 2 2" xfId="7604" xr:uid="{00000000-0005-0000-0000-0000710A0000}"/>
    <cellStyle name="Comma 4 7 3 2 2 2" xfId="24487" xr:uid="{99C801FA-A627-43BC-A076-2EECBEBC0BC3}"/>
    <cellStyle name="Comma 4 7 3 2 2 3" xfId="16046" xr:uid="{89A17716-DA04-4EEA-AE27-4EE18B6247A7}"/>
    <cellStyle name="Comma 4 7 3 2 3" xfId="20269" xr:uid="{7EDEF456-9ECA-4EC2-A5A7-8F889DF4144B}"/>
    <cellStyle name="Comma 4 7 3 2 4" xfId="11828" xr:uid="{4004049F-EB58-4696-BB8F-7ABD23476916}"/>
    <cellStyle name="Comma 4 7 3 3" xfId="5459" xr:uid="{00000000-0005-0000-0000-0000720A0000}"/>
    <cellStyle name="Comma 4 7 3 3 2" xfId="22342" xr:uid="{37BAF9A5-3297-462B-A73A-C4611CA1F846}"/>
    <cellStyle name="Comma 4 7 3 3 3" xfId="13901" xr:uid="{85ED0E3E-9ED3-4D25-A0A4-3B5621351393}"/>
    <cellStyle name="Comma 4 7 3 4" xfId="18124" xr:uid="{7E3A4E4F-B4A4-41A7-8879-0DB204DB5848}"/>
    <cellStyle name="Comma 4 7 3 5" xfId="9683" xr:uid="{A4D0A4C8-DCFE-47B5-9594-B7938CAB07EE}"/>
    <cellStyle name="Comma 4 7 4" xfId="1564" xr:uid="{00000000-0005-0000-0000-0000730A0000}"/>
    <cellStyle name="Comma 4 7 4 2" xfId="3794" xr:uid="{00000000-0005-0000-0000-0000740A0000}"/>
    <cellStyle name="Comma 4 7 4 2 2" xfId="8017" xr:uid="{00000000-0005-0000-0000-0000750A0000}"/>
    <cellStyle name="Comma 4 7 4 2 2 2" xfId="24900" xr:uid="{9DB4071E-5DAC-493A-8E77-5196DCCADAF0}"/>
    <cellStyle name="Comma 4 7 4 2 2 3" xfId="16459" xr:uid="{8458225F-6DAC-409D-AB35-727E03CB8F87}"/>
    <cellStyle name="Comma 4 7 4 2 3" xfId="20682" xr:uid="{ECAD1863-1A54-47A4-8842-1CD6F25BCE81}"/>
    <cellStyle name="Comma 4 7 4 2 4" xfId="12241" xr:uid="{13C82BD6-AFBC-4959-B107-50773B04527E}"/>
    <cellStyle name="Comma 4 7 4 3" xfId="5872" xr:uid="{00000000-0005-0000-0000-0000760A0000}"/>
    <cellStyle name="Comma 4 7 4 3 2" xfId="22755" xr:uid="{258719DE-91B1-48AF-A609-DA54D9753FDA}"/>
    <cellStyle name="Comma 4 7 4 3 3" xfId="14314" xr:uid="{70EA7CB3-7F26-47A6-84E3-B3E0BCA764EA}"/>
    <cellStyle name="Comma 4 7 4 4" xfId="18537" xr:uid="{AF39EC75-D07A-4335-9593-3BE979561B0A}"/>
    <cellStyle name="Comma 4 7 4 5" xfId="10096" xr:uid="{E26E532C-AD83-4CFB-AB20-8891825007FD}"/>
    <cellStyle name="Comma 4 7 5" xfId="1978" xr:uid="{00000000-0005-0000-0000-0000770A0000}"/>
    <cellStyle name="Comma 4 7 5 2" xfId="4207" xr:uid="{00000000-0005-0000-0000-0000780A0000}"/>
    <cellStyle name="Comma 4 7 5 2 2" xfId="8430" xr:uid="{00000000-0005-0000-0000-0000790A0000}"/>
    <cellStyle name="Comma 4 7 5 2 2 2" xfId="25313" xr:uid="{22E87D29-57C9-44F6-A2CF-F845DAF09458}"/>
    <cellStyle name="Comma 4 7 5 2 2 3" xfId="16872" xr:uid="{BC684F7E-3C4B-4711-8CDB-70D8909706EF}"/>
    <cellStyle name="Comma 4 7 5 2 3" xfId="21095" xr:uid="{9B8FB9E8-208D-4F56-989A-42923490D1D7}"/>
    <cellStyle name="Comma 4 7 5 2 4" xfId="12654" xr:uid="{D452378E-6354-4246-B8E6-2BBE6E736CD8}"/>
    <cellStyle name="Comma 4 7 5 3" xfId="6285" xr:uid="{00000000-0005-0000-0000-00007A0A0000}"/>
    <cellStyle name="Comma 4 7 5 3 2" xfId="23168" xr:uid="{9EBFDDB8-14E8-4739-A11D-9EEA82EC0B3E}"/>
    <cellStyle name="Comma 4 7 5 3 3" xfId="14727" xr:uid="{B893D984-FED5-461C-9EEC-FFD097001396}"/>
    <cellStyle name="Comma 4 7 5 4" xfId="18950" xr:uid="{0EC63CCB-1BD8-4F79-AF19-D8944408691F}"/>
    <cellStyle name="Comma 4 7 5 5" xfId="10509" xr:uid="{2F49B51F-26B0-4DAE-8106-CA7B8AFEA8A2}"/>
    <cellStyle name="Comma 4 7 6" xfId="2413" xr:uid="{00000000-0005-0000-0000-00007B0A0000}"/>
    <cellStyle name="Comma 4 7 6 2" xfId="6698" xr:uid="{00000000-0005-0000-0000-00007C0A0000}"/>
    <cellStyle name="Comma 4 7 6 2 2" xfId="23581" xr:uid="{7F78EB48-1905-4892-B65A-C5C89DCC31BB}"/>
    <cellStyle name="Comma 4 7 6 2 3" xfId="15140" xr:uid="{556059BE-EEFE-40C3-AEFA-3B7A642FB3A3}"/>
    <cellStyle name="Comma 4 7 6 3" xfId="19363" xr:uid="{7AA8FA02-249E-4635-9CFF-68BA5A3F1CFD}"/>
    <cellStyle name="Comma 4 7 6 4" xfId="10922" xr:uid="{0D91E06D-1705-44F6-B7C7-26530BC88191}"/>
    <cellStyle name="Comma 4 7 7" xfId="2709" xr:uid="{00000000-0005-0000-0000-00007D0A0000}"/>
    <cellStyle name="Comma 4 7 8" xfId="2791" xr:uid="{00000000-0005-0000-0000-00007E0A0000}"/>
    <cellStyle name="Comma 4 7 8 2" xfId="7015" xr:uid="{00000000-0005-0000-0000-00007F0A0000}"/>
    <cellStyle name="Comma 4 7 8 2 2" xfId="23898" xr:uid="{06894F58-5B7D-4546-BBF4-DE86FC3B0970}"/>
    <cellStyle name="Comma 4 7 8 2 3" xfId="15457" xr:uid="{6DD10A49-8945-4FA6-8B32-E80FACDDA6DB}"/>
    <cellStyle name="Comma 4 7 8 3" xfId="19680" xr:uid="{4E600589-6B37-4C9E-8B3A-7F25A45C9B7F}"/>
    <cellStyle name="Comma 4 7 8 4" xfId="11239" xr:uid="{DE2A34F6-F29A-445B-8A3C-A50BE5EF7AAB}"/>
    <cellStyle name="Comma 4 7 9" xfId="4632" xr:uid="{00000000-0005-0000-0000-0000800A0000}"/>
    <cellStyle name="Comma 4 7 9 2" xfId="21515" xr:uid="{9DA8C57A-0266-48D9-AE3E-20FBC7386E05}"/>
    <cellStyle name="Comma 4 7 9 3" xfId="13074" xr:uid="{279CC9E1-65E9-46F5-B479-D19356321DC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21383" xr:uid="{C8C9DC2A-542E-479E-ADA6-4829BB3B046E}"/>
    <cellStyle name="Comma 7 3" xfId="12942" xr:uid="{ED1C6240-EB1E-4841-AB71-A3D7903B34DB}"/>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25600" xr:uid="{041B0640-2B7A-4C6E-AC61-997779DFC2FF}"/>
    <cellStyle name="Currency 14 2 3" xfId="17159" xr:uid="{A8C92EF7-4C10-40A7-860A-E562E4CFD0B8}"/>
    <cellStyle name="Currency 14 3" xfId="8720" xr:uid="{729B09A7-2394-4D7C-912C-1471FB3455A3}"/>
    <cellStyle name="Currency 14 3 2" xfId="8724" xr:uid="{1945FB0F-31EC-4D98-B64C-BAFBADA341A1}"/>
    <cellStyle name="Currency 14 3 2 2" xfId="8727" xr:uid="{03BA8DEE-11D2-406B-B26D-8EE163916FB0}"/>
    <cellStyle name="Currency 14 3 2 2 2" xfId="25609" xr:uid="{60476E93-6419-4ED6-9651-AC3A09375256}"/>
    <cellStyle name="Currency 14 3 2 2 3" xfId="17168" xr:uid="{940BCD49-D3C9-40F1-A784-9E83ACF7F5F8}"/>
    <cellStyle name="Currency 14 3 2 3" xfId="25606" xr:uid="{2713B825-F145-4096-90F5-E27833AFFA14}"/>
    <cellStyle name="Currency 14 3 2 4" xfId="17165" xr:uid="{BEB61D14-C9E1-437A-A9FF-7BB7D205B448}"/>
    <cellStyle name="Currency 14 3 3" xfId="25603" xr:uid="{F15CAC87-8F2D-4D35-834E-B8C65F5E27E7}"/>
    <cellStyle name="Currency 14 3 4" xfId="17162" xr:uid="{5F88B9A8-ADDA-4ACB-A5DF-0A49B0525CBB}"/>
    <cellStyle name="Currency 14 4" xfId="21386" xr:uid="{F4333FEB-87C9-499E-BCBF-DD3EB3E5E62F}"/>
    <cellStyle name="Currency 14 5" xfId="12945" xr:uid="{381FB575-3601-42D7-97E4-FA299425559C}"/>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23899" xr:uid="{1633C992-B470-4DA2-8727-EEB497BC8208}"/>
    <cellStyle name="Currency 3 2 2 10 2 3" xfId="15458" xr:uid="{EFC1DEF0-580A-4542-918D-3B5F307FC557}"/>
    <cellStyle name="Currency 3 2 2 10 3" xfId="19681" xr:uid="{9536BF0C-B9BB-4B38-B1CD-E60ABB2E08A0}"/>
    <cellStyle name="Currency 3 2 2 10 4" xfId="11240" xr:uid="{C1A94D5B-1228-4FA3-ACF8-EA40A1401B62}"/>
    <cellStyle name="Currency 3 2 2 11" xfId="4633" xr:uid="{00000000-0005-0000-0000-0000A50A0000}"/>
    <cellStyle name="Currency 3 2 2 11 2" xfId="21516" xr:uid="{D3C21515-4122-4722-8778-3EA82FBA0CA0}"/>
    <cellStyle name="Currency 3 2 2 11 3" xfId="13075" xr:uid="{AF159006-997F-4A50-9C4A-6F9FC2FAF134}"/>
    <cellStyle name="Currency 3 2 2 12" xfId="17298" xr:uid="{668BD825-9E03-484D-9A1C-B5B81DCAE4EF}"/>
    <cellStyle name="Currency 3 2 2 13" xfId="8857" xr:uid="{338F2381-4490-4C5F-9A52-F86E051EB1E2}"/>
    <cellStyle name="Currency 3 2 2 2" xfId="179" xr:uid="{00000000-0005-0000-0000-0000A60A0000}"/>
    <cellStyle name="Currency 3 2 2 2 10" xfId="4634" xr:uid="{00000000-0005-0000-0000-0000A70A0000}"/>
    <cellStyle name="Currency 3 2 2 2 10 2" xfId="21517" xr:uid="{C468A72F-C1B5-4EA3-B3C4-95754E3CC21A}"/>
    <cellStyle name="Currency 3 2 2 2 10 3" xfId="13076" xr:uid="{034FC20D-63D9-4E8E-9F7C-DAED20F6C11F}"/>
    <cellStyle name="Currency 3 2 2 2 11" xfId="17299" xr:uid="{78C93539-393E-48E4-B002-9B674838C08D}"/>
    <cellStyle name="Currency 3 2 2 2 12" xfId="8858" xr:uid="{8F92CD53-2B9E-4ADC-A0CE-8FE3C6CD677A}"/>
    <cellStyle name="Currency 3 2 2 2 2" xfId="180" xr:uid="{00000000-0005-0000-0000-0000A80A0000}"/>
    <cellStyle name="Currency 3 2 2 2 2 10" xfId="17300" xr:uid="{AA7F9EFC-189C-41A9-B630-70B0F080B602}"/>
    <cellStyle name="Currency 3 2 2 2 2 11" xfId="8859" xr:uid="{F6DC9E40-40A2-4BAE-A507-1CE0D15D550F}"/>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24077" xr:uid="{65E9013F-B557-4C6C-8F16-8283C9889D7E}"/>
    <cellStyle name="Currency 3 2 2 2 2 2 2 2 3" xfId="15636" xr:uid="{A23AB5E0-A427-4FF5-A6EE-1B000FD0446E}"/>
    <cellStyle name="Currency 3 2 2 2 2 2 2 3" xfId="19859" xr:uid="{2AD0E081-A7B9-47F1-8DEF-E6A8ABF88FF6}"/>
    <cellStyle name="Currency 3 2 2 2 2 2 2 4" xfId="11418" xr:uid="{EE7AA8C5-36F7-4F30-81FD-2B637328AE3D}"/>
    <cellStyle name="Currency 3 2 2 2 2 2 3" xfId="5049" xr:uid="{00000000-0005-0000-0000-0000AC0A0000}"/>
    <cellStyle name="Currency 3 2 2 2 2 2 3 2" xfId="21932" xr:uid="{93C25027-8907-4B19-8E05-5EFE863978EF}"/>
    <cellStyle name="Currency 3 2 2 2 2 2 3 3" xfId="13491" xr:uid="{8D8B00B6-2FBE-4CC1-9240-66647E350678}"/>
    <cellStyle name="Currency 3 2 2 2 2 2 4" xfId="17714" xr:uid="{1A225BEC-5E5E-4634-869F-817D3A585D4C}"/>
    <cellStyle name="Currency 3 2 2 2 2 2 5" xfId="9273" xr:uid="{E7D58E23-59F0-4593-84CA-E82195A35965}"/>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24490" xr:uid="{D7ED67AB-BC11-4BA7-BFCB-7E5B0D295D83}"/>
    <cellStyle name="Currency 3 2 2 2 2 3 2 2 3" xfId="16049" xr:uid="{397EEADE-C94E-4628-AFE8-F945493BDB12}"/>
    <cellStyle name="Currency 3 2 2 2 2 3 2 3" xfId="20272" xr:uid="{1FCD0093-4CA4-427D-92F7-6BA2DDE08541}"/>
    <cellStyle name="Currency 3 2 2 2 2 3 2 4" xfId="11831" xr:uid="{193ACFFF-F190-4527-A39A-27F7CA55FF98}"/>
    <cellStyle name="Currency 3 2 2 2 2 3 3" xfId="5462" xr:uid="{00000000-0005-0000-0000-0000B00A0000}"/>
    <cellStyle name="Currency 3 2 2 2 2 3 3 2" xfId="22345" xr:uid="{5057C68B-697E-4E42-A02F-77936857B227}"/>
    <cellStyle name="Currency 3 2 2 2 2 3 3 3" xfId="13904" xr:uid="{A3E233E1-3FB9-41AE-8855-5DC3A92D2FE3}"/>
    <cellStyle name="Currency 3 2 2 2 2 3 4" xfId="18127" xr:uid="{775910DD-22A6-4551-B6CA-8AD0484B1C2C}"/>
    <cellStyle name="Currency 3 2 2 2 2 3 5" xfId="9686" xr:uid="{10F11DBA-0A4C-444B-92C6-79605D7E11A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24903" xr:uid="{7BA4F9F1-AAD8-4BC0-BBA6-C051446621D6}"/>
    <cellStyle name="Currency 3 2 2 2 2 4 2 2 3" xfId="16462" xr:uid="{BF071D1D-668E-4308-9C20-13D7E98BCF4F}"/>
    <cellStyle name="Currency 3 2 2 2 2 4 2 3" xfId="20685" xr:uid="{913B02EC-A6AD-4770-81E0-884D5CB27035}"/>
    <cellStyle name="Currency 3 2 2 2 2 4 2 4" xfId="12244" xr:uid="{B5DB2948-3751-4DAE-B5F5-52FAE304D853}"/>
    <cellStyle name="Currency 3 2 2 2 2 4 3" xfId="5875" xr:uid="{00000000-0005-0000-0000-0000B40A0000}"/>
    <cellStyle name="Currency 3 2 2 2 2 4 3 2" xfId="22758" xr:uid="{47105E9D-0158-4CF1-A664-17375A3DFE80}"/>
    <cellStyle name="Currency 3 2 2 2 2 4 3 3" xfId="14317" xr:uid="{45EF575B-AC26-4201-AFF2-B78A89D8706D}"/>
    <cellStyle name="Currency 3 2 2 2 2 4 4" xfId="18540" xr:uid="{B2FAD7E9-6AFD-4403-BE51-5F009F84D7CB}"/>
    <cellStyle name="Currency 3 2 2 2 2 4 5" xfId="10099" xr:uid="{4E0A79BE-3ACA-4975-A159-A2EA56DD03A3}"/>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25316" xr:uid="{8DAA4DAE-9E7B-4F06-B31C-D15ABC3B26C7}"/>
    <cellStyle name="Currency 3 2 2 2 2 5 2 2 3" xfId="16875" xr:uid="{24DC4181-681F-4F04-9A95-97B43A6CD6B3}"/>
    <cellStyle name="Currency 3 2 2 2 2 5 2 3" xfId="21098" xr:uid="{70765E71-83CC-4925-ADC7-DB082B8860E9}"/>
    <cellStyle name="Currency 3 2 2 2 2 5 2 4" xfId="12657" xr:uid="{B8275C2F-542F-4D96-AA07-96A659520A22}"/>
    <cellStyle name="Currency 3 2 2 2 2 5 3" xfId="6288" xr:uid="{00000000-0005-0000-0000-0000B80A0000}"/>
    <cellStyle name="Currency 3 2 2 2 2 5 3 2" xfId="23171" xr:uid="{D847E71C-C118-4165-9E42-6DC26778F7F4}"/>
    <cellStyle name="Currency 3 2 2 2 2 5 3 3" xfId="14730" xr:uid="{792AC59B-94FF-4BAF-9B30-BA4A6011BB43}"/>
    <cellStyle name="Currency 3 2 2 2 2 5 4" xfId="18953" xr:uid="{0D9238FB-683C-4823-B4F5-6A8A718A4D58}"/>
    <cellStyle name="Currency 3 2 2 2 2 5 5" xfId="10512" xr:uid="{6CA5369B-6E13-4107-BC82-9B636DDF2434}"/>
    <cellStyle name="Currency 3 2 2 2 2 6" xfId="2416" xr:uid="{00000000-0005-0000-0000-0000B90A0000}"/>
    <cellStyle name="Currency 3 2 2 2 2 6 2" xfId="6701" xr:uid="{00000000-0005-0000-0000-0000BA0A0000}"/>
    <cellStyle name="Currency 3 2 2 2 2 6 2 2" xfId="23584" xr:uid="{BE1DB3F0-F2D4-4EA6-B6AC-EB9BF63EDD59}"/>
    <cellStyle name="Currency 3 2 2 2 2 6 2 3" xfId="15143" xr:uid="{351DA30B-7BD5-4FE2-852D-E67454BBE5EA}"/>
    <cellStyle name="Currency 3 2 2 2 2 6 3" xfId="19366" xr:uid="{A41FD3E7-A51A-466B-9702-5C010A6768BA}"/>
    <cellStyle name="Currency 3 2 2 2 2 6 4" xfId="10925" xr:uid="{96DAC04E-3A2B-4E4D-8311-738E2BF141D9}"/>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23901" xr:uid="{45E1F435-C28B-41CC-98E3-74B937A61996}"/>
    <cellStyle name="Currency 3 2 2 2 2 8 2 3" xfId="15460" xr:uid="{A524A54C-CC0E-4134-B654-AC6C56AFE2AD}"/>
    <cellStyle name="Currency 3 2 2 2 2 8 3" xfId="19683" xr:uid="{0869DD0C-BC5A-4DC9-B650-04BE278545C8}"/>
    <cellStyle name="Currency 3 2 2 2 2 8 4" xfId="11242" xr:uid="{3F8C84BF-414A-4D33-ACAD-0094A12871EF}"/>
    <cellStyle name="Currency 3 2 2 2 2 9" xfId="4635" xr:uid="{00000000-0005-0000-0000-0000BE0A0000}"/>
    <cellStyle name="Currency 3 2 2 2 2 9 2" xfId="21518" xr:uid="{99FB8033-2C40-4E0E-B7FE-AA75BA6D7D98}"/>
    <cellStyle name="Currency 3 2 2 2 2 9 3" xfId="13077" xr:uid="{BF12FD47-47B5-4241-B6F1-1BB1CE300B6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24076" xr:uid="{308FCC1A-E1A9-4174-96EA-41919377B545}"/>
    <cellStyle name="Currency 3 2 2 2 3 2 2 3" xfId="15635" xr:uid="{68B08EB7-76B4-40B2-949D-B1EE993A4BA3}"/>
    <cellStyle name="Currency 3 2 2 2 3 2 3" xfId="19858" xr:uid="{16FFE3DE-FA40-4D2B-995E-03E0662F86AF}"/>
    <cellStyle name="Currency 3 2 2 2 3 2 4" xfId="11417" xr:uid="{12B89C88-7F6E-48D9-A045-531737D31A15}"/>
    <cellStyle name="Currency 3 2 2 2 3 3" xfId="5048" xr:uid="{00000000-0005-0000-0000-0000C20A0000}"/>
    <cellStyle name="Currency 3 2 2 2 3 3 2" xfId="21931" xr:uid="{C0E5DD6F-944C-4D06-B16D-DC456A34A0FF}"/>
    <cellStyle name="Currency 3 2 2 2 3 3 3" xfId="13490" xr:uid="{6B5B2B80-7548-43B9-B13B-076D4DD451D6}"/>
    <cellStyle name="Currency 3 2 2 2 3 4" xfId="17713" xr:uid="{C853C611-3655-4C80-B202-4A9D0E876020}"/>
    <cellStyle name="Currency 3 2 2 2 3 5" xfId="9272" xr:uid="{289E8BCD-74F2-4B4A-9BD3-8E49E9A1F28C}"/>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24489" xr:uid="{49A21689-D29A-44DA-8FB1-9A68BC012B8C}"/>
    <cellStyle name="Currency 3 2 2 2 4 2 2 3" xfId="16048" xr:uid="{6A14AD09-AF5C-444C-8E60-F6479577356E}"/>
    <cellStyle name="Currency 3 2 2 2 4 2 3" xfId="20271" xr:uid="{3D0B0CAA-679D-4FFA-A24B-A40BB5158836}"/>
    <cellStyle name="Currency 3 2 2 2 4 2 4" xfId="11830" xr:uid="{7D26C7AE-BF75-4964-909C-6AB6798D9B99}"/>
    <cellStyle name="Currency 3 2 2 2 4 3" xfId="5461" xr:uid="{00000000-0005-0000-0000-0000C60A0000}"/>
    <cellStyle name="Currency 3 2 2 2 4 3 2" xfId="22344" xr:uid="{97EEF578-B618-4F6F-8C1B-C6ACBA44C2EE}"/>
    <cellStyle name="Currency 3 2 2 2 4 3 3" xfId="13903" xr:uid="{DF3DB2B8-A622-4F01-993B-39ED0F34E008}"/>
    <cellStyle name="Currency 3 2 2 2 4 4" xfId="18126" xr:uid="{7B952BCD-DBD8-413D-8A7C-668F7690AE79}"/>
    <cellStyle name="Currency 3 2 2 2 4 5" xfId="9685" xr:uid="{EB0F8F4B-70EE-40F6-A7BC-D4D17178FA8D}"/>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24902" xr:uid="{E4A29D88-7844-42B9-8EDB-AA030BDC14F5}"/>
    <cellStyle name="Currency 3 2 2 2 5 2 2 3" xfId="16461" xr:uid="{3006D821-C04A-46D8-99D4-6C4B5EF186EB}"/>
    <cellStyle name="Currency 3 2 2 2 5 2 3" xfId="20684" xr:uid="{99785027-BDF0-4A7F-A3DF-642C89A7B8F9}"/>
    <cellStyle name="Currency 3 2 2 2 5 2 4" xfId="12243" xr:uid="{ADCCE6D9-F810-465D-86D4-901754F4A1A6}"/>
    <cellStyle name="Currency 3 2 2 2 5 3" xfId="5874" xr:uid="{00000000-0005-0000-0000-0000CA0A0000}"/>
    <cellStyle name="Currency 3 2 2 2 5 3 2" xfId="22757" xr:uid="{F98F044C-9AB3-486B-82F8-39DD86F90FA4}"/>
    <cellStyle name="Currency 3 2 2 2 5 3 3" xfId="14316" xr:uid="{BCA1520C-DBE4-46B2-8CA8-35AC9CC47CEF}"/>
    <cellStyle name="Currency 3 2 2 2 5 4" xfId="18539" xr:uid="{DFEEEA58-904F-4E19-9D6C-0EED62B1780E}"/>
    <cellStyle name="Currency 3 2 2 2 5 5" xfId="10098" xr:uid="{CD471E62-412E-4129-8DE3-5FD03C77F2EB}"/>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25315" xr:uid="{81090870-8FDC-412B-A816-AA251581CD78}"/>
    <cellStyle name="Currency 3 2 2 2 6 2 2 3" xfId="16874" xr:uid="{B2A01BD9-5A6E-4210-8D90-0082C9EA589E}"/>
    <cellStyle name="Currency 3 2 2 2 6 2 3" xfId="21097" xr:uid="{54152D12-9776-4DD6-A661-951FA53C6A82}"/>
    <cellStyle name="Currency 3 2 2 2 6 2 4" xfId="12656" xr:uid="{3C27568B-92B7-4891-8A70-F71EFAF2EA9C}"/>
    <cellStyle name="Currency 3 2 2 2 6 3" xfId="6287" xr:uid="{00000000-0005-0000-0000-0000CE0A0000}"/>
    <cellStyle name="Currency 3 2 2 2 6 3 2" xfId="23170" xr:uid="{B79DF5EF-C81D-4AF8-872D-6FFD847C6AFE}"/>
    <cellStyle name="Currency 3 2 2 2 6 3 3" xfId="14729" xr:uid="{C649A287-986C-4383-8F9F-804A1CA15EEC}"/>
    <cellStyle name="Currency 3 2 2 2 6 4" xfId="18952" xr:uid="{27FF714F-56AB-4EDC-B264-25BF79ADD63C}"/>
    <cellStyle name="Currency 3 2 2 2 6 5" xfId="10511" xr:uid="{EA9B4956-D5E6-4F9F-8122-91DA2EE62F5F}"/>
    <cellStyle name="Currency 3 2 2 2 7" xfId="2415" xr:uid="{00000000-0005-0000-0000-0000CF0A0000}"/>
    <cellStyle name="Currency 3 2 2 2 7 2" xfId="6700" xr:uid="{00000000-0005-0000-0000-0000D00A0000}"/>
    <cellStyle name="Currency 3 2 2 2 7 2 2" xfId="23583" xr:uid="{432AE44B-BED3-4741-A215-5B910D850C1B}"/>
    <cellStyle name="Currency 3 2 2 2 7 2 3" xfId="15142" xr:uid="{67CD8ACE-E61B-480C-861E-4935B0B5740F}"/>
    <cellStyle name="Currency 3 2 2 2 7 3" xfId="19365" xr:uid="{B775DC1C-D85B-4CF9-A16E-B66CB84754FF}"/>
    <cellStyle name="Currency 3 2 2 2 7 4" xfId="10924" xr:uid="{015DD7BB-FE14-4547-A809-634E0655E28A}"/>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23900" xr:uid="{733DD274-ECE2-435B-ABD6-8DAE33078B70}"/>
    <cellStyle name="Currency 3 2 2 2 9 2 3" xfId="15459" xr:uid="{77AAE737-2ABD-4C1C-8330-CBB391EFE675}"/>
    <cellStyle name="Currency 3 2 2 2 9 3" xfId="19682" xr:uid="{FF04A273-037B-498D-88BE-352DE421BEFB}"/>
    <cellStyle name="Currency 3 2 2 2 9 4" xfId="11241" xr:uid="{CDA027A6-EB38-423A-A6EB-2211866CF383}"/>
    <cellStyle name="Currency 3 2 2 3" xfId="181" xr:uid="{00000000-0005-0000-0000-0000D40A0000}"/>
    <cellStyle name="Currency 3 2 2 3 10" xfId="17301" xr:uid="{BB6670A9-0370-4273-BC0A-5016E52AFC7B}"/>
    <cellStyle name="Currency 3 2 2 3 11" xfId="8860" xr:uid="{2278627E-E161-4B22-A3EA-D3711C8FC4C2}"/>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24078" xr:uid="{CB57FF6E-09DC-41A9-8A75-96652E0C8580}"/>
    <cellStyle name="Currency 3 2 2 3 2 2 2 3" xfId="15637" xr:uid="{3F826657-B23E-4418-BCD4-0FE9C9E55378}"/>
    <cellStyle name="Currency 3 2 2 3 2 2 3" xfId="19860" xr:uid="{00678244-8D13-4691-9017-1183ECC9FE0C}"/>
    <cellStyle name="Currency 3 2 2 3 2 2 4" xfId="11419" xr:uid="{C1240AA2-6A2D-4BBD-9D92-11670ECC61FB}"/>
    <cellStyle name="Currency 3 2 2 3 2 3" xfId="5050" xr:uid="{00000000-0005-0000-0000-0000D80A0000}"/>
    <cellStyle name="Currency 3 2 2 3 2 3 2" xfId="21933" xr:uid="{6D9C9BC2-E033-4BCB-B928-7238976AFA4F}"/>
    <cellStyle name="Currency 3 2 2 3 2 3 3" xfId="13492" xr:uid="{C4185CB0-FD22-490F-8085-245641DFC1AF}"/>
    <cellStyle name="Currency 3 2 2 3 2 4" xfId="17715" xr:uid="{D848979B-CBAC-4CA1-AE14-F587C3F4562A}"/>
    <cellStyle name="Currency 3 2 2 3 2 5" xfId="9274" xr:uid="{397C1B3D-0F31-450D-801D-4437F2B18B42}"/>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24491" xr:uid="{62DAC0FC-0052-4778-A35F-47F4CD526876}"/>
    <cellStyle name="Currency 3 2 2 3 3 2 2 3" xfId="16050" xr:uid="{486BF94F-49F9-4AA6-9D73-2046198C3D4D}"/>
    <cellStyle name="Currency 3 2 2 3 3 2 3" xfId="20273" xr:uid="{86B75BDB-7E93-4B1A-AD5C-7B35C34A49B8}"/>
    <cellStyle name="Currency 3 2 2 3 3 2 4" xfId="11832" xr:uid="{2D0C3EF2-0144-4FD4-AF7F-F1DFED808EAB}"/>
    <cellStyle name="Currency 3 2 2 3 3 3" xfId="5463" xr:uid="{00000000-0005-0000-0000-0000DC0A0000}"/>
    <cellStyle name="Currency 3 2 2 3 3 3 2" xfId="22346" xr:uid="{6E27A214-163D-4FB1-ACE3-EDA611A21EFB}"/>
    <cellStyle name="Currency 3 2 2 3 3 3 3" xfId="13905" xr:uid="{306570A3-825C-4613-AC34-1BE4604621B9}"/>
    <cellStyle name="Currency 3 2 2 3 3 4" xfId="18128" xr:uid="{EA126EC1-7F50-45D4-9CFD-4AA76584F7C6}"/>
    <cellStyle name="Currency 3 2 2 3 3 5" xfId="9687" xr:uid="{1D6A00DF-444A-4108-B967-EB4CFC01F412}"/>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24904" xr:uid="{7A99C6D0-3BEA-4594-B869-BE0AA4C5A230}"/>
    <cellStyle name="Currency 3 2 2 3 4 2 2 3" xfId="16463" xr:uid="{D96366A6-0713-48F8-AC39-13DF4A228C44}"/>
    <cellStyle name="Currency 3 2 2 3 4 2 3" xfId="20686" xr:uid="{D1E21C09-A7F2-40F9-9CDC-CF6CC8E64825}"/>
    <cellStyle name="Currency 3 2 2 3 4 2 4" xfId="12245" xr:uid="{6125BF6D-E8C1-4177-BDC5-EF0AEC6FA141}"/>
    <cellStyle name="Currency 3 2 2 3 4 3" xfId="5876" xr:uid="{00000000-0005-0000-0000-0000E00A0000}"/>
    <cellStyle name="Currency 3 2 2 3 4 3 2" xfId="22759" xr:uid="{9608DA43-FA89-4903-9F9E-3027337C788F}"/>
    <cellStyle name="Currency 3 2 2 3 4 3 3" xfId="14318" xr:uid="{1320F8A1-AEB1-44DF-BC02-6580BEB6A2FA}"/>
    <cellStyle name="Currency 3 2 2 3 4 4" xfId="18541" xr:uid="{C39A2B54-C05B-48D5-9EF4-4FB9E1AEED7A}"/>
    <cellStyle name="Currency 3 2 2 3 4 5" xfId="10100" xr:uid="{0F9AAA5B-1D27-4FD4-9D25-E3E971B48455}"/>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25317" xr:uid="{6B176B7D-868E-4B07-AC1B-9699D8F3D6C0}"/>
    <cellStyle name="Currency 3 2 2 3 5 2 2 3" xfId="16876" xr:uid="{F8428D6F-97D7-46A8-9154-9FC41B2CA618}"/>
    <cellStyle name="Currency 3 2 2 3 5 2 3" xfId="21099" xr:uid="{189C015E-2CA4-4B85-ADCA-A57D2075C904}"/>
    <cellStyle name="Currency 3 2 2 3 5 2 4" xfId="12658" xr:uid="{C3BFC456-E425-40F7-8D66-E504E7790156}"/>
    <cellStyle name="Currency 3 2 2 3 5 3" xfId="6289" xr:uid="{00000000-0005-0000-0000-0000E40A0000}"/>
    <cellStyle name="Currency 3 2 2 3 5 3 2" xfId="23172" xr:uid="{EAEDCADB-542B-48A9-AAF6-7413FDE96CB1}"/>
    <cellStyle name="Currency 3 2 2 3 5 3 3" xfId="14731" xr:uid="{BE7CEBAF-EB11-4B0F-98B7-CDD5E2FFB90D}"/>
    <cellStyle name="Currency 3 2 2 3 5 4" xfId="18954" xr:uid="{3D2E3926-C1BB-4622-B016-879740DB9BB3}"/>
    <cellStyle name="Currency 3 2 2 3 5 5" xfId="10513" xr:uid="{6C6EEA2D-A32D-46F2-B4D5-434E5224172C}"/>
    <cellStyle name="Currency 3 2 2 3 6" xfId="2417" xr:uid="{00000000-0005-0000-0000-0000E50A0000}"/>
    <cellStyle name="Currency 3 2 2 3 6 2" xfId="6702" xr:uid="{00000000-0005-0000-0000-0000E60A0000}"/>
    <cellStyle name="Currency 3 2 2 3 6 2 2" xfId="23585" xr:uid="{41F08C6A-5013-4906-B333-2E2CC12F6DC1}"/>
    <cellStyle name="Currency 3 2 2 3 6 2 3" xfId="15144" xr:uid="{F7ACCDCC-8571-495E-A3C7-74528E34E3A4}"/>
    <cellStyle name="Currency 3 2 2 3 6 3" xfId="19367" xr:uid="{FFCEBE0C-053E-4344-A6A5-C90D80263E0F}"/>
    <cellStyle name="Currency 3 2 2 3 6 4" xfId="10926" xr:uid="{C0519D89-327E-4104-8125-A1ABACE4D8B9}"/>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23902" xr:uid="{133AC7A0-598D-42C6-BC97-5BD2D8BA3F12}"/>
    <cellStyle name="Currency 3 2 2 3 8 2 3" xfId="15461" xr:uid="{88A2404B-0CF3-449C-A13A-08BAB49FC999}"/>
    <cellStyle name="Currency 3 2 2 3 8 3" xfId="19684" xr:uid="{ED0C6C95-1135-4FC5-91EA-24C2716E35EF}"/>
    <cellStyle name="Currency 3 2 2 3 8 4" xfId="11243" xr:uid="{C2A29A67-DB26-4B67-879C-6465A74F8A6A}"/>
    <cellStyle name="Currency 3 2 2 3 9" xfId="4636" xr:uid="{00000000-0005-0000-0000-0000EA0A0000}"/>
    <cellStyle name="Currency 3 2 2 3 9 2" xfId="21519" xr:uid="{DB0BF3E9-D834-4F03-8F87-704A18C5782C}"/>
    <cellStyle name="Currency 3 2 2 3 9 3" xfId="13078" xr:uid="{14EBA668-F272-4909-9775-E5837964630F}"/>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24075" xr:uid="{064AB950-C658-4071-9D76-42A81605AD6B}"/>
    <cellStyle name="Currency 3 2 2 4 2 2 3" xfId="15634" xr:uid="{7F2B3A36-3DAC-406B-B143-4C394FCA05D5}"/>
    <cellStyle name="Currency 3 2 2 4 2 3" xfId="19857" xr:uid="{23EE7625-FF4E-4E43-8D4A-EADABC6B36B2}"/>
    <cellStyle name="Currency 3 2 2 4 2 4" xfId="11416" xr:uid="{EF3CD09E-3DBC-42EB-B422-E376253A3CA8}"/>
    <cellStyle name="Currency 3 2 2 4 3" xfId="5047" xr:uid="{00000000-0005-0000-0000-0000EE0A0000}"/>
    <cellStyle name="Currency 3 2 2 4 3 2" xfId="21930" xr:uid="{C0628D30-0A35-4B0F-8C02-EAF140C2BF5A}"/>
    <cellStyle name="Currency 3 2 2 4 3 3" xfId="13489" xr:uid="{9D67F728-43D8-45C1-A91D-A2D0713B72B3}"/>
    <cellStyle name="Currency 3 2 2 4 4" xfId="17712" xr:uid="{1A1C3510-5032-40F4-8769-74C9F8C969E1}"/>
    <cellStyle name="Currency 3 2 2 4 5" xfId="9271" xr:uid="{F87F5135-46A1-497A-9137-C990926CF265}"/>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24488" xr:uid="{59CC7ED3-E78F-4973-A34D-EF700A4730E8}"/>
    <cellStyle name="Currency 3 2 2 5 2 2 3" xfId="16047" xr:uid="{C22E88D5-263D-41F1-A87F-F920C6D3120A}"/>
    <cellStyle name="Currency 3 2 2 5 2 3" xfId="20270" xr:uid="{91C0739E-B3D4-49A1-9D9B-8B066CAFDEBD}"/>
    <cellStyle name="Currency 3 2 2 5 2 4" xfId="11829" xr:uid="{64B87565-D2D1-4BEF-B3EE-BB67580EC625}"/>
    <cellStyle name="Currency 3 2 2 5 3" xfId="5460" xr:uid="{00000000-0005-0000-0000-0000F20A0000}"/>
    <cellStyle name="Currency 3 2 2 5 3 2" xfId="22343" xr:uid="{720D362A-CB6A-4670-BECA-988B5A6A4E25}"/>
    <cellStyle name="Currency 3 2 2 5 3 3" xfId="13902" xr:uid="{7D6C5CC1-EDBC-4452-AD8F-4A388BCED1FA}"/>
    <cellStyle name="Currency 3 2 2 5 4" xfId="18125" xr:uid="{0DC174ED-06D9-4018-998C-531F675B9890}"/>
    <cellStyle name="Currency 3 2 2 5 5" xfId="9684" xr:uid="{4E1EE597-AC4B-4713-9880-523337E9EA2C}"/>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24901" xr:uid="{F94F0073-19AE-47DA-A48E-10301F3131B9}"/>
    <cellStyle name="Currency 3 2 2 6 2 2 3" xfId="16460" xr:uid="{E6696BEA-8912-439E-AD48-9DED03FF0DAB}"/>
    <cellStyle name="Currency 3 2 2 6 2 3" xfId="20683" xr:uid="{BEC68396-29F4-44EA-8B83-B527FBB504B8}"/>
    <cellStyle name="Currency 3 2 2 6 2 4" xfId="12242" xr:uid="{CC01FAAF-D1D5-42DF-9778-D3684543E50E}"/>
    <cellStyle name="Currency 3 2 2 6 3" xfId="5873" xr:uid="{00000000-0005-0000-0000-0000F60A0000}"/>
    <cellStyle name="Currency 3 2 2 6 3 2" xfId="22756" xr:uid="{49F5AC69-A240-49EE-9109-EC14F72224B6}"/>
    <cellStyle name="Currency 3 2 2 6 3 3" xfId="14315" xr:uid="{2B69F515-5A76-47A7-988F-9678A08898D2}"/>
    <cellStyle name="Currency 3 2 2 6 4" xfId="18538" xr:uid="{F271FE5D-DFB9-4614-A6DE-EEABB56F2DFF}"/>
    <cellStyle name="Currency 3 2 2 6 5" xfId="10097" xr:uid="{AEA0806F-D777-4EEE-86B2-F957C8822D36}"/>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25314" xr:uid="{6CC34BBF-1604-4C8E-B525-13AE24A233E1}"/>
    <cellStyle name="Currency 3 2 2 7 2 2 3" xfId="16873" xr:uid="{C19C668E-0D5D-4823-8D4F-3B4F92C0FF91}"/>
    <cellStyle name="Currency 3 2 2 7 2 3" xfId="21096" xr:uid="{3B1D8670-8D07-49EB-8B48-A73710F45DD9}"/>
    <cellStyle name="Currency 3 2 2 7 2 4" xfId="12655" xr:uid="{5DD79A17-925A-4D8B-891A-3F3DE0C5F9DF}"/>
    <cellStyle name="Currency 3 2 2 7 3" xfId="6286" xr:uid="{00000000-0005-0000-0000-0000FA0A0000}"/>
    <cellStyle name="Currency 3 2 2 7 3 2" xfId="23169" xr:uid="{08E9FE2F-FDC2-4859-9790-0096DDBA3B0C}"/>
    <cellStyle name="Currency 3 2 2 7 3 3" xfId="14728" xr:uid="{9FAC31C1-1A50-4D39-B31D-F6DA51767F49}"/>
    <cellStyle name="Currency 3 2 2 7 4" xfId="18951" xr:uid="{4ECDC172-D537-4A00-9D3F-A4326201EE23}"/>
    <cellStyle name="Currency 3 2 2 7 5" xfId="10510" xr:uid="{29DE82CE-9F5C-4B63-A98A-F84CB7647452}"/>
    <cellStyle name="Currency 3 2 2 8" xfId="2414" xr:uid="{00000000-0005-0000-0000-0000FB0A0000}"/>
    <cellStyle name="Currency 3 2 2 8 2" xfId="6699" xr:uid="{00000000-0005-0000-0000-0000FC0A0000}"/>
    <cellStyle name="Currency 3 2 2 8 2 2" xfId="23582" xr:uid="{3DDE49EC-75E1-4104-BFB8-31AE7D4856A5}"/>
    <cellStyle name="Currency 3 2 2 8 2 3" xfId="15141" xr:uid="{17604559-410D-418E-901E-6FB2A9678B4B}"/>
    <cellStyle name="Currency 3 2 2 8 3" xfId="19364" xr:uid="{DD29F3C6-00CE-410E-A319-CD269FB1AE78}"/>
    <cellStyle name="Currency 3 2 2 8 4" xfId="10923" xr:uid="{F38F1FF9-BD4E-41CE-B97F-594F0070766A}"/>
    <cellStyle name="Currency 3 2 2 9" xfId="2711" xr:uid="{00000000-0005-0000-0000-0000FD0A0000}"/>
    <cellStyle name="Currency 3 2 3" xfId="182" xr:uid="{00000000-0005-0000-0000-0000FE0A0000}"/>
    <cellStyle name="Currency 3 2 3 10" xfId="4637" xr:uid="{00000000-0005-0000-0000-0000FF0A0000}"/>
    <cellStyle name="Currency 3 2 3 10 2" xfId="21520" xr:uid="{2FBA28C6-CEB7-4B1C-AB02-5990096BB983}"/>
    <cellStyle name="Currency 3 2 3 10 3" xfId="13079" xr:uid="{345A7978-6365-4B23-8AC1-A068796FEE3A}"/>
    <cellStyle name="Currency 3 2 3 11" xfId="17302" xr:uid="{D6FD82F6-CD9D-44E1-B1FB-24CF2C142D4F}"/>
    <cellStyle name="Currency 3 2 3 12" xfId="8861" xr:uid="{0E925E48-DA17-4D30-8742-D77D0B94DC00}"/>
    <cellStyle name="Currency 3 2 3 2" xfId="183" xr:uid="{00000000-0005-0000-0000-0000000B0000}"/>
    <cellStyle name="Currency 3 2 3 2 10" xfId="17303" xr:uid="{822A0C2C-BA4F-47A4-B63A-68DD08D017AD}"/>
    <cellStyle name="Currency 3 2 3 2 11" xfId="8862" xr:uid="{96C6A181-19E0-4C6D-B4C6-3CFAA3B8615C}"/>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24080" xr:uid="{96E82009-19EA-4AAA-9FFF-C9F86174A996}"/>
    <cellStyle name="Currency 3 2 3 2 2 2 2 3" xfId="15639" xr:uid="{AE665EF0-957B-4959-B841-EF40ED9E2660}"/>
    <cellStyle name="Currency 3 2 3 2 2 2 3" xfId="19862" xr:uid="{744D5B5B-CABD-4E95-9BC8-BFDAE2158BC2}"/>
    <cellStyle name="Currency 3 2 3 2 2 2 4" xfId="11421" xr:uid="{9ADC72D8-FCEC-49EF-88CC-821B14A0851A}"/>
    <cellStyle name="Currency 3 2 3 2 2 3" xfId="5052" xr:uid="{00000000-0005-0000-0000-0000040B0000}"/>
    <cellStyle name="Currency 3 2 3 2 2 3 2" xfId="21935" xr:uid="{5C1F7FC4-441F-40B4-88CF-E2E4A22F5866}"/>
    <cellStyle name="Currency 3 2 3 2 2 3 3" xfId="13494" xr:uid="{1E0D33CF-4DEC-41A4-83A1-4C29E31426D5}"/>
    <cellStyle name="Currency 3 2 3 2 2 4" xfId="17717" xr:uid="{3007C0E7-7368-4DD8-B012-9EA9A566DF99}"/>
    <cellStyle name="Currency 3 2 3 2 2 5" xfId="9276" xr:uid="{71AD3E50-B508-40CD-8DB4-9A90BF0C78D3}"/>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24493" xr:uid="{D9D32CD3-7415-4F4D-BEC0-4A85A4A4FBA7}"/>
    <cellStyle name="Currency 3 2 3 2 3 2 2 3" xfId="16052" xr:uid="{D0580F59-BC3B-4876-8923-3495BB351895}"/>
    <cellStyle name="Currency 3 2 3 2 3 2 3" xfId="20275" xr:uid="{2807EE97-6C21-4903-A151-676309C310B3}"/>
    <cellStyle name="Currency 3 2 3 2 3 2 4" xfId="11834" xr:uid="{0620E3B6-FB51-453A-B01F-2D1DD7A51203}"/>
    <cellStyle name="Currency 3 2 3 2 3 3" xfId="5465" xr:uid="{00000000-0005-0000-0000-0000080B0000}"/>
    <cellStyle name="Currency 3 2 3 2 3 3 2" xfId="22348" xr:uid="{05B5A88F-A7DC-49A9-95B6-79504167A4D7}"/>
    <cellStyle name="Currency 3 2 3 2 3 3 3" xfId="13907" xr:uid="{BFC5FBEE-E846-4443-AA44-5A663C06CED1}"/>
    <cellStyle name="Currency 3 2 3 2 3 4" xfId="18130" xr:uid="{7E0659F1-39AE-46A5-B89A-97B6D5D531AB}"/>
    <cellStyle name="Currency 3 2 3 2 3 5" xfId="9689" xr:uid="{2246B477-FBCF-426F-8DB4-9362BB54D375}"/>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24906" xr:uid="{AC284448-62E5-447C-81F7-47182900D83D}"/>
    <cellStyle name="Currency 3 2 3 2 4 2 2 3" xfId="16465" xr:uid="{0E51BB04-D0E6-4D57-B89A-FE6AB37422B6}"/>
    <cellStyle name="Currency 3 2 3 2 4 2 3" xfId="20688" xr:uid="{7C47AA42-6F93-4CD6-BF46-C095AB5BE32F}"/>
    <cellStyle name="Currency 3 2 3 2 4 2 4" xfId="12247" xr:uid="{B0CAC224-A7AD-4162-B3E4-7258A226DBB0}"/>
    <cellStyle name="Currency 3 2 3 2 4 3" xfId="5878" xr:uid="{00000000-0005-0000-0000-00000C0B0000}"/>
    <cellStyle name="Currency 3 2 3 2 4 3 2" xfId="22761" xr:uid="{BCF54252-E3CF-4E9A-9A10-456C3A1CE5BE}"/>
    <cellStyle name="Currency 3 2 3 2 4 3 3" xfId="14320" xr:uid="{F3617749-7F93-4B46-B6F3-6CBEAEA6DB73}"/>
    <cellStyle name="Currency 3 2 3 2 4 4" xfId="18543" xr:uid="{2F69E394-EDBE-4BC5-844C-FBEA7F785E48}"/>
    <cellStyle name="Currency 3 2 3 2 4 5" xfId="10102" xr:uid="{D300A139-BA18-4A3D-8B87-FFCDA76AFC94}"/>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25319" xr:uid="{48E125C9-F8B5-4BA0-BE8D-29721DE01968}"/>
    <cellStyle name="Currency 3 2 3 2 5 2 2 3" xfId="16878" xr:uid="{9F09DA4F-245B-428A-975F-090A30D233D8}"/>
    <cellStyle name="Currency 3 2 3 2 5 2 3" xfId="21101" xr:uid="{C452AC0E-A428-4D87-AE3C-FA4BB05216B6}"/>
    <cellStyle name="Currency 3 2 3 2 5 2 4" xfId="12660" xr:uid="{700F0382-6F59-4DE1-B40A-54E2636557BD}"/>
    <cellStyle name="Currency 3 2 3 2 5 3" xfId="6291" xr:uid="{00000000-0005-0000-0000-0000100B0000}"/>
    <cellStyle name="Currency 3 2 3 2 5 3 2" xfId="23174" xr:uid="{FB5A326D-E26A-47FB-AFBB-AE1A6E589DCB}"/>
    <cellStyle name="Currency 3 2 3 2 5 3 3" xfId="14733" xr:uid="{C7FD2E50-6B07-43EF-B331-CD080A75D726}"/>
    <cellStyle name="Currency 3 2 3 2 5 4" xfId="18956" xr:uid="{A5A1416B-74EF-4F08-A673-73A5AD56646E}"/>
    <cellStyle name="Currency 3 2 3 2 5 5" xfId="10515" xr:uid="{75A3BDE9-3DA8-460D-90BC-C99162114B9A}"/>
    <cellStyle name="Currency 3 2 3 2 6" xfId="2419" xr:uid="{00000000-0005-0000-0000-0000110B0000}"/>
    <cellStyle name="Currency 3 2 3 2 6 2" xfId="6704" xr:uid="{00000000-0005-0000-0000-0000120B0000}"/>
    <cellStyle name="Currency 3 2 3 2 6 2 2" xfId="23587" xr:uid="{1095AF42-4012-4F8D-8CD0-C92B05EA13A8}"/>
    <cellStyle name="Currency 3 2 3 2 6 2 3" xfId="15146" xr:uid="{2DF0187A-B0ED-461C-9D6D-BF849C936550}"/>
    <cellStyle name="Currency 3 2 3 2 6 3" xfId="19369" xr:uid="{0E88B36C-F834-4B4A-B27B-3D041ADF6F42}"/>
    <cellStyle name="Currency 3 2 3 2 6 4" xfId="10928" xr:uid="{F9B037E2-2A98-4B8C-A433-0DEE1265B267}"/>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23904" xr:uid="{8592EF45-BB07-4881-B096-6A3530FAC7F2}"/>
    <cellStyle name="Currency 3 2 3 2 8 2 3" xfId="15463" xr:uid="{D401EC79-5EBD-414A-A5AF-710C79B33D44}"/>
    <cellStyle name="Currency 3 2 3 2 8 3" xfId="19686" xr:uid="{7CE7E9DC-3E6A-408A-AAB2-5BBA6A1DBD06}"/>
    <cellStyle name="Currency 3 2 3 2 8 4" xfId="11245" xr:uid="{B0F7C1B3-6AA3-4815-85E6-0C79C32FF7CA}"/>
    <cellStyle name="Currency 3 2 3 2 9" xfId="4638" xr:uid="{00000000-0005-0000-0000-0000160B0000}"/>
    <cellStyle name="Currency 3 2 3 2 9 2" xfId="21521" xr:uid="{6C403EDA-CD5D-4A7C-81F6-C26971C57010}"/>
    <cellStyle name="Currency 3 2 3 2 9 3" xfId="13080" xr:uid="{951F5D73-0BD5-4009-821C-D7BB5F4B2A9D}"/>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24079" xr:uid="{1F600061-F355-4602-8E96-E0F44AFAE75F}"/>
    <cellStyle name="Currency 3 2 3 3 2 2 3" xfId="15638" xr:uid="{413A4746-6B1A-41A3-9A88-D125EB55D713}"/>
    <cellStyle name="Currency 3 2 3 3 2 3" xfId="19861" xr:uid="{F82E2CDC-5287-4061-8CCA-AF21F7FE5002}"/>
    <cellStyle name="Currency 3 2 3 3 2 4" xfId="11420" xr:uid="{9A244294-3A78-425B-9A60-7D9B6BA64049}"/>
    <cellStyle name="Currency 3 2 3 3 3" xfId="5051" xr:uid="{00000000-0005-0000-0000-00001A0B0000}"/>
    <cellStyle name="Currency 3 2 3 3 3 2" xfId="21934" xr:uid="{5E731819-F366-46AD-9426-466C73C7D0D6}"/>
    <cellStyle name="Currency 3 2 3 3 3 3" xfId="13493" xr:uid="{2342164E-48C7-42AB-AAF5-C2EBC3142A61}"/>
    <cellStyle name="Currency 3 2 3 3 4" xfId="17716" xr:uid="{3D546716-E49A-4C04-85B1-A33E1734BD5F}"/>
    <cellStyle name="Currency 3 2 3 3 5" xfId="9275" xr:uid="{105BAB29-3247-41E9-824F-774883B25C9C}"/>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24492" xr:uid="{665FE588-D015-4965-A31C-A50E6CAC6C96}"/>
    <cellStyle name="Currency 3 2 3 4 2 2 3" xfId="16051" xr:uid="{D669FA94-A6F8-49DA-B883-020103006779}"/>
    <cellStyle name="Currency 3 2 3 4 2 3" xfId="20274" xr:uid="{763A9924-B005-45C0-A739-CE7D7D36E99F}"/>
    <cellStyle name="Currency 3 2 3 4 2 4" xfId="11833" xr:uid="{0E8F0502-456C-408D-B21E-9EDBCA00A0DE}"/>
    <cellStyle name="Currency 3 2 3 4 3" xfId="5464" xr:uid="{00000000-0005-0000-0000-00001E0B0000}"/>
    <cellStyle name="Currency 3 2 3 4 3 2" xfId="22347" xr:uid="{55D498AC-17BB-4B42-9F5A-72D6EFDAF016}"/>
    <cellStyle name="Currency 3 2 3 4 3 3" xfId="13906" xr:uid="{1E156C3C-EE75-40E2-85D4-04AF8A19BBE2}"/>
    <cellStyle name="Currency 3 2 3 4 4" xfId="18129" xr:uid="{E0FFD990-DBA9-43BC-8860-718BE78CC720}"/>
    <cellStyle name="Currency 3 2 3 4 5" xfId="9688" xr:uid="{48E9E2D8-C1E0-4EF9-8E23-DC5563406403}"/>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24905" xr:uid="{E65D2039-039B-46E7-B604-0725236BBA4C}"/>
    <cellStyle name="Currency 3 2 3 5 2 2 3" xfId="16464" xr:uid="{835C70F6-6F90-41CE-BE9E-9D8E83F8A5AD}"/>
    <cellStyle name="Currency 3 2 3 5 2 3" xfId="20687" xr:uid="{3B7B0D37-6813-412D-85A7-1989AC087CC4}"/>
    <cellStyle name="Currency 3 2 3 5 2 4" xfId="12246" xr:uid="{5811878D-DC65-4D1C-825B-8F2533648B2D}"/>
    <cellStyle name="Currency 3 2 3 5 3" xfId="5877" xr:uid="{00000000-0005-0000-0000-0000220B0000}"/>
    <cellStyle name="Currency 3 2 3 5 3 2" xfId="22760" xr:uid="{CD44E22A-A72E-4CAF-B38D-75F1C3DBF5BC}"/>
    <cellStyle name="Currency 3 2 3 5 3 3" xfId="14319" xr:uid="{C8F2C4A5-F323-4D86-96FA-A5C6873759B6}"/>
    <cellStyle name="Currency 3 2 3 5 4" xfId="18542" xr:uid="{C586C030-535C-4D0A-919C-33CEF9A717A3}"/>
    <cellStyle name="Currency 3 2 3 5 5" xfId="10101" xr:uid="{24938402-9BBA-4276-8B86-0AA362C13216}"/>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25318" xr:uid="{D98E34BB-7761-433F-9E07-873293BB8214}"/>
    <cellStyle name="Currency 3 2 3 6 2 2 3" xfId="16877" xr:uid="{1D3C139B-7AB8-42A8-BE34-4E0762E11DF4}"/>
    <cellStyle name="Currency 3 2 3 6 2 3" xfId="21100" xr:uid="{67363BE6-23E8-40B4-BD3B-3DB4EEB66C5B}"/>
    <cellStyle name="Currency 3 2 3 6 2 4" xfId="12659" xr:uid="{A063F41B-D624-41CC-AFCE-FA79387586EF}"/>
    <cellStyle name="Currency 3 2 3 6 3" xfId="6290" xr:uid="{00000000-0005-0000-0000-0000260B0000}"/>
    <cellStyle name="Currency 3 2 3 6 3 2" xfId="23173" xr:uid="{EA5A793B-4A85-4092-97D7-557DFB1AB86E}"/>
    <cellStyle name="Currency 3 2 3 6 3 3" xfId="14732" xr:uid="{74A56ECF-7D7B-46BC-BF56-B143D4399ADE}"/>
    <cellStyle name="Currency 3 2 3 6 4" xfId="18955" xr:uid="{74966F9F-D36E-471C-8A5F-F1AAA39BD8A5}"/>
    <cellStyle name="Currency 3 2 3 6 5" xfId="10514" xr:uid="{637E3475-1E9B-4D86-BE16-24FAF5BDA701}"/>
    <cellStyle name="Currency 3 2 3 7" xfId="2418" xr:uid="{00000000-0005-0000-0000-0000270B0000}"/>
    <cellStyle name="Currency 3 2 3 7 2" xfId="6703" xr:uid="{00000000-0005-0000-0000-0000280B0000}"/>
    <cellStyle name="Currency 3 2 3 7 2 2" xfId="23586" xr:uid="{358A3F4A-33D4-4D18-A5BB-801811841859}"/>
    <cellStyle name="Currency 3 2 3 7 2 3" xfId="15145" xr:uid="{0F723E8D-F6C9-4AB9-9882-232942C4F881}"/>
    <cellStyle name="Currency 3 2 3 7 3" xfId="19368" xr:uid="{DDF177A5-234C-46F6-863B-496E4E07EAC0}"/>
    <cellStyle name="Currency 3 2 3 7 4" xfId="10927" xr:uid="{1A2894EA-06AE-49B6-984D-4CA63AF0C525}"/>
    <cellStyle name="Currency 3 2 3 8" xfId="2715" xr:uid="{00000000-0005-0000-0000-0000290B0000}"/>
    <cellStyle name="Currency 3 2 3 9" xfId="2796" xr:uid="{00000000-0005-0000-0000-00002A0B0000}"/>
    <cellStyle name="Currency 3 2 3 9 2" xfId="7020" xr:uid="{00000000-0005-0000-0000-00002B0B0000}"/>
    <cellStyle name="Currency 3 2 3 9 2 2" xfId="23903" xr:uid="{6B6384DD-82B6-43E2-836B-AB59E50AE6A8}"/>
    <cellStyle name="Currency 3 2 3 9 2 3" xfId="15462" xr:uid="{8A4A3BE8-6DD4-4F8B-B1B1-506C1F5E17F8}"/>
    <cellStyle name="Currency 3 2 3 9 3" xfId="19685" xr:uid="{6BF889BA-3575-4E20-A9FC-2718102103FA}"/>
    <cellStyle name="Currency 3 2 3 9 4" xfId="11244" xr:uid="{BA529DEA-3A35-4964-8FDA-43907592C8F0}"/>
    <cellStyle name="Currency 3 2 4" xfId="184" xr:uid="{00000000-0005-0000-0000-00002C0B0000}"/>
    <cellStyle name="Currency 3 2 4 10" xfId="17304" xr:uid="{33E2DA70-E397-45A3-8A36-0A8130002D7F}"/>
    <cellStyle name="Currency 3 2 4 11" xfId="8863" xr:uid="{22F933BA-5697-41BC-9923-1EE72B4C699C}"/>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24081" xr:uid="{1B90285D-9A31-4F16-B767-861642983562}"/>
    <cellStyle name="Currency 3 2 4 2 2 2 3" xfId="15640" xr:uid="{7FD56FA7-708D-4545-942A-F58FEBB03198}"/>
    <cellStyle name="Currency 3 2 4 2 2 3" xfId="19863" xr:uid="{7FC5F2B5-F8CA-46CA-87D2-239CA25344F4}"/>
    <cellStyle name="Currency 3 2 4 2 2 4" xfId="11422" xr:uid="{D53A019D-9BC6-4A5E-AC7B-BCBF919DB55A}"/>
    <cellStyle name="Currency 3 2 4 2 3" xfId="5053" xr:uid="{00000000-0005-0000-0000-0000300B0000}"/>
    <cellStyle name="Currency 3 2 4 2 3 2" xfId="21936" xr:uid="{26CAD18A-E4F1-497D-A897-EF066E83C10F}"/>
    <cellStyle name="Currency 3 2 4 2 3 3" xfId="13495" xr:uid="{29F8D494-3215-48E6-9F94-A1E96D2D5E61}"/>
    <cellStyle name="Currency 3 2 4 2 4" xfId="17718" xr:uid="{5BE36D1D-49C3-4C8C-B129-8DE952A7D23C}"/>
    <cellStyle name="Currency 3 2 4 2 5" xfId="9277" xr:uid="{20ABBF33-CB79-4826-A99B-096CF47471D0}"/>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24494" xr:uid="{66F0AB1A-5E62-4C22-BD58-BE60E0E8BB1E}"/>
    <cellStyle name="Currency 3 2 4 3 2 2 3" xfId="16053" xr:uid="{ED13933C-35E8-41C0-BD1F-F365B3B7F0DE}"/>
    <cellStyle name="Currency 3 2 4 3 2 3" xfId="20276" xr:uid="{1C76E13B-F3F2-4943-83DE-EB8FC1EA1243}"/>
    <cellStyle name="Currency 3 2 4 3 2 4" xfId="11835" xr:uid="{BC5BAA55-DB9C-4952-988D-64F97D9B2C13}"/>
    <cellStyle name="Currency 3 2 4 3 3" xfId="5466" xr:uid="{00000000-0005-0000-0000-0000340B0000}"/>
    <cellStyle name="Currency 3 2 4 3 3 2" xfId="22349" xr:uid="{DDA3C263-CFB9-457E-B070-8A0DB1A53E0B}"/>
    <cellStyle name="Currency 3 2 4 3 3 3" xfId="13908" xr:uid="{A6A5D16A-534D-42D0-A0E2-EFD1863BADF5}"/>
    <cellStyle name="Currency 3 2 4 3 4" xfId="18131" xr:uid="{55533766-4AAB-4B28-8093-BFF913D3B2FB}"/>
    <cellStyle name="Currency 3 2 4 3 5" xfId="9690" xr:uid="{86F9AD47-2B7D-45BC-9259-1754E5AD59BB}"/>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24907" xr:uid="{3835528B-DAD5-435A-95E4-A8BD9BD51563}"/>
    <cellStyle name="Currency 3 2 4 4 2 2 3" xfId="16466" xr:uid="{7B446738-595A-4286-873B-6524A4021D78}"/>
    <cellStyle name="Currency 3 2 4 4 2 3" xfId="20689" xr:uid="{BD6B2707-5EF9-4F8E-8B29-2EA32A1CEAE1}"/>
    <cellStyle name="Currency 3 2 4 4 2 4" xfId="12248" xr:uid="{51073C59-E99C-484B-A2C3-AF7E1527C9A8}"/>
    <cellStyle name="Currency 3 2 4 4 3" xfId="5879" xr:uid="{00000000-0005-0000-0000-0000380B0000}"/>
    <cellStyle name="Currency 3 2 4 4 3 2" xfId="22762" xr:uid="{F3E138D6-735B-4693-A670-D8E6458733B6}"/>
    <cellStyle name="Currency 3 2 4 4 3 3" xfId="14321" xr:uid="{B706D008-6495-4641-9098-EF51BF348EB0}"/>
    <cellStyle name="Currency 3 2 4 4 4" xfId="18544" xr:uid="{1511D20E-87DF-4F99-99ED-BD414F1D286A}"/>
    <cellStyle name="Currency 3 2 4 4 5" xfId="10103" xr:uid="{6AA9047D-7646-490A-92C3-0101730B046B}"/>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25320" xr:uid="{C5CF84C0-D131-4370-9EA4-461268F714AE}"/>
    <cellStyle name="Currency 3 2 4 5 2 2 3" xfId="16879" xr:uid="{13FD28C1-A593-4DD1-8D22-8EE5E4387D62}"/>
    <cellStyle name="Currency 3 2 4 5 2 3" xfId="21102" xr:uid="{CD40FC7C-9277-4378-8581-08E689860011}"/>
    <cellStyle name="Currency 3 2 4 5 2 4" xfId="12661" xr:uid="{CDD2F3F6-34DA-4FC6-B653-C533395322A0}"/>
    <cellStyle name="Currency 3 2 4 5 3" xfId="6292" xr:uid="{00000000-0005-0000-0000-00003C0B0000}"/>
    <cellStyle name="Currency 3 2 4 5 3 2" xfId="23175" xr:uid="{85A1765C-65FE-411E-993A-4A715B61ADE3}"/>
    <cellStyle name="Currency 3 2 4 5 3 3" xfId="14734" xr:uid="{F9E44787-5B81-4D1F-B286-246A962BEC2B}"/>
    <cellStyle name="Currency 3 2 4 5 4" xfId="18957" xr:uid="{19DA72BB-E6CE-49F6-912B-18AC5A90E627}"/>
    <cellStyle name="Currency 3 2 4 5 5" xfId="10516" xr:uid="{A0903B14-3F40-4934-8FA7-7E5EE61F8EDE}"/>
    <cellStyle name="Currency 3 2 4 6" xfId="2420" xr:uid="{00000000-0005-0000-0000-00003D0B0000}"/>
    <cellStyle name="Currency 3 2 4 6 2" xfId="6705" xr:uid="{00000000-0005-0000-0000-00003E0B0000}"/>
    <cellStyle name="Currency 3 2 4 6 2 2" xfId="23588" xr:uid="{C231B40D-2D14-413B-9D98-8BBEF27A59C0}"/>
    <cellStyle name="Currency 3 2 4 6 2 3" xfId="15147" xr:uid="{232C50AF-DB2F-494D-9514-D60E181AEECA}"/>
    <cellStyle name="Currency 3 2 4 6 3" xfId="19370" xr:uid="{44A7F0DF-9A6D-44DB-B896-C95501930EBB}"/>
    <cellStyle name="Currency 3 2 4 6 4" xfId="10929" xr:uid="{4072DE79-B736-4C08-A84B-27EFBBC5206F}"/>
    <cellStyle name="Currency 3 2 4 7" xfId="2717" xr:uid="{00000000-0005-0000-0000-00003F0B0000}"/>
    <cellStyle name="Currency 3 2 4 8" xfId="2798" xr:uid="{00000000-0005-0000-0000-0000400B0000}"/>
    <cellStyle name="Currency 3 2 4 8 2" xfId="7022" xr:uid="{00000000-0005-0000-0000-0000410B0000}"/>
    <cellStyle name="Currency 3 2 4 8 2 2" xfId="23905" xr:uid="{98DD8E4F-FF4D-408D-806B-CCE35366CDD3}"/>
    <cellStyle name="Currency 3 2 4 8 2 3" xfId="15464" xr:uid="{A3F5A0C1-7E18-4F39-B1D9-F45AB3174556}"/>
    <cellStyle name="Currency 3 2 4 8 3" xfId="19687" xr:uid="{98578E96-C647-4D9B-992A-F37C5F1992D1}"/>
    <cellStyle name="Currency 3 2 4 8 4" xfId="11246" xr:uid="{833DFA3C-00AA-45AA-BDF0-61236E57C1F9}"/>
    <cellStyle name="Currency 3 2 4 9" xfId="4639" xr:uid="{00000000-0005-0000-0000-0000420B0000}"/>
    <cellStyle name="Currency 3 2 4 9 2" xfId="21522" xr:uid="{CBF5997E-30BC-420D-B4A7-02A591D3F9A2}"/>
    <cellStyle name="Currency 3 2 4 9 3" xfId="13081" xr:uid="{2675EDAC-1E09-4A43-B36A-8AEA6936D0B6}"/>
    <cellStyle name="Currency 3 2 5" xfId="185" xr:uid="{00000000-0005-0000-0000-0000430B0000}"/>
    <cellStyle name="Currency 3 2 5 10" xfId="17305" xr:uid="{05DCE01D-C2B7-4F52-A0CF-6C02E0415B8D}"/>
    <cellStyle name="Currency 3 2 5 11" xfId="8864" xr:uid="{E66BBF81-9371-49D6-A9B1-E500996265A5}"/>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24082" xr:uid="{93875A25-DF20-4AC5-8AC3-06498EDEA8F3}"/>
    <cellStyle name="Currency 3 2 5 2 2 2 3" xfId="15641" xr:uid="{A9E50B4D-89B5-401A-A297-15C18B40B47B}"/>
    <cellStyle name="Currency 3 2 5 2 2 3" xfId="19864" xr:uid="{97FA5DB7-164B-4E49-B717-024B7E7A5307}"/>
    <cellStyle name="Currency 3 2 5 2 2 4" xfId="11423" xr:uid="{697C3AA7-02A1-4229-9324-28599A0E2D67}"/>
    <cellStyle name="Currency 3 2 5 2 3" xfId="5054" xr:uid="{00000000-0005-0000-0000-0000470B0000}"/>
    <cellStyle name="Currency 3 2 5 2 3 2" xfId="21937" xr:uid="{3747506C-D5F1-4671-8149-48E33E309D73}"/>
    <cellStyle name="Currency 3 2 5 2 3 3" xfId="13496" xr:uid="{8A91D120-FC10-43CB-AF92-2A8EDD55B758}"/>
    <cellStyle name="Currency 3 2 5 2 4" xfId="17719" xr:uid="{889FCE26-79C7-4945-B0A3-0F2D20E638A0}"/>
    <cellStyle name="Currency 3 2 5 2 5" xfId="9278" xr:uid="{53B470CC-8364-42F8-8793-BC5AB893D73F}"/>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24495" xr:uid="{95C11860-55A0-4B3B-9DCD-81AA93E46057}"/>
    <cellStyle name="Currency 3 2 5 3 2 2 3" xfId="16054" xr:uid="{B9B06B1C-3EEE-4325-B607-288E1303576C}"/>
    <cellStyle name="Currency 3 2 5 3 2 3" xfId="20277" xr:uid="{04F0F05C-9109-4DDE-8113-29994FF988BB}"/>
    <cellStyle name="Currency 3 2 5 3 2 4" xfId="11836" xr:uid="{FE550929-56E9-4D2E-9D2C-7EFD1C6D210E}"/>
    <cellStyle name="Currency 3 2 5 3 3" xfId="5467" xr:uid="{00000000-0005-0000-0000-00004B0B0000}"/>
    <cellStyle name="Currency 3 2 5 3 3 2" xfId="22350" xr:uid="{164048DF-8A05-4426-A1BA-8DD28E942C1B}"/>
    <cellStyle name="Currency 3 2 5 3 3 3" xfId="13909" xr:uid="{BA4DF73C-26F9-442B-AF8F-5E012E41C7E3}"/>
    <cellStyle name="Currency 3 2 5 3 4" xfId="18132" xr:uid="{C4B74C63-1102-481C-9C64-DC9B1D431B00}"/>
    <cellStyle name="Currency 3 2 5 3 5" xfId="9691" xr:uid="{7958B1E3-CC3F-4324-996E-B1C349FB9352}"/>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24908" xr:uid="{81FBB137-82E6-4C3F-AE75-907DA292D4E4}"/>
    <cellStyle name="Currency 3 2 5 4 2 2 3" xfId="16467" xr:uid="{8F94E8BB-DB19-44A5-BA0A-9D963B05A38F}"/>
    <cellStyle name="Currency 3 2 5 4 2 3" xfId="20690" xr:uid="{6567D59D-1B8A-45E7-82B8-9EA319562CEE}"/>
    <cellStyle name="Currency 3 2 5 4 2 4" xfId="12249" xr:uid="{8BC681AD-13DF-4560-A9BD-C91FFA0FDA19}"/>
    <cellStyle name="Currency 3 2 5 4 3" xfId="5880" xr:uid="{00000000-0005-0000-0000-00004F0B0000}"/>
    <cellStyle name="Currency 3 2 5 4 3 2" xfId="22763" xr:uid="{1F83A435-6F96-4E9F-A502-3335AAB5567B}"/>
    <cellStyle name="Currency 3 2 5 4 3 3" xfId="14322" xr:uid="{1FC2DD51-6364-44BC-BDA8-AFF805E0C60F}"/>
    <cellStyle name="Currency 3 2 5 4 4" xfId="18545" xr:uid="{51B1C904-08D4-443B-87F9-9ACAF8E57DD3}"/>
    <cellStyle name="Currency 3 2 5 4 5" xfId="10104" xr:uid="{34322B7B-4734-4A81-A683-DACA2F6EC381}"/>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25321" xr:uid="{216B0033-74A4-4CAD-9B28-B396991BA52F}"/>
    <cellStyle name="Currency 3 2 5 5 2 2 3" xfId="16880" xr:uid="{C53E0531-2712-44AC-AA6A-8BFFD9CA9B7E}"/>
    <cellStyle name="Currency 3 2 5 5 2 3" xfId="21103" xr:uid="{B41CA9A5-389F-41B0-9A4F-6F1EA5CDFEC6}"/>
    <cellStyle name="Currency 3 2 5 5 2 4" xfId="12662" xr:uid="{C1E65B73-E1C7-4C47-9E80-362AACCA1EA3}"/>
    <cellStyle name="Currency 3 2 5 5 3" xfId="6293" xr:uid="{00000000-0005-0000-0000-0000530B0000}"/>
    <cellStyle name="Currency 3 2 5 5 3 2" xfId="23176" xr:uid="{D9900EC5-17B9-4215-B90F-F28BDCD9D617}"/>
    <cellStyle name="Currency 3 2 5 5 3 3" xfId="14735" xr:uid="{E66DB123-97C9-4B96-AC6A-6A16095BB1BF}"/>
    <cellStyle name="Currency 3 2 5 5 4" xfId="18958" xr:uid="{F80FEAD3-EA10-4087-B153-F80926F60609}"/>
    <cellStyle name="Currency 3 2 5 5 5" xfId="10517" xr:uid="{02210B2A-97C5-45ED-BE72-B31F5402EA3A}"/>
    <cellStyle name="Currency 3 2 5 6" xfId="2421" xr:uid="{00000000-0005-0000-0000-0000540B0000}"/>
    <cellStyle name="Currency 3 2 5 6 2" xfId="6706" xr:uid="{00000000-0005-0000-0000-0000550B0000}"/>
    <cellStyle name="Currency 3 2 5 6 2 2" xfId="23589" xr:uid="{33512046-3CE6-4F60-9AD5-B2E699719CF7}"/>
    <cellStyle name="Currency 3 2 5 6 2 3" xfId="15148" xr:uid="{E45BDF06-0572-4CBB-AB77-0694A9522B63}"/>
    <cellStyle name="Currency 3 2 5 6 3" xfId="19371" xr:uid="{D7266003-C87B-4AB7-9FA9-F957D76CBDAC}"/>
    <cellStyle name="Currency 3 2 5 6 4" xfId="10930" xr:uid="{E81B6D73-FB54-4AF0-892F-FA382F411430}"/>
    <cellStyle name="Currency 3 2 5 7" xfId="2718" xr:uid="{00000000-0005-0000-0000-0000560B0000}"/>
    <cellStyle name="Currency 3 2 5 8" xfId="2799" xr:uid="{00000000-0005-0000-0000-0000570B0000}"/>
    <cellStyle name="Currency 3 2 5 8 2" xfId="7023" xr:uid="{00000000-0005-0000-0000-0000580B0000}"/>
    <cellStyle name="Currency 3 2 5 8 2 2" xfId="23906" xr:uid="{254A97C0-9CF4-4D56-9370-20EF0977F561}"/>
    <cellStyle name="Currency 3 2 5 8 2 3" xfId="15465" xr:uid="{9D5947F5-C2D7-4C6A-904B-E53CF11EB486}"/>
    <cellStyle name="Currency 3 2 5 8 3" xfId="19688" xr:uid="{742BE819-9DEC-4D78-BD1B-B8C39249F97C}"/>
    <cellStyle name="Currency 3 2 5 8 4" xfId="11247" xr:uid="{4B696D71-3CBB-4349-AFDE-B13F158E59F8}"/>
    <cellStyle name="Currency 3 2 5 9" xfId="4640" xr:uid="{00000000-0005-0000-0000-0000590B0000}"/>
    <cellStyle name="Currency 3 2 5 9 2" xfId="21523" xr:uid="{29A08131-B8DB-4E0E-A314-D3B482B00CA6}"/>
    <cellStyle name="Currency 3 2 5 9 3" xfId="13082" xr:uid="{5C6829E8-2C61-4ACB-8BDE-B7AFE4268DD4}"/>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23907" xr:uid="{E5D4FA42-E6D9-41DC-8461-183A108C6519}"/>
    <cellStyle name="Currency 5 2 2 2 10 2 3" xfId="15466" xr:uid="{5FAB09DD-C885-40AC-9063-9610C59EF084}"/>
    <cellStyle name="Currency 5 2 2 2 10 3" xfId="19689" xr:uid="{A9DF180C-1D7D-4DC5-B991-F90BF777DA4A}"/>
    <cellStyle name="Currency 5 2 2 2 10 4" xfId="11248" xr:uid="{4FC194CE-69CF-4ACA-B36C-C50DEAC0205D}"/>
    <cellStyle name="Currency 5 2 2 2 11" xfId="4641" xr:uid="{00000000-0005-0000-0000-00006C0B0000}"/>
    <cellStyle name="Currency 5 2 2 2 11 2" xfId="21524" xr:uid="{A7CD28C1-CFE5-408E-8CD7-956603EEDD82}"/>
    <cellStyle name="Currency 5 2 2 2 11 3" xfId="13083" xr:uid="{CCF3E9EB-5431-4B60-9C6A-2EAE52D62645}"/>
    <cellStyle name="Currency 5 2 2 2 12" xfId="17306" xr:uid="{2CF050F1-3B1F-4DB2-9DD4-B04BCFDFEF3D}"/>
    <cellStyle name="Currency 5 2 2 2 13" xfId="8865" xr:uid="{2306336F-63F3-42FB-891A-59FCDEC26042}"/>
    <cellStyle name="Currency 5 2 2 2 2" xfId="197" xr:uid="{00000000-0005-0000-0000-00006D0B0000}"/>
    <cellStyle name="Currency 5 2 2 2 2 10" xfId="4642" xr:uid="{00000000-0005-0000-0000-00006E0B0000}"/>
    <cellStyle name="Currency 5 2 2 2 2 10 2" xfId="21525" xr:uid="{EC699888-A8A7-4BFA-98EF-616E1A045082}"/>
    <cellStyle name="Currency 5 2 2 2 2 10 3" xfId="13084" xr:uid="{489B61F8-ADF9-4EF0-BD80-2BA4B70932C5}"/>
    <cellStyle name="Currency 5 2 2 2 2 11" xfId="17307" xr:uid="{67B3103E-B119-4E31-8CF4-B2A5F24048F8}"/>
    <cellStyle name="Currency 5 2 2 2 2 12" xfId="8866" xr:uid="{073A3C4B-62B5-4942-9FB9-9021F424E4CA}"/>
    <cellStyle name="Currency 5 2 2 2 2 2" xfId="198" xr:uid="{00000000-0005-0000-0000-00006F0B0000}"/>
    <cellStyle name="Currency 5 2 2 2 2 2 10" xfId="17308" xr:uid="{D8FFC76E-08C2-48C2-A710-4ACC938CCB3E}"/>
    <cellStyle name="Currency 5 2 2 2 2 2 11" xfId="8867" xr:uid="{36095FD0-5572-46C1-9309-2529D295C8AD}"/>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24085" xr:uid="{CA3DBA63-D475-4F05-9C64-5C8FD16C3C6D}"/>
    <cellStyle name="Currency 5 2 2 2 2 2 2 2 2 3" xfId="15644" xr:uid="{4B1C0D98-EE3F-4CAC-81F2-2298D4F8B814}"/>
    <cellStyle name="Currency 5 2 2 2 2 2 2 2 3" xfId="19867" xr:uid="{9D927B21-DE81-4160-8681-34F1D33832B7}"/>
    <cellStyle name="Currency 5 2 2 2 2 2 2 2 4" xfId="11426" xr:uid="{3E105678-8F6A-46DA-AB92-1871D54E91D5}"/>
    <cellStyle name="Currency 5 2 2 2 2 2 2 3" xfId="5057" xr:uid="{00000000-0005-0000-0000-0000730B0000}"/>
    <cellStyle name="Currency 5 2 2 2 2 2 2 3 2" xfId="21940" xr:uid="{55E11969-3D4E-4943-9717-C088B2514BCC}"/>
    <cellStyle name="Currency 5 2 2 2 2 2 2 3 3" xfId="13499" xr:uid="{58D721A9-1463-43E0-8A38-E86A921E0D49}"/>
    <cellStyle name="Currency 5 2 2 2 2 2 2 4" xfId="17722" xr:uid="{1F83DC9D-C469-4474-AD4C-417CF487E97C}"/>
    <cellStyle name="Currency 5 2 2 2 2 2 2 5" xfId="9281" xr:uid="{79288DB4-9ED5-489A-9230-D9B47B54EDD2}"/>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24498" xr:uid="{E6689EBC-27AF-4D0B-891C-2350595EA895}"/>
    <cellStyle name="Currency 5 2 2 2 2 2 3 2 2 3" xfId="16057" xr:uid="{B35811A1-7CE1-465C-B3EC-D853E7F549F0}"/>
    <cellStyle name="Currency 5 2 2 2 2 2 3 2 3" xfId="20280" xr:uid="{0D3C8DFF-108C-4FDF-8F03-09E7E3F66EF7}"/>
    <cellStyle name="Currency 5 2 2 2 2 2 3 2 4" xfId="11839" xr:uid="{DDB14C28-BBD0-4DC5-A868-77E2D946219B}"/>
    <cellStyle name="Currency 5 2 2 2 2 2 3 3" xfId="5470" xr:uid="{00000000-0005-0000-0000-0000770B0000}"/>
    <cellStyle name="Currency 5 2 2 2 2 2 3 3 2" xfId="22353" xr:uid="{4A4260AD-74D1-4694-BD26-D57DECACFCE9}"/>
    <cellStyle name="Currency 5 2 2 2 2 2 3 3 3" xfId="13912" xr:uid="{DBAE4356-3AB9-4A6A-B842-A91E9A154233}"/>
    <cellStyle name="Currency 5 2 2 2 2 2 3 4" xfId="18135" xr:uid="{29D7C1A5-6041-4ABF-84BD-B33265D563F3}"/>
    <cellStyle name="Currency 5 2 2 2 2 2 3 5" xfId="9694" xr:uid="{2EAB7C75-2B39-47D8-9214-CDCBA411C364}"/>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24911" xr:uid="{F8885925-C9E0-45E4-8067-41D4437D281A}"/>
    <cellStyle name="Currency 5 2 2 2 2 2 4 2 2 3" xfId="16470" xr:uid="{8E24B615-56B2-472C-A861-F285540DBC4C}"/>
    <cellStyle name="Currency 5 2 2 2 2 2 4 2 3" xfId="20693" xr:uid="{7EF58C25-C7B1-47EE-9505-0F532B275243}"/>
    <cellStyle name="Currency 5 2 2 2 2 2 4 2 4" xfId="12252" xr:uid="{3C759909-65D8-48E0-A6E3-BFA2CFB0CB5F}"/>
    <cellStyle name="Currency 5 2 2 2 2 2 4 3" xfId="5883" xr:uid="{00000000-0005-0000-0000-00007B0B0000}"/>
    <cellStyle name="Currency 5 2 2 2 2 2 4 3 2" xfId="22766" xr:uid="{B21327FA-33E4-45E9-AAA2-D477C9AD1F23}"/>
    <cellStyle name="Currency 5 2 2 2 2 2 4 3 3" xfId="14325" xr:uid="{D7B5B4F8-C728-4E22-B27B-7D5ADDF86520}"/>
    <cellStyle name="Currency 5 2 2 2 2 2 4 4" xfId="18548" xr:uid="{14AD5C59-CB8B-4724-A7E2-5DF98F6D2D69}"/>
    <cellStyle name="Currency 5 2 2 2 2 2 4 5" xfId="10107" xr:uid="{80E9EAD8-54A4-42F0-8DD3-EBAE903F39FE}"/>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25324" xr:uid="{449507C4-3B7A-4F76-A525-29FF324AD3C5}"/>
    <cellStyle name="Currency 5 2 2 2 2 2 5 2 2 3" xfId="16883" xr:uid="{DF0BA41A-755D-494A-A54C-EC1B617400EA}"/>
    <cellStyle name="Currency 5 2 2 2 2 2 5 2 3" xfId="21106" xr:uid="{AE78C919-084C-486B-B4EB-908E9E0CE548}"/>
    <cellStyle name="Currency 5 2 2 2 2 2 5 2 4" xfId="12665" xr:uid="{BB4E5031-368D-4C68-9632-07AE0B6CC3AD}"/>
    <cellStyle name="Currency 5 2 2 2 2 2 5 3" xfId="6296" xr:uid="{00000000-0005-0000-0000-00007F0B0000}"/>
    <cellStyle name="Currency 5 2 2 2 2 2 5 3 2" xfId="23179" xr:uid="{99F57A2D-45DE-4C99-B5F6-3DA42B63302F}"/>
    <cellStyle name="Currency 5 2 2 2 2 2 5 3 3" xfId="14738" xr:uid="{1FF5F779-E1BB-4EBB-B934-19D4D15AFB45}"/>
    <cellStyle name="Currency 5 2 2 2 2 2 5 4" xfId="18961" xr:uid="{F50EC327-B660-4A59-AD5D-53B328625AF2}"/>
    <cellStyle name="Currency 5 2 2 2 2 2 5 5" xfId="10520" xr:uid="{7DCD0335-2C21-4A22-B164-C21B9246C076}"/>
    <cellStyle name="Currency 5 2 2 2 2 2 6" xfId="2424" xr:uid="{00000000-0005-0000-0000-0000800B0000}"/>
    <cellStyle name="Currency 5 2 2 2 2 2 6 2" xfId="6709" xr:uid="{00000000-0005-0000-0000-0000810B0000}"/>
    <cellStyle name="Currency 5 2 2 2 2 2 6 2 2" xfId="23592" xr:uid="{F91F635D-B66C-427B-B481-E92731F00CC7}"/>
    <cellStyle name="Currency 5 2 2 2 2 2 6 2 3" xfId="15151" xr:uid="{FE3EFE43-A89E-4EDA-AE8D-53195E85BBA6}"/>
    <cellStyle name="Currency 5 2 2 2 2 2 6 3" xfId="19374" xr:uid="{6648BB59-5F24-4CA4-BE45-C5C2EA914BAA}"/>
    <cellStyle name="Currency 5 2 2 2 2 2 6 4" xfId="10933" xr:uid="{5823869E-87D6-4995-8D20-7612B3C7E433}"/>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23909" xr:uid="{DA676820-30F3-41AA-8620-3CE8DE28050B}"/>
    <cellStyle name="Currency 5 2 2 2 2 2 8 2 3" xfId="15468" xr:uid="{B54F3FD3-1223-454F-8BD1-EFE6CE64F97C}"/>
    <cellStyle name="Currency 5 2 2 2 2 2 8 3" xfId="19691" xr:uid="{F6C5E2DA-9728-494C-8F92-BE504C6A1D05}"/>
    <cellStyle name="Currency 5 2 2 2 2 2 8 4" xfId="11250" xr:uid="{4BB813C6-56A7-44BA-A487-999D282C818D}"/>
    <cellStyle name="Currency 5 2 2 2 2 2 9" xfId="4643" xr:uid="{00000000-0005-0000-0000-0000850B0000}"/>
    <cellStyle name="Currency 5 2 2 2 2 2 9 2" xfId="21526" xr:uid="{9EA3557F-B7B0-434B-BB50-5EE6A2798930}"/>
    <cellStyle name="Currency 5 2 2 2 2 2 9 3" xfId="13085" xr:uid="{DBD59EE5-407F-4D46-895C-996284E1609A}"/>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24084" xr:uid="{0B1DB977-1DB4-4AF5-9BBE-A6DA78DA2371}"/>
    <cellStyle name="Currency 5 2 2 2 2 3 2 2 3" xfId="15643" xr:uid="{FDC2626F-8C58-4EA4-BEF7-96023EBD7F65}"/>
    <cellStyle name="Currency 5 2 2 2 2 3 2 3" xfId="19866" xr:uid="{F6BBEF15-C081-4B56-88B1-EBDC391549F1}"/>
    <cellStyle name="Currency 5 2 2 2 2 3 2 4" xfId="11425" xr:uid="{D101E7CB-AC98-4426-8839-F126EA4383C5}"/>
    <cellStyle name="Currency 5 2 2 2 2 3 3" xfId="5056" xr:uid="{00000000-0005-0000-0000-0000890B0000}"/>
    <cellStyle name="Currency 5 2 2 2 2 3 3 2" xfId="21939" xr:uid="{5F050DA0-29C7-4E02-BB6D-99FE8A34601C}"/>
    <cellStyle name="Currency 5 2 2 2 2 3 3 3" xfId="13498" xr:uid="{81957748-4252-4BAD-9876-2539A4E915EC}"/>
    <cellStyle name="Currency 5 2 2 2 2 3 4" xfId="17721" xr:uid="{C383A87A-0EBA-4EC3-AC7E-03BE36918BD7}"/>
    <cellStyle name="Currency 5 2 2 2 2 3 5" xfId="9280" xr:uid="{740D37AA-C37F-4578-ADBA-A0843F9DF547}"/>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24497" xr:uid="{0F042A3B-4A39-41F2-9945-78DABB61ACBD}"/>
    <cellStyle name="Currency 5 2 2 2 2 4 2 2 3" xfId="16056" xr:uid="{41F9BAEB-5437-448B-BBEE-E9D47A47E216}"/>
    <cellStyle name="Currency 5 2 2 2 2 4 2 3" xfId="20279" xr:uid="{1B812FBE-E9F9-4B26-BCE3-21534AD8ADCD}"/>
    <cellStyle name="Currency 5 2 2 2 2 4 2 4" xfId="11838" xr:uid="{C4F7B931-5775-4D3D-B4BA-DE9E1FD6E926}"/>
    <cellStyle name="Currency 5 2 2 2 2 4 3" xfId="5469" xr:uid="{00000000-0005-0000-0000-00008D0B0000}"/>
    <cellStyle name="Currency 5 2 2 2 2 4 3 2" xfId="22352" xr:uid="{D294BF18-70C6-4F66-BB35-0FF7E3919DBC}"/>
    <cellStyle name="Currency 5 2 2 2 2 4 3 3" xfId="13911" xr:uid="{C6D037D7-0D29-4EFB-ACA9-2D325E876662}"/>
    <cellStyle name="Currency 5 2 2 2 2 4 4" xfId="18134" xr:uid="{684981E9-A670-4404-8ED4-295F27C86AD1}"/>
    <cellStyle name="Currency 5 2 2 2 2 4 5" xfId="9693" xr:uid="{F089EB5D-C66D-47D9-B985-153E591FDDDE}"/>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24910" xr:uid="{470F6BB0-69C9-4923-A8CB-F08ED7F3A711}"/>
    <cellStyle name="Currency 5 2 2 2 2 5 2 2 3" xfId="16469" xr:uid="{7CCA41D7-A091-4FC8-8FD6-62E67D79AE93}"/>
    <cellStyle name="Currency 5 2 2 2 2 5 2 3" xfId="20692" xr:uid="{8058394E-2208-4853-B1D3-551BA99F941F}"/>
    <cellStyle name="Currency 5 2 2 2 2 5 2 4" xfId="12251" xr:uid="{717581CD-C332-4DD6-9B92-3C48DCE31511}"/>
    <cellStyle name="Currency 5 2 2 2 2 5 3" xfId="5882" xr:uid="{00000000-0005-0000-0000-0000910B0000}"/>
    <cellStyle name="Currency 5 2 2 2 2 5 3 2" xfId="22765" xr:uid="{596322DE-C6D2-42A1-9641-DAA562890A28}"/>
    <cellStyle name="Currency 5 2 2 2 2 5 3 3" xfId="14324" xr:uid="{6D473F64-ABF9-4571-97D3-3225015590F8}"/>
    <cellStyle name="Currency 5 2 2 2 2 5 4" xfId="18547" xr:uid="{B3B35321-653F-4173-8AFF-75A37BECE42F}"/>
    <cellStyle name="Currency 5 2 2 2 2 5 5" xfId="10106" xr:uid="{2E3850E2-C04E-4053-BDE9-7DEAC77F4F05}"/>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25323" xr:uid="{4C9DA5E2-3443-4507-8A72-F4160B5B77AD}"/>
    <cellStyle name="Currency 5 2 2 2 2 6 2 2 3" xfId="16882" xr:uid="{4BD58C74-3D22-418F-A3A1-1EF9C3506D7F}"/>
    <cellStyle name="Currency 5 2 2 2 2 6 2 3" xfId="21105" xr:uid="{F4A84902-C36F-49B7-967D-843529CAA450}"/>
    <cellStyle name="Currency 5 2 2 2 2 6 2 4" xfId="12664" xr:uid="{1E5988B0-13F6-4A8F-BAC9-E2CC63DA4967}"/>
    <cellStyle name="Currency 5 2 2 2 2 6 3" xfId="6295" xr:uid="{00000000-0005-0000-0000-0000950B0000}"/>
    <cellStyle name="Currency 5 2 2 2 2 6 3 2" xfId="23178" xr:uid="{3D1C2D8D-92EF-429D-8D5A-07692E617E19}"/>
    <cellStyle name="Currency 5 2 2 2 2 6 3 3" xfId="14737" xr:uid="{24053406-BCD1-41C0-B4C4-13B26154E99E}"/>
    <cellStyle name="Currency 5 2 2 2 2 6 4" xfId="18960" xr:uid="{6506D839-DD5D-4986-B776-FEFC1209EE1A}"/>
    <cellStyle name="Currency 5 2 2 2 2 6 5" xfId="10519" xr:uid="{70CDA247-77E7-48FF-AF13-A871CC8C29F6}"/>
    <cellStyle name="Currency 5 2 2 2 2 7" xfId="2423" xr:uid="{00000000-0005-0000-0000-0000960B0000}"/>
    <cellStyle name="Currency 5 2 2 2 2 7 2" xfId="6708" xr:uid="{00000000-0005-0000-0000-0000970B0000}"/>
    <cellStyle name="Currency 5 2 2 2 2 7 2 2" xfId="23591" xr:uid="{4BED4BA0-9BBB-49C3-9E2E-0398ADDDE4E7}"/>
    <cellStyle name="Currency 5 2 2 2 2 7 2 3" xfId="15150" xr:uid="{9EA55D44-0D03-49CA-948C-64B09235C24F}"/>
    <cellStyle name="Currency 5 2 2 2 2 7 3" xfId="19373" xr:uid="{AB9DF0C5-68BE-451B-9E7E-F39005169928}"/>
    <cellStyle name="Currency 5 2 2 2 2 7 4" xfId="10932" xr:uid="{71DE827C-5C79-4BC4-8F2B-67AB8FBAFA3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23908" xr:uid="{1B671F48-CF96-419D-A1DF-74A4C73902F0}"/>
    <cellStyle name="Currency 5 2 2 2 2 9 2 3" xfId="15467" xr:uid="{FCA4E5C7-409C-4EAC-A278-DDE39DA85338}"/>
    <cellStyle name="Currency 5 2 2 2 2 9 3" xfId="19690" xr:uid="{CE63E071-C14F-4153-88DF-E1D84F5874A9}"/>
    <cellStyle name="Currency 5 2 2 2 2 9 4" xfId="11249" xr:uid="{89C1F88F-5720-4019-9462-F563F6DD6BA9}"/>
    <cellStyle name="Currency 5 2 2 2 3" xfId="199" xr:uid="{00000000-0005-0000-0000-00009B0B0000}"/>
    <cellStyle name="Currency 5 2 2 2 3 10" xfId="17309" xr:uid="{0DE448A9-578D-4A50-A5EB-7B6C68B0CA88}"/>
    <cellStyle name="Currency 5 2 2 2 3 11" xfId="8868" xr:uid="{FBADFDFC-C297-4E12-AC87-7EA36B7F2758}"/>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24086" xr:uid="{75C6E522-0D46-437F-B850-45ECED0F0A89}"/>
    <cellStyle name="Currency 5 2 2 2 3 2 2 2 3" xfId="15645" xr:uid="{129102AE-D288-4977-ADB5-6B98CF2C0994}"/>
    <cellStyle name="Currency 5 2 2 2 3 2 2 3" xfId="19868" xr:uid="{D1D0C712-893E-4915-B17B-F82EC14CC421}"/>
    <cellStyle name="Currency 5 2 2 2 3 2 2 4" xfId="11427" xr:uid="{39E4E76D-2F67-4C63-9B45-7E5DEFBE8886}"/>
    <cellStyle name="Currency 5 2 2 2 3 2 3" xfId="5058" xr:uid="{00000000-0005-0000-0000-00009F0B0000}"/>
    <cellStyle name="Currency 5 2 2 2 3 2 3 2" xfId="21941" xr:uid="{6E44CA10-D2CA-431B-B53D-38DE0DCD1B11}"/>
    <cellStyle name="Currency 5 2 2 2 3 2 3 3" xfId="13500" xr:uid="{687184A5-912D-49F5-B223-8B2CC5A8743A}"/>
    <cellStyle name="Currency 5 2 2 2 3 2 4" xfId="17723" xr:uid="{24D82989-DE10-4BDD-A683-19173FECFDB4}"/>
    <cellStyle name="Currency 5 2 2 2 3 2 5" xfId="9282" xr:uid="{14B971E1-47F6-4554-8E2E-EE235115C6A6}"/>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24499" xr:uid="{EC45F992-6183-42C9-991B-34E0F0E77AD9}"/>
    <cellStyle name="Currency 5 2 2 2 3 3 2 2 3" xfId="16058" xr:uid="{033CFC7D-7FA5-4BAA-AD1D-A2D29D3AFA5D}"/>
    <cellStyle name="Currency 5 2 2 2 3 3 2 3" xfId="20281" xr:uid="{6AC1C019-4711-471D-A421-DB37810DB498}"/>
    <cellStyle name="Currency 5 2 2 2 3 3 2 4" xfId="11840" xr:uid="{A2F1C824-763E-4BE6-B7D7-93E12D68BC6F}"/>
    <cellStyle name="Currency 5 2 2 2 3 3 3" xfId="5471" xr:uid="{00000000-0005-0000-0000-0000A30B0000}"/>
    <cellStyle name="Currency 5 2 2 2 3 3 3 2" xfId="22354" xr:uid="{1D27E2F9-B91F-48B6-9109-8A84854D77BB}"/>
    <cellStyle name="Currency 5 2 2 2 3 3 3 3" xfId="13913" xr:uid="{71477A48-C6E1-4328-9D91-018846CBE456}"/>
    <cellStyle name="Currency 5 2 2 2 3 3 4" xfId="18136" xr:uid="{D0B06AF1-D4F8-41F5-843B-9F44C165778D}"/>
    <cellStyle name="Currency 5 2 2 2 3 3 5" xfId="9695" xr:uid="{7BDCF633-8259-4DF0-A4DC-13F7D4F01B54}"/>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24912" xr:uid="{CDA22892-C2EF-4BE9-9AF3-13A4FFD95B75}"/>
    <cellStyle name="Currency 5 2 2 2 3 4 2 2 3" xfId="16471" xr:uid="{D5627431-C525-4D60-8939-3C965BEF14BB}"/>
    <cellStyle name="Currency 5 2 2 2 3 4 2 3" xfId="20694" xr:uid="{9862CE08-DB15-4125-9472-F11FA0E349F8}"/>
    <cellStyle name="Currency 5 2 2 2 3 4 2 4" xfId="12253" xr:uid="{50FC91B2-6D40-4FA8-9992-5FC2ABE75AB2}"/>
    <cellStyle name="Currency 5 2 2 2 3 4 3" xfId="5884" xr:uid="{00000000-0005-0000-0000-0000A70B0000}"/>
    <cellStyle name="Currency 5 2 2 2 3 4 3 2" xfId="22767" xr:uid="{39F63869-E7DD-4D6C-9F1E-1C73ED5D6D92}"/>
    <cellStyle name="Currency 5 2 2 2 3 4 3 3" xfId="14326" xr:uid="{EE6888EC-3B93-4BDA-8BF7-4F3F8A4C1504}"/>
    <cellStyle name="Currency 5 2 2 2 3 4 4" xfId="18549" xr:uid="{58D31AD0-ECBE-4EA3-9F33-E6320DA47B3E}"/>
    <cellStyle name="Currency 5 2 2 2 3 4 5" xfId="10108" xr:uid="{8A0FD495-4AFC-4741-A2A0-C8D572173965}"/>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25325" xr:uid="{4DB023EB-97DF-416D-828F-DBAA045CF61C}"/>
    <cellStyle name="Currency 5 2 2 2 3 5 2 2 3" xfId="16884" xr:uid="{7E8BAB6C-597F-44B7-8970-4C4B239B9865}"/>
    <cellStyle name="Currency 5 2 2 2 3 5 2 3" xfId="21107" xr:uid="{885BE457-55B4-4BA1-99B5-5F9094B55679}"/>
    <cellStyle name="Currency 5 2 2 2 3 5 2 4" xfId="12666" xr:uid="{079F2070-61AD-4F9E-AD46-C31C81E48999}"/>
    <cellStyle name="Currency 5 2 2 2 3 5 3" xfId="6297" xr:uid="{00000000-0005-0000-0000-0000AB0B0000}"/>
    <cellStyle name="Currency 5 2 2 2 3 5 3 2" xfId="23180" xr:uid="{393E20A3-C138-4DD3-8959-C7A5C88DA101}"/>
    <cellStyle name="Currency 5 2 2 2 3 5 3 3" xfId="14739" xr:uid="{7084B010-AD47-4611-97B6-2BA27A454956}"/>
    <cellStyle name="Currency 5 2 2 2 3 5 4" xfId="18962" xr:uid="{CBACBC2C-04D2-42F3-AE54-15CFAE76C7CB}"/>
    <cellStyle name="Currency 5 2 2 2 3 5 5" xfId="10521" xr:uid="{4427FCBB-3CFD-47A9-A8CC-61F55D8D4AD2}"/>
    <cellStyle name="Currency 5 2 2 2 3 6" xfId="2425" xr:uid="{00000000-0005-0000-0000-0000AC0B0000}"/>
    <cellStyle name="Currency 5 2 2 2 3 6 2" xfId="6710" xr:uid="{00000000-0005-0000-0000-0000AD0B0000}"/>
    <cellStyle name="Currency 5 2 2 2 3 6 2 2" xfId="23593" xr:uid="{E731EADB-580C-4445-84DD-D91C3B9D303E}"/>
    <cellStyle name="Currency 5 2 2 2 3 6 2 3" xfId="15152" xr:uid="{0400E8A4-C188-4D90-93D1-D2510456EDB3}"/>
    <cellStyle name="Currency 5 2 2 2 3 6 3" xfId="19375" xr:uid="{AC03BAFC-38E9-4CC7-8E9F-3272F86278A1}"/>
    <cellStyle name="Currency 5 2 2 2 3 6 4" xfId="10934" xr:uid="{53EC0116-80C9-4D92-A90B-1E64D7B7853C}"/>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23910" xr:uid="{DC4CADDC-0CAF-45E7-A31E-FBBB294791E4}"/>
    <cellStyle name="Currency 5 2 2 2 3 8 2 3" xfId="15469" xr:uid="{381D9FC7-E35A-47C8-B8E0-3E36C47CC31C}"/>
    <cellStyle name="Currency 5 2 2 2 3 8 3" xfId="19692" xr:uid="{1AC7714F-54D6-4EEF-8CBC-C84BC32C675D}"/>
    <cellStyle name="Currency 5 2 2 2 3 8 4" xfId="11251" xr:uid="{6828E938-0063-4C8B-9AE8-14446E9C959A}"/>
    <cellStyle name="Currency 5 2 2 2 3 9" xfId="4644" xr:uid="{00000000-0005-0000-0000-0000B10B0000}"/>
    <cellStyle name="Currency 5 2 2 2 3 9 2" xfId="21527" xr:uid="{43582A68-ACF2-4714-91B0-05E5DFD715AE}"/>
    <cellStyle name="Currency 5 2 2 2 3 9 3" xfId="13086" xr:uid="{8BE3C837-6451-4F90-8AE4-30D47D5F485E}"/>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24083" xr:uid="{5676CB75-9E72-46FE-96F2-150B256017E0}"/>
    <cellStyle name="Currency 5 2 2 2 4 2 2 3" xfId="15642" xr:uid="{391EF9E6-0986-4C0B-8F02-298497DF4774}"/>
    <cellStyle name="Currency 5 2 2 2 4 2 3" xfId="19865" xr:uid="{3A18D7DF-2D72-4F37-9CE0-5DD55DB9B00B}"/>
    <cellStyle name="Currency 5 2 2 2 4 2 4" xfId="11424" xr:uid="{999EA9FD-2A30-4155-BE01-65F740620328}"/>
    <cellStyle name="Currency 5 2 2 2 4 3" xfId="5055" xr:uid="{00000000-0005-0000-0000-0000B50B0000}"/>
    <cellStyle name="Currency 5 2 2 2 4 3 2" xfId="21938" xr:uid="{9A696BB4-16B6-4BF3-9150-49B8C7CC2D8F}"/>
    <cellStyle name="Currency 5 2 2 2 4 3 3" xfId="13497" xr:uid="{A09C4CE1-C35B-4AE8-8B13-EDB733F0A039}"/>
    <cellStyle name="Currency 5 2 2 2 4 4" xfId="17720" xr:uid="{56798F2C-3BA1-40D3-9AD8-8A3ACF5E055A}"/>
    <cellStyle name="Currency 5 2 2 2 4 5" xfId="9279" xr:uid="{23D4674D-27F8-48F2-84E5-04A4FE156692}"/>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24496" xr:uid="{33FAE246-8430-44E8-A6BF-CF636F46197F}"/>
    <cellStyle name="Currency 5 2 2 2 5 2 2 3" xfId="16055" xr:uid="{1F2775F4-B620-4024-85B2-A944FEA4D70C}"/>
    <cellStyle name="Currency 5 2 2 2 5 2 3" xfId="20278" xr:uid="{98C9A4F9-BE3B-4B3B-B065-ECE95CEC6BBD}"/>
    <cellStyle name="Currency 5 2 2 2 5 2 4" xfId="11837" xr:uid="{69510A0A-1EF6-4497-A6F2-7F18717D9F38}"/>
    <cellStyle name="Currency 5 2 2 2 5 3" xfId="5468" xr:uid="{00000000-0005-0000-0000-0000B90B0000}"/>
    <cellStyle name="Currency 5 2 2 2 5 3 2" xfId="22351" xr:uid="{4DE9BB01-17EC-438B-B945-5FE525DDA562}"/>
    <cellStyle name="Currency 5 2 2 2 5 3 3" xfId="13910" xr:uid="{3DC8F142-2160-47B2-AE60-19BEC3DFC797}"/>
    <cellStyle name="Currency 5 2 2 2 5 4" xfId="18133" xr:uid="{5B1FEE08-18EE-404E-825C-10658A76F18E}"/>
    <cellStyle name="Currency 5 2 2 2 5 5" xfId="9692" xr:uid="{F1AD7C89-1ED5-407C-9E0A-64EA82A16AFC}"/>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24909" xr:uid="{8D6D1072-673C-4C46-95EB-60C03CFCE5E0}"/>
    <cellStyle name="Currency 5 2 2 2 6 2 2 3" xfId="16468" xr:uid="{5265DF60-0E12-4BC6-8E1B-983F70476CD3}"/>
    <cellStyle name="Currency 5 2 2 2 6 2 3" xfId="20691" xr:uid="{2FAAB5AE-9811-4594-AE66-A1C4549BF55E}"/>
    <cellStyle name="Currency 5 2 2 2 6 2 4" xfId="12250" xr:uid="{3A9F6D30-E98D-4E80-B722-6EFBEE6943B4}"/>
    <cellStyle name="Currency 5 2 2 2 6 3" xfId="5881" xr:uid="{00000000-0005-0000-0000-0000BD0B0000}"/>
    <cellStyle name="Currency 5 2 2 2 6 3 2" xfId="22764" xr:uid="{26015E0B-E728-4F42-9C23-62DA011EC93A}"/>
    <cellStyle name="Currency 5 2 2 2 6 3 3" xfId="14323" xr:uid="{1AD57EB2-17D6-4B9A-BD5B-49F15D54D72F}"/>
    <cellStyle name="Currency 5 2 2 2 6 4" xfId="18546" xr:uid="{8620DAE8-647F-4A8C-A0E1-4E6E79F7EB6F}"/>
    <cellStyle name="Currency 5 2 2 2 6 5" xfId="10105" xr:uid="{81BC9F36-54D6-4DA5-95FA-BDFA76BF9423}"/>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25322" xr:uid="{E6D60273-DBD7-4CDF-AD3D-49D3C69154B9}"/>
    <cellStyle name="Currency 5 2 2 2 7 2 2 3" xfId="16881" xr:uid="{0FFB043B-A00A-4CAE-BF57-CEEC4AA62934}"/>
    <cellStyle name="Currency 5 2 2 2 7 2 3" xfId="21104" xr:uid="{726D3432-DAEB-4E67-870F-7BE0B4CC36B0}"/>
    <cellStyle name="Currency 5 2 2 2 7 2 4" xfId="12663" xr:uid="{04DBE74F-8FBA-44F8-97EC-FD65266CAD58}"/>
    <cellStyle name="Currency 5 2 2 2 7 3" xfId="6294" xr:uid="{00000000-0005-0000-0000-0000C10B0000}"/>
    <cellStyle name="Currency 5 2 2 2 7 3 2" xfId="23177" xr:uid="{38ED86DE-D4E1-4DF6-98A6-23CB44E92A64}"/>
    <cellStyle name="Currency 5 2 2 2 7 3 3" xfId="14736" xr:uid="{B071C05F-09E2-4308-AE3C-0C9614EEB060}"/>
    <cellStyle name="Currency 5 2 2 2 7 4" xfId="18959" xr:uid="{F2B26290-BC52-468B-9553-15252B35FA26}"/>
    <cellStyle name="Currency 5 2 2 2 7 5" xfId="10518" xr:uid="{FC0C4A0C-55C0-4E6D-9EF5-CFA5A088622C}"/>
    <cellStyle name="Currency 5 2 2 2 8" xfId="2422" xr:uid="{00000000-0005-0000-0000-0000C20B0000}"/>
    <cellStyle name="Currency 5 2 2 2 8 2" xfId="6707" xr:uid="{00000000-0005-0000-0000-0000C30B0000}"/>
    <cellStyle name="Currency 5 2 2 2 8 2 2" xfId="23590" xr:uid="{4CAEEED3-DBBC-4648-AAFB-4D4D99057501}"/>
    <cellStyle name="Currency 5 2 2 2 8 2 3" xfId="15149" xr:uid="{6FBD3801-A17D-49C2-8F56-72F346A49FD7}"/>
    <cellStyle name="Currency 5 2 2 2 8 3" xfId="19372" xr:uid="{21B96B0F-28FC-42A9-8328-2F27F09112C2}"/>
    <cellStyle name="Currency 5 2 2 2 8 4" xfId="10931" xr:uid="{4720DEA1-63C0-4B27-94D2-251579530D72}"/>
    <cellStyle name="Currency 5 2 2 2 9" xfId="2719" xr:uid="{00000000-0005-0000-0000-0000C40B0000}"/>
    <cellStyle name="Currency 5 2 2 3" xfId="200" xr:uid="{00000000-0005-0000-0000-0000C50B0000}"/>
    <cellStyle name="Currency 5 2 2 3 10" xfId="4645" xr:uid="{00000000-0005-0000-0000-0000C60B0000}"/>
    <cellStyle name="Currency 5 2 2 3 10 2" xfId="21528" xr:uid="{654D2739-FEAF-4230-8DC1-5D2E04DB6AE7}"/>
    <cellStyle name="Currency 5 2 2 3 10 3" xfId="13087" xr:uid="{3AE1D3B0-6013-48EE-90B0-2FAC9D6DDBDB}"/>
    <cellStyle name="Currency 5 2 2 3 11" xfId="17310" xr:uid="{7647056A-CCC4-4949-8090-2D39677DE85C}"/>
    <cellStyle name="Currency 5 2 2 3 12" xfId="8869" xr:uid="{C1DD3A73-DFC9-44F4-917C-7441B5F6347D}"/>
    <cellStyle name="Currency 5 2 2 3 2" xfId="201" xr:uid="{00000000-0005-0000-0000-0000C70B0000}"/>
    <cellStyle name="Currency 5 2 2 3 2 10" xfId="17311" xr:uid="{1A07BCB2-6818-4710-A3CC-CFADF67796E2}"/>
    <cellStyle name="Currency 5 2 2 3 2 11" xfId="8870" xr:uid="{5F8C6746-DC64-4C97-9ED5-384AF98036AD}"/>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24088" xr:uid="{E94392FE-2997-46F6-9582-E80080817900}"/>
    <cellStyle name="Currency 5 2 2 3 2 2 2 2 3" xfId="15647" xr:uid="{10DC23D8-42F3-4F29-BAAD-7A951701D00C}"/>
    <cellStyle name="Currency 5 2 2 3 2 2 2 3" xfId="19870" xr:uid="{00CF8BD8-2BD7-4664-B4F9-683684C56B27}"/>
    <cellStyle name="Currency 5 2 2 3 2 2 2 4" xfId="11429" xr:uid="{66964CC7-CEE0-40C5-8E04-B715C86F7BE7}"/>
    <cellStyle name="Currency 5 2 2 3 2 2 3" xfId="5060" xr:uid="{00000000-0005-0000-0000-0000CB0B0000}"/>
    <cellStyle name="Currency 5 2 2 3 2 2 3 2" xfId="21943" xr:uid="{1AF9FA5B-C0CD-4902-BB81-1010C6298B7B}"/>
    <cellStyle name="Currency 5 2 2 3 2 2 3 3" xfId="13502" xr:uid="{207A315B-9227-460D-A541-7D080C3B5FD2}"/>
    <cellStyle name="Currency 5 2 2 3 2 2 4" xfId="17725" xr:uid="{969E83C9-D765-4B16-A14A-5A75428CFCA8}"/>
    <cellStyle name="Currency 5 2 2 3 2 2 5" xfId="9284" xr:uid="{C49868DB-CC12-4650-B237-0963A17523D4}"/>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24501" xr:uid="{C40C2E3E-9132-42FC-A1A5-2F794A15C249}"/>
    <cellStyle name="Currency 5 2 2 3 2 3 2 2 3" xfId="16060" xr:uid="{3D788056-4673-44A5-AAF6-F126F9603101}"/>
    <cellStyle name="Currency 5 2 2 3 2 3 2 3" xfId="20283" xr:uid="{8DA07DD7-1130-4E9B-94BC-3026B37CDD61}"/>
    <cellStyle name="Currency 5 2 2 3 2 3 2 4" xfId="11842" xr:uid="{B97A1BEB-2C2B-4961-A6D2-01C22FEB7505}"/>
    <cellStyle name="Currency 5 2 2 3 2 3 3" xfId="5473" xr:uid="{00000000-0005-0000-0000-0000CF0B0000}"/>
    <cellStyle name="Currency 5 2 2 3 2 3 3 2" xfId="22356" xr:uid="{CFD96CAC-C156-4EDF-9E7D-663C0DF08E26}"/>
    <cellStyle name="Currency 5 2 2 3 2 3 3 3" xfId="13915" xr:uid="{3C285F8D-D6E9-4DE7-BCC3-29BA2FCB459F}"/>
    <cellStyle name="Currency 5 2 2 3 2 3 4" xfId="18138" xr:uid="{56C1E5F9-BC7F-4E4D-A750-35FEB6D05D28}"/>
    <cellStyle name="Currency 5 2 2 3 2 3 5" xfId="9697" xr:uid="{AE0636DE-DF35-48BC-830B-83D048EC0327}"/>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24914" xr:uid="{A4DD6F83-CAEE-4A71-A10D-9A755E995182}"/>
    <cellStyle name="Currency 5 2 2 3 2 4 2 2 3" xfId="16473" xr:uid="{474FCF26-8EBC-453F-895D-06C9376CF2D8}"/>
    <cellStyle name="Currency 5 2 2 3 2 4 2 3" xfId="20696" xr:uid="{D205D9EB-CB50-43CA-AD47-E123247DA673}"/>
    <cellStyle name="Currency 5 2 2 3 2 4 2 4" xfId="12255" xr:uid="{78E1C94A-2BCA-4146-8279-D2E4BCE86570}"/>
    <cellStyle name="Currency 5 2 2 3 2 4 3" xfId="5886" xr:uid="{00000000-0005-0000-0000-0000D30B0000}"/>
    <cellStyle name="Currency 5 2 2 3 2 4 3 2" xfId="22769" xr:uid="{48C4EE62-0270-4361-90EE-B17A9F9FD76D}"/>
    <cellStyle name="Currency 5 2 2 3 2 4 3 3" xfId="14328" xr:uid="{056ADED8-DF02-44E0-996D-429BE9D9B3EC}"/>
    <cellStyle name="Currency 5 2 2 3 2 4 4" xfId="18551" xr:uid="{006B1790-0792-4111-B623-73DD05AEC1F3}"/>
    <cellStyle name="Currency 5 2 2 3 2 4 5" xfId="10110" xr:uid="{67B10BAC-DCB0-45C2-8CCE-8227D1442F57}"/>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25327" xr:uid="{0D91A69E-F5B1-4145-B72D-AAC74A16A0CA}"/>
    <cellStyle name="Currency 5 2 2 3 2 5 2 2 3" xfId="16886" xr:uid="{B9342240-9373-4191-ABB6-18FAB44ED8BA}"/>
    <cellStyle name="Currency 5 2 2 3 2 5 2 3" xfId="21109" xr:uid="{C635384C-2690-4279-9B5D-516F36772397}"/>
    <cellStyle name="Currency 5 2 2 3 2 5 2 4" xfId="12668" xr:uid="{7E2E3A3E-9C50-46C9-B87B-E82C713E2D2B}"/>
    <cellStyle name="Currency 5 2 2 3 2 5 3" xfId="6299" xr:uid="{00000000-0005-0000-0000-0000D70B0000}"/>
    <cellStyle name="Currency 5 2 2 3 2 5 3 2" xfId="23182" xr:uid="{3F02970A-850C-4334-859B-49FADD6DD87E}"/>
    <cellStyle name="Currency 5 2 2 3 2 5 3 3" xfId="14741" xr:uid="{D04CE98B-4E96-46D5-B1FC-5E97BCAEACB9}"/>
    <cellStyle name="Currency 5 2 2 3 2 5 4" xfId="18964" xr:uid="{857649C7-808D-4F2E-902C-2104B55D9371}"/>
    <cellStyle name="Currency 5 2 2 3 2 5 5" xfId="10523" xr:uid="{E44B544A-AB95-4F7F-BA4C-96DD2C72F122}"/>
    <cellStyle name="Currency 5 2 2 3 2 6" xfId="2427" xr:uid="{00000000-0005-0000-0000-0000D80B0000}"/>
    <cellStyle name="Currency 5 2 2 3 2 6 2" xfId="6712" xr:uid="{00000000-0005-0000-0000-0000D90B0000}"/>
    <cellStyle name="Currency 5 2 2 3 2 6 2 2" xfId="23595" xr:uid="{ECCA1AC2-68C6-422C-A8EC-FE3F860F59DA}"/>
    <cellStyle name="Currency 5 2 2 3 2 6 2 3" xfId="15154" xr:uid="{51D5190A-D29C-42CB-BECD-B6AB2C8547C9}"/>
    <cellStyle name="Currency 5 2 2 3 2 6 3" xfId="19377" xr:uid="{4EF5F5FA-F631-4450-A8DA-5A4DBBD081A0}"/>
    <cellStyle name="Currency 5 2 2 3 2 6 4" xfId="10936" xr:uid="{A13D2478-0C7D-42E2-A731-A450A6A5E497}"/>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23912" xr:uid="{3F8B2847-0813-4F20-BB2D-E2B6391757EE}"/>
    <cellStyle name="Currency 5 2 2 3 2 8 2 3" xfId="15471" xr:uid="{3FFDBC91-6435-4E30-B65C-C040746A930F}"/>
    <cellStyle name="Currency 5 2 2 3 2 8 3" xfId="19694" xr:uid="{10670F37-FC49-4D4B-9AEB-DC95C9B973A7}"/>
    <cellStyle name="Currency 5 2 2 3 2 8 4" xfId="11253" xr:uid="{56E9108F-6441-4894-B200-8FBBE4DB441F}"/>
    <cellStyle name="Currency 5 2 2 3 2 9" xfId="4646" xr:uid="{00000000-0005-0000-0000-0000DD0B0000}"/>
    <cellStyle name="Currency 5 2 2 3 2 9 2" xfId="21529" xr:uid="{2A26587F-D27D-4A91-8A26-B9E6D2618447}"/>
    <cellStyle name="Currency 5 2 2 3 2 9 3" xfId="13088" xr:uid="{E8253F80-2A3F-4AD0-81F5-70E7E5C925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24087" xr:uid="{AF5A0853-0579-4820-BCED-77C45A0B67D5}"/>
    <cellStyle name="Currency 5 2 2 3 3 2 2 3" xfId="15646" xr:uid="{9DDF17A1-7344-4AB4-B610-D930C57C49FA}"/>
    <cellStyle name="Currency 5 2 2 3 3 2 3" xfId="19869" xr:uid="{07DF1E81-DAA9-448F-8EE4-281FEFB4A313}"/>
    <cellStyle name="Currency 5 2 2 3 3 2 4" xfId="11428" xr:uid="{80F30B1F-8317-4935-9D66-D7517FEDAC03}"/>
    <cellStyle name="Currency 5 2 2 3 3 3" xfId="5059" xr:uid="{00000000-0005-0000-0000-0000E10B0000}"/>
    <cellStyle name="Currency 5 2 2 3 3 3 2" xfId="21942" xr:uid="{8344A8B6-C06A-4E6C-809F-996A984D1C93}"/>
    <cellStyle name="Currency 5 2 2 3 3 3 3" xfId="13501" xr:uid="{8E11E6C6-779F-4F58-89AC-6BC08DB4C139}"/>
    <cellStyle name="Currency 5 2 2 3 3 4" xfId="17724" xr:uid="{1E24DA40-B140-45B7-862D-56486D00834C}"/>
    <cellStyle name="Currency 5 2 2 3 3 5" xfId="9283" xr:uid="{43E01024-574C-4C32-A2CD-76D2C853591F}"/>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24500" xr:uid="{02532E82-A8F1-4AD9-939B-DC1B917AA6D6}"/>
    <cellStyle name="Currency 5 2 2 3 4 2 2 3" xfId="16059" xr:uid="{99C2C43A-7A5F-4BF7-B442-CE3C7D044F7F}"/>
    <cellStyle name="Currency 5 2 2 3 4 2 3" xfId="20282" xr:uid="{E4AA9EB5-4905-49AC-B412-B1E540F136C5}"/>
    <cellStyle name="Currency 5 2 2 3 4 2 4" xfId="11841" xr:uid="{36A38ACD-6197-4A94-988D-5891D4B402BF}"/>
    <cellStyle name="Currency 5 2 2 3 4 3" xfId="5472" xr:uid="{00000000-0005-0000-0000-0000E50B0000}"/>
    <cellStyle name="Currency 5 2 2 3 4 3 2" xfId="22355" xr:uid="{FEF170B9-F2F1-4DCA-A8FD-4D443D0D6696}"/>
    <cellStyle name="Currency 5 2 2 3 4 3 3" xfId="13914" xr:uid="{5BEA4A7F-4A06-4275-805F-0669ADA714E7}"/>
    <cellStyle name="Currency 5 2 2 3 4 4" xfId="18137" xr:uid="{D655FB18-9918-433A-AA16-A5E48042873E}"/>
    <cellStyle name="Currency 5 2 2 3 4 5" xfId="9696" xr:uid="{E78D8161-2473-4ACF-8EC6-D700219A44CD}"/>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24913" xr:uid="{A30D8F6C-D3FF-46E9-A09D-FD11F8F5C03C}"/>
    <cellStyle name="Currency 5 2 2 3 5 2 2 3" xfId="16472" xr:uid="{B8401FE9-330B-4D06-ABCF-EE50B1B26110}"/>
    <cellStyle name="Currency 5 2 2 3 5 2 3" xfId="20695" xr:uid="{A2BF998C-8C7F-4EEF-8930-62FB1EB50FC7}"/>
    <cellStyle name="Currency 5 2 2 3 5 2 4" xfId="12254" xr:uid="{9E8DECA6-C9BF-4726-A990-EA057061A304}"/>
    <cellStyle name="Currency 5 2 2 3 5 3" xfId="5885" xr:uid="{00000000-0005-0000-0000-0000E90B0000}"/>
    <cellStyle name="Currency 5 2 2 3 5 3 2" xfId="22768" xr:uid="{0F1CF032-2FDC-4477-A5AE-E2DF378406B3}"/>
    <cellStyle name="Currency 5 2 2 3 5 3 3" xfId="14327" xr:uid="{51F3DEF8-9508-4559-A2B9-A253B6CD894B}"/>
    <cellStyle name="Currency 5 2 2 3 5 4" xfId="18550" xr:uid="{1211B29C-A547-4080-B855-FFC6723225E1}"/>
    <cellStyle name="Currency 5 2 2 3 5 5" xfId="10109" xr:uid="{33DFB8E2-AC92-48E0-B0C5-ACC45681D7FB}"/>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25326" xr:uid="{C9D973CA-4F8D-4AA4-8B53-9C6A4C6DE178}"/>
    <cellStyle name="Currency 5 2 2 3 6 2 2 3" xfId="16885" xr:uid="{515AC793-75A8-4EB5-8245-3D97E49DC95B}"/>
    <cellStyle name="Currency 5 2 2 3 6 2 3" xfId="21108" xr:uid="{4322AD1B-082A-43C8-9CBA-6BE94358BBBE}"/>
    <cellStyle name="Currency 5 2 2 3 6 2 4" xfId="12667" xr:uid="{88E646D9-F0F7-4ABD-B242-A86540B9B1A9}"/>
    <cellStyle name="Currency 5 2 2 3 6 3" xfId="6298" xr:uid="{00000000-0005-0000-0000-0000ED0B0000}"/>
    <cellStyle name="Currency 5 2 2 3 6 3 2" xfId="23181" xr:uid="{6E023D5F-544C-4905-AF9A-17E6B1976FD7}"/>
    <cellStyle name="Currency 5 2 2 3 6 3 3" xfId="14740" xr:uid="{C4754A0F-1E48-4268-8A36-323097F1DDB2}"/>
    <cellStyle name="Currency 5 2 2 3 6 4" xfId="18963" xr:uid="{A7FE3596-A136-4F7C-9B86-CBE85A2D0CA0}"/>
    <cellStyle name="Currency 5 2 2 3 6 5" xfId="10522" xr:uid="{8C41EBAC-8830-4C19-BBB5-878713640D08}"/>
    <cellStyle name="Currency 5 2 2 3 7" xfId="2426" xr:uid="{00000000-0005-0000-0000-0000EE0B0000}"/>
    <cellStyle name="Currency 5 2 2 3 7 2" xfId="6711" xr:uid="{00000000-0005-0000-0000-0000EF0B0000}"/>
    <cellStyle name="Currency 5 2 2 3 7 2 2" xfId="23594" xr:uid="{F4785B33-1538-401C-9E51-18992C870949}"/>
    <cellStyle name="Currency 5 2 2 3 7 2 3" xfId="15153" xr:uid="{FC353391-039E-49B9-840C-E620B36083A2}"/>
    <cellStyle name="Currency 5 2 2 3 7 3" xfId="19376" xr:uid="{046E1580-4ED1-4A74-B0A7-C7A9D412CAA2}"/>
    <cellStyle name="Currency 5 2 2 3 7 4" xfId="10935" xr:uid="{0F1F75C5-3B17-493F-961B-C88105FF6D54}"/>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23911" xr:uid="{A5C3DA2B-ACCE-4668-AF86-5517AD4BCC26}"/>
    <cellStyle name="Currency 5 2 2 3 9 2 3" xfId="15470" xr:uid="{0CB06675-775B-44C3-BAC1-4F0B469BA0CC}"/>
    <cellStyle name="Currency 5 2 2 3 9 3" xfId="19693" xr:uid="{0365E860-4511-4138-B930-613CB31FDE5D}"/>
    <cellStyle name="Currency 5 2 2 3 9 4" xfId="11252" xr:uid="{9228A44B-5E18-4DF6-81BD-C6501A229B12}"/>
    <cellStyle name="Currency 5 2 2 4" xfId="202" xr:uid="{00000000-0005-0000-0000-0000F30B0000}"/>
    <cellStyle name="Currency 5 2 2 4 10" xfId="17312" xr:uid="{EDC9BCBF-208D-4414-B5BE-B5CEC67F04C7}"/>
    <cellStyle name="Currency 5 2 2 4 11" xfId="8871" xr:uid="{8785A578-F3D4-41B5-B991-E8D9B18E87B7}"/>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24089" xr:uid="{3F1CBBAF-FF05-4483-91F8-5488433DAF69}"/>
    <cellStyle name="Currency 5 2 2 4 2 2 2 3" xfId="15648" xr:uid="{D2430F01-0C9A-4EA2-B034-6EEF541BD87F}"/>
    <cellStyle name="Currency 5 2 2 4 2 2 3" xfId="19871" xr:uid="{DFDAB9AA-0867-4707-95EA-67AF0A23E123}"/>
    <cellStyle name="Currency 5 2 2 4 2 2 4" xfId="11430" xr:uid="{C55BDF40-3FF9-4A51-84BE-7C02922A0D69}"/>
    <cellStyle name="Currency 5 2 2 4 2 3" xfId="5061" xr:uid="{00000000-0005-0000-0000-0000F70B0000}"/>
    <cellStyle name="Currency 5 2 2 4 2 3 2" xfId="21944" xr:uid="{C38727F6-1A5D-4FA1-BCC2-EDF202359FD4}"/>
    <cellStyle name="Currency 5 2 2 4 2 3 3" xfId="13503" xr:uid="{5038408A-180C-490E-90EA-17D3EE941098}"/>
    <cellStyle name="Currency 5 2 2 4 2 4" xfId="17726" xr:uid="{D488F66D-B6D4-40FF-AC51-5F10E1D33E01}"/>
    <cellStyle name="Currency 5 2 2 4 2 5" xfId="9285" xr:uid="{8D94ABDF-E5E2-49D8-A94C-ABDD387095AF}"/>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24502" xr:uid="{71EF01DD-7FCE-4711-AA95-AB38614107DC}"/>
    <cellStyle name="Currency 5 2 2 4 3 2 2 3" xfId="16061" xr:uid="{FD873F55-72A0-4845-AE62-3BA5EBC81F1C}"/>
    <cellStyle name="Currency 5 2 2 4 3 2 3" xfId="20284" xr:uid="{2D6665B0-D571-477F-8808-65591F360EB9}"/>
    <cellStyle name="Currency 5 2 2 4 3 2 4" xfId="11843" xr:uid="{D367EAD6-3135-49F9-A1E7-ACAB45CDE583}"/>
    <cellStyle name="Currency 5 2 2 4 3 3" xfId="5474" xr:uid="{00000000-0005-0000-0000-0000FB0B0000}"/>
    <cellStyle name="Currency 5 2 2 4 3 3 2" xfId="22357" xr:uid="{F2BA8866-E58D-4719-B8F8-D71BC221B918}"/>
    <cellStyle name="Currency 5 2 2 4 3 3 3" xfId="13916" xr:uid="{2F508D08-2C18-4D06-8D09-CB07D4AD0DA4}"/>
    <cellStyle name="Currency 5 2 2 4 3 4" xfId="18139" xr:uid="{70FD4A75-B52D-4330-9E82-48AFA002D14F}"/>
    <cellStyle name="Currency 5 2 2 4 3 5" xfId="9698" xr:uid="{FFEFEB6F-6F4B-4D27-B2D7-16B603D5D744}"/>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24915" xr:uid="{6361CA37-E409-4A2A-8EC2-E0E7B8D4C3F6}"/>
    <cellStyle name="Currency 5 2 2 4 4 2 2 3" xfId="16474" xr:uid="{F854D83F-1D05-4880-B020-80D19509F678}"/>
    <cellStyle name="Currency 5 2 2 4 4 2 3" xfId="20697" xr:uid="{F0652514-CD3C-47AC-9C9A-2411F3FA1236}"/>
    <cellStyle name="Currency 5 2 2 4 4 2 4" xfId="12256" xr:uid="{57C2A38B-6DB5-41F2-8E9C-E1F98EEBC205}"/>
    <cellStyle name="Currency 5 2 2 4 4 3" xfId="5887" xr:uid="{00000000-0005-0000-0000-0000FF0B0000}"/>
    <cellStyle name="Currency 5 2 2 4 4 3 2" xfId="22770" xr:uid="{622031C1-D80D-46E6-B5D9-418E704AB927}"/>
    <cellStyle name="Currency 5 2 2 4 4 3 3" xfId="14329" xr:uid="{53AE8E69-92E0-48A5-816F-10A92AD29C2F}"/>
    <cellStyle name="Currency 5 2 2 4 4 4" xfId="18552" xr:uid="{2A053960-0C26-4987-8DA1-E8E087F13AD3}"/>
    <cellStyle name="Currency 5 2 2 4 4 5" xfId="10111" xr:uid="{ABFC7120-2E57-47B2-831B-6A463143030A}"/>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25328" xr:uid="{58CF9B9C-FC95-40CA-9EE0-95F88EDF7731}"/>
    <cellStyle name="Currency 5 2 2 4 5 2 2 3" xfId="16887" xr:uid="{712B8ECE-A38D-4535-99C3-B9B347257FC7}"/>
    <cellStyle name="Currency 5 2 2 4 5 2 3" xfId="21110" xr:uid="{8BD9DAB1-25C1-44CE-9E53-4D13B059F4E6}"/>
    <cellStyle name="Currency 5 2 2 4 5 2 4" xfId="12669" xr:uid="{08F3A745-69AF-4BE4-98C8-FAAADD89F595}"/>
    <cellStyle name="Currency 5 2 2 4 5 3" xfId="6300" xr:uid="{00000000-0005-0000-0000-0000030C0000}"/>
    <cellStyle name="Currency 5 2 2 4 5 3 2" xfId="23183" xr:uid="{220F999D-C516-4F91-BC53-38528A452869}"/>
    <cellStyle name="Currency 5 2 2 4 5 3 3" xfId="14742" xr:uid="{B349EE67-C99E-4466-9584-F1F4E66079A9}"/>
    <cellStyle name="Currency 5 2 2 4 5 4" xfId="18965" xr:uid="{655AE1BC-CADE-4773-A3E9-18473B430C2D}"/>
    <cellStyle name="Currency 5 2 2 4 5 5" xfId="10524" xr:uid="{F8E87E7B-B189-4275-9D4D-731066458A28}"/>
    <cellStyle name="Currency 5 2 2 4 6" xfId="2428" xr:uid="{00000000-0005-0000-0000-0000040C0000}"/>
    <cellStyle name="Currency 5 2 2 4 6 2" xfId="6713" xr:uid="{00000000-0005-0000-0000-0000050C0000}"/>
    <cellStyle name="Currency 5 2 2 4 6 2 2" xfId="23596" xr:uid="{1CD85206-3809-4445-A646-5C5E87F71F75}"/>
    <cellStyle name="Currency 5 2 2 4 6 2 3" xfId="15155" xr:uid="{84F1F5D5-1B5E-4918-884A-A56EE1B88BC0}"/>
    <cellStyle name="Currency 5 2 2 4 6 3" xfId="19378" xr:uid="{1CF09A2E-2034-4420-AEFB-C39F239101F5}"/>
    <cellStyle name="Currency 5 2 2 4 6 4" xfId="10937" xr:uid="{433123F7-9871-4986-8B07-EB8C155DC7EA}"/>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23913" xr:uid="{FD74F951-61EC-424B-993A-8A39E5D81B51}"/>
    <cellStyle name="Currency 5 2 2 4 8 2 3" xfId="15472" xr:uid="{E6BD9D72-D168-4C9F-8533-63151D212900}"/>
    <cellStyle name="Currency 5 2 2 4 8 3" xfId="19695" xr:uid="{BF84212A-8C13-4BAD-A38F-915F770207E0}"/>
    <cellStyle name="Currency 5 2 2 4 8 4" xfId="11254" xr:uid="{96F9CADE-C639-49E3-B86D-E885D39CE3F0}"/>
    <cellStyle name="Currency 5 2 2 4 9" xfId="4647" xr:uid="{00000000-0005-0000-0000-0000090C0000}"/>
    <cellStyle name="Currency 5 2 2 4 9 2" xfId="21530" xr:uid="{9E671896-2231-47ED-852C-C3CFF7677915}"/>
    <cellStyle name="Currency 5 2 2 4 9 3" xfId="13089" xr:uid="{21766006-A601-42C3-A579-93CCB63286CA}"/>
    <cellStyle name="Currency 5 2 2 5" xfId="203" xr:uid="{00000000-0005-0000-0000-00000A0C0000}"/>
    <cellStyle name="Currency 5 2 2 5 10" xfId="17313" xr:uid="{EFC383F3-3C76-4C12-8E6D-CA9E89417B8B}"/>
    <cellStyle name="Currency 5 2 2 5 11" xfId="8872" xr:uid="{B1EE678D-2F3D-477B-996D-EBDB915CB4AF}"/>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24090" xr:uid="{71A04DD7-CF6C-47CD-8E19-2F01E97804F7}"/>
    <cellStyle name="Currency 5 2 2 5 2 2 2 3" xfId="15649" xr:uid="{A815042B-A351-47B1-ABE5-660D5CF938C8}"/>
    <cellStyle name="Currency 5 2 2 5 2 2 3" xfId="19872" xr:uid="{F5ACA7BC-B24A-43B7-AF4E-B610B3A9446A}"/>
    <cellStyle name="Currency 5 2 2 5 2 2 4" xfId="11431" xr:uid="{9A0DEDF0-47FE-47F5-8231-04E87BF7ACEE}"/>
    <cellStyle name="Currency 5 2 2 5 2 3" xfId="5062" xr:uid="{00000000-0005-0000-0000-00000E0C0000}"/>
    <cellStyle name="Currency 5 2 2 5 2 3 2" xfId="21945" xr:uid="{F3B83D19-9ACD-4B55-85CF-34DC04210F10}"/>
    <cellStyle name="Currency 5 2 2 5 2 3 3" xfId="13504" xr:uid="{134F86CA-F23C-4A7B-A770-167B6A9A4DA9}"/>
    <cellStyle name="Currency 5 2 2 5 2 4" xfId="17727" xr:uid="{621661A2-D201-4BB7-A05B-A8DC09EA5245}"/>
    <cellStyle name="Currency 5 2 2 5 2 5" xfId="9286" xr:uid="{06E0AE0B-6C56-45B8-9415-960825788CDA}"/>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24503" xr:uid="{5A9DFB6C-3516-4724-97EC-10BD7683F334}"/>
    <cellStyle name="Currency 5 2 2 5 3 2 2 3" xfId="16062" xr:uid="{4D5BDA8E-AB9D-4D68-B78A-CB8B754258A0}"/>
    <cellStyle name="Currency 5 2 2 5 3 2 3" xfId="20285" xr:uid="{ADB2ABD9-C9A2-4706-BA99-2BE8694B2DE6}"/>
    <cellStyle name="Currency 5 2 2 5 3 2 4" xfId="11844" xr:uid="{A10DBC25-38D9-4CF8-9F93-0DAA10099143}"/>
    <cellStyle name="Currency 5 2 2 5 3 3" xfId="5475" xr:uid="{00000000-0005-0000-0000-0000120C0000}"/>
    <cellStyle name="Currency 5 2 2 5 3 3 2" xfId="22358" xr:uid="{BC45E4FF-F830-4404-8B4E-4F66375082EB}"/>
    <cellStyle name="Currency 5 2 2 5 3 3 3" xfId="13917" xr:uid="{558F0B74-09D5-4283-B7D1-2A62BCE24F6B}"/>
    <cellStyle name="Currency 5 2 2 5 3 4" xfId="18140" xr:uid="{4D138EF0-5F99-42AE-BE88-AC816D3926A6}"/>
    <cellStyle name="Currency 5 2 2 5 3 5" xfId="9699" xr:uid="{F3F2A410-253A-4021-9686-02AD91962665}"/>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24916" xr:uid="{53420077-D2B0-4533-86D0-F8029AF60459}"/>
    <cellStyle name="Currency 5 2 2 5 4 2 2 3" xfId="16475" xr:uid="{BAFE31A7-26F7-45EB-8874-820737C3561E}"/>
    <cellStyle name="Currency 5 2 2 5 4 2 3" xfId="20698" xr:uid="{B11B1D79-58DE-4880-A7A0-30310572B50F}"/>
    <cellStyle name="Currency 5 2 2 5 4 2 4" xfId="12257" xr:uid="{685DD8ED-974C-426E-AB0D-2FCAB77832C6}"/>
    <cellStyle name="Currency 5 2 2 5 4 3" xfId="5888" xr:uid="{00000000-0005-0000-0000-0000160C0000}"/>
    <cellStyle name="Currency 5 2 2 5 4 3 2" xfId="22771" xr:uid="{D609675F-C976-43E1-8EBE-F6DEFD902AA2}"/>
    <cellStyle name="Currency 5 2 2 5 4 3 3" xfId="14330" xr:uid="{DC362DED-6DE5-4B38-9D3A-7C1CE2EA842D}"/>
    <cellStyle name="Currency 5 2 2 5 4 4" xfId="18553" xr:uid="{A9B5DCEE-AA0B-4611-AE1E-71AAAA8CB0D1}"/>
    <cellStyle name="Currency 5 2 2 5 4 5" xfId="10112" xr:uid="{EC628D42-871C-4251-B1E4-8E82F4ABFF69}"/>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25329" xr:uid="{630FE6CB-0521-42AA-AC7A-676E3A2A0129}"/>
    <cellStyle name="Currency 5 2 2 5 5 2 2 3" xfId="16888" xr:uid="{EC86FBAF-26E0-4BAF-B8FF-348F2C81C640}"/>
    <cellStyle name="Currency 5 2 2 5 5 2 3" xfId="21111" xr:uid="{1B40D10A-C51C-499D-B893-32AD5A1CAE81}"/>
    <cellStyle name="Currency 5 2 2 5 5 2 4" xfId="12670" xr:uid="{FA9D6A35-B182-4554-B09C-EA97E0A94089}"/>
    <cellStyle name="Currency 5 2 2 5 5 3" xfId="6301" xr:uid="{00000000-0005-0000-0000-00001A0C0000}"/>
    <cellStyle name="Currency 5 2 2 5 5 3 2" xfId="23184" xr:uid="{127C481E-E2ED-4253-8946-527D67D64DDE}"/>
    <cellStyle name="Currency 5 2 2 5 5 3 3" xfId="14743" xr:uid="{A702FD79-D393-4847-85EB-537F697718CC}"/>
    <cellStyle name="Currency 5 2 2 5 5 4" xfId="18966" xr:uid="{42F94BDD-36FE-4359-816B-B4F9F0488950}"/>
    <cellStyle name="Currency 5 2 2 5 5 5" xfId="10525" xr:uid="{6E715F77-8B1C-4611-9DC6-1B29B34EADF0}"/>
    <cellStyle name="Currency 5 2 2 5 6" xfId="2429" xr:uid="{00000000-0005-0000-0000-00001B0C0000}"/>
    <cellStyle name="Currency 5 2 2 5 6 2" xfId="6714" xr:uid="{00000000-0005-0000-0000-00001C0C0000}"/>
    <cellStyle name="Currency 5 2 2 5 6 2 2" xfId="23597" xr:uid="{A26E7528-FDD6-4A10-BF1B-F8F547AFF856}"/>
    <cellStyle name="Currency 5 2 2 5 6 2 3" xfId="15156" xr:uid="{325937A0-9A18-4E14-AF47-22BEFBB9BA9E}"/>
    <cellStyle name="Currency 5 2 2 5 6 3" xfId="19379" xr:uid="{E6FD1ECA-A5F6-4B2A-AC71-84CA5113B6D3}"/>
    <cellStyle name="Currency 5 2 2 5 6 4" xfId="10938" xr:uid="{EBD5BBF1-8DD1-4E61-8821-43B166A52A2C}"/>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23914" xr:uid="{0F38188A-910D-4949-993A-D6EC1DFD0C33}"/>
    <cellStyle name="Currency 5 2 2 5 8 2 3" xfId="15473" xr:uid="{B94DD0EE-ADC0-40A4-9D99-B34B621317D9}"/>
    <cellStyle name="Currency 5 2 2 5 8 3" xfId="19696" xr:uid="{F68429A8-4BBF-4F0E-9CFD-A6C253D04D76}"/>
    <cellStyle name="Currency 5 2 2 5 8 4" xfId="11255" xr:uid="{E69BE010-D2BA-49A1-8862-890CB295BE6C}"/>
    <cellStyle name="Currency 5 2 2 5 9" xfId="4648" xr:uid="{00000000-0005-0000-0000-0000200C0000}"/>
    <cellStyle name="Currency 5 2 2 5 9 2" xfId="21531" xr:uid="{6EED490E-05E0-4D40-A14E-50637DFB312F}"/>
    <cellStyle name="Currency 5 2 2 5 9 3" xfId="13090" xr:uid="{9BD21782-CE9C-4474-82A0-2BFC5C67AB12}"/>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21532" xr:uid="{9DC1FA30-9B03-41A7-B54A-80633595BD14}"/>
    <cellStyle name="Currency 5 2 4 10 3" xfId="13091" xr:uid="{E6C67658-FD31-4E27-9804-B82AF974CD3E}"/>
    <cellStyle name="Currency 5 2 4 11" xfId="17314" xr:uid="{F7E00749-2DC1-47CA-B633-BC5064DA9A4E}"/>
    <cellStyle name="Currency 5 2 4 12" xfId="8873" xr:uid="{E2F16958-63F8-4731-914D-2787D78D5DC6}"/>
    <cellStyle name="Currency 5 2 4 2" xfId="206" xr:uid="{00000000-0005-0000-0000-0000250C0000}"/>
    <cellStyle name="Currency 5 2 4 2 10" xfId="17315" xr:uid="{5A141075-4B9C-4623-B8E5-FBF1437C3F80}"/>
    <cellStyle name="Currency 5 2 4 2 11" xfId="8874" xr:uid="{BC7E6485-6962-4D4A-BD87-78F2E8214683}"/>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24092" xr:uid="{0738D604-B271-4F4C-93D0-9E53DF3D5DA7}"/>
    <cellStyle name="Currency 5 2 4 2 2 2 2 3" xfId="15651" xr:uid="{63B3DD9F-F7FB-4DB3-889C-CE1A879FCC7D}"/>
    <cellStyle name="Currency 5 2 4 2 2 2 3" xfId="19874" xr:uid="{6F6F0427-5E57-480B-AD19-1E9788EFB3E5}"/>
    <cellStyle name="Currency 5 2 4 2 2 2 4" xfId="11433" xr:uid="{0D82CFA6-39FE-431B-A83C-104E9700494D}"/>
    <cellStyle name="Currency 5 2 4 2 2 3" xfId="5064" xr:uid="{00000000-0005-0000-0000-0000290C0000}"/>
    <cellStyle name="Currency 5 2 4 2 2 3 2" xfId="21947" xr:uid="{B54451F0-D7B1-484F-A626-160A333279AE}"/>
    <cellStyle name="Currency 5 2 4 2 2 3 3" xfId="13506" xr:uid="{5E7301FE-46E4-458E-A1A5-F82ADC0975DC}"/>
    <cellStyle name="Currency 5 2 4 2 2 4" xfId="17729" xr:uid="{CC1990E9-E700-4F40-9103-A53D6BC24F2F}"/>
    <cellStyle name="Currency 5 2 4 2 2 5" xfId="9288" xr:uid="{2B4EF1F8-C539-4B12-A5F9-393EB97C8737}"/>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24505" xr:uid="{2F6AE09F-4AEB-447D-80B3-A9E766F69EDA}"/>
    <cellStyle name="Currency 5 2 4 2 3 2 2 3" xfId="16064" xr:uid="{9BEC8767-6002-4E60-9C74-ADF80A6FE7CA}"/>
    <cellStyle name="Currency 5 2 4 2 3 2 3" xfId="20287" xr:uid="{DDCB215B-ABF9-4B2A-A69F-673EA8C65F59}"/>
    <cellStyle name="Currency 5 2 4 2 3 2 4" xfId="11846" xr:uid="{0AAAA890-1D26-49CF-8B5B-648360235866}"/>
    <cellStyle name="Currency 5 2 4 2 3 3" xfId="5477" xr:uid="{00000000-0005-0000-0000-00002D0C0000}"/>
    <cellStyle name="Currency 5 2 4 2 3 3 2" xfId="22360" xr:uid="{FC6EECB2-3FF2-4C79-BB3F-29A55A6F3FB8}"/>
    <cellStyle name="Currency 5 2 4 2 3 3 3" xfId="13919" xr:uid="{192B4292-D573-48A7-A316-67FB940FB818}"/>
    <cellStyle name="Currency 5 2 4 2 3 4" xfId="18142" xr:uid="{A2BF0B4A-D948-44F1-9CB2-EEB668FCA7B7}"/>
    <cellStyle name="Currency 5 2 4 2 3 5" xfId="9701" xr:uid="{257681D6-0F05-449E-8A29-92043F038823}"/>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24918" xr:uid="{DE68DF26-B892-4058-8C6B-2864734B38CF}"/>
    <cellStyle name="Currency 5 2 4 2 4 2 2 3" xfId="16477" xr:uid="{F8A621F2-92DD-4F92-BB26-198E8A36462F}"/>
    <cellStyle name="Currency 5 2 4 2 4 2 3" xfId="20700" xr:uid="{84C75FEC-58D1-4709-85FE-3C99F88C6A88}"/>
    <cellStyle name="Currency 5 2 4 2 4 2 4" xfId="12259" xr:uid="{D3523CAC-6A9E-493A-86D8-DF9B69F19A9A}"/>
    <cellStyle name="Currency 5 2 4 2 4 3" xfId="5890" xr:uid="{00000000-0005-0000-0000-0000310C0000}"/>
    <cellStyle name="Currency 5 2 4 2 4 3 2" xfId="22773" xr:uid="{6CF5F844-ACF4-4AE5-9ACA-8842594D1D9A}"/>
    <cellStyle name="Currency 5 2 4 2 4 3 3" xfId="14332" xr:uid="{2A05D10B-3BDC-4B3A-9BC9-DA6352091A7C}"/>
    <cellStyle name="Currency 5 2 4 2 4 4" xfId="18555" xr:uid="{B431EDDF-AAE3-4F75-943A-F065B80F3940}"/>
    <cellStyle name="Currency 5 2 4 2 4 5" xfId="10114" xr:uid="{2E5BCE31-900E-41F0-B511-2D036EEA3B93}"/>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25331" xr:uid="{6D31CEE9-DECF-4AD4-A93C-06320294026B}"/>
    <cellStyle name="Currency 5 2 4 2 5 2 2 3" xfId="16890" xr:uid="{BCDBBB2B-79B4-4F75-823F-3398C0CC3D9D}"/>
    <cellStyle name="Currency 5 2 4 2 5 2 3" xfId="21113" xr:uid="{E55F5640-D2F7-4642-BA18-F33FCC971381}"/>
    <cellStyle name="Currency 5 2 4 2 5 2 4" xfId="12672" xr:uid="{5A3DCF4C-CAE7-4580-8E60-D37FDADB8B0E}"/>
    <cellStyle name="Currency 5 2 4 2 5 3" xfId="6303" xr:uid="{00000000-0005-0000-0000-0000350C0000}"/>
    <cellStyle name="Currency 5 2 4 2 5 3 2" xfId="23186" xr:uid="{37542A8D-F6A0-43DE-B911-92F950765965}"/>
    <cellStyle name="Currency 5 2 4 2 5 3 3" xfId="14745" xr:uid="{A66C05AB-EC82-404A-AFE1-DBEEA0F18C79}"/>
    <cellStyle name="Currency 5 2 4 2 5 4" xfId="18968" xr:uid="{92FBB449-35C7-4A05-8461-414017D17190}"/>
    <cellStyle name="Currency 5 2 4 2 5 5" xfId="10527" xr:uid="{88C71632-E922-46A6-926A-672C3E52082D}"/>
    <cellStyle name="Currency 5 2 4 2 6" xfId="2431" xr:uid="{00000000-0005-0000-0000-0000360C0000}"/>
    <cellStyle name="Currency 5 2 4 2 6 2" xfId="6716" xr:uid="{00000000-0005-0000-0000-0000370C0000}"/>
    <cellStyle name="Currency 5 2 4 2 6 2 2" xfId="23599" xr:uid="{B5485EE1-227B-4912-8257-EE7CB78047DD}"/>
    <cellStyle name="Currency 5 2 4 2 6 2 3" xfId="15158" xr:uid="{C94C7895-3085-4180-AC25-FBC0EFC94C74}"/>
    <cellStyle name="Currency 5 2 4 2 6 3" xfId="19381" xr:uid="{C2BD9348-CED7-42BB-BD86-3330E901D6A5}"/>
    <cellStyle name="Currency 5 2 4 2 6 4" xfId="10940" xr:uid="{A62D3585-C644-48C9-9DFD-E4125E04775E}"/>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23916" xr:uid="{B0B522B9-2F26-43D0-8DA8-AE93825CB1E7}"/>
    <cellStyle name="Currency 5 2 4 2 8 2 3" xfId="15475" xr:uid="{69D1BA21-3D22-4D68-A096-6F5CBC6A0FDF}"/>
    <cellStyle name="Currency 5 2 4 2 8 3" xfId="19698" xr:uid="{130E930B-0BBE-42AA-8F18-472840599F9F}"/>
    <cellStyle name="Currency 5 2 4 2 8 4" xfId="11257" xr:uid="{267D3164-37BF-4FEA-B3CF-F1A585F49904}"/>
    <cellStyle name="Currency 5 2 4 2 9" xfId="4650" xr:uid="{00000000-0005-0000-0000-00003B0C0000}"/>
    <cellStyle name="Currency 5 2 4 2 9 2" xfId="21533" xr:uid="{170A142D-2D31-4A18-BC5E-E1D6C119022E}"/>
    <cellStyle name="Currency 5 2 4 2 9 3" xfId="13092" xr:uid="{7BA19845-E3C5-4ABC-A205-20112405249B}"/>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24091" xr:uid="{F485BDB1-7D89-4106-A636-447A07D160A0}"/>
    <cellStyle name="Currency 5 2 4 3 2 2 3" xfId="15650" xr:uid="{5A027512-D14D-43F9-A78B-C3CC013A051C}"/>
    <cellStyle name="Currency 5 2 4 3 2 3" xfId="19873" xr:uid="{03A9F3F6-8E68-49A5-B699-4F92B3A36905}"/>
    <cellStyle name="Currency 5 2 4 3 2 4" xfId="11432" xr:uid="{89B389C9-1D79-4313-ACEE-1111FA417306}"/>
    <cellStyle name="Currency 5 2 4 3 3" xfId="5063" xr:uid="{00000000-0005-0000-0000-00003F0C0000}"/>
    <cellStyle name="Currency 5 2 4 3 3 2" xfId="21946" xr:uid="{21F8211B-9BF6-45F0-8DA0-90CA8703C3B3}"/>
    <cellStyle name="Currency 5 2 4 3 3 3" xfId="13505" xr:uid="{A8CF63E5-4C10-42C4-AADA-E1CF53E3156F}"/>
    <cellStyle name="Currency 5 2 4 3 4" xfId="17728" xr:uid="{F0613BFB-9A23-4DCA-AB67-B052FD4D8134}"/>
    <cellStyle name="Currency 5 2 4 3 5" xfId="9287" xr:uid="{D0B415E0-A1A1-4533-A937-090DE8C27C8C}"/>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24504" xr:uid="{518F89E4-D5C7-4180-8889-F92A2C214051}"/>
    <cellStyle name="Currency 5 2 4 4 2 2 3" xfId="16063" xr:uid="{4BC048C6-EA55-4760-8B09-527C8A792D13}"/>
    <cellStyle name="Currency 5 2 4 4 2 3" xfId="20286" xr:uid="{F5D41243-203F-4017-AF65-4A3B3D943794}"/>
    <cellStyle name="Currency 5 2 4 4 2 4" xfId="11845" xr:uid="{046818A9-FC5A-4A9B-9422-165AE2F59FC3}"/>
    <cellStyle name="Currency 5 2 4 4 3" xfId="5476" xr:uid="{00000000-0005-0000-0000-0000430C0000}"/>
    <cellStyle name="Currency 5 2 4 4 3 2" xfId="22359" xr:uid="{BF15E5BF-FAFC-4F46-B4F2-8037191D1C58}"/>
    <cellStyle name="Currency 5 2 4 4 3 3" xfId="13918" xr:uid="{79CD9E87-4EDB-47F4-808E-075546508342}"/>
    <cellStyle name="Currency 5 2 4 4 4" xfId="18141" xr:uid="{0963AADE-904C-48B1-BEF3-45C16D69BA83}"/>
    <cellStyle name="Currency 5 2 4 4 5" xfId="9700" xr:uid="{CC4F1AB2-FC4A-4EFF-BB04-DC50EB4C0269}"/>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24917" xr:uid="{C901223E-AA0D-4276-8137-2FF76C8B5C13}"/>
    <cellStyle name="Currency 5 2 4 5 2 2 3" xfId="16476" xr:uid="{9B405B59-FCE1-46D5-9D36-0F52B8A9793F}"/>
    <cellStyle name="Currency 5 2 4 5 2 3" xfId="20699" xr:uid="{21CE4A60-3499-446E-AF13-DC676FF2E650}"/>
    <cellStyle name="Currency 5 2 4 5 2 4" xfId="12258" xr:uid="{D134025F-AA10-4163-B380-952059B76F0A}"/>
    <cellStyle name="Currency 5 2 4 5 3" xfId="5889" xr:uid="{00000000-0005-0000-0000-0000470C0000}"/>
    <cellStyle name="Currency 5 2 4 5 3 2" xfId="22772" xr:uid="{998054C9-6295-4E2B-8977-9300A81C67DC}"/>
    <cellStyle name="Currency 5 2 4 5 3 3" xfId="14331" xr:uid="{2983ABB5-4595-4430-98CD-1EAD140A077C}"/>
    <cellStyle name="Currency 5 2 4 5 4" xfId="18554" xr:uid="{9C048A98-E2F8-4AA6-B57B-2D6700382AA6}"/>
    <cellStyle name="Currency 5 2 4 5 5" xfId="10113" xr:uid="{BABCBF86-972F-46B8-B40B-11B415F4F610}"/>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25330" xr:uid="{2C4392F5-F9EE-4D53-93ED-36D501971C04}"/>
    <cellStyle name="Currency 5 2 4 6 2 2 3" xfId="16889" xr:uid="{36467C02-D7C5-4BC1-A341-6DCA92638F31}"/>
    <cellStyle name="Currency 5 2 4 6 2 3" xfId="21112" xr:uid="{3175BF06-07AF-497D-9168-F73F999AA667}"/>
    <cellStyle name="Currency 5 2 4 6 2 4" xfId="12671" xr:uid="{28723099-1B24-469D-9304-34522FD09076}"/>
    <cellStyle name="Currency 5 2 4 6 3" xfId="6302" xr:uid="{00000000-0005-0000-0000-00004B0C0000}"/>
    <cellStyle name="Currency 5 2 4 6 3 2" xfId="23185" xr:uid="{38BB4B00-CD5D-45E3-AFCB-DDDB9B15EA44}"/>
    <cellStyle name="Currency 5 2 4 6 3 3" xfId="14744" xr:uid="{16F66A5B-5CF8-4C7F-B782-0A1D2F2705E1}"/>
    <cellStyle name="Currency 5 2 4 6 4" xfId="18967" xr:uid="{B9B5A2CF-9FCB-4AE3-B8FD-12909377489B}"/>
    <cellStyle name="Currency 5 2 4 6 5" xfId="10526" xr:uid="{0A2B049E-7E1A-42EF-9FBE-4E59B4BD2AD7}"/>
    <cellStyle name="Currency 5 2 4 7" xfId="2430" xr:uid="{00000000-0005-0000-0000-00004C0C0000}"/>
    <cellStyle name="Currency 5 2 4 7 2" xfId="6715" xr:uid="{00000000-0005-0000-0000-00004D0C0000}"/>
    <cellStyle name="Currency 5 2 4 7 2 2" xfId="23598" xr:uid="{C84C7819-BFCA-42CD-B9AF-B16CA804AA77}"/>
    <cellStyle name="Currency 5 2 4 7 2 3" xfId="15157" xr:uid="{A458049B-5FE6-4CCA-B40B-508560F7CC2F}"/>
    <cellStyle name="Currency 5 2 4 7 3" xfId="19380" xr:uid="{E681522E-1FFF-481A-850B-AEEB57AD2CB3}"/>
    <cellStyle name="Currency 5 2 4 7 4" xfId="10939" xr:uid="{E648E32B-0E1F-4575-ADDC-83F5704E1567}"/>
    <cellStyle name="Currency 5 2 4 8" xfId="2727" xr:uid="{00000000-0005-0000-0000-00004E0C0000}"/>
    <cellStyle name="Currency 5 2 4 9" xfId="2808" xr:uid="{00000000-0005-0000-0000-00004F0C0000}"/>
    <cellStyle name="Currency 5 2 4 9 2" xfId="7032" xr:uid="{00000000-0005-0000-0000-0000500C0000}"/>
    <cellStyle name="Currency 5 2 4 9 2 2" xfId="23915" xr:uid="{E94ED7EF-A16A-40EA-8BA2-862061DAE0BF}"/>
    <cellStyle name="Currency 5 2 4 9 2 3" xfId="15474" xr:uid="{2B9660CC-5647-41ED-9255-0945FC9C7A80}"/>
    <cellStyle name="Currency 5 2 4 9 3" xfId="19697" xr:uid="{6CD7B329-12C1-473D-9405-23E9B35713C4}"/>
    <cellStyle name="Currency 5 2 4 9 4" xfId="11256" xr:uid="{044F5A9D-3641-4AEC-8852-B95EB42511FC}"/>
    <cellStyle name="Currency 5 2 5" xfId="207" xr:uid="{00000000-0005-0000-0000-0000510C0000}"/>
    <cellStyle name="Currency 5 2 5 10" xfId="17316" xr:uid="{EF18C41E-B00F-41C4-BF8E-F7E621944034}"/>
    <cellStyle name="Currency 5 2 5 11" xfId="8875" xr:uid="{D0B4BFF9-47C1-41CD-9731-70B0925B6EC4}"/>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24093" xr:uid="{463A0893-26A7-4E62-8493-0012217DD097}"/>
    <cellStyle name="Currency 5 2 5 2 2 2 3" xfId="15652" xr:uid="{D883AE4B-91AA-40DC-9E95-753AB36CBC25}"/>
    <cellStyle name="Currency 5 2 5 2 2 3" xfId="19875" xr:uid="{3C761426-9A85-4A21-B2D3-BDF6D8F58A1E}"/>
    <cellStyle name="Currency 5 2 5 2 2 4" xfId="11434" xr:uid="{068CE2C0-B063-4C45-878A-36E2010D7EDB}"/>
    <cellStyle name="Currency 5 2 5 2 3" xfId="5065" xr:uid="{00000000-0005-0000-0000-0000550C0000}"/>
    <cellStyle name="Currency 5 2 5 2 3 2" xfId="21948" xr:uid="{A6B4AE0E-7944-4B8D-A84E-9935288498F7}"/>
    <cellStyle name="Currency 5 2 5 2 3 3" xfId="13507" xr:uid="{7BAF294F-71FD-4151-99AD-D517441DF760}"/>
    <cellStyle name="Currency 5 2 5 2 4" xfId="17730" xr:uid="{C5759DF0-2843-4EA0-BFB0-3EFE2A0D70F5}"/>
    <cellStyle name="Currency 5 2 5 2 5" xfId="9289" xr:uid="{8AAFFBED-4287-45AA-B484-E873B5BD59CA}"/>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24506" xr:uid="{F46E3CED-E0AF-48FC-980E-56C183C6A341}"/>
    <cellStyle name="Currency 5 2 5 3 2 2 3" xfId="16065" xr:uid="{C83AF722-44C8-4245-B6EF-0D9DB93FBED3}"/>
    <cellStyle name="Currency 5 2 5 3 2 3" xfId="20288" xr:uid="{C36B0682-6A26-4125-9EB3-7EC2E255E72B}"/>
    <cellStyle name="Currency 5 2 5 3 2 4" xfId="11847" xr:uid="{E631D3DD-A19E-4F57-B839-B391CC13819E}"/>
    <cellStyle name="Currency 5 2 5 3 3" xfId="5478" xr:uid="{00000000-0005-0000-0000-0000590C0000}"/>
    <cellStyle name="Currency 5 2 5 3 3 2" xfId="22361" xr:uid="{D9A3F907-E112-481C-AE6F-12540101888F}"/>
    <cellStyle name="Currency 5 2 5 3 3 3" xfId="13920" xr:uid="{ADD8ACF4-2876-45D0-B50E-059FAA2318DD}"/>
    <cellStyle name="Currency 5 2 5 3 4" xfId="18143" xr:uid="{14F90C25-C5E8-44D9-959E-DD8B649E4CBB}"/>
    <cellStyle name="Currency 5 2 5 3 5" xfId="9702" xr:uid="{C02A5CFE-7A51-45D4-9B41-ECB3AC68EE20}"/>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24919" xr:uid="{8CAB787B-9BC5-4492-A6F8-7350454601B2}"/>
    <cellStyle name="Currency 5 2 5 4 2 2 3" xfId="16478" xr:uid="{ADD3B14B-9E54-46B4-86DC-988E5D50914D}"/>
    <cellStyle name="Currency 5 2 5 4 2 3" xfId="20701" xr:uid="{19D46ABD-6EFD-469A-B0FF-F929CCE343DB}"/>
    <cellStyle name="Currency 5 2 5 4 2 4" xfId="12260" xr:uid="{F903A0FD-79FF-4991-A54B-BDF0A2087AB7}"/>
    <cellStyle name="Currency 5 2 5 4 3" xfId="5891" xr:uid="{00000000-0005-0000-0000-00005D0C0000}"/>
    <cellStyle name="Currency 5 2 5 4 3 2" xfId="22774" xr:uid="{E494CFEA-F2D1-498A-8EE7-A88CC3A67CD5}"/>
    <cellStyle name="Currency 5 2 5 4 3 3" xfId="14333" xr:uid="{6E6EFAD5-BA53-417D-8198-3FCE3576A4F9}"/>
    <cellStyle name="Currency 5 2 5 4 4" xfId="18556" xr:uid="{42C23AAB-2F95-41A0-98FE-C4C223DAF47D}"/>
    <cellStyle name="Currency 5 2 5 4 5" xfId="10115" xr:uid="{DB790857-170D-495F-B9C0-6B1B7BF3DC86}"/>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25332" xr:uid="{EF5E4FA0-6A56-4B92-8E66-D5E43E553244}"/>
    <cellStyle name="Currency 5 2 5 5 2 2 3" xfId="16891" xr:uid="{895B8BDA-1F13-4205-8D17-971D9A108084}"/>
    <cellStyle name="Currency 5 2 5 5 2 3" xfId="21114" xr:uid="{8C9B1995-3CCD-43ED-ADDA-7118508575BD}"/>
    <cellStyle name="Currency 5 2 5 5 2 4" xfId="12673" xr:uid="{A78A922E-8E76-4F55-A4BD-B82FB500E77E}"/>
    <cellStyle name="Currency 5 2 5 5 3" xfId="6304" xr:uid="{00000000-0005-0000-0000-0000610C0000}"/>
    <cellStyle name="Currency 5 2 5 5 3 2" xfId="23187" xr:uid="{E6DC431F-DF3C-413A-BC2B-2A84D5316FC8}"/>
    <cellStyle name="Currency 5 2 5 5 3 3" xfId="14746" xr:uid="{CA05C633-6BA2-43D5-8BE4-96ED048A4400}"/>
    <cellStyle name="Currency 5 2 5 5 4" xfId="18969" xr:uid="{82A97CF7-FAF0-4557-A96D-D59A282691D0}"/>
    <cellStyle name="Currency 5 2 5 5 5" xfId="10528" xr:uid="{1D404F51-883E-4A96-8047-C611C4432814}"/>
    <cellStyle name="Currency 5 2 5 6" xfId="2432" xr:uid="{00000000-0005-0000-0000-0000620C0000}"/>
    <cellStyle name="Currency 5 2 5 6 2" xfId="6717" xr:uid="{00000000-0005-0000-0000-0000630C0000}"/>
    <cellStyle name="Currency 5 2 5 6 2 2" xfId="23600" xr:uid="{5F5F32D2-B4A5-4D88-A4AF-72B17E0FE997}"/>
    <cellStyle name="Currency 5 2 5 6 2 3" xfId="15159" xr:uid="{92F142EE-F952-4B6E-AA95-19E52B28B748}"/>
    <cellStyle name="Currency 5 2 5 6 3" xfId="19382" xr:uid="{D3716F71-7B46-4C62-8643-CFF306021F62}"/>
    <cellStyle name="Currency 5 2 5 6 4" xfId="10941" xr:uid="{EAB79CF0-6843-47EA-B28E-A328523B3974}"/>
    <cellStyle name="Currency 5 2 5 7" xfId="2729" xr:uid="{00000000-0005-0000-0000-0000640C0000}"/>
    <cellStyle name="Currency 5 2 5 8" xfId="2810" xr:uid="{00000000-0005-0000-0000-0000650C0000}"/>
    <cellStyle name="Currency 5 2 5 8 2" xfId="7034" xr:uid="{00000000-0005-0000-0000-0000660C0000}"/>
    <cellStyle name="Currency 5 2 5 8 2 2" xfId="23917" xr:uid="{994D676C-FE0B-445E-B9AE-03E5FCBFC269}"/>
    <cellStyle name="Currency 5 2 5 8 2 3" xfId="15476" xr:uid="{5B85E73A-9684-44D1-9512-F4199D8DC866}"/>
    <cellStyle name="Currency 5 2 5 8 3" xfId="19699" xr:uid="{50FDCD5C-2C04-4849-AE38-9448F781A3F1}"/>
    <cellStyle name="Currency 5 2 5 8 4" xfId="11258" xr:uid="{8F3EAACF-7222-4424-A736-763BE87DC9AB}"/>
    <cellStyle name="Currency 5 2 5 9" xfId="4651" xr:uid="{00000000-0005-0000-0000-0000670C0000}"/>
    <cellStyle name="Currency 5 2 5 9 2" xfId="21534" xr:uid="{79493A0C-8AF9-44E2-A783-EEA063E7A9B4}"/>
    <cellStyle name="Currency 5 2 5 9 3" xfId="13093" xr:uid="{2C21C0AA-31A7-4366-97E1-F14205A38219}"/>
    <cellStyle name="Currency 5 2 6" xfId="208" xr:uid="{00000000-0005-0000-0000-0000680C0000}"/>
    <cellStyle name="Currency 5 2 6 10" xfId="17317" xr:uid="{EC0D16D7-F974-4E31-801F-B0A56BD70E97}"/>
    <cellStyle name="Currency 5 2 6 11" xfId="8876" xr:uid="{482ABAC2-95F5-460E-88F1-B6EFEC96CB50}"/>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24094" xr:uid="{58624704-99A1-4628-A227-FF114BFCD166}"/>
    <cellStyle name="Currency 5 2 6 2 2 2 3" xfId="15653" xr:uid="{90FAEADE-B631-47EF-9678-E8F3CA089327}"/>
    <cellStyle name="Currency 5 2 6 2 2 3" xfId="19876" xr:uid="{D7BC2ECA-7982-49E0-A193-1EFC561B8254}"/>
    <cellStyle name="Currency 5 2 6 2 2 4" xfId="11435" xr:uid="{7CAB110D-08E1-4954-A459-EC17A3084859}"/>
    <cellStyle name="Currency 5 2 6 2 3" xfId="5066" xr:uid="{00000000-0005-0000-0000-00006C0C0000}"/>
    <cellStyle name="Currency 5 2 6 2 3 2" xfId="21949" xr:uid="{D7774831-7050-4D6F-AA02-857BAC9709CA}"/>
    <cellStyle name="Currency 5 2 6 2 3 3" xfId="13508" xr:uid="{64BE36E0-EF98-4CA3-883D-C2697ABFF94A}"/>
    <cellStyle name="Currency 5 2 6 2 4" xfId="17731" xr:uid="{E8A3C3CD-E673-436C-8A8B-F4D91473A1AF}"/>
    <cellStyle name="Currency 5 2 6 2 5" xfId="9290" xr:uid="{3C99DE5F-8F4D-4B1C-A20B-7284AEBD3F1D}"/>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24507" xr:uid="{8404E5D3-412D-4287-9BC9-9B157A4F6421}"/>
    <cellStyle name="Currency 5 2 6 3 2 2 3" xfId="16066" xr:uid="{8A33E1BA-32E9-482C-9E90-BB7BD049F3D4}"/>
    <cellStyle name="Currency 5 2 6 3 2 3" xfId="20289" xr:uid="{B6AC877E-F08F-4AEE-94E5-475CB38BFF46}"/>
    <cellStyle name="Currency 5 2 6 3 2 4" xfId="11848" xr:uid="{CD89C0E0-3CD6-47E0-8544-FDF4DADCAD7D}"/>
    <cellStyle name="Currency 5 2 6 3 3" xfId="5479" xr:uid="{00000000-0005-0000-0000-0000700C0000}"/>
    <cellStyle name="Currency 5 2 6 3 3 2" xfId="22362" xr:uid="{4277F724-BBCF-4D3A-B78A-60087D0D0E6E}"/>
    <cellStyle name="Currency 5 2 6 3 3 3" xfId="13921" xr:uid="{5B95A836-5355-4F6B-A373-E0602E6AB2C1}"/>
    <cellStyle name="Currency 5 2 6 3 4" xfId="18144" xr:uid="{71DB900B-FF92-46B8-A149-F7D195244B4E}"/>
    <cellStyle name="Currency 5 2 6 3 5" xfId="9703" xr:uid="{AF1717F0-F2C7-41DA-BE3C-1DBF5B86B16F}"/>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24920" xr:uid="{BB944C69-5A78-4B92-A3B7-1E53F3BAFEBE}"/>
    <cellStyle name="Currency 5 2 6 4 2 2 3" xfId="16479" xr:uid="{6800494F-79E9-4539-9A45-10ED1B9C298C}"/>
    <cellStyle name="Currency 5 2 6 4 2 3" xfId="20702" xr:uid="{D3E33054-902C-4199-9166-BC1FA57180C2}"/>
    <cellStyle name="Currency 5 2 6 4 2 4" xfId="12261" xr:uid="{114F7B0D-9EE5-400D-A49A-C4FCE2F3DBF4}"/>
    <cellStyle name="Currency 5 2 6 4 3" xfId="5892" xr:uid="{00000000-0005-0000-0000-0000740C0000}"/>
    <cellStyle name="Currency 5 2 6 4 3 2" xfId="22775" xr:uid="{2B971A90-AD1D-4246-A614-118F16515FD3}"/>
    <cellStyle name="Currency 5 2 6 4 3 3" xfId="14334" xr:uid="{F26CE491-DD83-4E16-A713-4C67740CFD16}"/>
    <cellStyle name="Currency 5 2 6 4 4" xfId="18557" xr:uid="{AAFE512A-5A28-44E7-9B51-83EE52572091}"/>
    <cellStyle name="Currency 5 2 6 4 5" xfId="10116" xr:uid="{391EC5AD-1E46-42C9-A982-C6B3B98790FF}"/>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25333" xr:uid="{CC4E5A7B-F2B2-40DA-8408-E0F0D4197893}"/>
    <cellStyle name="Currency 5 2 6 5 2 2 3" xfId="16892" xr:uid="{1C3AF6A7-57AF-4899-B251-80654AAE191E}"/>
    <cellStyle name="Currency 5 2 6 5 2 3" xfId="21115" xr:uid="{2C8DB5E2-2B17-4620-9537-3CBFF02D13FA}"/>
    <cellStyle name="Currency 5 2 6 5 2 4" xfId="12674" xr:uid="{95526FA3-07FD-4A5F-A21C-650908CFF7C7}"/>
    <cellStyle name="Currency 5 2 6 5 3" xfId="6305" xr:uid="{00000000-0005-0000-0000-0000780C0000}"/>
    <cellStyle name="Currency 5 2 6 5 3 2" xfId="23188" xr:uid="{5BB06EFD-1296-4851-8E07-8A1611CF9BC2}"/>
    <cellStyle name="Currency 5 2 6 5 3 3" xfId="14747" xr:uid="{A9F12A2D-13D5-485E-B834-35B5D2439D95}"/>
    <cellStyle name="Currency 5 2 6 5 4" xfId="18970" xr:uid="{EE79EF5E-F1C0-44D1-885B-13A25C4F9117}"/>
    <cellStyle name="Currency 5 2 6 5 5" xfId="10529" xr:uid="{87F86FB3-D7E6-43C0-B1C3-EDFE901403DC}"/>
    <cellStyle name="Currency 5 2 6 6" xfId="2433" xr:uid="{00000000-0005-0000-0000-0000790C0000}"/>
    <cellStyle name="Currency 5 2 6 6 2" xfId="6718" xr:uid="{00000000-0005-0000-0000-00007A0C0000}"/>
    <cellStyle name="Currency 5 2 6 6 2 2" xfId="23601" xr:uid="{252C8EAE-9EA5-4863-A9B2-754F0A8C8A6F}"/>
    <cellStyle name="Currency 5 2 6 6 2 3" xfId="15160" xr:uid="{6D2F1A4D-8BCF-47AF-9FD2-AF12EA5B55F5}"/>
    <cellStyle name="Currency 5 2 6 6 3" xfId="19383" xr:uid="{D2FFAA57-6FD3-40FF-A345-FDFF8F94C47A}"/>
    <cellStyle name="Currency 5 2 6 6 4" xfId="10942" xr:uid="{BFC8B6E7-4771-4E68-B6CA-2298A22B6217}"/>
    <cellStyle name="Currency 5 2 6 7" xfId="2730" xr:uid="{00000000-0005-0000-0000-00007B0C0000}"/>
    <cellStyle name="Currency 5 2 6 8" xfId="2811" xr:uid="{00000000-0005-0000-0000-00007C0C0000}"/>
    <cellStyle name="Currency 5 2 6 8 2" xfId="7035" xr:uid="{00000000-0005-0000-0000-00007D0C0000}"/>
    <cellStyle name="Currency 5 2 6 8 2 2" xfId="23918" xr:uid="{EA7AB05F-2509-422D-8346-2EED86F0B678}"/>
    <cellStyle name="Currency 5 2 6 8 2 3" xfId="15477" xr:uid="{F56380FC-B61D-43A1-9760-03751B2D78AD}"/>
    <cellStyle name="Currency 5 2 6 8 3" xfId="19700" xr:uid="{865089AD-7C3F-41A3-87D5-469EDB5C2376}"/>
    <cellStyle name="Currency 5 2 6 8 4" xfId="11259" xr:uid="{7AAED687-4680-4370-877E-8257D8DF8368}"/>
    <cellStyle name="Currency 5 2 6 9" xfId="4652" xr:uid="{00000000-0005-0000-0000-00007E0C0000}"/>
    <cellStyle name="Currency 5 2 6 9 2" xfId="21535" xr:uid="{D0B7C2B0-B67C-44CD-822A-E0C16DDEAC4D}"/>
    <cellStyle name="Currency 5 2 6 9 3" xfId="13094" xr:uid="{8873C4DE-A03E-4A8F-95AD-DC81BE019231}"/>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23919" xr:uid="{D63B2687-931F-4794-93B5-2CB3310D74B4}"/>
    <cellStyle name="Currency 5 3 2 10 2 3" xfId="15478" xr:uid="{9260FA8F-3F28-4112-AC5B-1ABBF9544FD4}"/>
    <cellStyle name="Currency 5 3 2 10 3" xfId="19701" xr:uid="{3C495CB5-DFC3-45E3-9752-46F4F7DCCA35}"/>
    <cellStyle name="Currency 5 3 2 10 4" xfId="11260" xr:uid="{36EAE573-8D8F-4D24-955C-BC04D162D2C5}"/>
    <cellStyle name="Currency 5 3 2 11" xfId="4653" xr:uid="{00000000-0005-0000-0000-0000840C0000}"/>
    <cellStyle name="Currency 5 3 2 11 2" xfId="21536" xr:uid="{A2F8F464-9D6D-448F-A85C-F24560ACFF05}"/>
    <cellStyle name="Currency 5 3 2 11 3" xfId="13095" xr:uid="{8649EB70-00FA-4D1F-9CC6-6D3322523B24}"/>
    <cellStyle name="Currency 5 3 2 12" xfId="17318" xr:uid="{B2B50B1D-9D6E-462D-947A-8F4190FC6E32}"/>
    <cellStyle name="Currency 5 3 2 13" xfId="8877" xr:uid="{549AFD80-FA0B-47F3-89FC-28632CEB323C}"/>
    <cellStyle name="Currency 5 3 2 2" xfId="211" xr:uid="{00000000-0005-0000-0000-0000850C0000}"/>
    <cellStyle name="Currency 5 3 2 2 10" xfId="4654" xr:uid="{00000000-0005-0000-0000-0000860C0000}"/>
    <cellStyle name="Currency 5 3 2 2 10 2" xfId="21537" xr:uid="{30F15A55-DF7F-4C7A-BA3B-36E83C35227A}"/>
    <cellStyle name="Currency 5 3 2 2 10 3" xfId="13096" xr:uid="{0CC1FE5D-79F0-4219-A4BF-0A6CCAD8F91E}"/>
    <cellStyle name="Currency 5 3 2 2 11" xfId="17319" xr:uid="{1A5269FB-DA58-4D7A-BFBF-F98C1F3C2824}"/>
    <cellStyle name="Currency 5 3 2 2 12" xfId="8878" xr:uid="{B77BE7C5-4A65-4F19-A98F-67AFA795BEF7}"/>
    <cellStyle name="Currency 5 3 2 2 2" xfId="212" xr:uid="{00000000-0005-0000-0000-0000870C0000}"/>
    <cellStyle name="Currency 5 3 2 2 2 10" xfId="17320" xr:uid="{755AB559-20C6-4FCE-8145-41B76D07B442}"/>
    <cellStyle name="Currency 5 3 2 2 2 11" xfId="8879" xr:uid="{32565FDB-367F-46F1-8430-0F104447CB87}"/>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24097" xr:uid="{B7ACA9DA-F0D0-49A3-9BD1-941EE902C4E4}"/>
    <cellStyle name="Currency 5 3 2 2 2 2 2 2 3" xfId="15656" xr:uid="{50909E11-399D-446F-A32C-C78C3B923B57}"/>
    <cellStyle name="Currency 5 3 2 2 2 2 2 3" xfId="19879" xr:uid="{373DB660-C120-4195-82CD-47838DE18A4E}"/>
    <cellStyle name="Currency 5 3 2 2 2 2 2 4" xfId="11438" xr:uid="{79A8BCE6-2952-41C9-B997-E60B7B82AFAD}"/>
    <cellStyle name="Currency 5 3 2 2 2 2 3" xfId="5069" xr:uid="{00000000-0005-0000-0000-00008B0C0000}"/>
    <cellStyle name="Currency 5 3 2 2 2 2 3 2" xfId="21952" xr:uid="{E33522ED-E06B-40B6-A504-D5D181322B62}"/>
    <cellStyle name="Currency 5 3 2 2 2 2 3 3" xfId="13511" xr:uid="{6D2DC291-5586-409A-AA35-4174709BEAA4}"/>
    <cellStyle name="Currency 5 3 2 2 2 2 4" xfId="17734" xr:uid="{183A2D1C-71FF-44CE-9AEC-CC240499D2BF}"/>
    <cellStyle name="Currency 5 3 2 2 2 2 5" xfId="9293" xr:uid="{02AF05DF-7770-49AF-8881-569209BF9A0E}"/>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24510" xr:uid="{DADE2901-ACB0-40E1-9752-6A54C071BA78}"/>
    <cellStyle name="Currency 5 3 2 2 2 3 2 2 3" xfId="16069" xr:uid="{FC5E8CA6-DF05-4636-859C-B9B6C1B5767C}"/>
    <cellStyle name="Currency 5 3 2 2 2 3 2 3" xfId="20292" xr:uid="{5F085BE8-8DED-434C-9E71-6CAADBBE273D}"/>
    <cellStyle name="Currency 5 3 2 2 2 3 2 4" xfId="11851" xr:uid="{61A57BBD-8285-4F37-81BF-C3B9390B23DA}"/>
    <cellStyle name="Currency 5 3 2 2 2 3 3" xfId="5482" xr:uid="{00000000-0005-0000-0000-00008F0C0000}"/>
    <cellStyle name="Currency 5 3 2 2 2 3 3 2" xfId="22365" xr:uid="{D88256C6-1C23-4CC0-9590-271E271850D9}"/>
    <cellStyle name="Currency 5 3 2 2 2 3 3 3" xfId="13924" xr:uid="{4075C950-8B88-413F-A135-0B6522A09A94}"/>
    <cellStyle name="Currency 5 3 2 2 2 3 4" xfId="18147" xr:uid="{23BE8BBB-0FFE-4E7C-9D0E-D42BEC601982}"/>
    <cellStyle name="Currency 5 3 2 2 2 3 5" xfId="9706" xr:uid="{27B1290E-8E92-4E50-8A54-C41BB21A77E9}"/>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24923" xr:uid="{9B97D25E-171A-408C-AA70-230F39BD2EB8}"/>
    <cellStyle name="Currency 5 3 2 2 2 4 2 2 3" xfId="16482" xr:uid="{17F93F17-4B48-474D-8261-FEFEFB00D76D}"/>
    <cellStyle name="Currency 5 3 2 2 2 4 2 3" xfId="20705" xr:uid="{2609FD86-07D1-4367-82D4-9FCD943AD218}"/>
    <cellStyle name="Currency 5 3 2 2 2 4 2 4" xfId="12264" xr:uid="{4C7B16B8-61BD-4A39-B4CC-44FACECCD6F1}"/>
    <cellStyle name="Currency 5 3 2 2 2 4 3" xfId="5895" xr:uid="{00000000-0005-0000-0000-0000930C0000}"/>
    <cellStyle name="Currency 5 3 2 2 2 4 3 2" xfId="22778" xr:uid="{2F8AA5F3-B4B6-4F25-9482-627E3D5F614B}"/>
    <cellStyle name="Currency 5 3 2 2 2 4 3 3" xfId="14337" xr:uid="{1A6F3798-756A-4F65-9FC0-66C2D9F09A96}"/>
    <cellStyle name="Currency 5 3 2 2 2 4 4" xfId="18560" xr:uid="{47EA06AA-3FD1-431E-AEE9-8D68933AD3ED}"/>
    <cellStyle name="Currency 5 3 2 2 2 4 5" xfId="10119" xr:uid="{567373EB-7C53-448F-AF84-404943A199B1}"/>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25336" xr:uid="{B3E8F7D1-CDA6-44FF-95A6-57DE13C4603A}"/>
    <cellStyle name="Currency 5 3 2 2 2 5 2 2 3" xfId="16895" xr:uid="{CE58178E-B35C-46C9-8F41-1F18C196C5D2}"/>
    <cellStyle name="Currency 5 3 2 2 2 5 2 3" xfId="21118" xr:uid="{3E1E2A6C-E2A8-45D7-98F5-DF6644B44369}"/>
    <cellStyle name="Currency 5 3 2 2 2 5 2 4" xfId="12677" xr:uid="{D5994C97-CEDC-4633-970B-833931CDC5C9}"/>
    <cellStyle name="Currency 5 3 2 2 2 5 3" xfId="6308" xr:uid="{00000000-0005-0000-0000-0000970C0000}"/>
    <cellStyle name="Currency 5 3 2 2 2 5 3 2" xfId="23191" xr:uid="{38B6D20A-FC1F-40CA-B901-F69182CFDB95}"/>
    <cellStyle name="Currency 5 3 2 2 2 5 3 3" xfId="14750" xr:uid="{1EEF5412-7D7A-4AC0-8E2E-A7A1CA869154}"/>
    <cellStyle name="Currency 5 3 2 2 2 5 4" xfId="18973" xr:uid="{D7F8F8E4-BE8F-4E91-BCFA-FFC6AA6ACAC4}"/>
    <cellStyle name="Currency 5 3 2 2 2 5 5" xfId="10532" xr:uid="{4BA6FCC6-38D8-40A6-BEED-1C23DD9662E5}"/>
    <cellStyle name="Currency 5 3 2 2 2 6" xfId="2436" xr:uid="{00000000-0005-0000-0000-0000980C0000}"/>
    <cellStyle name="Currency 5 3 2 2 2 6 2" xfId="6721" xr:uid="{00000000-0005-0000-0000-0000990C0000}"/>
    <cellStyle name="Currency 5 3 2 2 2 6 2 2" xfId="23604" xr:uid="{C52ED673-B538-4E6F-92E0-47FD11DE2F69}"/>
    <cellStyle name="Currency 5 3 2 2 2 6 2 3" xfId="15163" xr:uid="{3FEB2EA9-2888-40B0-9C3E-4F357660FB88}"/>
    <cellStyle name="Currency 5 3 2 2 2 6 3" xfId="19386" xr:uid="{48379493-4AC7-4522-B538-DB69D616042B}"/>
    <cellStyle name="Currency 5 3 2 2 2 6 4" xfId="10945" xr:uid="{50337CB4-67F3-4F7C-945B-F97786C4FE53}"/>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23921" xr:uid="{663F8015-FAC8-40A3-8DB4-7712F87B217F}"/>
    <cellStyle name="Currency 5 3 2 2 2 8 2 3" xfId="15480" xr:uid="{2810075A-0C79-4626-806A-C03CCF1258B0}"/>
    <cellStyle name="Currency 5 3 2 2 2 8 3" xfId="19703" xr:uid="{D998894D-6875-4F97-8583-DABDAC02EF55}"/>
    <cellStyle name="Currency 5 3 2 2 2 8 4" xfId="11262" xr:uid="{B8BE6D68-E542-41F4-A983-A7676DBBD0EC}"/>
    <cellStyle name="Currency 5 3 2 2 2 9" xfId="4655" xr:uid="{00000000-0005-0000-0000-00009D0C0000}"/>
    <cellStyle name="Currency 5 3 2 2 2 9 2" xfId="21538" xr:uid="{9BB39C78-9593-4FDF-9EDB-6E02713C30EE}"/>
    <cellStyle name="Currency 5 3 2 2 2 9 3" xfId="13097" xr:uid="{A3E11D37-3CF3-4160-B604-739F368EC252}"/>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24096" xr:uid="{EF26D49E-5EC7-4B5D-96FB-9813A49ADA6D}"/>
    <cellStyle name="Currency 5 3 2 2 3 2 2 3" xfId="15655" xr:uid="{F39C79BC-55AF-418F-BCF1-146B78D8BA97}"/>
    <cellStyle name="Currency 5 3 2 2 3 2 3" xfId="19878" xr:uid="{D6193CB2-F51F-4A61-9230-7B7069EA0B77}"/>
    <cellStyle name="Currency 5 3 2 2 3 2 4" xfId="11437" xr:uid="{C60FADEC-DF80-47ED-A308-ED0920A12DEA}"/>
    <cellStyle name="Currency 5 3 2 2 3 3" xfId="5068" xr:uid="{00000000-0005-0000-0000-0000A10C0000}"/>
    <cellStyle name="Currency 5 3 2 2 3 3 2" xfId="21951" xr:uid="{CDCAC745-EB04-43B2-BFDA-ABA9D50EF305}"/>
    <cellStyle name="Currency 5 3 2 2 3 3 3" xfId="13510" xr:uid="{C60A5E5C-F8B1-4579-BE94-22024933F009}"/>
    <cellStyle name="Currency 5 3 2 2 3 4" xfId="17733" xr:uid="{CF0DF58F-F22D-44DE-A4B4-339271D4527D}"/>
    <cellStyle name="Currency 5 3 2 2 3 5" xfId="9292" xr:uid="{687F6CC2-5E9F-4623-AE60-40BD6B84B927}"/>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24509" xr:uid="{2D0825B1-CF6A-415C-A814-589DE0004A71}"/>
    <cellStyle name="Currency 5 3 2 2 4 2 2 3" xfId="16068" xr:uid="{B00FFBFF-5353-4D32-B68C-CEA7E179B6D9}"/>
    <cellStyle name="Currency 5 3 2 2 4 2 3" xfId="20291" xr:uid="{0703C708-CDDC-46B4-ACCA-26B80529CEFE}"/>
    <cellStyle name="Currency 5 3 2 2 4 2 4" xfId="11850" xr:uid="{8BBE237A-8646-4051-BED2-09B5CAB5F5F9}"/>
    <cellStyle name="Currency 5 3 2 2 4 3" xfId="5481" xr:uid="{00000000-0005-0000-0000-0000A50C0000}"/>
    <cellStyle name="Currency 5 3 2 2 4 3 2" xfId="22364" xr:uid="{7EA5AFE4-EC5E-4CDA-BD94-F70553B90969}"/>
    <cellStyle name="Currency 5 3 2 2 4 3 3" xfId="13923" xr:uid="{40563367-9157-4FBD-9692-CF0B5927823F}"/>
    <cellStyle name="Currency 5 3 2 2 4 4" xfId="18146" xr:uid="{BCC64207-C310-44B2-8500-097702BC454D}"/>
    <cellStyle name="Currency 5 3 2 2 4 5" xfId="9705" xr:uid="{6D6867CA-AE21-4EFB-92A1-C67D45703061}"/>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24922" xr:uid="{43607F78-1655-4B60-9766-D5EF96DA06FB}"/>
    <cellStyle name="Currency 5 3 2 2 5 2 2 3" xfId="16481" xr:uid="{33009747-27E0-40B4-867D-6608D109B1DE}"/>
    <cellStyle name="Currency 5 3 2 2 5 2 3" xfId="20704" xr:uid="{05A4E5ED-B7E1-42B2-9AD0-130E09294BD8}"/>
    <cellStyle name="Currency 5 3 2 2 5 2 4" xfId="12263" xr:uid="{E1CF49E3-A4CB-4FFB-8D4D-EAEA56465DEB}"/>
    <cellStyle name="Currency 5 3 2 2 5 3" xfId="5894" xr:uid="{00000000-0005-0000-0000-0000A90C0000}"/>
    <cellStyle name="Currency 5 3 2 2 5 3 2" xfId="22777" xr:uid="{56B15CC8-A130-4F0C-AB5A-54B9620445A5}"/>
    <cellStyle name="Currency 5 3 2 2 5 3 3" xfId="14336" xr:uid="{F683BF42-CDB5-4499-9ABB-D5C1AE53FDAC}"/>
    <cellStyle name="Currency 5 3 2 2 5 4" xfId="18559" xr:uid="{52FBF532-4076-4FFC-8326-25683AC4F91D}"/>
    <cellStyle name="Currency 5 3 2 2 5 5" xfId="10118" xr:uid="{9CF61805-82E7-454B-B6B2-7295B3FE0899}"/>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25335" xr:uid="{A57BF0C2-D84F-4EC2-A046-133CE36241AB}"/>
    <cellStyle name="Currency 5 3 2 2 6 2 2 3" xfId="16894" xr:uid="{BD6E3721-4EB1-4FC7-AC9B-127B53A3E08B}"/>
    <cellStyle name="Currency 5 3 2 2 6 2 3" xfId="21117" xr:uid="{614535CA-2567-4CD9-A537-EA78D7F55293}"/>
    <cellStyle name="Currency 5 3 2 2 6 2 4" xfId="12676" xr:uid="{F354BE88-6462-4BE3-989A-6FB0653704C0}"/>
    <cellStyle name="Currency 5 3 2 2 6 3" xfId="6307" xr:uid="{00000000-0005-0000-0000-0000AD0C0000}"/>
    <cellStyle name="Currency 5 3 2 2 6 3 2" xfId="23190" xr:uid="{67EE29EF-0260-4E52-80B2-269E79A2D30B}"/>
    <cellStyle name="Currency 5 3 2 2 6 3 3" xfId="14749" xr:uid="{3678681C-8F52-45EE-9082-E3987B0D9CB2}"/>
    <cellStyle name="Currency 5 3 2 2 6 4" xfId="18972" xr:uid="{0D2BA6C9-C260-4DBE-AA82-1250539B0A95}"/>
    <cellStyle name="Currency 5 3 2 2 6 5" xfId="10531" xr:uid="{D612964A-E34A-4AEC-AE1A-BBD4DA3D624F}"/>
    <cellStyle name="Currency 5 3 2 2 7" xfId="2435" xr:uid="{00000000-0005-0000-0000-0000AE0C0000}"/>
    <cellStyle name="Currency 5 3 2 2 7 2" xfId="6720" xr:uid="{00000000-0005-0000-0000-0000AF0C0000}"/>
    <cellStyle name="Currency 5 3 2 2 7 2 2" xfId="23603" xr:uid="{59B37509-4327-4DD0-ADD2-43949C16023A}"/>
    <cellStyle name="Currency 5 3 2 2 7 2 3" xfId="15162" xr:uid="{920FF5DF-B4D8-43C1-A423-F4C5EBD54088}"/>
    <cellStyle name="Currency 5 3 2 2 7 3" xfId="19385" xr:uid="{385480B5-3963-4360-B9F5-A19F3A0B80D4}"/>
    <cellStyle name="Currency 5 3 2 2 7 4" xfId="10944" xr:uid="{6F96A982-38DF-4649-B7C7-9B8D478572A1}"/>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23920" xr:uid="{270D0B47-5FF6-487F-A53C-661AE1F1F835}"/>
    <cellStyle name="Currency 5 3 2 2 9 2 3" xfId="15479" xr:uid="{E2349A76-F07E-48C7-8985-CF1B4B0DF092}"/>
    <cellStyle name="Currency 5 3 2 2 9 3" xfId="19702" xr:uid="{E11214D7-C712-4B89-B588-471C217C0E6E}"/>
    <cellStyle name="Currency 5 3 2 2 9 4" xfId="11261" xr:uid="{D3611B4D-F92D-4E20-ACD4-50CCB09E36EC}"/>
    <cellStyle name="Currency 5 3 2 3" xfId="213" xr:uid="{00000000-0005-0000-0000-0000B30C0000}"/>
    <cellStyle name="Currency 5 3 2 3 10" xfId="17321" xr:uid="{859DB145-5664-429B-8713-CE06E1C225D0}"/>
    <cellStyle name="Currency 5 3 2 3 11" xfId="8880" xr:uid="{87E3D98C-F167-456E-B7D4-1F609C5E860C}"/>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24098" xr:uid="{4CAE398E-3FC3-4894-B84B-92CF6C3CB364}"/>
    <cellStyle name="Currency 5 3 2 3 2 2 2 3" xfId="15657" xr:uid="{F61764AF-3024-49D4-9C1A-C3537413F3B4}"/>
    <cellStyle name="Currency 5 3 2 3 2 2 3" xfId="19880" xr:uid="{20A521B6-C5A5-440E-A515-12BC05108D8C}"/>
    <cellStyle name="Currency 5 3 2 3 2 2 4" xfId="11439" xr:uid="{034D2369-64BD-4702-84C2-529B655CAC29}"/>
    <cellStyle name="Currency 5 3 2 3 2 3" xfId="5070" xr:uid="{00000000-0005-0000-0000-0000B70C0000}"/>
    <cellStyle name="Currency 5 3 2 3 2 3 2" xfId="21953" xr:uid="{B426B8BA-458D-4BA5-922F-8714D39763BE}"/>
    <cellStyle name="Currency 5 3 2 3 2 3 3" xfId="13512" xr:uid="{32EB138B-1C78-49C1-A545-2136327C0CF6}"/>
    <cellStyle name="Currency 5 3 2 3 2 4" xfId="17735" xr:uid="{9D1EF514-A185-4712-9830-E444CA80A7F4}"/>
    <cellStyle name="Currency 5 3 2 3 2 5" xfId="9294" xr:uid="{9EAC3649-3E94-4F1A-A118-280D9B5D7772}"/>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24511" xr:uid="{4694B964-FA7F-4F34-BB7B-D553BC73EA5B}"/>
    <cellStyle name="Currency 5 3 2 3 3 2 2 3" xfId="16070" xr:uid="{9297271A-94E1-4498-BDE0-9DB2ED3A9AC0}"/>
    <cellStyle name="Currency 5 3 2 3 3 2 3" xfId="20293" xr:uid="{F5F0F6E3-7DBF-4616-B384-91E894525B0B}"/>
    <cellStyle name="Currency 5 3 2 3 3 2 4" xfId="11852" xr:uid="{2491D15F-70F5-4785-8BE2-1719F59BDE21}"/>
    <cellStyle name="Currency 5 3 2 3 3 3" xfId="5483" xr:uid="{00000000-0005-0000-0000-0000BB0C0000}"/>
    <cellStyle name="Currency 5 3 2 3 3 3 2" xfId="22366" xr:uid="{EBB4B167-D6D7-4446-B500-06DCC6E98CAE}"/>
    <cellStyle name="Currency 5 3 2 3 3 3 3" xfId="13925" xr:uid="{AF89C015-DCBF-410B-A333-D3648BC6B774}"/>
    <cellStyle name="Currency 5 3 2 3 3 4" xfId="18148" xr:uid="{6CB812B0-976C-4AE3-A1C4-24F7E3A463C0}"/>
    <cellStyle name="Currency 5 3 2 3 3 5" xfId="9707" xr:uid="{86693048-7F41-4137-932A-570F50909EC1}"/>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24924" xr:uid="{6469257E-BBC7-4E72-AA7C-E27F1636DBE3}"/>
    <cellStyle name="Currency 5 3 2 3 4 2 2 3" xfId="16483" xr:uid="{8E2E372C-5AD3-49A8-8CBE-07BBD9161DD2}"/>
    <cellStyle name="Currency 5 3 2 3 4 2 3" xfId="20706" xr:uid="{ABBC5CCB-8217-4A3B-9912-270A03D58603}"/>
    <cellStyle name="Currency 5 3 2 3 4 2 4" xfId="12265" xr:uid="{FA3E1665-A2A0-4743-A249-198A5DD6A05D}"/>
    <cellStyle name="Currency 5 3 2 3 4 3" xfId="5896" xr:uid="{00000000-0005-0000-0000-0000BF0C0000}"/>
    <cellStyle name="Currency 5 3 2 3 4 3 2" xfId="22779" xr:uid="{0F9BEFC3-7779-40EE-B9FC-589187309BC5}"/>
    <cellStyle name="Currency 5 3 2 3 4 3 3" xfId="14338" xr:uid="{5FDD843E-35E5-4839-84E5-3677F139AF26}"/>
    <cellStyle name="Currency 5 3 2 3 4 4" xfId="18561" xr:uid="{CD80FDC5-4957-4BA0-A9BB-9F49FA69C05F}"/>
    <cellStyle name="Currency 5 3 2 3 4 5" xfId="10120" xr:uid="{D8C41D94-FB97-4662-A584-0BA7DB08C531}"/>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25337" xr:uid="{844A2B73-62E0-4B0E-9D95-61AC752AC6E9}"/>
    <cellStyle name="Currency 5 3 2 3 5 2 2 3" xfId="16896" xr:uid="{470B2F78-BC75-42C0-95B6-E813A0A01B66}"/>
    <cellStyle name="Currency 5 3 2 3 5 2 3" xfId="21119" xr:uid="{0B9A3B16-D11E-4641-AF0E-0B11C034E350}"/>
    <cellStyle name="Currency 5 3 2 3 5 2 4" xfId="12678" xr:uid="{E8FCDACE-C342-463A-BC7D-08EC9A2DBD1B}"/>
    <cellStyle name="Currency 5 3 2 3 5 3" xfId="6309" xr:uid="{00000000-0005-0000-0000-0000C30C0000}"/>
    <cellStyle name="Currency 5 3 2 3 5 3 2" xfId="23192" xr:uid="{16F3D4B0-1333-471A-9BEC-A10672C3BB07}"/>
    <cellStyle name="Currency 5 3 2 3 5 3 3" xfId="14751" xr:uid="{916D3FAB-8D6D-4CBB-BF51-5172BFB99D17}"/>
    <cellStyle name="Currency 5 3 2 3 5 4" xfId="18974" xr:uid="{3B430977-F0E1-40FA-B836-569795E66AAE}"/>
    <cellStyle name="Currency 5 3 2 3 5 5" xfId="10533" xr:uid="{4367E6B7-0EFD-4DC1-8080-ABB2C965DC2D}"/>
    <cellStyle name="Currency 5 3 2 3 6" xfId="2437" xr:uid="{00000000-0005-0000-0000-0000C40C0000}"/>
    <cellStyle name="Currency 5 3 2 3 6 2" xfId="6722" xr:uid="{00000000-0005-0000-0000-0000C50C0000}"/>
    <cellStyle name="Currency 5 3 2 3 6 2 2" xfId="23605" xr:uid="{54E9BCD3-2A48-4345-B4C3-22623260DFFE}"/>
    <cellStyle name="Currency 5 3 2 3 6 2 3" xfId="15164" xr:uid="{0050B666-0A95-42EF-A4AC-114FDEEAD5B2}"/>
    <cellStyle name="Currency 5 3 2 3 6 3" xfId="19387" xr:uid="{24ED7554-DEC3-46F8-B653-7A3F576C4D08}"/>
    <cellStyle name="Currency 5 3 2 3 6 4" xfId="10946" xr:uid="{0DFA5BD5-E0D7-454A-95AF-30203A66BB54}"/>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23922" xr:uid="{E105DD16-50A8-4C7E-A4FF-3D6929E0DCAC}"/>
    <cellStyle name="Currency 5 3 2 3 8 2 3" xfId="15481" xr:uid="{17A60055-23AC-4291-97B2-0E341618EB25}"/>
    <cellStyle name="Currency 5 3 2 3 8 3" xfId="19704" xr:uid="{10CCCCE5-C994-4C98-B749-6CE158C73FDF}"/>
    <cellStyle name="Currency 5 3 2 3 8 4" xfId="11263" xr:uid="{7AB9F58E-0FA9-4DA4-B212-7E8ADA0C5BBC}"/>
    <cellStyle name="Currency 5 3 2 3 9" xfId="4656" xr:uid="{00000000-0005-0000-0000-0000C90C0000}"/>
    <cellStyle name="Currency 5 3 2 3 9 2" xfId="21539" xr:uid="{057A2BBA-8340-487C-8582-A436C43F0236}"/>
    <cellStyle name="Currency 5 3 2 3 9 3" xfId="13098" xr:uid="{B2BDE2C4-DAC2-45ED-8289-3EA829ACD364}"/>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24095" xr:uid="{6EA7B273-DC8A-4D65-BDE1-65457DBB425A}"/>
    <cellStyle name="Currency 5 3 2 4 2 2 3" xfId="15654" xr:uid="{28DC5460-18ED-4021-979C-B2FBDF123673}"/>
    <cellStyle name="Currency 5 3 2 4 2 3" xfId="19877" xr:uid="{1B25D10C-7A25-4EF0-917B-4DD3800CEAAD}"/>
    <cellStyle name="Currency 5 3 2 4 2 4" xfId="11436" xr:uid="{571C6DBA-70A3-4779-8EBE-295A3BDE719F}"/>
    <cellStyle name="Currency 5 3 2 4 3" xfId="5067" xr:uid="{00000000-0005-0000-0000-0000CD0C0000}"/>
    <cellStyle name="Currency 5 3 2 4 3 2" xfId="21950" xr:uid="{D9CC6949-8AAC-44BA-953D-20165C672383}"/>
    <cellStyle name="Currency 5 3 2 4 3 3" xfId="13509" xr:uid="{6A509C67-6F4D-4F19-8385-8842FFA74F95}"/>
    <cellStyle name="Currency 5 3 2 4 4" xfId="17732" xr:uid="{43C68ACF-20A1-4878-93F7-165C5A26CC30}"/>
    <cellStyle name="Currency 5 3 2 4 5" xfId="9291" xr:uid="{DEA186C8-675A-4CB8-B4D7-207E6E39CA86}"/>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24508" xr:uid="{82546619-BC0D-4E8F-B861-F6129D4D5C46}"/>
    <cellStyle name="Currency 5 3 2 5 2 2 3" xfId="16067" xr:uid="{E9FA54E5-7676-42EF-9304-93D1B0BB84E7}"/>
    <cellStyle name="Currency 5 3 2 5 2 3" xfId="20290" xr:uid="{D7C74E15-727A-496F-BB3C-9FF88E1E2606}"/>
    <cellStyle name="Currency 5 3 2 5 2 4" xfId="11849" xr:uid="{9AE59EBA-8408-4DA2-B552-F6DB8EE86B39}"/>
    <cellStyle name="Currency 5 3 2 5 3" xfId="5480" xr:uid="{00000000-0005-0000-0000-0000D10C0000}"/>
    <cellStyle name="Currency 5 3 2 5 3 2" xfId="22363" xr:uid="{6D447AB2-8565-4DB5-82F4-B894B752B537}"/>
    <cellStyle name="Currency 5 3 2 5 3 3" xfId="13922" xr:uid="{9938D565-6EC4-4052-B624-6A05176B69D7}"/>
    <cellStyle name="Currency 5 3 2 5 4" xfId="18145" xr:uid="{7D18C87D-5778-41E3-B260-DBECDCAAF8BB}"/>
    <cellStyle name="Currency 5 3 2 5 5" xfId="9704" xr:uid="{0CF38CAD-89DD-443A-BBDF-7514438BE617}"/>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24921" xr:uid="{B4C451D9-DC71-4A7E-8A36-31A004474E5D}"/>
    <cellStyle name="Currency 5 3 2 6 2 2 3" xfId="16480" xr:uid="{8DDAEDA8-F614-4EC0-8305-D74699BB8961}"/>
    <cellStyle name="Currency 5 3 2 6 2 3" xfId="20703" xr:uid="{6F8554E9-DC48-4FDB-AE8F-4D8130FA8ED0}"/>
    <cellStyle name="Currency 5 3 2 6 2 4" xfId="12262" xr:uid="{A886749A-C138-4775-A3F8-4FE7447E4298}"/>
    <cellStyle name="Currency 5 3 2 6 3" xfId="5893" xr:uid="{00000000-0005-0000-0000-0000D50C0000}"/>
    <cellStyle name="Currency 5 3 2 6 3 2" xfId="22776" xr:uid="{0E6B5BD8-E6C5-492E-BEC4-C233DABEBE9C}"/>
    <cellStyle name="Currency 5 3 2 6 3 3" xfId="14335" xr:uid="{01F2D378-9DD5-4EEA-A162-236561B6CFF6}"/>
    <cellStyle name="Currency 5 3 2 6 4" xfId="18558" xr:uid="{B82BEF91-4003-4D57-85C7-093B70C3D161}"/>
    <cellStyle name="Currency 5 3 2 6 5" xfId="10117" xr:uid="{650EA9D1-C01F-434F-9442-61E621090C37}"/>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25334" xr:uid="{9BEF6EF3-87F7-49F9-B4E5-0738ADF9A85A}"/>
    <cellStyle name="Currency 5 3 2 7 2 2 3" xfId="16893" xr:uid="{7F0B5EE2-9E43-45C4-B96C-C6F411F522E1}"/>
    <cellStyle name="Currency 5 3 2 7 2 3" xfId="21116" xr:uid="{02621F7B-9D5D-474F-B846-231287C4EF05}"/>
    <cellStyle name="Currency 5 3 2 7 2 4" xfId="12675" xr:uid="{57FDDDCA-5E3B-4500-9D69-C91B6B95ACE0}"/>
    <cellStyle name="Currency 5 3 2 7 3" xfId="6306" xr:uid="{00000000-0005-0000-0000-0000D90C0000}"/>
    <cellStyle name="Currency 5 3 2 7 3 2" xfId="23189" xr:uid="{D920BE2E-DA27-4806-A016-CB720FF413C1}"/>
    <cellStyle name="Currency 5 3 2 7 3 3" xfId="14748" xr:uid="{F3597519-4E2D-40D6-A9E4-EC2865A0E4A2}"/>
    <cellStyle name="Currency 5 3 2 7 4" xfId="18971" xr:uid="{0688E2F4-5D92-44A7-AE1B-B4E54E5D69F1}"/>
    <cellStyle name="Currency 5 3 2 7 5" xfId="10530" xr:uid="{E8A860DE-89BD-4C79-A857-4642E3E9F43D}"/>
    <cellStyle name="Currency 5 3 2 8" xfId="2434" xr:uid="{00000000-0005-0000-0000-0000DA0C0000}"/>
    <cellStyle name="Currency 5 3 2 8 2" xfId="6719" xr:uid="{00000000-0005-0000-0000-0000DB0C0000}"/>
    <cellStyle name="Currency 5 3 2 8 2 2" xfId="23602" xr:uid="{406AF166-F45E-46C9-8E5F-8603DC31F424}"/>
    <cellStyle name="Currency 5 3 2 8 2 3" xfId="15161" xr:uid="{DA9BE70A-409D-4580-9ED1-35146A12C48A}"/>
    <cellStyle name="Currency 5 3 2 8 3" xfId="19384" xr:uid="{12843634-F14D-4546-B95F-9E98AEDF8860}"/>
    <cellStyle name="Currency 5 3 2 8 4" xfId="10943" xr:uid="{1FE5BD47-E3D0-4305-9651-D79D0EB4343D}"/>
    <cellStyle name="Currency 5 3 2 9" xfId="2731" xr:uid="{00000000-0005-0000-0000-0000DC0C0000}"/>
    <cellStyle name="Currency 5 3 3" xfId="214" xr:uid="{00000000-0005-0000-0000-0000DD0C0000}"/>
    <cellStyle name="Currency 5 3 3 10" xfId="4657" xr:uid="{00000000-0005-0000-0000-0000DE0C0000}"/>
    <cellStyle name="Currency 5 3 3 10 2" xfId="21540" xr:uid="{FB295431-386D-44D0-B0D2-F96FAD8242CB}"/>
    <cellStyle name="Currency 5 3 3 10 3" xfId="13099" xr:uid="{B97B6132-A23B-47F1-AD8D-2679AECABB66}"/>
    <cellStyle name="Currency 5 3 3 11" xfId="17322" xr:uid="{8F0F2753-559A-4E2F-919A-B2F33531B763}"/>
    <cellStyle name="Currency 5 3 3 12" xfId="8881" xr:uid="{BCA673D9-4773-43DA-BDDF-4AD4C9AD9D53}"/>
    <cellStyle name="Currency 5 3 3 2" xfId="215" xr:uid="{00000000-0005-0000-0000-0000DF0C0000}"/>
    <cellStyle name="Currency 5 3 3 2 10" xfId="17323" xr:uid="{143A84AC-406F-411C-B922-CA31ACED4E39}"/>
    <cellStyle name="Currency 5 3 3 2 11" xfId="8882" xr:uid="{003230D1-3A3F-45E6-857C-B6E3EAA05515}"/>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24100" xr:uid="{26AE60DA-9CD0-4C02-AB9B-C8FD143F50B4}"/>
    <cellStyle name="Currency 5 3 3 2 2 2 2 3" xfId="15659" xr:uid="{6C6B22D6-4AB0-477D-87AE-A65DC649846B}"/>
    <cellStyle name="Currency 5 3 3 2 2 2 3" xfId="19882" xr:uid="{019206DD-F3D0-4B05-8539-9ECEC41BFB8E}"/>
    <cellStyle name="Currency 5 3 3 2 2 2 4" xfId="11441" xr:uid="{56AA2BF1-4918-4E33-B319-06A2CE381939}"/>
    <cellStyle name="Currency 5 3 3 2 2 3" xfId="5072" xr:uid="{00000000-0005-0000-0000-0000E30C0000}"/>
    <cellStyle name="Currency 5 3 3 2 2 3 2" xfId="21955" xr:uid="{4B7E10EA-4FB8-4928-95AD-478BF41D196B}"/>
    <cellStyle name="Currency 5 3 3 2 2 3 3" xfId="13514" xr:uid="{38190C22-C897-447D-8473-22BB4B5A856C}"/>
    <cellStyle name="Currency 5 3 3 2 2 4" xfId="17737" xr:uid="{4C3E1E83-1691-4D85-97BE-A1981CF1FB7A}"/>
    <cellStyle name="Currency 5 3 3 2 2 5" xfId="9296" xr:uid="{4B50B866-CFD5-4000-A545-B2FEF1022122}"/>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24513" xr:uid="{2130D996-334F-43B6-A7BA-35C6AEDB2119}"/>
    <cellStyle name="Currency 5 3 3 2 3 2 2 3" xfId="16072" xr:uid="{2ECA04D5-DDAB-4C06-9C09-6142AF865357}"/>
    <cellStyle name="Currency 5 3 3 2 3 2 3" xfId="20295" xr:uid="{0FD36495-D765-4E91-BCAA-B8A6C321B8DC}"/>
    <cellStyle name="Currency 5 3 3 2 3 2 4" xfId="11854" xr:uid="{A82150FA-AD05-49D0-BC8A-9B4A262D95BB}"/>
    <cellStyle name="Currency 5 3 3 2 3 3" xfId="5485" xr:uid="{00000000-0005-0000-0000-0000E70C0000}"/>
    <cellStyle name="Currency 5 3 3 2 3 3 2" xfId="22368" xr:uid="{2FE033B7-FB46-4523-9BC0-53F849188A54}"/>
    <cellStyle name="Currency 5 3 3 2 3 3 3" xfId="13927" xr:uid="{E15E2A07-5280-4C3A-8232-C81D78002DFC}"/>
    <cellStyle name="Currency 5 3 3 2 3 4" xfId="18150" xr:uid="{6D081378-C5FB-4958-B679-A1F9A2ED30E0}"/>
    <cellStyle name="Currency 5 3 3 2 3 5" xfId="9709" xr:uid="{3BDA521F-466D-4357-BE0D-9FDBBBF2F8BD}"/>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24926" xr:uid="{1ECBD017-B023-48E3-B589-E015E8840496}"/>
    <cellStyle name="Currency 5 3 3 2 4 2 2 3" xfId="16485" xr:uid="{86EB6121-2E1B-497B-8B03-ED9E9D8CC0A5}"/>
    <cellStyle name="Currency 5 3 3 2 4 2 3" xfId="20708" xr:uid="{4E31DA83-59A4-4A17-9612-5348571500A3}"/>
    <cellStyle name="Currency 5 3 3 2 4 2 4" xfId="12267" xr:uid="{876BBEB7-FABD-462E-B959-7FB473EF3BC9}"/>
    <cellStyle name="Currency 5 3 3 2 4 3" xfId="5898" xr:uid="{00000000-0005-0000-0000-0000EB0C0000}"/>
    <cellStyle name="Currency 5 3 3 2 4 3 2" xfId="22781" xr:uid="{FA7C785D-08B8-4114-9C3B-9DD4E2ACDAD6}"/>
    <cellStyle name="Currency 5 3 3 2 4 3 3" xfId="14340" xr:uid="{0D97903E-83CF-4E49-B2B0-BDE48D6C8ADC}"/>
    <cellStyle name="Currency 5 3 3 2 4 4" xfId="18563" xr:uid="{D11E5727-DB10-4FCF-BE13-BA51ED8FE2C0}"/>
    <cellStyle name="Currency 5 3 3 2 4 5" xfId="10122" xr:uid="{FBF9D529-FCA6-4D94-BCE8-97021D5ED4B2}"/>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25339" xr:uid="{5C955282-D084-4809-B0FF-C672F5043E32}"/>
    <cellStyle name="Currency 5 3 3 2 5 2 2 3" xfId="16898" xr:uid="{8CB3B797-91A3-4A23-B993-E3B9C740A64C}"/>
    <cellStyle name="Currency 5 3 3 2 5 2 3" xfId="21121" xr:uid="{E161EC41-AB83-4C12-A970-C41CF7EFD506}"/>
    <cellStyle name="Currency 5 3 3 2 5 2 4" xfId="12680" xr:uid="{AA94D9F3-A6B6-4364-A879-DB660EA6E8CB}"/>
    <cellStyle name="Currency 5 3 3 2 5 3" xfId="6311" xr:uid="{00000000-0005-0000-0000-0000EF0C0000}"/>
    <cellStyle name="Currency 5 3 3 2 5 3 2" xfId="23194" xr:uid="{DA5E7582-F93B-4C7F-B586-EC12CB0D0CC3}"/>
    <cellStyle name="Currency 5 3 3 2 5 3 3" xfId="14753" xr:uid="{2BE38D89-FC5D-4D7B-B6EA-C3E64480E934}"/>
    <cellStyle name="Currency 5 3 3 2 5 4" xfId="18976" xr:uid="{9F709170-5B83-427A-AAB5-EB28B432AF0D}"/>
    <cellStyle name="Currency 5 3 3 2 5 5" xfId="10535" xr:uid="{0E43E49D-57CA-4115-B506-16154558790E}"/>
    <cellStyle name="Currency 5 3 3 2 6" xfId="2439" xr:uid="{00000000-0005-0000-0000-0000F00C0000}"/>
    <cellStyle name="Currency 5 3 3 2 6 2" xfId="6724" xr:uid="{00000000-0005-0000-0000-0000F10C0000}"/>
    <cellStyle name="Currency 5 3 3 2 6 2 2" xfId="23607" xr:uid="{E367A3AE-EBCF-496F-B5CE-12AE34BDD977}"/>
    <cellStyle name="Currency 5 3 3 2 6 2 3" xfId="15166" xr:uid="{5954077C-7D74-4907-BA25-0A27EC6EA682}"/>
    <cellStyle name="Currency 5 3 3 2 6 3" xfId="19389" xr:uid="{3DDF71DA-307C-416E-BA90-8031488B845C}"/>
    <cellStyle name="Currency 5 3 3 2 6 4" xfId="10948" xr:uid="{1F4C4E74-A90C-4622-80C1-B190E17B7F0B}"/>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23924" xr:uid="{5CEE6CF4-DACB-40D2-B973-B52AA635E322}"/>
    <cellStyle name="Currency 5 3 3 2 8 2 3" xfId="15483" xr:uid="{902C01F6-DE22-4FB3-9518-26F4ECCB351C}"/>
    <cellStyle name="Currency 5 3 3 2 8 3" xfId="19706" xr:uid="{8B6A428D-745A-4672-BD5E-09D2AB068EE6}"/>
    <cellStyle name="Currency 5 3 3 2 8 4" xfId="11265" xr:uid="{BDAD7C05-E952-4F36-B982-AAFFC0C70D53}"/>
    <cellStyle name="Currency 5 3 3 2 9" xfId="4658" xr:uid="{00000000-0005-0000-0000-0000F50C0000}"/>
    <cellStyle name="Currency 5 3 3 2 9 2" xfId="21541" xr:uid="{5BAB64FB-543E-47F2-BD50-CB2390FB2DAE}"/>
    <cellStyle name="Currency 5 3 3 2 9 3" xfId="13100" xr:uid="{DBFD45FB-1DAF-4C56-9A1C-EEBC41D1AEBE}"/>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24099" xr:uid="{A4D87517-323C-4EB9-968F-6CF4A75662B8}"/>
    <cellStyle name="Currency 5 3 3 3 2 2 3" xfId="15658" xr:uid="{90CFB2F0-A36C-4032-B17A-E0D69B3058BB}"/>
    <cellStyle name="Currency 5 3 3 3 2 3" xfId="19881" xr:uid="{44DCD11D-0981-4FCA-9907-BE86F0B651E1}"/>
    <cellStyle name="Currency 5 3 3 3 2 4" xfId="11440" xr:uid="{477491B9-D67E-4613-AD41-A9D6792AAD2E}"/>
    <cellStyle name="Currency 5 3 3 3 3" xfId="5071" xr:uid="{00000000-0005-0000-0000-0000F90C0000}"/>
    <cellStyle name="Currency 5 3 3 3 3 2" xfId="21954" xr:uid="{0F9D0F4B-5711-434B-85BF-5E2DAB61BA0A}"/>
    <cellStyle name="Currency 5 3 3 3 3 3" xfId="13513" xr:uid="{EE38180B-F60F-4745-8DA6-0C77C7DA8EAA}"/>
    <cellStyle name="Currency 5 3 3 3 4" xfId="17736" xr:uid="{343DD56E-A569-4B7D-A256-62CF69C283AF}"/>
    <cellStyle name="Currency 5 3 3 3 5" xfId="9295" xr:uid="{AC8BA232-9ADA-452E-B537-BF3C4FDDBE19}"/>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24512" xr:uid="{96B86E85-246A-4C1D-835F-614C6F268856}"/>
    <cellStyle name="Currency 5 3 3 4 2 2 3" xfId="16071" xr:uid="{3D9D8761-1A1C-4A59-87F6-2793D588FDC3}"/>
    <cellStyle name="Currency 5 3 3 4 2 3" xfId="20294" xr:uid="{5B4FF61D-5416-4120-9DB6-52D3D3CD8E3A}"/>
    <cellStyle name="Currency 5 3 3 4 2 4" xfId="11853" xr:uid="{102B496C-69BB-4D20-9ED2-1925188205AF}"/>
    <cellStyle name="Currency 5 3 3 4 3" xfId="5484" xr:uid="{00000000-0005-0000-0000-0000FD0C0000}"/>
    <cellStyle name="Currency 5 3 3 4 3 2" xfId="22367" xr:uid="{674B27C7-E4FC-4F3A-9D05-9CE43599020A}"/>
    <cellStyle name="Currency 5 3 3 4 3 3" xfId="13926" xr:uid="{1B5B9DF9-D739-4914-BE8A-2826F9752553}"/>
    <cellStyle name="Currency 5 3 3 4 4" xfId="18149" xr:uid="{C1DF4086-CC8F-46C6-9334-B0C53D04F16B}"/>
    <cellStyle name="Currency 5 3 3 4 5" xfId="9708" xr:uid="{95D590AC-944E-454B-B99F-C610DC53D48F}"/>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24925" xr:uid="{88C12379-B89D-4C87-AB4F-6C3FE813AD2B}"/>
    <cellStyle name="Currency 5 3 3 5 2 2 3" xfId="16484" xr:uid="{961026AE-3C03-4D57-9E7F-AE7740113AE5}"/>
    <cellStyle name="Currency 5 3 3 5 2 3" xfId="20707" xr:uid="{7DFF0B65-1DB3-41B8-BE8B-2A4D01BC818F}"/>
    <cellStyle name="Currency 5 3 3 5 2 4" xfId="12266" xr:uid="{C9D95179-792F-4166-950A-9DA78F6FE50B}"/>
    <cellStyle name="Currency 5 3 3 5 3" xfId="5897" xr:uid="{00000000-0005-0000-0000-0000010D0000}"/>
    <cellStyle name="Currency 5 3 3 5 3 2" xfId="22780" xr:uid="{EDCDB1E2-65F1-4294-A2AA-5E06F2C9BFE0}"/>
    <cellStyle name="Currency 5 3 3 5 3 3" xfId="14339" xr:uid="{390B31E7-0949-4116-9976-40E9BB4E4A98}"/>
    <cellStyle name="Currency 5 3 3 5 4" xfId="18562" xr:uid="{3AC42925-2556-4DB2-858E-BA7394B16763}"/>
    <cellStyle name="Currency 5 3 3 5 5" xfId="10121" xr:uid="{F7C66940-AB86-4150-901D-C64FE621002E}"/>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25338" xr:uid="{2D8139AC-B1FC-4EE5-B00A-073A44DB2CA8}"/>
    <cellStyle name="Currency 5 3 3 6 2 2 3" xfId="16897" xr:uid="{2D60FD99-10F5-4FF7-BD08-39905E751ED3}"/>
    <cellStyle name="Currency 5 3 3 6 2 3" xfId="21120" xr:uid="{B3A545AC-DDC1-4797-BA75-6DFC3C408D07}"/>
    <cellStyle name="Currency 5 3 3 6 2 4" xfId="12679" xr:uid="{1C4F4585-DA23-46A6-94D9-D01EAD84A491}"/>
    <cellStyle name="Currency 5 3 3 6 3" xfId="6310" xr:uid="{00000000-0005-0000-0000-0000050D0000}"/>
    <cellStyle name="Currency 5 3 3 6 3 2" xfId="23193" xr:uid="{FC6B3E62-B815-43FF-B241-9B4652261C54}"/>
    <cellStyle name="Currency 5 3 3 6 3 3" xfId="14752" xr:uid="{E63A5AF1-5E76-4892-9360-E77410EA85F0}"/>
    <cellStyle name="Currency 5 3 3 6 4" xfId="18975" xr:uid="{FBCF1293-D854-4FDF-BA8D-88D83B30974A}"/>
    <cellStyle name="Currency 5 3 3 6 5" xfId="10534" xr:uid="{A7BD3BD7-4F6D-4A7F-BEC5-1DB5D4D54FFB}"/>
    <cellStyle name="Currency 5 3 3 7" xfId="2438" xr:uid="{00000000-0005-0000-0000-0000060D0000}"/>
    <cellStyle name="Currency 5 3 3 7 2" xfId="6723" xr:uid="{00000000-0005-0000-0000-0000070D0000}"/>
    <cellStyle name="Currency 5 3 3 7 2 2" xfId="23606" xr:uid="{CC9DF87B-0911-435D-8A9D-C9D12C5C5B05}"/>
    <cellStyle name="Currency 5 3 3 7 2 3" xfId="15165" xr:uid="{2A56775A-B28C-4192-999C-05A22108DD02}"/>
    <cellStyle name="Currency 5 3 3 7 3" xfId="19388" xr:uid="{3ECB0071-E86F-41A6-BC0F-35FA81796308}"/>
    <cellStyle name="Currency 5 3 3 7 4" xfId="10947" xr:uid="{AEEE2BA4-7930-44AA-B3F9-46D75F707F2E}"/>
    <cellStyle name="Currency 5 3 3 8" xfId="2735" xr:uid="{00000000-0005-0000-0000-0000080D0000}"/>
    <cellStyle name="Currency 5 3 3 9" xfId="2816" xr:uid="{00000000-0005-0000-0000-0000090D0000}"/>
    <cellStyle name="Currency 5 3 3 9 2" xfId="7040" xr:uid="{00000000-0005-0000-0000-00000A0D0000}"/>
    <cellStyle name="Currency 5 3 3 9 2 2" xfId="23923" xr:uid="{30B51C53-70EF-4989-9415-B5089FDA8D1F}"/>
    <cellStyle name="Currency 5 3 3 9 2 3" xfId="15482" xr:uid="{5AFA164F-7B19-42D6-856D-B4948739DBA3}"/>
    <cellStyle name="Currency 5 3 3 9 3" xfId="19705" xr:uid="{B779D98D-5948-42F1-A5F6-D358DD4EC1F4}"/>
    <cellStyle name="Currency 5 3 3 9 4" xfId="11264" xr:uid="{B820FCFB-3852-467F-9BAD-E7D5265E04F8}"/>
    <cellStyle name="Currency 5 3 4" xfId="216" xr:uid="{00000000-0005-0000-0000-00000B0D0000}"/>
    <cellStyle name="Currency 5 3 4 10" xfId="17324" xr:uid="{91E36663-8258-44BB-B022-C67268345B83}"/>
    <cellStyle name="Currency 5 3 4 11" xfId="8883" xr:uid="{E1D3A5AE-A68E-4A6F-9065-2EBCD03293E0}"/>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24101" xr:uid="{7DA95ED9-A1C5-4C96-8325-F3623430686A}"/>
    <cellStyle name="Currency 5 3 4 2 2 2 3" xfId="15660" xr:uid="{8BEFBE09-120F-4D35-A312-95AF49603ACB}"/>
    <cellStyle name="Currency 5 3 4 2 2 3" xfId="19883" xr:uid="{BD175A0F-3BDE-4D19-891C-83FA2A8D11C2}"/>
    <cellStyle name="Currency 5 3 4 2 2 4" xfId="11442" xr:uid="{D25F5CC8-E3F0-42E7-8496-4B86B9FBA44E}"/>
    <cellStyle name="Currency 5 3 4 2 3" xfId="5073" xr:uid="{00000000-0005-0000-0000-00000F0D0000}"/>
    <cellStyle name="Currency 5 3 4 2 3 2" xfId="21956" xr:uid="{09D14AEB-E9D1-4D9C-AFA2-58310C71BEB3}"/>
    <cellStyle name="Currency 5 3 4 2 3 3" xfId="13515" xr:uid="{2FFF8BA8-9BC4-4396-88D3-5A1C8B41BADA}"/>
    <cellStyle name="Currency 5 3 4 2 4" xfId="17738" xr:uid="{366A869A-6A8B-47AE-BF5B-01728BA57258}"/>
    <cellStyle name="Currency 5 3 4 2 5" xfId="9297" xr:uid="{02ABB74B-6797-4A29-865D-26724AA040EA}"/>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24514" xr:uid="{A6CE10EA-CABA-40BA-8530-4902781CC3DE}"/>
    <cellStyle name="Currency 5 3 4 3 2 2 3" xfId="16073" xr:uid="{3EE408CB-D7C5-4136-8E3F-9AF393975B27}"/>
    <cellStyle name="Currency 5 3 4 3 2 3" xfId="20296" xr:uid="{3C46B857-2F34-4450-BCEE-0E48D985875F}"/>
    <cellStyle name="Currency 5 3 4 3 2 4" xfId="11855" xr:uid="{45827FB8-2668-40D6-B5FB-C88D53802D6F}"/>
    <cellStyle name="Currency 5 3 4 3 3" xfId="5486" xr:uid="{00000000-0005-0000-0000-0000130D0000}"/>
    <cellStyle name="Currency 5 3 4 3 3 2" xfId="22369" xr:uid="{F0592EA3-6703-4C58-A061-D61AF91EB779}"/>
    <cellStyle name="Currency 5 3 4 3 3 3" xfId="13928" xr:uid="{524CCAF5-F515-4176-A74A-5A09606D81DB}"/>
    <cellStyle name="Currency 5 3 4 3 4" xfId="18151" xr:uid="{43C9D93E-D99D-47EF-998D-2DDB086A62BB}"/>
    <cellStyle name="Currency 5 3 4 3 5" xfId="9710" xr:uid="{0F14CD0F-C8C3-4580-8E84-E37A729EA17E}"/>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24927" xr:uid="{47DB7C0E-BBCC-49FD-84C2-CD7D07990480}"/>
    <cellStyle name="Currency 5 3 4 4 2 2 3" xfId="16486" xr:uid="{7C33EC75-832E-4009-AE95-B2A9F525C4A6}"/>
    <cellStyle name="Currency 5 3 4 4 2 3" xfId="20709" xr:uid="{560CE07F-B995-45C4-9849-FD089FDB1A34}"/>
    <cellStyle name="Currency 5 3 4 4 2 4" xfId="12268" xr:uid="{E0757BA0-ABFD-4CA5-8C0D-C5A510E5C5CC}"/>
    <cellStyle name="Currency 5 3 4 4 3" xfId="5899" xr:uid="{00000000-0005-0000-0000-0000170D0000}"/>
    <cellStyle name="Currency 5 3 4 4 3 2" xfId="22782" xr:uid="{A011247B-9FE3-4A44-B98B-A471B26CBB12}"/>
    <cellStyle name="Currency 5 3 4 4 3 3" xfId="14341" xr:uid="{DBCD1B5F-BD43-4C86-8C51-5CF3C2D8D629}"/>
    <cellStyle name="Currency 5 3 4 4 4" xfId="18564" xr:uid="{3508BF74-B8F0-4179-ACA9-B8131D5CCC60}"/>
    <cellStyle name="Currency 5 3 4 4 5" xfId="10123" xr:uid="{5593CFAE-E099-4239-8ADC-69B3729066B7}"/>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25340" xr:uid="{1D9DC2CB-CE24-4C16-B4A6-43D8305E65E2}"/>
    <cellStyle name="Currency 5 3 4 5 2 2 3" xfId="16899" xr:uid="{24037219-C8DF-4C40-B7B3-829E9B1C99AE}"/>
    <cellStyle name="Currency 5 3 4 5 2 3" xfId="21122" xr:uid="{3832E314-F86F-4E8C-8638-723FF7A1F51F}"/>
    <cellStyle name="Currency 5 3 4 5 2 4" xfId="12681" xr:uid="{71AFF9B1-1B3D-41A0-8B3D-9FC1978B8410}"/>
    <cellStyle name="Currency 5 3 4 5 3" xfId="6312" xr:uid="{00000000-0005-0000-0000-00001B0D0000}"/>
    <cellStyle name="Currency 5 3 4 5 3 2" xfId="23195" xr:uid="{303AD1EC-5754-4CAF-8F30-796FEA3A12C1}"/>
    <cellStyle name="Currency 5 3 4 5 3 3" xfId="14754" xr:uid="{A2B1DF3E-A8D4-46CF-9661-D3717BBB0D36}"/>
    <cellStyle name="Currency 5 3 4 5 4" xfId="18977" xr:uid="{0C87E00C-904D-4485-92CB-AE3630429A90}"/>
    <cellStyle name="Currency 5 3 4 5 5" xfId="10536" xr:uid="{0DAAC4BF-E23A-41D3-ADEF-C5E05953C0D1}"/>
    <cellStyle name="Currency 5 3 4 6" xfId="2440" xr:uid="{00000000-0005-0000-0000-00001C0D0000}"/>
    <cellStyle name="Currency 5 3 4 6 2" xfId="6725" xr:uid="{00000000-0005-0000-0000-00001D0D0000}"/>
    <cellStyle name="Currency 5 3 4 6 2 2" xfId="23608" xr:uid="{4BEE7C0B-913A-47F1-9DD2-C5292315E082}"/>
    <cellStyle name="Currency 5 3 4 6 2 3" xfId="15167" xr:uid="{AA132372-BFB3-45B6-AB4E-CD9CA0EFB5F0}"/>
    <cellStyle name="Currency 5 3 4 6 3" xfId="19390" xr:uid="{C3FF50AF-1AB7-42E2-A978-82B3094899D7}"/>
    <cellStyle name="Currency 5 3 4 6 4" xfId="10949" xr:uid="{D844BDC6-983A-44C0-AD90-025B4870F5FC}"/>
    <cellStyle name="Currency 5 3 4 7" xfId="2737" xr:uid="{00000000-0005-0000-0000-00001E0D0000}"/>
    <cellStyle name="Currency 5 3 4 8" xfId="2818" xr:uid="{00000000-0005-0000-0000-00001F0D0000}"/>
    <cellStyle name="Currency 5 3 4 8 2" xfId="7042" xr:uid="{00000000-0005-0000-0000-0000200D0000}"/>
    <cellStyle name="Currency 5 3 4 8 2 2" xfId="23925" xr:uid="{1EA9461D-725B-4905-81C4-073BF92A2C9C}"/>
    <cellStyle name="Currency 5 3 4 8 2 3" xfId="15484" xr:uid="{8673844E-7C23-4AD6-81B4-DE57E6D96B1C}"/>
    <cellStyle name="Currency 5 3 4 8 3" xfId="19707" xr:uid="{815F8C55-BBED-4A0A-B50B-E676FA317D90}"/>
    <cellStyle name="Currency 5 3 4 8 4" xfId="11266" xr:uid="{82FC0D9E-0BBA-4A79-BD25-3B00BC9F5D41}"/>
    <cellStyle name="Currency 5 3 4 9" xfId="4659" xr:uid="{00000000-0005-0000-0000-0000210D0000}"/>
    <cellStyle name="Currency 5 3 4 9 2" xfId="21542" xr:uid="{B1A23689-4412-48EE-907C-393B7DF34D44}"/>
    <cellStyle name="Currency 5 3 4 9 3" xfId="13101" xr:uid="{B5604F3C-8BEA-45CA-970B-15B195682BB1}"/>
    <cellStyle name="Currency 5 3 5" xfId="217" xr:uid="{00000000-0005-0000-0000-0000220D0000}"/>
    <cellStyle name="Currency 5 3 5 10" xfId="17325" xr:uid="{24DE2CA5-0120-44A6-8328-503CA04D073A}"/>
    <cellStyle name="Currency 5 3 5 11" xfId="8884" xr:uid="{44585DB0-2F1A-4DFF-B634-4531C404A792}"/>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24102" xr:uid="{0BD192A4-C2E4-4FFD-B7FF-AD999E5B53D0}"/>
    <cellStyle name="Currency 5 3 5 2 2 2 3" xfId="15661" xr:uid="{362B37B9-97B5-4DFF-A448-EF0BDF5675D8}"/>
    <cellStyle name="Currency 5 3 5 2 2 3" xfId="19884" xr:uid="{A8852873-82F6-4150-9A4B-B3EB511C654E}"/>
    <cellStyle name="Currency 5 3 5 2 2 4" xfId="11443" xr:uid="{DEF7A637-BEAA-4493-BF6F-C89E79C8B4BB}"/>
    <cellStyle name="Currency 5 3 5 2 3" xfId="5074" xr:uid="{00000000-0005-0000-0000-0000260D0000}"/>
    <cellStyle name="Currency 5 3 5 2 3 2" xfId="21957" xr:uid="{FCC780C5-416F-4572-9909-5D05DE0BBAE1}"/>
    <cellStyle name="Currency 5 3 5 2 3 3" xfId="13516" xr:uid="{5A30F867-0722-41E5-86EE-6CAE17397A98}"/>
    <cellStyle name="Currency 5 3 5 2 4" xfId="17739" xr:uid="{A893DDA9-967C-4B10-B3DC-E56316A13E79}"/>
    <cellStyle name="Currency 5 3 5 2 5" xfId="9298" xr:uid="{368D9D60-C277-4DBD-9986-9380053C651D}"/>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24515" xr:uid="{2405651F-0AA7-4246-A509-51C92392F067}"/>
    <cellStyle name="Currency 5 3 5 3 2 2 3" xfId="16074" xr:uid="{163D0817-8F8A-4E04-BE2E-73C4BAD5BF0A}"/>
    <cellStyle name="Currency 5 3 5 3 2 3" xfId="20297" xr:uid="{54BFCFE1-3005-43A5-A908-76D3743AFEDE}"/>
    <cellStyle name="Currency 5 3 5 3 2 4" xfId="11856" xr:uid="{C2024F92-3301-47BB-B228-B0AB790D3FC7}"/>
    <cellStyle name="Currency 5 3 5 3 3" xfId="5487" xr:uid="{00000000-0005-0000-0000-00002A0D0000}"/>
    <cellStyle name="Currency 5 3 5 3 3 2" xfId="22370" xr:uid="{9D24B8C4-5E56-4B4E-99F4-0A485B42881A}"/>
    <cellStyle name="Currency 5 3 5 3 3 3" xfId="13929" xr:uid="{EB9F3A58-37A2-4434-949E-9275BEA6E631}"/>
    <cellStyle name="Currency 5 3 5 3 4" xfId="18152" xr:uid="{06E69671-7765-456D-ACAA-91D685824C8A}"/>
    <cellStyle name="Currency 5 3 5 3 5" xfId="9711" xr:uid="{53A9D72C-F1D2-4475-8F25-468304B82CD9}"/>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24928" xr:uid="{2ED17CA3-AAF7-4DE4-A66F-2ACC4A4E92A4}"/>
    <cellStyle name="Currency 5 3 5 4 2 2 3" xfId="16487" xr:uid="{32A60686-377B-4CE4-86D5-A452BCE38153}"/>
    <cellStyle name="Currency 5 3 5 4 2 3" xfId="20710" xr:uid="{D798645C-8E07-4732-8FB7-727CDE6FA1AF}"/>
    <cellStyle name="Currency 5 3 5 4 2 4" xfId="12269" xr:uid="{7BD106B9-DFEA-43D4-BBA7-585058371086}"/>
    <cellStyle name="Currency 5 3 5 4 3" xfId="5900" xr:uid="{00000000-0005-0000-0000-00002E0D0000}"/>
    <cellStyle name="Currency 5 3 5 4 3 2" xfId="22783" xr:uid="{A79EEDCF-D68E-4006-876F-97C4D3F893C0}"/>
    <cellStyle name="Currency 5 3 5 4 3 3" xfId="14342" xr:uid="{52C508D7-10A6-4340-B90E-F495C081D5A4}"/>
    <cellStyle name="Currency 5 3 5 4 4" xfId="18565" xr:uid="{A4C35DEC-EC31-4EF8-AB2B-4B0868AFF9F7}"/>
    <cellStyle name="Currency 5 3 5 4 5" xfId="10124" xr:uid="{5C1CFDD7-22B8-44E8-B6AC-0227E04C2997}"/>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25341" xr:uid="{FD826F57-C8FC-4FDA-8CB0-6B2736EC2684}"/>
    <cellStyle name="Currency 5 3 5 5 2 2 3" xfId="16900" xr:uid="{A88037F3-D077-4D9D-8B79-9DEDB77D5C98}"/>
    <cellStyle name="Currency 5 3 5 5 2 3" xfId="21123" xr:uid="{39EDD412-D681-4B82-9B39-44C64381D1B0}"/>
    <cellStyle name="Currency 5 3 5 5 2 4" xfId="12682" xr:uid="{53CDB185-C579-4331-9B39-C42296C7AB63}"/>
    <cellStyle name="Currency 5 3 5 5 3" xfId="6313" xr:uid="{00000000-0005-0000-0000-0000320D0000}"/>
    <cellStyle name="Currency 5 3 5 5 3 2" xfId="23196" xr:uid="{29211087-1E32-4923-B24B-586A35AF2C85}"/>
    <cellStyle name="Currency 5 3 5 5 3 3" xfId="14755" xr:uid="{F947ED2D-C264-47D3-98FA-4F51C453B928}"/>
    <cellStyle name="Currency 5 3 5 5 4" xfId="18978" xr:uid="{A071E5E6-9C77-4E90-BB4C-4406DBD5B561}"/>
    <cellStyle name="Currency 5 3 5 5 5" xfId="10537" xr:uid="{FA7C51ED-F650-421F-9903-23732ADAE681}"/>
    <cellStyle name="Currency 5 3 5 6" xfId="2441" xr:uid="{00000000-0005-0000-0000-0000330D0000}"/>
    <cellStyle name="Currency 5 3 5 6 2" xfId="6726" xr:uid="{00000000-0005-0000-0000-0000340D0000}"/>
    <cellStyle name="Currency 5 3 5 6 2 2" xfId="23609" xr:uid="{12F39CB2-641D-4C5D-A95E-55842EE73377}"/>
    <cellStyle name="Currency 5 3 5 6 2 3" xfId="15168" xr:uid="{3DF58718-7B59-446B-8EBC-B22C26952A37}"/>
    <cellStyle name="Currency 5 3 5 6 3" xfId="19391" xr:uid="{C4F1BF8B-2CA5-4887-A54B-419F86E3FDD8}"/>
    <cellStyle name="Currency 5 3 5 6 4" xfId="10950" xr:uid="{E27CECB8-8F3E-4BF6-806D-39D32C626F96}"/>
    <cellStyle name="Currency 5 3 5 7" xfId="2738" xr:uid="{00000000-0005-0000-0000-0000350D0000}"/>
    <cellStyle name="Currency 5 3 5 8" xfId="2819" xr:uid="{00000000-0005-0000-0000-0000360D0000}"/>
    <cellStyle name="Currency 5 3 5 8 2" xfId="7043" xr:uid="{00000000-0005-0000-0000-0000370D0000}"/>
    <cellStyle name="Currency 5 3 5 8 2 2" xfId="23926" xr:uid="{E8B76CAF-E976-4F75-AE38-069001A38A5F}"/>
    <cellStyle name="Currency 5 3 5 8 2 3" xfId="15485" xr:uid="{ADA1BCC2-4185-46FE-B7A0-AAC894EF2BBD}"/>
    <cellStyle name="Currency 5 3 5 8 3" xfId="19708" xr:uid="{FB8007B3-349D-49ED-891A-4E66B321A956}"/>
    <cellStyle name="Currency 5 3 5 8 4" xfId="11267" xr:uid="{33141BA1-823A-458A-9F79-F3932C4338B6}"/>
    <cellStyle name="Currency 5 3 5 9" xfId="4660" xr:uid="{00000000-0005-0000-0000-0000380D0000}"/>
    <cellStyle name="Currency 5 3 5 9 2" xfId="21543" xr:uid="{C880DDA4-9CA7-43CA-840C-DDBF2A08312D}"/>
    <cellStyle name="Currency 5 3 5 9 3" xfId="13102" xr:uid="{6BA70D47-DD17-469D-8254-EAB079161B95}"/>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21544" xr:uid="{DCF7A0DB-51AB-4CC5-96A3-D9D59DD2448E}"/>
    <cellStyle name="Currency 5 5 10 3" xfId="13103" xr:uid="{B7798C49-B5F4-4E38-BD02-B34F0C9D625D}"/>
    <cellStyle name="Currency 5 5 11" xfId="17326" xr:uid="{5463AF38-7A3D-42C8-BB9D-38434A0D6DA0}"/>
    <cellStyle name="Currency 5 5 12" xfId="8885" xr:uid="{054C4E02-0C5A-47CD-9A3D-09FF048E9BBC}"/>
    <cellStyle name="Currency 5 5 2" xfId="220" xr:uid="{00000000-0005-0000-0000-00003D0D0000}"/>
    <cellStyle name="Currency 5 5 2 10" xfId="17327" xr:uid="{819389A0-013D-4B9A-8624-B154F78482B8}"/>
    <cellStyle name="Currency 5 5 2 11" xfId="8886" xr:uid="{920AC19D-FA8A-49CF-8FF0-1AA88D831B35}"/>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24104" xr:uid="{1E72456D-0261-4CA2-AB42-115BA636C493}"/>
    <cellStyle name="Currency 5 5 2 2 2 2 3" xfId="15663" xr:uid="{E71290DC-82CA-4F37-8838-CE5D13341854}"/>
    <cellStyle name="Currency 5 5 2 2 2 3" xfId="19886" xr:uid="{D7394784-CEE7-4F1F-8ABB-93950F542A9E}"/>
    <cellStyle name="Currency 5 5 2 2 2 4" xfId="11445" xr:uid="{574209D6-7500-4577-918D-5394BCA24B12}"/>
    <cellStyle name="Currency 5 5 2 2 3" xfId="5076" xr:uid="{00000000-0005-0000-0000-0000410D0000}"/>
    <cellStyle name="Currency 5 5 2 2 3 2" xfId="21959" xr:uid="{4619176B-33AB-4B73-8E8F-F314BFC06726}"/>
    <cellStyle name="Currency 5 5 2 2 3 3" xfId="13518" xr:uid="{80AAB495-FCF0-4413-BC12-D2D44A478547}"/>
    <cellStyle name="Currency 5 5 2 2 4" xfId="17741" xr:uid="{44885F8E-3B1E-41AA-B0B8-13E91D014B74}"/>
    <cellStyle name="Currency 5 5 2 2 5" xfId="9300" xr:uid="{DD563E51-7A20-4236-8CA6-8B5BDA5815BA}"/>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24517" xr:uid="{13172CD9-C2E4-4A14-B9C2-25486A3D59B3}"/>
    <cellStyle name="Currency 5 5 2 3 2 2 3" xfId="16076" xr:uid="{0E324B87-4526-43EB-9FCD-E2DCE98705BA}"/>
    <cellStyle name="Currency 5 5 2 3 2 3" xfId="20299" xr:uid="{B3A5D8DE-0C33-4416-9B1E-2BC839842536}"/>
    <cellStyle name="Currency 5 5 2 3 2 4" xfId="11858" xr:uid="{D7D994B5-04BA-4333-B46E-B9BE21DB8276}"/>
    <cellStyle name="Currency 5 5 2 3 3" xfId="5489" xr:uid="{00000000-0005-0000-0000-0000450D0000}"/>
    <cellStyle name="Currency 5 5 2 3 3 2" xfId="22372" xr:uid="{092009F8-927E-459B-88BA-B63B28B0EF40}"/>
    <cellStyle name="Currency 5 5 2 3 3 3" xfId="13931" xr:uid="{BDE179C9-AC70-4002-A641-B455E5B224A2}"/>
    <cellStyle name="Currency 5 5 2 3 4" xfId="18154" xr:uid="{79BBED1E-2C5F-4132-AA5A-F978EFBA82F8}"/>
    <cellStyle name="Currency 5 5 2 3 5" xfId="9713" xr:uid="{FEAEE5F3-1048-440E-8741-11BB69387ABC}"/>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24930" xr:uid="{BE552C96-1F35-4861-8911-96567329C9D5}"/>
    <cellStyle name="Currency 5 5 2 4 2 2 3" xfId="16489" xr:uid="{3DECED39-E56F-42B2-87D5-31B3B15BC41B}"/>
    <cellStyle name="Currency 5 5 2 4 2 3" xfId="20712" xr:uid="{734D2242-3DE3-4CC1-91D8-2A091C353B7E}"/>
    <cellStyle name="Currency 5 5 2 4 2 4" xfId="12271" xr:uid="{3C0FA624-019E-4821-9140-625432F9EF27}"/>
    <cellStyle name="Currency 5 5 2 4 3" xfId="5902" xr:uid="{00000000-0005-0000-0000-0000490D0000}"/>
    <cellStyle name="Currency 5 5 2 4 3 2" xfId="22785" xr:uid="{29F9B54F-EBF6-40EC-B13B-9AE28AAE88BB}"/>
    <cellStyle name="Currency 5 5 2 4 3 3" xfId="14344" xr:uid="{A8DBA03B-F16A-4D1E-950D-3E587FEF611D}"/>
    <cellStyle name="Currency 5 5 2 4 4" xfId="18567" xr:uid="{1BB2626C-157E-4CA0-A24A-704CEF756687}"/>
    <cellStyle name="Currency 5 5 2 4 5" xfId="10126" xr:uid="{5D7B1E72-9F94-4583-9518-6C7FFF484D74}"/>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25343" xr:uid="{B8549F92-6A0A-4100-8A44-518A2B8CA7A2}"/>
    <cellStyle name="Currency 5 5 2 5 2 2 3" xfId="16902" xr:uid="{1556D6DA-593D-4BAD-AB2D-775CCB3B512F}"/>
    <cellStyle name="Currency 5 5 2 5 2 3" xfId="21125" xr:uid="{01C5B9C9-18B9-4F88-AFAC-3DF4173657E2}"/>
    <cellStyle name="Currency 5 5 2 5 2 4" xfId="12684" xr:uid="{4EC64722-BA60-4DA7-9194-6400BF639F95}"/>
    <cellStyle name="Currency 5 5 2 5 3" xfId="6315" xr:uid="{00000000-0005-0000-0000-00004D0D0000}"/>
    <cellStyle name="Currency 5 5 2 5 3 2" xfId="23198" xr:uid="{F5E5ACD3-695C-4C85-AE48-086342D91000}"/>
    <cellStyle name="Currency 5 5 2 5 3 3" xfId="14757" xr:uid="{22A14083-0B14-4920-8E4C-804BC3B7E93B}"/>
    <cellStyle name="Currency 5 5 2 5 4" xfId="18980" xr:uid="{D74E1813-2D73-41C7-95F5-1A516EF3E51F}"/>
    <cellStyle name="Currency 5 5 2 5 5" xfId="10539" xr:uid="{9573ACA4-13D9-46C2-8550-88997188D488}"/>
    <cellStyle name="Currency 5 5 2 6" xfId="2443" xr:uid="{00000000-0005-0000-0000-00004E0D0000}"/>
    <cellStyle name="Currency 5 5 2 6 2" xfId="6728" xr:uid="{00000000-0005-0000-0000-00004F0D0000}"/>
    <cellStyle name="Currency 5 5 2 6 2 2" xfId="23611" xr:uid="{3140E98B-30A9-4405-98B8-2C16501FBB67}"/>
    <cellStyle name="Currency 5 5 2 6 2 3" xfId="15170" xr:uid="{5765348A-D055-4F7D-B3F7-D28830A8BE0A}"/>
    <cellStyle name="Currency 5 5 2 6 3" xfId="19393" xr:uid="{A02E2381-DE0F-4088-8DBF-01DA109DC1F8}"/>
    <cellStyle name="Currency 5 5 2 6 4" xfId="10952" xr:uid="{15D9C1B7-48AA-4523-B02F-A1BB465000EF}"/>
    <cellStyle name="Currency 5 5 2 7" xfId="2740" xr:uid="{00000000-0005-0000-0000-0000500D0000}"/>
    <cellStyle name="Currency 5 5 2 8" xfId="2821" xr:uid="{00000000-0005-0000-0000-0000510D0000}"/>
    <cellStyle name="Currency 5 5 2 8 2" xfId="7045" xr:uid="{00000000-0005-0000-0000-0000520D0000}"/>
    <cellStyle name="Currency 5 5 2 8 2 2" xfId="23928" xr:uid="{906EED7A-5415-4BAB-806E-DDBB27ACFB6D}"/>
    <cellStyle name="Currency 5 5 2 8 2 3" xfId="15487" xr:uid="{C2A48EA2-1F31-44D1-A425-94ED3A674264}"/>
    <cellStyle name="Currency 5 5 2 8 3" xfId="19710" xr:uid="{C234C5D9-B468-4C7A-AF15-B2A1A3F5356D}"/>
    <cellStyle name="Currency 5 5 2 8 4" xfId="11269" xr:uid="{B7A02A54-D6BF-4269-A202-F1F3717421DA}"/>
    <cellStyle name="Currency 5 5 2 9" xfId="4662" xr:uid="{00000000-0005-0000-0000-0000530D0000}"/>
    <cellStyle name="Currency 5 5 2 9 2" xfId="21545" xr:uid="{3423BEA0-3AAE-474C-BAEF-C820D0F7A026}"/>
    <cellStyle name="Currency 5 5 2 9 3" xfId="13104" xr:uid="{BCD7865E-1E40-4C5F-AB71-4CFCF2DB88E8}"/>
    <cellStyle name="Currency 5 5 3" xfId="745" xr:uid="{00000000-0005-0000-0000-0000540D0000}"/>
    <cellStyle name="Currency 5 5 3 2" xfId="2997" xr:uid="{00000000-0005-0000-0000-0000550D0000}"/>
    <cellStyle name="Currency 5 5 3 2 2" xfId="7220" xr:uid="{00000000-0005-0000-0000-0000560D0000}"/>
    <cellStyle name="Currency 5 5 3 2 2 2" xfId="24103" xr:uid="{DED83077-3C57-4ACD-94F9-202943B40413}"/>
    <cellStyle name="Currency 5 5 3 2 2 3" xfId="15662" xr:uid="{24F71AF8-A989-4A00-9474-278A7E19E573}"/>
    <cellStyle name="Currency 5 5 3 2 3" xfId="19885" xr:uid="{49E66908-9BFB-4147-90A1-AFE53E909413}"/>
    <cellStyle name="Currency 5 5 3 2 4" xfId="11444" xr:uid="{3E9324DF-CD99-4211-BBAF-0B1D03E51C34}"/>
    <cellStyle name="Currency 5 5 3 3" xfId="5075" xr:uid="{00000000-0005-0000-0000-0000570D0000}"/>
    <cellStyle name="Currency 5 5 3 3 2" xfId="21958" xr:uid="{8E212253-B737-4EAE-9ED6-92B9FE0D620F}"/>
    <cellStyle name="Currency 5 5 3 3 3" xfId="13517" xr:uid="{9471EF93-3BE2-483C-B471-7284A7C5730B}"/>
    <cellStyle name="Currency 5 5 3 4" xfId="17740" xr:uid="{CB7FA74A-47C9-4B66-A8A5-ED770BF642C4}"/>
    <cellStyle name="Currency 5 5 3 5" xfId="9299" xr:uid="{90F4F42F-6A0F-4534-BFD8-575FE1FB8A50}"/>
    <cellStyle name="Currency 5 5 4" xfId="1179" xr:uid="{00000000-0005-0000-0000-0000580D0000}"/>
    <cellStyle name="Currency 5 5 4 2" xfId="3410" xr:uid="{00000000-0005-0000-0000-0000590D0000}"/>
    <cellStyle name="Currency 5 5 4 2 2" xfId="7633" xr:uid="{00000000-0005-0000-0000-00005A0D0000}"/>
    <cellStyle name="Currency 5 5 4 2 2 2" xfId="24516" xr:uid="{0E50580E-55D0-4369-8363-57B12BAB5724}"/>
    <cellStyle name="Currency 5 5 4 2 2 3" xfId="16075" xr:uid="{6FDCFED2-9E99-478A-983B-8B8C8AD430A5}"/>
    <cellStyle name="Currency 5 5 4 2 3" xfId="20298" xr:uid="{6AB97EB2-4C88-41EF-BC9F-71FD2DB2B4F5}"/>
    <cellStyle name="Currency 5 5 4 2 4" xfId="11857" xr:uid="{2D76C574-9C0B-4BA6-B797-1963229C140E}"/>
    <cellStyle name="Currency 5 5 4 3" xfId="5488" xr:uid="{00000000-0005-0000-0000-00005B0D0000}"/>
    <cellStyle name="Currency 5 5 4 3 2" xfId="22371" xr:uid="{E24A06AA-B2F8-413D-B9DE-45790B4CAB45}"/>
    <cellStyle name="Currency 5 5 4 3 3" xfId="13930" xr:uid="{F0AA2626-F2B5-4F78-9ECE-778C4BC33EEC}"/>
    <cellStyle name="Currency 5 5 4 4" xfId="18153" xr:uid="{B217B371-C9AD-48A7-8254-D48798A3EBC9}"/>
    <cellStyle name="Currency 5 5 4 5" xfId="9712" xr:uid="{A8B5F193-490D-4F97-ABD5-5D7D18826C22}"/>
    <cellStyle name="Currency 5 5 5" xfId="1593" xr:uid="{00000000-0005-0000-0000-00005C0D0000}"/>
    <cellStyle name="Currency 5 5 5 2" xfId="3823" xr:uid="{00000000-0005-0000-0000-00005D0D0000}"/>
    <cellStyle name="Currency 5 5 5 2 2" xfId="8046" xr:uid="{00000000-0005-0000-0000-00005E0D0000}"/>
    <cellStyle name="Currency 5 5 5 2 2 2" xfId="24929" xr:uid="{D4A78A82-D5BE-4970-8AF6-A5E3B64685E9}"/>
    <cellStyle name="Currency 5 5 5 2 2 3" xfId="16488" xr:uid="{82B1F5CD-2DCC-4881-B059-A9AD0AB67909}"/>
    <cellStyle name="Currency 5 5 5 2 3" xfId="20711" xr:uid="{95BD1308-AA9E-488E-834B-C42D1DF7EFCE}"/>
    <cellStyle name="Currency 5 5 5 2 4" xfId="12270" xr:uid="{0CA9DD46-8A6A-435A-96C3-99352BE92361}"/>
    <cellStyle name="Currency 5 5 5 3" xfId="5901" xr:uid="{00000000-0005-0000-0000-00005F0D0000}"/>
    <cellStyle name="Currency 5 5 5 3 2" xfId="22784" xr:uid="{EF155B48-06A0-44D1-BB6E-B3E0691EB189}"/>
    <cellStyle name="Currency 5 5 5 3 3" xfId="14343" xr:uid="{F5C3984A-F375-4EDF-9852-0B179B03078D}"/>
    <cellStyle name="Currency 5 5 5 4" xfId="18566" xr:uid="{DC57A0A4-17A2-4BEC-AC4A-DC49B5C15DD9}"/>
    <cellStyle name="Currency 5 5 5 5" xfId="10125" xr:uid="{4C7502F4-C4FC-47D1-B080-AF362F6947EC}"/>
    <cellStyle name="Currency 5 5 6" xfId="2007" xr:uid="{00000000-0005-0000-0000-0000600D0000}"/>
    <cellStyle name="Currency 5 5 6 2" xfId="4236" xr:uid="{00000000-0005-0000-0000-0000610D0000}"/>
    <cellStyle name="Currency 5 5 6 2 2" xfId="8459" xr:uid="{00000000-0005-0000-0000-0000620D0000}"/>
    <cellStyle name="Currency 5 5 6 2 2 2" xfId="25342" xr:uid="{D52DF62F-AE61-4EB0-9C2F-24A1EEE994B5}"/>
    <cellStyle name="Currency 5 5 6 2 2 3" xfId="16901" xr:uid="{1E23D383-43BF-4F84-A339-E9C831A9B37C}"/>
    <cellStyle name="Currency 5 5 6 2 3" xfId="21124" xr:uid="{53ED6071-487F-422B-9502-1CD8930A1193}"/>
    <cellStyle name="Currency 5 5 6 2 4" xfId="12683" xr:uid="{014721A5-6E9F-4A56-8C2A-E8935FD9F751}"/>
    <cellStyle name="Currency 5 5 6 3" xfId="6314" xr:uid="{00000000-0005-0000-0000-0000630D0000}"/>
    <cellStyle name="Currency 5 5 6 3 2" xfId="23197" xr:uid="{3EC9C5FF-F916-40DF-B058-77B19AD03595}"/>
    <cellStyle name="Currency 5 5 6 3 3" xfId="14756" xr:uid="{89D7C20D-F56A-4AFC-AFBA-666B733DA005}"/>
    <cellStyle name="Currency 5 5 6 4" xfId="18979" xr:uid="{2C2C8524-AEE3-4A70-AC79-AB808D43F682}"/>
    <cellStyle name="Currency 5 5 6 5" xfId="10538" xr:uid="{E32271C8-8CB2-41CE-B252-6F7C0E32B9F5}"/>
    <cellStyle name="Currency 5 5 7" xfId="2442" xr:uid="{00000000-0005-0000-0000-0000640D0000}"/>
    <cellStyle name="Currency 5 5 7 2" xfId="6727" xr:uid="{00000000-0005-0000-0000-0000650D0000}"/>
    <cellStyle name="Currency 5 5 7 2 2" xfId="23610" xr:uid="{5635BEBF-3E22-4B70-B0E3-485AFE3E4A4B}"/>
    <cellStyle name="Currency 5 5 7 2 3" xfId="15169" xr:uid="{0A3127B7-FC52-4744-A3BC-32FA1198916A}"/>
    <cellStyle name="Currency 5 5 7 3" xfId="19392" xr:uid="{42E96CF3-AB40-4B5A-8A68-E76A2055C47A}"/>
    <cellStyle name="Currency 5 5 7 4" xfId="10951" xr:uid="{589602BF-059D-47DC-A8B6-D7758D34B169}"/>
    <cellStyle name="Currency 5 5 8" xfId="2739" xr:uid="{00000000-0005-0000-0000-0000660D0000}"/>
    <cellStyle name="Currency 5 5 9" xfId="2820" xr:uid="{00000000-0005-0000-0000-0000670D0000}"/>
    <cellStyle name="Currency 5 5 9 2" xfId="7044" xr:uid="{00000000-0005-0000-0000-0000680D0000}"/>
    <cellStyle name="Currency 5 5 9 2 2" xfId="23927" xr:uid="{3C786E58-6AB7-47F3-BD5F-718DA4CBF4DE}"/>
    <cellStyle name="Currency 5 5 9 2 3" xfId="15486" xr:uid="{364B8222-386A-47F3-BAC6-D77FFC61A053}"/>
    <cellStyle name="Currency 5 5 9 3" xfId="19709" xr:uid="{917CFB00-C1A4-457C-A2A8-35D98121D59A}"/>
    <cellStyle name="Currency 5 5 9 4" xfId="11268" xr:uid="{6FD1F3B6-911F-4CEC-AD43-DBAEFF356D6C}"/>
    <cellStyle name="Currency 5 6" xfId="221" xr:uid="{00000000-0005-0000-0000-0000690D0000}"/>
    <cellStyle name="Currency 5 6 10" xfId="17328" xr:uid="{BA6D812D-F38E-4975-A9CA-55CBE69AB634}"/>
    <cellStyle name="Currency 5 6 11" xfId="8887" xr:uid="{FB58DFCA-77D7-4A7E-95AE-49E8691693D3}"/>
    <cellStyle name="Currency 5 6 2" xfId="747" xr:uid="{00000000-0005-0000-0000-00006A0D0000}"/>
    <cellStyle name="Currency 5 6 2 2" xfId="2999" xr:uid="{00000000-0005-0000-0000-00006B0D0000}"/>
    <cellStyle name="Currency 5 6 2 2 2" xfId="7222" xr:uid="{00000000-0005-0000-0000-00006C0D0000}"/>
    <cellStyle name="Currency 5 6 2 2 2 2" xfId="24105" xr:uid="{409135EE-C6CC-4AB1-BA84-EAEE62454D27}"/>
    <cellStyle name="Currency 5 6 2 2 2 3" xfId="15664" xr:uid="{7B11D114-51AB-44E8-B062-C6248E9338EA}"/>
    <cellStyle name="Currency 5 6 2 2 3" xfId="19887" xr:uid="{1943AD12-F8B3-4CF4-AC41-9BD5446A7208}"/>
    <cellStyle name="Currency 5 6 2 2 4" xfId="11446" xr:uid="{6C7EE950-5F52-438F-BE71-216C5AF6E173}"/>
    <cellStyle name="Currency 5 6 2 3" xfId="5077" xr:uid="{00000000-0005-0000-0000-00006D0D0000}"/>
    <cellStyle name="Currency 5 6 2 3 2" xfId="21960" xr:uid="{C7728360-E834-4F68-8591-3C647CB70B65}"/>
    <cellStyle name="Currency 5 6 2 3 3" xfId="13519" xr:uid="{0FDE01AE-42C1-4CBE-BF49-6DBC4747E274}"/>
    <cellStyle name="Currency 5 6 2 4" xfId="17742" xr:uid="{9525078F-15EF-493F-90FD-6FCD9E09CC74}"/>
    <cellStyle name="Currency 5 6 2 5" xfId="9301" xr:uid="{E8FA0B13-C0AB-43AB-8A20-864A12541636}"/>
    <cellStyle name="Currency 5 6 3" xfId="1181" xr:uid="{00000000-0005-0000-0000-00006E0D0000}"/>
    <cellStyle name="Currency 5 6 3 2" xfId="3412" xr:uid="{00000000-0005-0000-0000-00006F0D0000}"/>
    <cellStyle name="Currency 5 6 3 2 2" xfId="7635" xr:uid="{00000000-0005-0000-0000-0000700D0000}"/>
    <cellStyle name="Currency 5 6 3 2 2 2" xfId="24518" xr:uid="{7DA76CE2-3666-47B4-9441-379983C6D02A}"/>
    <cellStyle name="Currency 5 6 3 2 2 3" xfId="16077" xr:uid="{665198D2-B26F-40CA-B0F3-CCB2749F4663}"/>
    <cellStyle name="Currency 5 6 3 2 3" xfId="20300" xr:uid="{5C920DF1-901B-4163-AA04-8BBB2AB71EFC}"/>
    <cellStyle name="Currency 5 6 3 2 4" xfId="11859" xr:uid="{3E5A6849-C53F-4ABE-9EA8-1C3F507D2825}"/>
    <cellStyle name="Currency 5 6 3 3" xfId="5490" xr:uid="{00000000-0005-0000-0000-0000710D0000}"/>
    <cellStyle name="Currency 5 6 3 3 2" xfId="22373" xr:uid="{BA6612DE-3AC0-4AC0-94FD-C2B5DB9BDCDC}"/>
    <cellStyle name="Currency 5 6 3 3 3" xfId="13932" xr:uid="{FB9EC12A-6C6C-4F23-A0E1-D6BED3A0D5E4}"/>
    <cellStyle name="Currency 5 6 3 4" xfId="18155" xr:uid="{A3DA14C4-32BB-490C-A69F-5BAEEB04A843}"/>
    <cellStyle name="Currency 5 6 3 5" xfId="9714" xr:uid="{B345B15C-8941-408B-A4B9-9F96DE5357B2}"/>
    <cellStyle name="Currency 5 6 4" xfId="1595" xr:uid="{00000000-0005-0000-0000-0000720D0000}"/>
    <cellStyle name="Currency 5 6 4 2" xfId="3825" xr:uid="{00000000-0005-0000-0000-0000730D0000}"/>
    <cellStyle name="Currency 5 6 4 2 2" xfId="8048" xr:uid="{00000000-0005-0000-0000-0000740D0000}"/>
    <cellStyle name="Currency 5 6 4 2 2 2" xfId="24931" xr:uid="{8C01EA72-54EE-4640-9A00-44D1F244C5FE}"/>
    <cellStyle name="Currency 5 6 4 2 2 3" xfId="16490" xr:uid="{A11DAD49-867E-425C-BB9C-25DC88B0E792}"/>
    <cellStyle name="Currency 5 6 4 2 3" xfId="20713" xr:uid="{69148AC0-7A15-4B73-A424-D4FAFE887C0C}"/>
    <cellStyle name="Currency 5 6 4 2 4" xfId="12272" xr:uid="{CD00A355-E63C-4A89-AB67-915C0A7926E2}"/>
    <cellStyle name="Currency 5 6 4 3" xfId="5903" xr:uid="{00000000-0005-0000-0000-0000750D0000}"/>
    <cellStyle name="Currency 5 6 4 3 2" xfId="22786" xr:uid="{5405BC5B-BDA2-4BC4-902A-F0DF6FA3D70B}"/>
    <cellStyle name="Currency 5 6 4 3 3" xfId="14345" xr:uid="{343E6F69-D85A-4DE2-B2EE-44738C4A2938}"/>
    <cellStyle name="Currency 5 6 4 4" xfId="18568" xr:uid="{C6260644-829E-4ADB-9824-9D527BAEB737}"/>
    <cellStyle name="Currency 5 6 4 5" xfId="10127" xr:uid="{B1BC6D31-E79D-4B58-8C9C-33F2989C208E}"/>
    <cellStyle name="Currency 5 6 5" xfId="2009" xr:uid="{00000000-0005-0000-0000-0000760D0000}"/>
    <cellStyle name="Currency 5 6 5 2" xfId="4238" xr:uid="{00000000-0005-0000-0000-0000770D0000}"/>
    <cellStyle name="Currency 5 6 5 2 2" xfId="8461" xr:uid="{00000000-0005-0000-0000-0000780D0000}"/>
    <cellStyle name="Currency 5 6 5 2 2 2" xfId="25344" xr:uid="{837A512B-EC54-45BC-832C-C46341DF56C6}"/>
    <cellStyle name="Currency 5 6 5 2 2 3" xfId="16903" xr:uid="{08083A20-5AFB-4279-BD4D-60074296E52D}"/>
    <cellStyle name="Currency 5 6 5 2 3" xfId="21126" xr:uid="{B3CA7055-6E93-495F-A66E-2EE6BFD38480}"/>
    <cellStyle name="Currency 5 6 5 2 4" xfId="12685" xr:uid="{ACFBBC34-8C71-419B-A66D-CAF1D9C7D524}"/>
    <cellStyle name="Currency 5 6 5 3" xfId="6316" xr:uid="{00000000-0005-0000-0000-0000790D0000}"/>
    <cellStyle name="Currency 5 6 5 3 2" xfId="23199" xr:uid="{1EF24EAA-F218-41A8-8D58-1C7CD3E6F968}"/>
    <cellStyle name="Currency 5 6 5 3 3" xfId="14758" xr:uid="{A16BAD31-3E11-4828-9800-9F76173C57A5}"/>
    <cellStyle name="Currency 5 6 5 4" xfId="18981" xr:uid="{48B522C2-082C-488D-B719-B41A5D233D7C}"/>
    <cellStyle name="Currency 5 6 5 5" xfId="10540" xr:uid="{05351925-50A6-4FDD-8090-60276D2F753D}"/>
    <cellStyle name="Currency 5 6 6" xfId="2444" xr:uid="{00000000-0005-0000-0000-00007A0D0000}"/>
    <cellStyle name="Currency 5 6 6 2" xfId="6729" xr:uid="{00000000-0005-0000-0000-00007B0D0000}"/>
    <cellStyle name="Currency 5 6 6 2 2" xfId="23612" xr:uid="{7A4D9F98-7ECA-41C4-B0DE-9115CC64D817}"/>
    <cellStyle name="Currency 5 6 6 2 3" xfId="15171" xr:uid="{03FE2D90-662B-41B8-96EF-56909618FF70}"/>
    <cellStyle name="Currency 5 6 6 3" xfId="19394" xr:uid="{5035D1A7-326D-4A09-9A8E-F472AACC0288}"/>
    <cellStyle name="Currency 5 6 6 4" xfId="10953" xr:uid="{85098B1E-0DC3-44E0-A3B7-98838EE0A2A9}"/>
    <cellStyle name="Currency 5 6 7" xfId="2741" xr:uid="{00000000-0005-0000-0000-00007C0D0000}"/>
    <cellStyle name="Currency 5 6 8" xfId="2822" xr:uid="{00000000-0005-0000-0000-00007D0D0000}"/>
    <cellStyle name="Currency 5 6 8 2" xfId="7046" xr:uid="{00000000-0005-0000-0000-00007E0D0000}"/>
    <cellStyle name="Currency 5 6 8 2 2" xfId="23929" xr:uid="{FD13CBC2-6D53-4C5C-812A-378E3D82A90E}"/>
    <cellStyle name="Currency 5 6 8 2 3" xfId="15488" xr:uid="{283C234B-93D5-4D13-A7F7-A4F2BA6F4933}"/>
    <cellStyle name="Currency 5 6 8 3" xfId="19711" xr:uid="{B9259ED2-6330-4DAE-A231-3DCA98AF9991}"/>
    <cellStyle name="Currency 5 6 8 4" xfId="11270" xr:uid="{BF115A45-BDFC-4DC6-8AC0-0191E68A98BA}"/>
    <cellStyle name="Currency 5 6 9" xfId="4663" xr:uid="{00000000-0005-0000-0000-00007F0D0000}"/>
    <cellStyle name="Currency 5 6 9 2" xfId="21546" xr:uid="{7F96F21C-2A0B-4409-BC8F-C8613BB9F1F5}"/>
    <cellStyle name="Currency 5 6 9 3" xfId="13105" xr:uid="{2E2A8A5F-26E2-4E15-B2A5-232FA1E9332B}"/>
    <cellStyle name="Currency 5 7" xfId="222" xr:uid="{00000000-0005-0000-0000-0000800D0000}"/>
    <cellStyle name="Currency 5 7 10" xfId="17329" xr:uid="{8F9071ED-B9F1-4A9D-BD6A-2DD67B4BDB49}"/>
    <cellStyle name="Currency 5 7 11" xfId="8888" xr:uid="{4EDCC217-039B-4656-9302-7D43560C1B7D}"/>
    <cellStyle name="Currency 5 7 2" xfId="748" xr:uid="{00000000-0005-0000-0000-0000810D0000}"/>
    <cellStyle name="Currency 5 7 2 2" xfId="3000" xr:uid="{00000000-0005-0000-0000-0000820D0000}"/>
    <cellStyle name="Currency 5 7 2 2 2" xfId="7223" xr:uid="{00000000-0005-0000-0000-0000830D0000}"/>
    <cellStyle name="Currency 5 7 2 2 2 2" xfId="24106" xr:uid="{ABE77F60-C1EA-4A90-992B-E146ABD98AFA}"/>
    <cellStyle name="Currency 5 7 2 2 2 3" xfId="15665" xr:uid="{C5A92A95-0A91-410C-A6DB-84275F744CCD}"/>
    <cellStyle name="Currency 5 7 2 2 3" xfId="19888" xr:uid="{8F947142-22F9-4D7F-A534-F6FEBD418A15}"/>
    <cellStyle name="Currency 5 7 2 2 4" xfId="11447" xr:uid="{0344531D-AA91-4ECC-98A4-B44277B3578B}"/>
    <cellStyle name="Currency 5 7 2 3" xfId="5078" xr:uid="{00000000-0005-0000-0000-0000840D0000}"/>
    <cellStyle name="Currency 5 7 2 3 2" xfId="21961" xr:uid="{91D849C4-EEA2-4BFC-8E7B-4F3773108E3D}"/>
    <cellStyle name="Currency 5 7 2 3 3" xfId="13520" xr:uid="{485C16E1-7CCB-47F8-88BF-B9B944D2A1C4}"/>
    <cellStyle name="Currency 5 7 2 4" xfId="17743" xr:uid="{B40FA3EB-397C-430F-A6E7-A2707FE02B29}"/>
    <cellStyle name="Currency 5 7 2 5" xfId="9302" xr:uid="{95C21B18-D826-49D2-9D69-6846CB3E74AA}"/>
    <cellStyle name="Currency 5 7 3" xfId="1182" xr:uid="{00000000-0005-0000-0000-0000850D0000}"/>
    <cellStyle name="Currency 5 7 3 2" xfId="3413" xr:uid="{00000000-0005-0000-0000-0000860D0000}"/>
    <cellStyle name="Currency 5 7 3 2 2" xfId="7636" xr:uid="{00000000-0005-0000-0000-0000870D0000}"/>
    <cellStyle name="Currency 5 7 3 2 2 2" xfId="24519" xr:uid="{8D71AADB-B915-46A2-806B-8BD9BA83F94F}"/>
    <cellStyle name="Currency 5 7 3 2 2 3" xfId="16078" xr:uid="{F7DAAB71-DC7A-4136-9357-41F8A0B93090}"/>
    <cellStyle name="Currency 5 7 3 2 3" xfId="20301" xr:uid="{2BFC6D67-B95B-46CB-A954-312F2D42CC15}"/>
    <cellStyle name="Currency 5 7 3 2 4" xfId="11860" xr:uid="{53604BEC-8144-4AB4-BFD4-0DFEBBD22D7B}"/>
    <cellStyle name="Currency 5 7 3 3" xfId="5491" xr:uid="{00000000-0005-0000-0000-0000880D0000}"/>
    <cellStyle name="Currency 5 7 3 3 2" xfId="22374" xr:uid="{FFB459CE-E813-4F49-BD0B-50E2ED6E80CF}"/>
    <cellStyle name="Currency 5 7 3 3 3" xfId="13933" xr:uid="{A78CFCC0-480C-4185-9C73-1D168FECD73B}"/>
    <cellStyle name="Currency 5 7 3 4" xfId="18156" xr:uid="{691C807B-D8FA-46B0-858C-29B21857E28A}"/>
    <cellStyle name="Currency 5 7 3 5" xfId="9715" xr:uid="{2C2AA6AB-A442-45B6-8630-0B94AFBEBBFA}"/>
    <cellStyle name="Currency 5 7 4" xfId="1596" xr:uid="{00000000-0005-0000-0000-0000890D0000}"/>
    <cellStyle name="Currency 5 7 4 2" xfId="3826" xr:uid="{00000000-0005-0000-0000-00008A0D0000}"/>
    <cellStyle name="Currency 5 7 4 2 2" xfId="8049" xr:uid="{00000000-0005-0000-0000-00008B0D0000}"/>
    <cellStyle name="Currency 5 7 4 2 2 2" xfId="24932" xr:uid="{59F81090-08E7-481D-B67C-85761C41A931}"/>
    <cellStyle name="Currency 5 7 4 2 2 3" xfId="16491" xr:uid="{4EBF62DA-AD68-45EB-AFE5-71D3955FD445}"/>
    <cellStyle name="Currency 5 7 4 2 3" xfId="20714" xr:uid="{93401CFF-2F3A-43F5-B930-EB38090C217B}"/>
    <cellStyle name="Currency 5 7 4 2 4" xfId="12273" xr:uid="{83CF22FA-F09F-4E35-A835-BF4E2E952E1F}"/>
    <cellStyle name="Currency 5 7 4 3" xfId="5904" xr:uid="{00000000-0005-0000-0000-00008C0D0000}"/>
    <cellStyle name="Currency 5 7 4 3 2" xfId="22787" xr:uid="{216AE665-177E-4D84-AD36-513AA9CCB0AD}"/>
    <cellStyle name="Currency 5 7 4 3 3" xfId="14346" xr:uid="{DD34DB6E-23B4-4AC7-9375-0775970D58BD}"/>
    <cellStyle name="Currency 5 7 4 4" xfId="18569" xr:uid="{B66B78B7-61B9-4C52-91ED-A3DFBE80D97B}"/>
    <cellStyle name="Currency 5 7 4 5" xfId="10128" xr:uid="{62F965A9-8C23-4B77-954B-B616B26D17CA}"/>
    <cellStyle name="Currency 5 7 5" xfId="2010" xr:uid="{00000000-0005-0000-0000-00008D0D0000}"/>
    <cellStyle name="Currency 5 7 5 2" xfId="4239" xr:uid="{00000000-0005-0000-0000-00008E0D0000}"/>
    <cellStyle name="Currency 5 7 5 2 2" xfId="8462" xr:uid="{00000000-0005-0000-0000-00008F0D0000}"/>
    <cellStyle name="Currency 5 7 5 2 2 2" xfId="25345" xr:uid="{17DF0D9E-52D4-40BA-8409-D8DDD85FC8A8}"/>
    <cellStyle name="Currency 5 7 5 2 2 3" xfId="16904" xr:uid="{F6B4B38F-6FFD-4ED1-94CE-B69366D55EA8}"/>
    <cellStyle name="Currency 5 7 5 2 3" xfId="21127" xr:uid="{00449E0A-3E93-4F68-BA11-D273EE88CBCC}"/>
    <cellStyle name="Currency 5 7 5 2 4" xfId="12686" xr:uid="{F3F77B50-9353-4297-AC15-2CB6236F2A7F}"/>
    <cellStyle name="Currency 5 7 5 3" xfId="6317" xr:uid="{00000000-0005-0000-0000-0000900D0000}"/>
    <cellStyle name="Currency 5 7 5 3 2" xfId="23200" xr:uid="{FFEEE325-BDE7-4E50-9193-E27990A958E6}"/>
    <cellStyle name="Currency 5 7 5 3 3" xfId="14759" xr:uid="{99CB9C46-7DE6-4BAC-9C23-FA065668FBEC}"/>
    <cellStyle name="Currency 5 7 5 4" xfId="18982" xr:uid="{ABA1CA46-D113-4FF4-BED9-F05DEFF22806}"/>
    <cellStyle name="Currency 5 7 5 5" xfId="10541" xr:uid="{FA4791E9-9B5C-49B2-9AF6-B81D90A8D048}"/>
    <cellStyle name="Currency 5 7 6" xfId="2445" xr:uid="{00000000-0005-0000-0000-0000910D0000}"/>
    <cellStyle name="Currency 5 7 6 2" xfId="6730" xr:uid="{00000000-0005-0000-0000-0000920D0000}"/>
    <cellStyle name="Currency 5 7 6 2 2" xfId="23613" xr:uid="{1116E254-C1F0-4F50-89BF-E009CC32C07F}"/>
    <cellStyle name="Currency 5 7 6 2 3" xfId="15172" xr:uid="{DAD3A58F-267A-45C7-B455-F06B9857A375}"/>
    <cellStyle name="Currency 5 7 6 3" xfId="19395" xr:uid="{FA54D427-1AB6-4F6E-BCE8-DE1F2AFF611C}"/>
    <cellStyle name="Currency 5 7 6 4" xfId="10954" xr:uid="{2DCEDDC6-DE91-4322-AE04-C4127FA2D663}"/>
    <cellStyle name="Currency 5 7 7" xfId="2742" xr:uid="{00000000-0005-0000-0000-0000930D0000}"/>
    <cellStyle name="Currency 5 7 8" xfId="2823" xr:uid="{00000000-0005-0000-0000-0000940D0000}"/>
    <cellStyle name="Currency 5 7 8 2" xfId="7047" xr:uid="{00000000-0005-0000-0000-0000950D0000}"/>
    <cellStyle name="Currency 5 7 8 2 2" xfId="23930" xr:uid="{030B7AB5-98B6-43BF-9C52-99F377C36E25}"/>
    <cellStyle name="Currency 5 7 8 2 3" xfId="15489" xr:uid="{5917BDE2-20A4-400D-90C8-9F1D6FC504B6}"/>
    <cellStyle name="Currency 5 7 8 3" xfId="19712" xr:uid="{6A5E7D48-52A7-4045-AF49-82E1DEE4A2D5}"/>
    <cellStyle name="Currency 5 7 8 4" xfId="11271" xr:uid="{900CB20C-A8F4-4F57-A130-D418156C7943}"/>
    <cellStyle name="Currency 5 7 9" xfId="4664" xr:uid="{00000000-0005-0000-0000-0000960D0000}"/>
    <cellStyle name="Currency 5 7 9 2" xfId="21547" xr:uid="{0B9EC60F-A57B-4539-B54C-A12BDD506906}"/>
    <cellStyle name="Currency 5 7 9 3" xfId="13106" xr:uid="{1B250B6E-10E9-49A8-A87A-240648B00443}"/>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23614" xr:uid="{8D2A8C99-1AF7-47F6-AB6E-1A2E00976FF8}"/>
    <cellStyle name="Normal 12 10 2 3" xfId="15173" xr:uid="{661FC42C-30CB-40C7-A2E7-ECD0D138A2B9}"/>
    <cellStyle name="Normal 12 10 3" xfId="19396" xr:uid="{3956A366-C58D-484E-A1DE-E031C9BAC0A4}"/>
    <cellStyle name="Normal 12 10 4" xfId="10955" xr:uid="{5106C751-C860-4CC7-92FB-B5725AA584A8}"/>
    <cellStyle name="Normal 12 11" xfId="4665" xr:uid="{00000000-0005-0000-0000-0000CC0D0000}"/>
    <cellStyle name="Normal 12 11 2" xfId="21548" xr:uid="{878E88AD-7AE4-42EA-B562-3F39D63EE5F8}"/>
    <cellStyle name="Normal 12 11 3" xfId="13107" xr:uid="{8078720E-B534-4CB6-BA6C-9FE2E0584CC5}"/>
    <cellStyle name="Normal 12 12" xfId="17330" xr:uid="{8E1B8BB2-C41A-484B-9311-E1AF7746ADF2}"/>
    <cellStyle name="Normal 12 13" xfId="8889" xr:uid="{90325BFA-E698-4DBF-A79C-F78B54649CFF}"/>
    <cellStyle name="Normal 12 2" xfId="260" xr:uid="{00000000-0005-0000-0000-0000CD0D0000}"/>
    <cellStyle name="Normal 12 2 10" xfId="17331" xr:uid="{9D461338-7054-4A67-A9D5-6C67A2B49B39}"/>
    <cellStyle name="Normal 12 2 11" xfId="8890" xr:uid="{97965FD1-A052-49C2-BF34-D025F3AD2891}"/>
    <cellStyle name="Normal 12 2 2" xfId="261" xr:uid="{00000000-0005-0000-0000-0000CE0D0000}"/>
    <cellStyle name="Normal 12 2 2 10" xfId="8891" xr:uid="{4FA5A105-FF83-4168-8F79-7DD588B03EC1}"/>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24110" xr:uid="{50223967-B5A2-4E9F-8953-0E4B58BCC464}"/>
    <cellStyle name="Normal 12 2 2 2 2 2 2 3" xfId="15669" xr:uid="{4F08288B-44C7-4BF6-AA75-AD6ACC68008D}"/>
    <cellStyle name="Normal 12 2 2 2 2 2 3" xfId="19892" xr:uid="{7D680EAF-7934-4570-88A3-191F5BB68263}"/>
    <cellStyle name="Normal 12 2 2 2 2 2 4" xfId="11451" xr:uid="{3FFC1F6F-E0A3-42FA-9212-D74CA3927DB5}"/>
    <cellStyle name="Normal 12 2 2 2 2 3" xfId="5082" xr:uid="{00000000-0005-0000-0000-0000D30D0000}"/>
    <cellStyle name="Normal 12 2 2 2 2 3 2" xfId="21965" xr:uid="{534D84C3-C354-4AEA-AC8E-AACEA517259A}"/>
    <cellStyle name="Normal 12 2 2 2 2 3 3" xfId="13524" xr:uid="{106C5C6C-D258-411C-A629-359A7E21E15E}"/>
    <cellStyle name="Normal 12 2 2 2 2 4" xfId="17747" xr:uid="{44B50775-5CE0-4FF4-A0F7-24CC0873DD6D}"/>
    <cellStyle name="Normal 12 2 2 2 2 5" xfId="9306" xr:uid="{0EC226A0-316C-4611-9C56-FACB43E37BF5}"/>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24523" xr:uid="{E418AEE7-53C3-4339-833A-D3280B87C57A}"/>
    <cellStyle name="Normal 12 2 2 2 3 2 2 3" xfId="16082" xr:uid="{C1B13B84-05E8-4F24-81E1-77E19FD75CD5}"/>
    <cellStyle name="Normal 12 2 2 2 3 2 3" xfId="20305" xr:uid="{ACFF19BE-0730-4514-B343-06AE2E2D0730}"/>
    <cellStyle name="Normal 12 2 2 2 3 2 4" xfId="11864" xr:uid="{0491DB64-ECA7-4ED3-823F-D3252F11EE49}"/>
    <cellStyle name="Normal 12 2 2 2 3 3" xfId="5495" xr:uid="{00000000-0005-0000-0000-0000D70D0000}"/>
    <cellStyle name="Normal 12 2 2 2 3 3 2" xfId="22378" xr:uid="{5D8006D1-22CB-42E3-A93A-2D844B9DEE22}"/>
    <cellStyle name="Normal 12 2 2 2 3 3 3" xfId="13937" xr:uid="{924AC634-0094-4AE9-9A4C-A8EB0971612F}"/>
    <cellStyle name="Normal 12 2 2 2 3 4" xfId="18160" xr:uid="{3ED86015-735C-40C8-9D7F-09108952FFD5}"/>
    <cellStyle name="Normal 12 2 2 2 3 5" xfId="9719" xr:uid="{A1D491BC-FD1D-493A-B072-435784F0CF5B}"/>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24936" xr:uid="{842213E3-967E-4C0C-9AB8-38723B7AC449}"/>
    <cellStyle name="Normal 12 2 2 2 4 2 2 3" xfId="16495" xr:uid="{376393E6-D9E7-44D0-976B-CECD240D2A96}"/>
    <cellStyle name="Normal 12 2 2 2 4 2 3" xfId="20718" xr:uid="{FAA66A3D-907B-42FF-AC32-A7FE2F6A5273}"/>
    <cellStyle name="Normal 12 2 2 2 4 2 4" xfId="12277" xr:uid="{92775A7B-C93F-461E-8F1A-22C108F5E126}"/>
    <cellStyle name="Normal 12 2 2 2 4 3" xfId="5908" xr:uid="{00000000-0005-0000-0000-0000DB0D0000}"/>
    <cellStyle name="Normal 12 2 2 2 4 3 2" xfId="22791" xr:uid="{AD11723F-3AF0-47A7-BBBC-02343167E4F7}"/>
    <cellStyle name="Normal 12 2 2 2 4 3 3" xfId="14350" xr:uid="{77D0957B-73D3-48B8-9E35-5E8200765ECB}"/>
    <cellStyle name="Normal 12 2 2 2 4 4" xfId="18573" xr:uid="{F3C6EABB-9593-4BDD-8997-370533D474AA}"/>
    <cellStyle name="Normal 12 2 2 2 4 5" xfId="10132" xr:uid="{48A7F532-BE21-462D-A74B-716DAF2F9405}"/>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25349" xr:uid="{8588EFDF-42B8-4DC9-890D-E9D8B4366055}"/>
    <cellStyle name="Normal 12 2 2 2 5 2 2 3" xfId="16908" xr:uid="{B15CE68E-B394-44AB-928A-67E14D4D21A4}"/>
    <cellStyle name="Normal 12 2 2 2 5 2 3" xfId="21131" xr:uid="{DC660567-D2A0-42A4-8206-98659BB9F98C}"/>
    <cellStyle name="Normal 12 2 2 2 5 2 4" xfId="12690" xr:uid="{FCAA6EAD-3393-41A9-88A1-58D1A6CAAC91}"/>
    <cellStyle name="Normal 12 2 2 2 5 3" xfId="6321" xr:uid="{00000000-0005-0000-0000-0000DF0D0000}"/>
    <cellStyle name="Normal 12 2 2 2 5 3 2" xfId="23204" xr:uid="{1E08C0B9-D37D-45B6-A605-7553A370A89B}"/>
    <cellStyle name="Normal 12 2 2 2 5 3 3" xfId="14763" xr:uid="{2B521D2D-50BC-4E97-A295-058C21B2401B}"/>
    <cellStyle name="Normal 12 2 2 2 5 4" xfId="18986" xr:uid="{91A3800F-AF73-4977-8400-C535AE39AF7F}"/>
    <cellStyle name="Normal 12 2 2 2 5 5" xfId="10545" xr:uid="{458ADDC0-335A-45C4-B196-DF8D89EEAB1B}"/>
    <cellStyle name="Normal 12 2 2 2 6" xfId="2450" xr:uid="{00000000-0005-0000-0000-0000E00D0000}"/>
    <cellStyle name="Normal 12 2 2 2 6 2" xfId="6734" xr:uid="{00000000-0005-0000-0000-0000E10D0000}"/>
    <cellStyle name="Normal 12 2 2 2 6 2 2" xfId="23617" xr:uid="{66C0E751-6089-4EF7-A171-0A9EEA0615A0}"/>
    <cellStyle name="Normal 12 2 2 2 6 2 3" xfId="15176" xr:uid="{621B006C-E790-4093-8A83-11598FB0EF6A}"/>
    <cellStyle name="Normal 12 2 2 2 6 3" xfId="19399" xr:uid="{7C3D475F-8D89-44C5-8A2A-5695415DFA9F}"/>
    <cellStyle name="Normal 12 2 2 2 6 4" xfId="10958" xr:uid="{2DFAB6DF-D76C-4F11-B5EE-8601BCB2BF4E}"/>
    <cellStyle name="Normal 12 2 2 2 7" xfId="4668" xr:uid="{00000000-0005-0000-0000-0000E20D0000}"/>
    <cellStyle name="Normal 12 2 2 2 7 2" xfId="21551" xr:uid="{6723466B-5957-47EE-AA67-12A3B67DC40A}"/>
    <cellStyle name="Normal 12 2 2 2 7 3" xfId="13110" xr:uid="{FF7C80D1-6D44-496E-967D-5DC3A1A46A66}"/>
    <cellStyle name="Normal 12 2 2 2 8" xfId="17333" xr:uid="{895EAFC0-C4BC-4A5D-B198-B4D131F86ADA}"/>
    <cellStyle name="Normal 12 2 2 2 9" xfId="8892" xr:uid="{C6760E44-5A22-419D-9369-E750387C25A7}"/>
    <cellStyle name="Normal 12 2 2 3" xfId="762" xr:uid="{00000000-0005-0000-0000-0000E30D0000}"/>
    <cellStyle name="Normal 12 2 2 3 2" xfId="3003" xr:uid="{00000000-0005-0000-0000-0000E40D0000}"/>
    <cellStyle name="Normal 12 2 2 3 2 2" xfId="7226" xr:uid="{00000000-0005-0000-0000-0000E50D0000}"/>
    <cellStyle name="Normal 12 2 2 3 2 2 2" xfId="24109" xr:uid="{A3F9300D-B8F6-40AD-9DEA-E0A6E7E46C4F}"/>
    <cellStyle name="Normal 12 2 2 3 2 2 3" xfId="15668" xr:uid="{94068775-6D90-4003-BBCF-91BEA516D753}"/>
    <cellStyle name="Normal 12 2 2 3 2 3" xfId="19891" xr:uid="{CE8D4CE2-F883-4B7D-80C8-2935E8695054}"/>
    <cellStyle name="Normal 12 2 2 3 2 4" xfId="11450" xr:uid="{67F547AF-EA5B-4D27-A942-D055A63E72BA}"/>
    <cellStyle name="Normal 12 2 2 3 3" xfId="5081" xr:uid="{00000000-0005-0000-0000-0000E60D0000}"/>
    <cellStyle name="Normal 12 2 2 3 3 2" xfId="21964" xr:uid="{3B778BD8-CEBD-4FE7-9561-4842885C43D6}"/>
    <cellStyle name="Normal 12 2 2 3 3 3" xfId="13523" xr:uid="{59438A3F-7DC1-485A-BA13-5CB556933D14}"/>
    <cellStyle name="Normal 12 2 2 3 4" xfId="17746" xr:uid="{64B6079D-1422-4E07-960A-C6F53800EC7B}"/>
    <cellStyle name="Normal 12 2 2 3 5" xfId="9305" xr:uid="{28FF9635-B2B8-402E-A2BE-A5FDFFF54EAF}"/>
    <cellStyle name="Normal 12 2 2 4" xfId="1185" xr:uid="{00000000-0005-0000-0000-0000E70D0000}"/>
    <cellStyle name="Normal 12 2 2 4 2" xfId="3416" xr:uid="{00000000-0005-0000-0000-0000E80D0000}"/>
    <cellStyle name="Normal 12 2 2 4 2 2" xfId="7639" xr:uid="{00000000-0005-0000-0000-0000E90D0000}"/>
    <cellStyle name="Normal 12 2 2 4 2 2 2" xfId="24522" xr:uid="{348341C4-AC10-4AE7-947B-27ED60629DF0}"/>
    <cellStyle name="Normal 12 2 2 4 2 2 3" xfId="16081" xr:uid="{E4C6158E-39A5-4781-9A83-FCEE87AFF538}"/>
    <cellStyle name="Normal 12 2 2 4 2 3" xfId="20304" xr:uid="{5D0AD575-2B60-4941-BB9A-D131C55FA8DC}"/>
    <cellStyle name="Normal 12 2 2 4 2 4" xfId="11863" xr:uid="{43565CF4-9C2C-4B81-8205-057732F75C60}"/>
    <cellStyle name="Normal 12 2 2 4 3" xfId="5494" xr:uid="{00000000-0005-0000-0000-0000EA0D0000}"/>
    <cellStyle name="Normal 12 2 2 4 3 2" xfId="22377" xr:uid="{C5DC2BE7-B253-41AC-920A-040FEF2B7266}"/>
    <cellStyle name="Normal 12 2 2 4 3 3" xfId="13936" xr:uid="{50760E97-833B-4D70-A541-46878FF903FA}"/>
    <cellStyle name="Normal 12 2 2 4 4" xfId="18159" xr:uid="{630A276B-12B3-4B3F-ADDD-92D7D0415E27}"/>
    <cellStyle name="Normal 12 2 2 4 5" xfId="9718" xr:uid="{4D978F6A-6EA4-4D67-AA3A-77D6F5C9AFAB}"/>
    <cellStyle name="Normal 12 2 2 5" xfId="1599" xr:uid="{00000000-0005-0000-0000-0000EB0D0000}"/>
    <cellStyle name="Normal 12 2 2 5 2" xfId="3829" xr:uid="{00000000-0005-0000-0000-0000EC0D0000}"/>
    <cellStyle name="Normal 12 2 2 5 2 2" xfId="8052" xr:uid="{00000000-0005-0000-0000-0000ED0D0000}"/>
    <cellStyle name="Normal 12 2 2 5 2 2 2" xfId="24935" xr:uid="{9B2F3833-1A9C-423A-B0EC-0920BCC3C39B}"/>
    <cellStyle name="Normal 12 2 2 5 2 2 3" xfId="16494" xr:uid="{35FECF7F-5B4D-44FC-9284-6ADA2318F4D6}"/>
    <cellStyle name="Normal 12 2 2 5 2 3" xfId="20717" xr:uid="{9A975E67-E848-47DD-95FD-A6714C7B5B89}"/>
    <cellStyle name="Normal 12 2 2 5 2 4" xfId="12276" xr:uid="{96DAA4DA-C16A-4485-84C7-99DAE990795E}"/>
    <cellStyle name="Normal 12 2 2 5 3" xfId="5907" xr:uid="{00000000-0005-0000-0000-0000EE0D0000}"/>
    <cellStyle name="Normal 12 2 2 5 3 2" xfId="22790" xr:uid="{BE75B824-1727-4D70-A26F-C616F21F37C0}"/>
    <cellStyle name="Normal 12 2 2 5 3 3" xfId="14349" xr:uid="{B7F73205-343D-4937-8AC5-54F403841D27}"/>
    <cellStyle name="Normal 12 2 2 5 4" xfId="18572" xr:uid="{32CADACD-0B67-47B3-B80C-BCEE9BE77227}"/>
    <cellStyle name="Normal 12 2 2 5 5" xfId="10131" xr:uid="{5EF5098B-4BF9-486A-B2C1-AC5A9A12A24E}"/>
    <cellStyle name="Normal 12 2 2 6" xfId="2013" xr:uid="{00000000-0005-0000-0000-0000EF0D0000}"/>
    <cellStyle name="Normal 12 2 2 6 2" xfId="4242" xr:uid="{00000000-0005-0000-0000-0000F00D0000}"/>
    <cellStyle name="Normal 12 2 2 6 2 2" xfId="8465" xr:uid="{00000000-0005-0000-0000-0000F10D0000}"/>
    <cellStyle name="Normal 12 2 2 6 2 2 2" xfId="25348" xr:uid="{A17C024E-5048-43F2-A44A-93BB4FAD96B9}"/>
    <cellStyle name="Normal 12 2 2 6 2 2 3" xfId="16907" xr:uid="{B5DAB3EE-CE78-450D-B831-C926E9498B49}"/>
    <cellStyle name="Normal 12 2 2 6 2 3" xfId="21130" xr:uid="{5BE6A06D-F96C-4E6A-A346-F9727BA69B22}"/>
    <cellStyle name="Normal 12 2 2 6 2 4" xfId="12689" xr:uid="{F171C520-DA04-44D0-B301-C6359B9646C3}"/>
    <cellStyle name="Normal 12 2 2 6 3" xfId="6320" xr:uid="{00000000-0005-0000-0000-0000F20D0000}"/>
    <cellStyle name="Normal 12 2 2 6 3 2" xfId="23203" xr:uid="{1EDD2F19-63B1-4158-AE72-B7C7131DEF09}"/>
    <cellStyle name="Normal 12 2 2 6 3 3" xfId="14762" xr:uid="{D3770DB8-1492-471B-BC2B-8178C6B5D062}"/>
    <cellStyle name="Normal 12 2 2 6 4" xfId="18985" xr:uid="{F2657D77-1E1A-43F6-B0C7-FB0280D339F1}"/>
    <cellStyle name="Normal 12 2 2 6 5" xfId="10544" xr:uid="{2E07C287-74FC-489C-BB8F-B5DCDF509A7C}"/>
    <cellStyle name="Normal 12 2 2 7" xfId="2449" xr:uid="{00000000-0005-0000-0000-0000F30D0000}"/>
    <cellStyle name="Normal 12 2 2 7 2" xfId="6733" xr:uid="{00000000-0005-0000-0000-0000F40D0000}"/>
    <cellStyle name="Normal 12 2 2 7 2 2" xfId="23616" xr:uid="{97C83DEA-C72A-4264-895D-64197CD3C144}"/>
    <cellStyle name="Normal 12 2 2 7 2 3" xfId="15175" xr:uid="{D447EAAA-DC1A-42B6-AD36-A52E3FFCF4A5}"/>
    <cellStyle name="Normal 12 2 2 7 3" xfId="19398" xr:uid="{56816535-D256-48D3-B4E1-C6576DCB92FD}"/>
    <cellStyle name="Normal 12 2 2 7 4" xfId="10957" xr:uid="{FE50182F-BC02-4716-938B-5C66B735E738}"/>
    <cellStyle name="Normal 12 2 2 8" xfId="4667" xr:uid="{00000000-0005-0000-0000-0000F50D0000}"/>
    <cellStyle name="Normal 12 2 2 8 2" xfId="21550" xr:uid="{75245FF9-A690-44BC-83E0-334BD69CE10D}"/>
    <cellStyle name="Normal 12 2 2 8 3" xfId="13109" xr:uid="{1E4359D6-F1E4-4148-9674-13EDD3418D36}"/>
    <cellStyle name="Normal 12 2 2 9" xfId="17332" xr:uid="{186A2B5D-7146-45B2-988D-1B17228F63D7}"/>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24111" xr:uid="{2D1E0251-A2EF-4693-9189-6DDE5BA397C5}"/>
    <cellStyle name="Normal 12 2 3 2 2 2 3" xfId="15670" xr:uid="{F245B3FC-3F26-4454-A234-DFEFFA188838}"/>
    <cellStyle name="Normal 12 2 3 2 2 3" xfId="19893" xr:uid="{B1CA1522-C8CF-4D15-B0F1-910A3AD854E0}"/>
    <cellStyle name="Normal 12 2 3 2 2 4" xfId="11452" xr:uid="{FCDFD657-48FF-4345-A0FD-3B9EAA56461D}"/>
    <cellStyle name="Normal 12 2 3 2 3" xfId="5083" xr:uid="{00000000-0005-0000-0000-0000FA0D0000}"/>
    <cellStyle name="Normal 12 2 3 2 3 2" xfId="21966" xr:uid="{7924F49D-9127-4F35-9EC2-5AD000BE9AD7}"/>
    <cellStyle name="Normal 12 2 3 2 3 3" xfId="13525" xr:uid="{3C13F770-2D14-42CA-9976-E408ACA4D412}"/>
    <cellStyle name="Normal 12 2 3 2 4" xfId="17748" xr:uid="{C6262612-A88D-4E69-9625-BFC91EDF019E}"/>
    <cellStyle name="Normal 12 2 3 2 5" xfId="9307" xr:uid="{5023BD5E-096D-4726-98F1-54431478A3D8}"/>
    <cellStyle name="Normal 12 2 3 3" xfId="1187" xr:uid="{00000000-0005-0000-0000-0000FB0D0000}"/>
    <cellStyle name="Normal 12 2 3 3 2" xfId="3418" xr:uid="{00000000-0005-0000-0000-0000FC0D0000}"/>
    <cellStyle name="Normal 12 2 3 3 2 2" xfId="7641" xr:uid="{00000000-0005-0000-0000-0000FD0D0000}"/>
    <cellStyle name="Normal 12 2 3 3 2 2 2" xfId="24524" xr:uid="{2B401428-6DF2-4887-B7F9-7D1E37A3E033}"/>
    <cellStyle name="Normal 12 2 3 3 2 2 3" xfId="16083" xr:uid="{210C14AC-42FD-4C66-9FE4-6684780B8F57}"/>
    <cellStyle name="Normal 12 2 3 3 2 3" xfId="20306" xr:uid="{78163C37-7D62-4877-9399-A449791F96F1}"/>
    <cellStyle name="Normal 12 2 3 3 2 4" xfId="11865" xr:uid="{88224766-AF7C-4F4B-A89C-48EC89710ADB}"/>
    <cellStyle name="Normal 12 2 3 3 3" xfId="5496" xr:uid="{00000000-0005-0000-0000-0000FE0D0000}"/>
    <cellStyle name="Normal 12 2 3 3 3 2" xfId="22379" xr:uid="{0911E91F-F2B2-40EA-9B2B-B7B6B65C033B}"/>
    <cellStyle name="Normal 12 2 3 3 3 3" xfId="13938" xr:uid="{095203E3-FB73-4932-806D-D8D06E079C4B}"/>
    <cellStyle name="Normal 12 2 3 3 4" xfId="18161" xr:uid="{35349B5F-142A-47B1-977B-A87EA984DA4B}"/>
    <cellStyle name="Normal 12 2 3 3 5" xfId="9720" xr:uid="{916CFA8F-9118-4092-9CD9-1BB53004F096}"/>
    <cellStyle name="Normal 12 2 3 4" xfId="1601" xr:uid="{00000000-0005-0000-0000-0000FF0D0000}"/>
    <cellStyle name="Normal 12 2 3 4 2" xfId="3831" xr:uid="{00000000-0005-0000-0000-0000000E0000}"/>
    <cellStyle name="Normal 12 2 3 4 2 2" xfId="8054" xr:uid="{00000000-0005-0000-0000-0000010E0000}"/>
    <cellStyle name="Normal 12 2 3 4 2 2 2" xfId="24937" xr:uid="{01221527-C511-42BA-A199-2ECAB965A8CA}"/>
    <cellStyle name="Normal 12 2 3 4 2 2 3" xfId="16496" xr:uid="{5355E193-05CB-4F35-B6DC-9E089449AECD}"/>
    <cellStyle name="Normal 12 2 3 4 2 3" xfId="20719" xr:uid="{CF00E47D-5F21-402D-8646-1B22E5EA8800}"/>
    <cellStyle name="Normal 12 2 3 4 2 4" xfId="12278" xr:uid="{855792C2-99C8-4FCD-AFC0-45A9A7030BC9}"/>
    <cellStyle name="Normal 12 2 3 4 3" xfId="5909" xr:uid="{00000000-0005-0000-0000-0000020E0000}"/>
    <cellStyle name="Normal 12 2 3 4 3 2" xfId="22792" xr:uid="{0A9AC43D-4B66-4980-9A3C-F2AF1C0D44AF}"/>
    <cellStyle name="Normal 12 2 3 4 3 3" xfId="14351" xr:uid="{0642E4FE-061E-47EE-92D8-DB1B37C973AB}"/>
    <cellStyle name="Normal 12 2 3 4 4" xfId="18574" xr:uid="{FA7CC7BE-7A22-4513-8A2D-F64BB4FD2859}"/>
    <cellStyle name="Normal 12 2 3 4 5" xfId="10133" xr:uid="{DBC498B6-9330-4D65-8893-E9C14C61D7C5}"/>
    <cellStyle name="Normal 12 2 3 5" xfId="2015" xr:uid="{00000000-0005-0000-0000-0000030E0000}"/>
    <cellStyle name="Normal 12 2 3 5 2" xfId="4244" xr:uid="{00000000-0005-0000-0000-0000040E0000}"/>
    <cellStyle name="Normal 12 2 3 5 2 2" xfId="8467" xr:uid="{00000000-0005-0000-0000-0000050E0000}"/>
    <cellStyle name="Normal 12 2 3 5 2 2 2" xfId="25350" xr:uid="{C45D298F-139E-4412-87E9-7CC440C45119}"/>
    <cellStyle name="Normal 12 2 3 5 2 2 3" xfId="16909" xr:uid="{FCFDE6B3-3E40-4300-BC36-71B80CB8CEB9}"/>
    <cellStyle name="Normal 12 2 3 5 2 3" xfId="21132" xr:uid="{79C2321B-5D59-4CDC-BF9D-F861DA579CE0}"/>
    <cellStyle name="Normal 12 2 3 5 2 4" xfId="12691" xr:uid="{6472C593-4E7B-4E30-9628-EECE8F985843}"/>
    <cellStyle name="Normal 12 2 3 5 3" xfId="6322" xr:uid="{00000000-0005-0000-0000-0000060E0000}"/>
    <cellStyle name="Normal 12 2 3 5 3 2" xfId="23205" xr:uid="{11F85DEB-8C70-4079-B46E-72EB437DD1B7}"/>
    <cellStyle name="Normal 12 2 3 5 3 3" xfId="14764" xr:uid="{ED457A4D-DCB4-4A46-BEF1-C2A6F8D0F5F8}"/>
    <cellStyle name="Normal 12 2 3 5 4" xfId="18987" xr:uid="{338E9409-E2FB-4386-A5A0-B02F895F3E3D}"/>
    <cellStyle name="Normal 12 2 3 5 5" xfId="10546" xr:uid="{8EBFBDAE-40F4-4FB4-96D3-39D11BBF811E}"/>
    <cellStyle name="Normal 12 2 3 6" xfId="2451" xr:uid="{00000000-0005-0000-0000-0000070E0000}"/>
    <cellStyle name="Normal 12 2 3 6 2" xfId="6735" xr:uid="{00000000-0005-0000-0000-0000080E0000}"/>
    <cellStyle name="Normal 12 2 3 6 2 2" xfId="23618" xr:uid="{A1216060-E4C2-480F-AD77-B21C58A9E20D}"/>
    <cellStyle name="Normal 12 2 3 6 2 3" xfId="15177" xr:uid="{9F7CB951-FE56-4B64-83C7-18445173B1C3}"/>
    <cellStyle name="Normal 12 2 3 6 3" xfId="19400" xr:uid="{633EC405-4108-410F-9012-8519930C5A54}"/>
    <cellStyle name="Normal 12 2 3 6 4" xfId="10959" xr:uid="{0F5566E8-6DEC-49D4-A557-BEFE347C92A1}"/>
    <cellStyle name="Normal 12 2 3 7" xfId="4669" xr:uid="{00000000-0005-0000-0000-0000090E0000}"/>
    <cellStyle name="Normal 12 2 3 7 2" xfId="21552" xr:uid="{1DABF4E9-9708-4E26-9A05-50CBEEA458B3}"/>
    <cellStyle name="Normal 12 2 3 7 3" xfId="13111" xr:uid="{47A664E4-481C-445B-B19A-CE8C775B9567}"/>
    <cellStyle name="Normal 12 2 3 8" xfId="17334" xr:uid="{BD71C20D-0DFC-458D-85DE-B0F2CEB02815}"/>
    <cellStyle name="Normal 12 2 3 9" xfId="8893" xr:uid="{2F75186A-65D3-41E7-BA8B-FAE25425B0C0}"/>
    <cellStyle name="Normal 12 2 4" xfId="761" xr:uid="{00000000-0005-0000-0000-00000A0E0000}"/>
    <cellStyle name="Normal 12 2 4 2" xfId="3002" xr:uid="{00000000-0005-0000-0000-00000B0E0000}"/>
    <cellStyle name="Normal 12 2 4 2 2" xfId="7225" xr:uid="{00000000-0005-0000-0000-00000C0E0000}"/>
    <cellStyle name="Normal 12 2 4 2 2 2" xfId="24108" xr:uid="{22CB301C-475D-49C0-ACF9-2D216678CED9}"/>
    <cellStyle name="Normal 12 2 4 2 2 3" xfId="15667" xr:uid="{0359D136-95F2-497F-B693-D434B9B06002}"/>
    <cellStyle name="Normal 12 2 4 2 3" xfId="19890" xr:uid="{E9DD4699-E79E-46DC-9DB9-C493EA58BA94}"/>
    <cellStyle name="Normal 12 2 4 2 4" xfId="11449" xr:uid="{0060D142-1AD6-4AB3-9133-7153F53CCD0A}"/>
    <cellStyle name="Normal 12 2 4 3" xfId="5080" xr:uid="{00000000-0005-0000-0000-00000D0E0000}"/>
    <cellStyle name="Normal 12 2 4 3 2" xfId="21963" xr:uid="{E60307EE-3526-4FE0-B92B-875C1A914C4B}"/>
    <cellStyle name="Normal 12 2 4 3 3" xfId="13522" xr:uid="{904D4411-28F5-4981-B35A-12A141BA4E31}"/>
    <cellStyle name="Normal 12 2 4 4" xfId="17745" xr:uid="{EB651617-F670-4B8E-84E1-B91A455E43C5}"/>
    <cellStyle name="Normal 12 2 4 5" xfId="9304" xr:uid="{E209FECF-A336-4A29-B262-B656FF83902A}"/>
    <cellStyle name="Normal 12 2 5" xfId="1184" xr:uid="{00000000-0005-0000-0000-00000E0E0000}"/>
    <cellStyle name="Normal 12 2 5 2" xfId="3415" xr:uid="{00000000-0005-0000-0000-00000F0E0000}"/>
    <cellStyle name="Normal 12 2 5 2 2" xfId="7638" xr:uid="{00000000-0005-0000-0000-0000100E0000}"/>
    <cellStyle name="Normal 12 2 5 2 2 2" xfId="24521" xr:uid="{D6637605-1987-4368-A64B-A994A122F247}"/>
    <cellStyle name="Normal 12 2 5 2 2 3" xfId="16080" xr:uid="{601EF19F-348C-43A8-9F17-BECC1FA866DD}"/>
    <cellStyle name="Normal 12 2 5 2 3" xfId="20303" xr:uid="{3447A27A-1C24-4B2E-AFE2-24962ED4B1AE}"/>
    <cellStyle name="Normal 12 2 5 2 4" xfId="11862" xr:uid="{0EF47E31-5A3B-4E25-A77B-440495FB962B}"/>
    <cellStyle name="Normal 12 2 5 3" xfId="5493" xr:uid="{00000000-0005-0000-0000-0000110E0000}"/>
    <cellStyle name="Normal 12 2 5 3 2" xfId="22376" xr:uid="{A70975C2-3DB7-45AA-8533-6D3BE1ECE905}"/>
    <cellStyle name="Normal 12 2 5 3 3" xfId="13935" xr:uid="{6623BB4B-55CA-42D1-8A8A-3DD5B81EEFFE}"/>
    <cellStyle name="Normal 12 2 5 4" xfId="18158" xr:uid="{AF236C67-D137-4F17-95FF-632B654BB61D}"/>
    <cellStyle name="Normal 12 2 5 5" xfId="9717" xr:uid="{B54A2D21-313B-41BA-9B18-457AA37DC07D}"/>
    <cellStyle name="Normal 12 2 6" xfId="1598" xr:uid="{00000000-0005-0000-0000-0000120E0000}"/>
    <cellStyle name="Normal 12 2 6 2" xfId="3828" xr:uid="{00000000-0005-0000-0000-0000130E0000}"/>
    <cellStyle name="Normal 12 2 6 2 2" xfId="8051" xr:uid="{00000000-0005-0000-0000-0000140E0000}"/>
    <cellStyle name="Normal 12 2 6 2 2 2" xfId="24934" xr:uid="{4457AFE4-2779-446A-8E01-1335B0825941}"/>
    <cellStyle name="Normal 12 2 6 2 2 3" xfId="16493" xr:uid="{3C1A034E-D162-4CC2-9528-AAAF075C49B1}"/>
    <cellStyle name="Normal 12 2 6 2 3" xfId="20716" xr:uid="{426EA7A7-05A9-44D3-AB2B-1B88F0E44FDA}"/>
    <cellStyle name="Normal 12 2 6 2 4" xfId="12275" xr:uid="{753330E4-87D6-4FBF-BE9E-F0C56A3E26D7}"/>
    <cellStyle name="Normal 12 2 6 3" xfId="5906" xr:uid="{00000000-0005-0000-0000-0000150E0000}"/>
    <cellStyle name="Normal 12 2 6 3 2" xfId="22789" xr:uid="{9BBE17F2-4A15-4E0E-AF39-1B7A65C5F599}"/>
    <cellStyle name="Normal 12 2 6 3 3" xfId="14348" xr:uid="{6EA26357-3A2A-4692-A5D8-D8C13A0874BB}"/>
    <cellStyle name="Normal 12 2 6 4" xfId="18571" xr:uid="{AAB236DF-4B7E-4828-8B18-482E0B30D51B}"/>
    <cellStyle name="Normal 12 2 6 5" xfId="10130" xr:uid="{FA91860C-6297-40C3-ACA1-F56F86518F0A}"/>
    <cellStyle name="Normal 12 2 7" xfId="2012" xr:uid="{00000000-0005-0000-0000-0000160E0000}"/>
    <cellStyle name="Normal 12 2 7 2" xfId="4241" xr:uid="{00000000-0005-0000-0000-0000170E0000}"/>
    <cellStyle name="Normal 12 2 7 2 2" xfId="8464" xr:uid="{00000000-0005-0000-0000-0000180E0000}"/>
    <cellStyle name="Normal 12 2 7 2 2 2" xfId="25347" xr:uid="{E2BF2944-C47D-4D7C-9102-DF6E531A887C}"/>
    <cellStyle name="Normal 12 2 7 2 2 3" xfId="16906" xr:uid="{AD762B42-5F39-4B6B-A0AE-29F2CBCCDCB4}"/>
    <cellStyle name="Normal 12 2 7 2 3" xfId="21129" xr:uid="{4A2A4A9B-69C0-4890-8158-5A48AE109C55}"/>
    <cellStyle name="Normal 12 2 7 2 4" xfId="12688" xr:uid="{12B1957D-5BBD-42B7-913F-5BB1A90CBB26}"/>
    <cellStyle name="Normal 12 2 7 3" xfId="6319" xr:uid="{00000000-0005-0000-0000-0000190E0000}"/>
    <cellStyle name="Normal 12 2 7 3 2" xfId="23202" xr:uid="{D4AB420A-C499-426C-873C-D29AB91C8200}"/>
    <cellStyle name="Normal 12 2 7 3 3" xfId="14761" xr:uid="{F26B4A76-BC5D-47F1-B986-C2AE6D64A8C4}"/>
    <cellStyle name="Normal 12 2 7 4" xfId="18984" xr:uid="{514D1BC2-33F5-43E8-AA5F-740EBDC73230}"/>
    <cellStyle name="Normal 12 2 7 5" xfId="10543" xr:uid="{DCC86D9E-DC90-476D-8FA0-426B00C5DD81}"/>
    <cellStyle name="Normal 12 2 8" xfId="2448" xr:uid="{00000000-0005-0000-0000-00001A0E0000}"/>
    <cellStyle name="Normal 12 2 8 2" xfId="6732" xr:uid="{00000000-0005-0000-0000-00001B0E0000}"/>
    <cellStyle name="Normal 12 2 8 2 2" xfId="23615" xr:uid="{609DAEBE-4D72-43C3-860E-D27087ADB8D4}"/>
    <cellStyle name="Normal 12 2 8 2 3" xfId="15174" xr:uid="{874563D9-59C0-44B3-A5A0-F943C3D3F140}"/>
    <cellStyle name="Normal 12 2 8 3" xfId="19397" xr:uid="{9CDB89F0-D2D1-437B-9DA2-507CFB132330}"/>
    <cellStyle name="Normal 12 2 8 4" xfId="10956" xr:uid="{1CA82E56-C880-418D-8603-5C0F2B78702D}"/>
    <cellStyle name="Normal 12 2 9" xfId="4666" xr:uid="{00000000-0005-0000-0000-00001C0E0000}"/>
    <cellStyle name="Normal 12 2 9 2" xfId="21549" xr:uid="{A0570D46-D22F-438A-8650-6DE1C2A15D1C}"/>
    <cellStyle name="Normal 12 2 9 3" xfId="13108" xr:uid="{67C3032A-8761-4542-AB7D-B6F8E728FD2D}"/>
    <cellStyle name="Normal 12 3" xfId="264" xr:uid="{00000000-0005-0000-0000-00001D0E0000}"/>
    <cellStyle name="Normal 12 3 10" xfId="8894" xr:uid="{778A75D2-DDF3-42D8-A9D3-EB71EA61C2FC}"/>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24113" xr:uid="{33693F44-84DE-4C66-8EBD-E41F5752D36D}"/>
    <cellStyle name="Normal 12 3 2 2 2 2 3" xfId="15672" xr:uid="{9E6CF70D-63C6-4909-9D24-E8124068708A}"/>
    <cellStyle name="Normal 12 3 2 2 2 3" xfId="19895" xr:uid="{2D074A32-8957-4C85-B8E9-DC13CDB18AFE}"/>
    <cellStyle name="Normal 12 3 2 2 2 4" xfId="11454" xr:uid="{51A8C415-DD80-4753-BC82-16967DF92B0B}"/>
    <cellStyle name="Normal 12 3 2 2 3" xfId="5085" xr:uid="{00000000-0005-0000-0000-0000220E0000}"/>
    <cellStyle name="Normal 12 3 2 2 3 2" xfId="21968" xr:uid="{4049FD12-CDD0-4B30-AB11-4330717F4E66}"/>
    <cellStyle name="Normal 12 3 2 2 3 3" xfId="13527" xr:uid="{C5E964E2-9818-4D52-87B9-85550F67A1AD}"/>
    <cellStyle name="Normal 12 3 2 2 4" xfId="17750" xr:uid="{C0FC2283-B77F-4F08-BE20-F7A321EAF89F}"/>
    <cellStyle name="Normal 12 3 2 2 5" xfId="9309" xr:uid="{4B1BE1D5-C0CE-4E1E-85C6-F60FF4271C9B}"/>
    <cellStyle name="Normal 12 3 2 3" xfId="1189" xr:uid="{00000000-0005-0000-0000-0000230E0000}"/>
    <cellStyle name="Normal 12 3 2 3 2" xfId="3420" xr:uid="{00000000-0005-0000-0000-0000240E0000}"/>
    <cellStyle name="Normal 12 3 2 3 2 2" xfId="7643" xr:uid="{00000000-0005-0000-0000-0000250E0000}"/>
    <cellStyle name="Normal 12 3 2 3 2 2 2" xfId="24526" xr:uid="{2F2A5FA5-9782-49A0-ACDC-CC2BB090A67C}"/>
    <cellStyle name="Normal 12 3 2 3 2 2 3" xfId="16085" xr:uid="{02B2B4C1-0A62-46A6-8617-7AD03C48D6B8}"/>
    <cellStyle name="Normal 12 3 2 3 2 3" xfId="20308" xr:uid="{57DDFE21-AD17-4AAC-B33F-623848BBD32D}"/>
    <cellStyle name="Normal 12 3 2 3 2 4" xfId="11867" xr:uid="{8BC0CF64-CEB7-451F-98A9-451434A5E2D9}"/>
    <cellStyle name="Normal 12 3 2 3 3" xfId="5498" xr:uid="{00000000-0005-0000-0000-0000260E0000}"/>
    <cellStyle name="Normal 12 3 2 3 3 2" xfId="22381" xr:uid="{2EC35D0B-8536-4BA9-8019-55F77280B679}"/>
    <cellStyle name="Normal 12 3 2 3 3 3" xfId="13940" xr:uid="{FAC05FB1-DEA5-475E-8A59-F9994DC19A84}"/>
    <cellStyle name="Normal 12 3 2 3 4" xfId="18163" xr:uid="{6FB8E763-D524-4880-9E1C-DD44B8137E91}"/>
    <cellStyle name="Normal 12 3 2 3 5" xfId="9722" xr:uid="{9B0BD176-563C-449D-8532-8736CD4FA89C}"/>
    <cellStyle name="Normal 12 3 2 4" xfId="1603" xr:uid="{00000000-0005-0000-0000-0000270E0000}"/>
    <cellStyle name="Normal 12 3 2 4 2" xfId="3833" xr:uid="{00000000-0005-0000-0000-0000280E0000}"/>
    <cellStyle name="Normal 12 3 2 4 2 2" xfId="8056" xr:uid="{00000000-0005-0000-0000-0000290E0000}"/>
    <cellStyle name="Normal 12 3 2 4 2 2 2" xfId="24939" xr:uid="{F49B3AFE-5C45-4B10-B343-72A511882050}"/>
    <cellStyle name="Normal 12 3 2 4 2 2 3" xfId="16498" xr:uid="{DFBD16E3-B47E-4140-BB30-1B8DFED56545}"/>
    <cellStyle name="Normal 12 3 2 4 2 3" xfId="20721" xr:uid="{8EA3E424-E035-41F2-BB80-AFD0CC2C6156}"/>
    <cellStyle name="Normal 12 3 2 4 2 4" xfId="12280" xr:uid="{A2AA225C-4771-4451-A4E5-46D3A97DC26C}"/>
    <cellStyle name="Normal 12 3 2 4 3" xfId="5911" xr:uid="{00000000-0005-0000-0000-00002A0E0000}"/>
    <cellStyle name="Normal 12 3 2 4 3 2" xfId="22794" xr:uid="{F356BE47-0E51-4105-A9A9-B42504055C40}"/>
    <cellStyle name="Normal 12 3 2 4 3 3" xfId="14353" xr:uid="{0E89F0DC-1F21-471F-A259-428C29ADCBEB}"/>
    <cellStyle name="Normal 12 3 2 4 4" xfId="18576" xr:uid="{839B3EB4-8087-46BD-892C-F870C671F8AE}"/>
    <cellStyle name="Normal 12 3 2 4 5" xfId="10135" xr:uid="{068AA33E-A359-4E2A-9EED-00132BDC6CD3}"/>
    <cellStyle name="Normal 12 3 2 5" xfId="2017" xr:uid="{00000000-0005-0000-0000-00002B0E0000}"/>
    <cellStyle name="Normal 12 3 2 5 2" xfId="4246" xr:uid="{00000000-0005-0000-0000-00002C0E0000}"/>
    <cellStyle name="Normal 12 3 2 5 2 2" xfId="8469" xr:uid="{00000000-0005-0000-0000-00002D0E0000}"/>
    <cellStyle name="Normal 12 3 2 5 2 2 2" xfId="25352" xr:uid="{15AF38AE-1970-46D6-BEA0-7BFC20B40A1F}"/>
    <cellStyle name="Normal 12 3 2 5 2 2 3" xfId="16911" xr:uid="{F12CF5D7-9C03-4A9F-B0D6-5B9E220CEE52}"/>
    <cellStyle name="Normal 12 3 2 5 2 3" xfId="21134" xr:uid="{9EA87450-111D-4FCB-BC0B-D2EF320C3822}"/>
    <cellStyle name="Normal 12 3 2 5 2 4" xfId="12693" xr:uid="{0903A56D-CEFC-4CB8-AEBA-AE09B869ABFF}"/>
    <cellStyle name="Normal 12 3 2 5 3" xfId="6324" xr:uid="{00000000-0005-0000-0000-00002E0E0000}"/>
    <cellStyle name="Normal 12 3 2 5 3 2" xfId="23207" xr:uid="{DC05AF54-B2F6-4E10-A5C9-33D04F202556}"/>
    <cellStyle name="Normal 12 3 2 5 3 3" xfId="14766" xr:uid="{5270880C-667C-41ED-BFE6-B33D2275496B}"/>
    <cellStyle name="Normal 12 3 2 5 4" xfId="18989" xr:uid="{F6074B41-977C-474B-A220-57468F107DF7}"/>
    <cellStyle name="Normal 12 3 2 5 5" xfId="10548" xr:uid="{2CA29885-57D4-446D-9242-C323518F45FC}"/>
    <cellStyle name="Normal 12 3 2 6" xfId="2453" xr:uid="{00000000-0005-0000-0000-00002F0E0000}"/>
    <cellStyle name="Normal 12 3 2 6 2" xfId="6737" xr:uid="{00000000-0005-0000-0000-0000300E0000}"/>
    <cellStyle name="Normal 12 3 2 6 2 2" xfId="23620" xr:uid="{262BCDC8-CCC5-481A-A10D-5222E0E97988}"/>
    <cellStyle name="Normal 12 3 2 6 2 3" xfId="15179" xr:uid="{D7EA4B90-B9EB-4B03-AFA3-A5853E012228}"/>
    <cellStyle name="Normal 12 3 2 6 3" xfId="19402" xr:uid="{5F36460E-50B0-4903-ADA6-AD214BA9517E}"/>
    <cellStyle name="Normal 12 3 2 6 4" xfId="10961" xr:uid="{CFF0EDD6-4E0B-459C-B076-20B7A3B64A5B}"/>
    <cellStyle name="Normal 12 3 2 7" xfId="4671" xr:uid="{00000000-0005-0000-0000-0000310E0000}"/>
    <cellStyle name="Normal 12 3 2 7 2" xfId="21554" xr:uid="{8A87FEE6-D64D-4E2F-BF2A-1601B79D6E38}"/>
    <cellStyle name="Normal 12 3 2 7 3" xfId="13113" xr:uid="{53F15DB7-FA21-44CA-920F-10571F22F9B0}"/>
    <cellStyle name="Normal 12 3 2 8" xfId="17336" xr:uid="{B454BBA8-8F48-4C58-A071-5235D53C6F03}"/>
    <cellStyle name="Normal 12 3 2 9" xfId="8895" xr:uid="{7E20279F-E87A-4748-898F-35899FB36933}"/>
    <cellStyle name="Normal 12 3 3" xfId="765" xr:uid="{00000000-0005-0000-0000-0000320E0000}"/>
    <cellStyle name="Normal 12 3 3 2" xfId="3006" xr:uid="{00000000-0005-0000-0000-0000330E0000}"/>
    <cellStyle name="Normal 12 3 3 2 2" xfId="7229" xr:uid="{00000000-0005-0000-0000-0000340E0000}"/>
    <cellStyle name="Normal 12 3 3 2 2 2" xfId="24112" xr:uid="{B62F908B-C10A-4DD0-A5C0-F51C5FD8213E}"/>
    <cellStyle name="Normal 12 3 3 2 2 3" xfId="15671" xr:uid="{7AB824EB-1D12-481A-A661-7C8584E166AA}"/>
    <cellStyle name="Normal 12 3 3 2 3" xfId="19894" xr:uid="{C8519FA1-1DAB-4802-8C1C-55B0CBC62E93}"/>
    <cellStyle name="Normal 12 3 3 2 4" xfId="11453" xr:uid="{D4B3DF85-2FED-4767-8078-9A3356E5B9B4}"/>
    <cellStyle name="Normal 12 3 3 3" xfId="5084" xr:uid="{00000000-0005-0000-0000-0000350E0000}"/>
    <cellStyle name="Normal 12 3 3 3 2" xfId="21967" xr:uid="{C79C431F-68FB-4647-BEAA-DF7862699AD1}"/>
    <cellStyle name="Normal 12 3 3 3 3" xfId="13526" xr:uid="{284BCA99-CD48-42D9-947F-2FD6D5A50021}"/>
    <cellStyle name="Normal 12 3 3 4" xfId="17749" xr:uid="{50031353-320E-4C16-963B-0F20A922F63A}"/>
    <cellStyle name="Normal 12 3 3 5" xfId="9308" xr:uid="{D41C0B9E-94BF-4618-B325-70D1AF5CD647}"/>
    <cellStyle name="Normal 12 3 4" xfId="1188" xr:uid="{00000000-0005-0000-0000-0000360E0000}"/>
    <cellStyle name="Normal 12 3 4 2" xfId="3419" xr:uid="{00000000-0005-0000-0000-0000370E0000}"/>
    <cellStyle name="Normal 12 3 4 2 2" xfId="7642" xr:uid="{00000000-0005-0000-0000-0000380E0000}"/>
    <cellStyle name="Normal 12 3 4 2 2 2" xfId="24525" xr:uid="{22D8A289-DEE5-4E30-B66A-D150505E4D72}"/>
    <cellStyle name="Normal 12 3 4 2 2 3" xfId="16084" xr:uid="{00AB91C3-960A-4342-8FC3-C9F72C33A06B}"/>
    <cellStyle name="Normal 12 3 4 2 3" xfId="20307" xr:uid="{465950EF-DC8E-4AA5-B0C3-87083DCFAC2B}"/>
    <cellStyle name="Normal 12 3 4 2 4" xfId="11866" xr:uid="{6DC4B4A0-83E4-489D-A7F1-4AE8CA59C7A6}"/>
    <cellStyle name="Normal 12 3 4 3" xfId="5497" xr:uid="{00000000-0005-0000-0000-0000390E0000}"/>
    <cellStyle name="Normal 12 3 4 3 2" xfId="22380" xr:uid="{CEAF05B1-3F25-4F20-940B-44A0474E3509}"/>
    <cellStyle name="Normal 12 3 4 3 3" xfId="13939" xr:uid="{8E1EFE0C-A7D9-4174-9390-2ABF28F7FAD3}"/>
    <cellStyle name="Normal 12 3 4 4" xfId="18162" xr:uid="{4456F74F-A12C-44AA-AC15-089C87392782}"/>
    <cellStyle name="Normal 12 3 4 5" xfId="9721" xr:uid="{1A579DDA-2CD3-439D-9FC8-C9F7804ED75B}"/>
    <cellStyle name="Normal 12 3 5" xfId="1602" xr:uid="{00000000-0005-0000-0000-00003A0E0000}"/>
    <cellStyle name="Normal 12 3 5 2" xfId="3832" xr:uid="{00000000-0005-0000-0000-00003B0E0000}"/>
    <cellStyle name="Normal 12 3 5 2 2" xfId="8055" xr:uid="{00000000-0005-0000-0000-00003C0E0000}"/>
    <cellStyle name="Normal 12 3 5 2 2 2" xfId="24938" xr:uid="{672B832F-3716-4250-ADB8-9901246DAC7B}"/>
    <cellStyle name="Normal 12 3 5 2 2 3" xfId="16497" xr:uid="{90DB05B5-3EC4-4C79-8C58-3200A4311A35}"/>
    <cellStyle name="Normal 12 3 5 2 3" xfId="20720" xr:uid="{189FDF1E-9C82-43AB-80DD-5B724B480F35}"/>
    <cellStyle name="Normal 12 3 5 2 4" xfId="12279" xr:uid="{38462605-55BC-4D2B-B9E9-352A8FC3FB3F}"/>
    <cellStyle name="Normal 12 3 5 3" xfId="5910" xr:uid="{00000000-0005-0000-0000-00003D0E0000}"/>
    <cellStyle name="Normal 12 3 5 3 2" xfId="22793" xr:uid="{FFF51F50-0361-46B8-80B6-759F3395DC04}"/>
    <cellStyle name="Normal 12 3 5 3 3" xfId="14352" xr:uid="{04446BF6-D588-4F64-808A-52355D4B0654}"/>
    <cellStyle name="Normal 12 3 5 4" xfId="18575" xr:uid="{186AE2E2-4BCC-45A7-9FAF-9A3348F32372}"/>
    <cellStyle name="Normal 12 3 5 5" xfId="10134" xr:uid="{9514516F-848F-4C99-A692-05532E2356F2}"/>
    <cellStyle name="Normal 12 3 6" xfId="2016" xr:uid="{00000000-0005-0000-0000-00003E0E0000}"/>
    <cellStyle name="Normal 12 3 6 2" xfId="4245" xr:uid="{00000000-0005-0000-0000-00003F0E0000}"/>
    <cellStyle name="Normal 12 3 6 2 2" xfId="8468" xr:uid="{00000000-0005-0000-0000-0000400E0000}"/>
    <cellStyle name="Normal 12 3 6 2 2 2" xfId="25351" xr:uid="{478EE122-0AD1-491C-B962-AB95B234ABF8}"/>
    <cellStyle name="Normal 12 3 6 2 2 3" xfId="16910" xr:uid="{95C265F9-4105-4CCD-B3E9-0EC94B693720}"/>
    <cellStyle name="Normal 12 3 6 2 3" xfId="21133" xr:uid="{D6E96D96-8F57-44D0-95BC-11D56F59D296}"/>
    <cellStyle name="Normal 12 3 6 2 4" xfId="12692" xr:uid="{2D0E09BB-BE7E-43C8-AB7F-D9A371AC52E5}"/>
    <cellStyle name="Normal 12 3 6 3" xfId="6323" xr:uid="{00000000-0005-0000-0000-0000410E0000}"/>
    <cellStyle name="Normal 12 3 6 3 2" xfId="23206" xr:uid="{FBB63452-B9F1-4CA0-8860-A58F6C1BD76C}"/>
    <cellStyle name="Normal 12 3 6 3 3" xfId="14765" xr:uid="{D8E8BB09-44FB-4ABE-BA6C-E971FC235B6D}"/>
    <cellStyle name="Normal 12 3 6 4" xfId="18988" xr:uid="{9EE482F8-75DB-4589-9A0F-BED879A3392A}"/>
    <cellStyle name="Normal 12 3 6 5" xfId="10547" xr:uid="{213A8DAD-3433-4119-A440-07E67A901739}"/>
    <cellStyle name="Normal 12 3 7" xfId="2452" xr:uid="{00000000-0005-0000-0000-0000420E0000}"/>
    <cellStyle name="Normal 12 3 7 2" xfId="6736" xr:uid="{00000000-0005-0000-0000-0000430E0000}"/>
    <cellStyle name="Normal 12 3 7 2 2" xfId="23619" xr:uid="{F9505ABF-4C4E-4CBF-ABC1-9AE96F7273F5}"/>
    <cellStyle name="Normal 12 3 7 2 3" xfId="15178" xr:uid="{98586154-2095-49F1-ABAC-747F6DBC4FFC}"/>
    <cellStyle name="Normal 12 3 7 3" xfId="19401" xr:uid="{E797DB02-67FE-4BD9-9E7E-A259C4067B37}"/>
    <cellStyle name="Normal 12 3 7 4" xfId="10960" xr:uid="{A0C128D4-3508-4039-AEE5-4BD070B4764D}"/>
    <cellStyle name="Normal 12 3 8" xfId="4670" xr:uid="{00000000-0005-0000-0000-0000440E0000}"/>
    <cellStyle name="Normal 12 3 8 2" xfId="21553" xr:uid="{EDDF2E1D-1872-4872-AD6A-8F4560137A5F}"/>
    <cellStyle name="Normal 12 3 8 3" xfId="13112" xr:uid="{FD3AA4D4-E2A9-4C15-91A7-E720C2BCA2DA}"/>
    <cellStyle name="Normal 12 3 9" xfId="17335" xr:uid="{7CFA0480-E0F0-436F-9328-DD45A09B455D}"/>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24114" xr:uid="{7DDD601D-B9B3-4F6E-9C99-FD7B923A9AC0}"/>
    <cellStyle name="Normal 12 4 2 2 2 3" xfId="15673" xr:uid="{C81BCAC6-D5CB-4730-B9C6-401702DE5AC2}"/>
    <cellStyle name="Normal 12 4 2 2 3" xfId="19896" xr:uid="{6817CF0D-C37D-4FD3-B927-84B6F9CBC63C}"/>
    <cellStyle name="Normal 12 4 2 2 4" xfId="11455" xr:uid="{765D7690-6440-4614-BD96-3643E165DC7B}"/>
    <cellStyle name="Normal 12 4 2 3" xfId="5086" xr:uid="{00000000-0005-0000-0000-0000490E0000}"/>
    <cellStyle name="Normal 12 4 2 3 2" xfId="21969" xr:uid="{C4870FCD-34C0-4C70-A067-381B3C696D13}"/>
    <cellStyle name="Normal 12 4 2 3 3" xfId="13528" xr:uid="{D7AF3A2E-99AA-41B1-A1F4-FBF8D1C3F03C}"/>
    <cellStyle name="Normal 12 4 2 4" xfId="17751" xr:uid="{641895F9-3A10-42DF-B997-AFE5DDFCBE3D}"/>
    <cellStyle name="Normal 12 4 2 5" xfId="9310" xr:uid="{9E3B0431-9579-425D-92BB-38727DFFBB35}"/>
    <cellStyle name="Normal 12 4 3" xfId="1190" xr:uid="{00000000-0005-0000-0000-00004A0E0000}"/>
    <cellStyle name="Normal 12 4 3 2" xfId="3421" xr:uid="{00000000-0005-0000-0000-00004B0E0000}"/>
    <cellStyle name="Normal 12 4 3 2 2" xfId="7644" xr:uid="{00000000-0005-0000-0000-00004C0E0000}"/>
    <cellStyle name="Normal 12 4 3 2 2 2" xfId="24527" xr:uid="{FA121F18-E494-4C39-B903-612A45C75023}"/>
    <cellStyle name="Normal 12 4 3 2 2 3" xfId="16086" xr:uid="{407B8623-57AC-46AE-838F-1E8A013EACF0}"/>
    <cellStyle name="Normal 12 4 3 2 3" xfId="20309" xr:uid="{1D6844A8-45A5-4F15-B8AE-C6BD50AD256E}"/>
    <cellStyle name="Normal 12 4 3 2 4" xfId="11868" xr:uid="{42299C26-FFA3-4EC4-B63E-D90682F13E22}"/>
    <cellStyle name="Normal 12 4 3 3" xfId="5499" xr:uid="{00000000-0005-0000-0000-00004D0E0000}"/>
    <cellStyle name="Normal 12 4 3 3 2" xfId="22382" xr:uid="{B9728C5D-5866-47E5-B199-0481E6570B7B}"/>
    <cellStyle name="Normal 12 4 3 3 3" xfId="13941" xr:uid="{BB711FF7-81C6-4F02-8BA6-99DCEB99A433}"/>
    <cellStyle name="Normal 12 4 3 4" xfId="18164" xr:uid="{93870393-9A25-4B1E-8362-D71B852F3C72}"/>
    <cellStyle name="Normal 12 4 3 5" xfId="9723" xr:uid="{CED2C937-E8BF-459D-8A17-24CBD6D75135}"/>
    <cellStyle name="Normal 12 4 4" xfId="1604" xr:uid="{00000000-0005-0000-0000-00004E0E0000}"/>
    <cellStyle name="Normal 12 4 4 2" xfId="3834" xr:uid="{00000000-0005-0000-0000-00004F0E0000}"/>
    <cellStyle name="Normal 12 4 4 2 2" xfId="8057" xr:uid="{00000000-0005-0000-0000-0000500E0000}"/>
    <cellStyle name="Normal 12 4 4 2 2 2" xfId="24940" xr:uid="{6E9DEB38-4FBB-4501-9FC6-6C7DDE86F8E9}"/>
    <cellStyle name="Normal 12 4 4 2 2 3" xfId="16499" xr:uid="{615A83D9-F978-42E6-94A9-63F1B546BEF6}"/>
    <cellStyle name="Normal 12 4 4 2 3" xfId="20722" xr:uid="{E27CC095-4C9F-40E8-9865-7FBB1258719B}"/>
    <cellStyle name="Normal 12 4 4 2 4" xfId="12281" xr:uid="{7E77EFA5-559A-4A65-A906-4B5A6B9B724B}"/>
    <cellStyle name="Normal 12 4 4 3" xfId="5912" xr:uid="{00000000-0005-0000-0000-0000510E0000}"/>
    <cellStyle name="Normal 12 4 4 3 2" xfId="22795" xr:uid="{B4D6CD34-63A2-4297-950A-24F398BC2DB2}"/>
    <cellStyle name="Normal 12 4 4 3 3" xfId="14354" xr:uid="{7A01A323-B8E8-4029-A82D-A5566BD9E252}"/>
    <cellStyle name="Normal 12 4 4 4" xfId="18577" xr:uid="{F52C052A-7AC5-49F9-84B8-0AB80AD60E4C}"/>
    <cellStyle name="Normal 12 4 4 5" xfId="10136" xr:uid="{27B8584B-BDE8-41A9-98DB-919FE06F6F51}"/>
    <cellStyle name="Normal 12 4 5" xfId="2018" xr:uid="{00000000-0005-0000-0000-0000520E0000}"/>
    <cellStyle name="Normal 12 4 5 2" xfId="4247" xr:uid="{00000000-0005-0000-0000-0000530E0000}"/>
    <cellStyle name="Normal 12 4 5 2 2" xfId="8470" xr:uid="{00000000-0005-0000-0000-0000540E0000}"/>
    <cellStyle name="Normal 12 4 5 2 2 2" xfId="25353" xr:uid="{36436CD9-A450-47FE-90E6-0A464966E8E0}"/>
    <cellStyle name="Normal 12 4 5 2 2 3" xfId="16912" xr:uid="{53B59494-267D-4FDB-B8C7-8F04DF16EF3E}"/>
    <cellStyle name="Normal 12 4 5 2 3" xfId="21135" xr:uid="{BD8FEDD0-2008-49D4-ACA0-E10B3D8E168A}"/>
    <cellStyle name="Normal 12 4 5 2 4" xfId="12694" xr:uid="{45A216E8-C046-4A02-B0D6-AE8B98F8EE07}"/>
    <cellStyle name="Normal 12 4 5 3" xfId="6325" xr:uid="{00000000-0005-0000-0000-0000550E0000}"/>
    <cellStyle name="Normal 12 4 5 3 2" xfId="23208" xr:uid="{015989D7-899A-40F0-B46B-1EC46C672D73}"/>
    <cellStyle name="Normal 12 4 5 3 3" xfId="14767" xr:uid="{AADA6932-945F-49D5-91C2-7A4C141FAD75}"/>
    <cellStyle name="Normal 12 4 5 4" xfId="18990" xr:uid="{95162D5C-088D-44A3-B755-870CBF8072C9}"/>
    <cellStyle name="Normal 12 4 5 5" xfId="10549" xr:uid="{39CAD559-A6AF-41F2-9D86-C19562588CBA}"/>
    <cellStyle name="Normal 12 4 6" xfId="2454" xr:uid="{00000000-0005-0000-0000-0000560E0000}"/>
    <cellStyle name="Normal 12 4 6 2" xfId="6738" xr:uid="{00000000-0005-0000-0000-0000570E0000}"/>
    <cellStyle name="Normal 12 4 6 2 2" xfId="23621" xr:uid="{FF16F5E5-95D6-4D8C-B5CE-0985404E8948}"/>
    <cellStyle name="Normal 12 4 6 2 3" xfId="15180" xr:uid="{B8E21627-0ED8-4280-95AE-5FC987E2F214}"/>
    <cellStyle name="Normal 12 4 6 3" xfId="19403" xr:uid="{B91548F2-B05E-49E8-A691-255805BC0F7E}"/>
    <cellStyle name="Normal 12 4 6 4" xfId="10962" xr:uid="{53DE968C-3A86-4E84-8936-ADE17AFB9E2F}"/>
    <cellStyle name="Normal 12 4 7" xfId="4672" xr:uid="{00000000-0005-0000-0000-0000580E0000}"/>
    <cellStyle name="Normal 12 4 7 2" xfId="21555" xr:uid="{FF2C3001-1443-43EB-95F9-DC68F1E866F3}"/>
    <cellStyle name="Normal 12 4 7 3" xfId="13114" xr:uid="{1584EA99-FA14-41F7-9491-985A39670CC6}"/>
    <cellStyle name="Normal 12 4 8" xfId="17337" xr:uid="{DB2489F4-568B-4320-8812-DEE591A243D9}"/>
    <cellStyle name="Normal 12 4 9" xfId="8896" xr:uid="{D5C0CFD0-095B-4E7C-93D1-AEF3C39A273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24107" xr:uid="{AC54230D-49C1-4704-819A-CC8A207801C7}"/>
    <cellStyle name="Normal 12 6 2 2 3" xfId="15666" xr:uid="{3360CA46-801C-4FA3-87CD-EEDC74020993}"/>
    <cellStyle name="Normal 12 6 2 3" xfId="19889" xr:uid="{8FDCC89A-5C58-4662-B368-DBB24DF33C87}"/>
    <cellStyle name="Normal 12 6 2 4" xfId="11448" xr:uid="{26FC9D7A-3320-4A4E-88EA-20A2F7759227}"/>
    <cellStyle name="Normal 12 6 3" xfId="5079" xr:uid="{00000000-0005-0000-0000-00005D0E0000}"/>
    <cellStyle name="Normal 12 6 3 2" xfId="21962" xr:uid="{96BA0B6B-FBA7-4812-BEC5-AD8AC859DFD7}"/>
    <cellStyle name="Normal 12 6 3 3" xfId="13521" xr:uid="{E7034E69-508C-4467-8628-96A0B60CD776}"/>
    <cellStyle name="Normal 12 6 4" xfId="17744" xr:uid="{34BD78E4-9D4E-4D2B-967E-355D1E7A5094}"/>
    <cellStyle name="Normal 12 6 5" xfId="9303" xr:uid="{51854061-1B93-4FF2-A768-3BAABDE70D1A}"/>
    <cellStyle name="Normal 12 7" xfId="1183" xr:uid="{00000000-0005-0000-0000-00005E0E0000}"/>
    <cellStyle name="Normal 12 7 2" xfId="3414" xr:uid="{00000000-0005-0000-0000-00005F0E0000}"/>
    <cellStyle name="Normal 12 7 2 2" xfId="7637" xr:uid="{00000000-0005-0000-0000-0000600E0000}"/>
    <cellStyle name="Normal 12 7 2 2 2" xfId="24520" xr:uid="{D4715E3B-C8E1-47B4-9CA6-704FA1478D60}"/>
    <cellStyle name="Normal 12 7 2 2 3" xfId="16079" xr:uid="{1A534325-8F48-415B-9333-5C5E6A460355}"/>
    <cellStyle name="Normal 12 7 2 3" xfId="20302" xr:uid="{12B6DAA5-3FD6-4276-B456-39952F5DBE2D}"/>
    <cellStyle name="Normal 12 7 2 4" xfId="11861" xr:uid="{59BDD77A-EC77-4FAD-94D1-CCBCB043783E}"/>
    <cellStyle name="Normal 12 7 3" xfId="5492" xr:uid="{00000000-0005-0000-0000-0000610E0000}"/>
    <cellStyle name="Normal 12 7 3 2" xfId="22375" xr:uid="{66E7A80A-A95F-4D2E-832B-9E0F4F436AE2}"/>
    <cellStyle name="Normal 12 7 3 3" xfId="13934" xr:uid="{37FCCD67-2C81-4E4D-AF4D-090FCA276F89}"/>
    <cellStyle name="Normal 12 7 4" xfId="18157" xr:uid="{4690D3BB-A01A-4C86-BBD0-332898A5DF10}"/>
    <cellStyle name="Normal 12 7 5" xfId="9716" xr:uid="{E8E42806-D768-484F-8C0F-68EA6D742A96}"/>
    <cellStyle name="Normal 12 8" xfId="1597" xr:uid="{00000000-0005-0000-0000-0000620E0000}"/>
    <cellStyle name="Normal 12 8 2" xfId="3827" xr:uid="{00000000-0005-0000-0000-0000630E0000}"/>
    <cellStyle name="Normal 12 8 2 2" xfId="8050" xr:uid="{00000000-0005-0000-0000-0000640E0000}"/>
    <cellStyle name="Normal 12 8 2 2 2" xfId="24933" xr:uid="{60FDE226-AFF5-40BD-A836-526742CC8936}"/>
    <cellStyle name="Normal 12 8 2 2 3" xfId="16492" xr:uid="{08286FC3-25C1-4B87-9D20-9D539F1ECB6C}"/>
    <cellStyle name="Normal 12 8 2 3" xfId="20715" xr:uid="{8D307299-AD03-4F97-B631-C0D78F861C1D}"/>
    <cellStyle name="Normal 12 8 2 4" xfId="12274" xr:uid="{6E0AB0FB-1A33-41FC-A5E7-91DB32BF7D11}"/>
    <cellStyle name="Normal 12 8 3" xfId="5905" xr:uid="{00000000-0005-0000-0000-0000650E0000}"/>
    <cellStyle name="Normal 12 8 3 2" xfId="22788" xr:uid="{B11FB2E6-6A5C-4069-9FC0-58469D36CC40}"/>
    <cellStyle name="Normal 12 8 3 3" xfId="14347" xr:uid="{81DF60C0-5728-4E91-B78B-6721B5237A27}"/>
    <cellStyle name="Normal 12 8 4" xfId="18570" xr:uid="{C954F520-761A-47AC-8D2D-78025694C110}"/>
    <cellStyle name="Normal 12 8 5" xfId="10129" xr:uid="{79B23340-BA09-4D59-9DBD-15D4B05BC670}"/>
    <cellStyle name="Normal 12 9" xfId="2011" xr:uid="{00000000-0005-0000-0000-0000660E0000}"/>
    <cellStyle name="Normal 12 9 2" xfId="4240" xr:uid="{00000000-0005-0000-0000-0000670E0000}"/>
    <cellStyle name="Normal 12 9 2 2" xfId="8463" xr:uid="{00000000-0005-0000-0000-0000680E0000}"/>
    <cellStyle name="Normal 12 9 2 2 2" xfId="25346" xr:uid="{989E41DB-16F3-4D35-9AB1-625169B4DEA4}"/>
    <cellStyle name="Normal 12 9 2 2 3" xfId="16905" xr:uid="{A1C2B4EB-FC01-4B0C-B3A4-C8DDAE306DDF}"/>
    <cellStyle name="Normal 12 9 2 3" xfId="21128" xr:uid="{CB3A65D5-2DA7-4EB9-8C6A-13412FE575E2}"/>
    <cellStyle name="Normal 12 9 2 4" xfId="12687" xr:uid="{A482D1A4-116D-4A42-80B9-F3EBD4510917}"/>
    <cellStyle name="Normal 12 9 3" xfId="6318" xr:uid="{00000000-0005-0000-0000-0000690E0000}"/>
    <cellStyle name="Normal 12 9 3 2" xfId="23201" xr:uid="{ACC0D8CD-D311-4824-A402-194CC6C4A54F}"/>
    <cellStyle name="Normal 12 9 3 3" xfId="14760" xr:uid="{CBC0AA7D-E1A5-4763-A952-721E2113F3F6}"/>
    <cellStyle name="Normal 12 9 4" xfId="18983" xr:uid="{DF3BB0BE-B4D0-4C40-81F4-1E57EF3151AB}"/>
    <cellStyle name="Normal 12 9 5" xfId="10542" xr:uid="{59C3145E-BBCE-4431-AB1A-6D92DBFA04DF}"/>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24115" xr:uid="{7B519A3E-62B5-455D-B6A6-62B4A2200FD9}"/>
    <cellStyle name="Normal 14 2 2 2 3" xfId="15674" xr:uid="{BC7FEB69-0ECF-454C-A19A-81882C647CB8}"/>
    <cellStyle name="Normal 14 2 2 3" xfId="19897" xr:uid="{1B5CC3D0-509C-4886-BFE5-7D70CE1533FE}"/>
    <cellStyle name="Normal 14 2 2 4" xfId="11456" xr:uid="{1B27701D-67AD-46B5-A684-F0664D93651B}"/>
    <cellStyle name="Normal 14 2 3" xfId="5087" xr:uid="{00000000-0005-0000-0000-0000700E0000}"/>
    <cellStyle name="Normal 14 2 3 2" xfId="21970" xr:uid="{C62481E2-2BDA-402D-B882-DBE02EE48555}"/>
    <cellStyle name="Normal 14 2 3 3" xfId="13529" xr:uid="{B6426340-7FE0-4E07-8911-DA33434C3011}"/>
    <cellStyle name="Normal 14 2 4" xfId="17752" xr:uid="{240CEE96-BEC7-464E-9A63-1581771A60D4}"/>
    <cellStyle name="Normal 14 2 5" xfId="9311" xr:uid="{B45F3074-565A-40BB-927D-96B58F448F91}"/>
    <cellStyle name="Normal 14 3" xfId="1191" xr:uid="{00000000-0005-0000-0000-0000710E0000}"/>
    <cellStyle name="Normal 14 3 2" xfId="3422" xr:uid="{00000000-0005-0000-0000-0000720E0000}"/>
    <cellStyle name="Normal 14 3 2 2" xfId="7645" xr:uid="{00000000-0005-0000-0000-0000730E0000}"/>
    <cellStyle name="Normal 14 3 2 2 2" xfId="24528" xr:uid="{97460F2F-F313-4F00-98C3-04FD56B92532}"/>
    <cellStyle name="Normal 14 3 2 2 3" xfId="16087" xr:uid="{DD0D6685-28ED-423E-B35E-54AF75360461}"/>
    <cellStyle name="Normal 14 3 2 3" xfId="20310" xr:uid="{A73CCE6C-3710-4746-907B-A024E0CC37A9}"/>
    <cellStyle name="Normal 14 3 2 4" xfId="11869" xr:uid="{D629641B-62D4-4B2F-AAFD-112290E8D1B5}"/>
    <cellStyle name="Normal 14 3 3" xfId="5500" xr:uid="{00000000-0005-0000-0000-0000740E0000}"/>
    <cellStyle name="Normal 14 3 3 2" xfId="22383" xr:uid="{723A2303-9EF5-4AD6-9805-0F6524A895E2}"/>
    <cellStyle name="Normal 14 3 3 3" xfId="13942" xr:uid="{24EAEF60-53CC-4CFC-8C14-B62611437872}"/>
    <cellStyle name="Normal 14 3 4" xfId="18165" xr:uid="{50DDF2C5-1190-4E05-AA62-E144E3664EE3}"/>
    <cellStyle name="Normal 14 3 5" xfId="9724" xr:uid="{ACCB02EC-BB24-4FFB-B4CB-39C6542FFAB7}"/>
    <cellStyle name="Normal 14 4" xfId="1605" xr:uid="{00000000-0005-0000-0000-0000750E0000}"/>
    <cellStyle name="Normal 14 4 2" xfId="3835" xr:uid="{00000000-0005-0000-0000-0000760E0000}"/>
    <cellStyle name="Normal 14 4 2 2" xfId="8058" xr:uid="{00000000-0005-0000-0000-0000770E0000}"/>
    <cellStyle name="Normal 14 4 2 2 2" xfId="24941" xr:uid="{3AF892CD-9D8C-483B-9C5C-87AEA227290B}"/>
    <cellStyle name="Normal 14 4 2 2 3" xfId="16500" xr:uid="{8D849160-1913-4416-84D9-DFD8CF85C76B}"/>
    <cellStyle name="Normal 14 4 2 3" xfId="20723" xr:uid="{0D3F6E08-62DE-409C-A41E-58FB072C245A}"/>
    <cellStyle name="Normal 14 4 2 4" xfId="12282" xr:uid="{4A4CFEA8-6DA0-407D-8BA6-812B24AEA7B9}"/>
    <cellStyle name="Normal 14 4 3" xfId="5913" xr:uid="{00000000-0005-0000-0000-0000780E0000}"/>
    <cellStyle name="Normal 14 4 3 2" xfId="22796" xr:uid="{43F2E2E9-3A3F-4730-B7E1-B9C584E17E7E}"/>
    <cellStyle name="Normal 14 4 3 3" xfId="14355" xr:uid="{B0D6554E-374E-4038-917C-5279A8F62FDB}"/>
    <cellStyle name="Normal 14 4 4" xfId="18578" xr:uid="{2A849C8F-77AD-442E-A7BB-8D6A3ADBA45D}"/>
    <cellStyle name="Normal 14 4 5" xfId="10137" xr:uid="{5636147A-4B2D-48F9-B22B-3242E0068CBB}"/>
    <cellStyle name="Normal 14 5" xfId="2019" xr:uid="{00000000-0005-0000-0000-0000790E0000}"/>
    <cellStyle name="Normal 14 5 2" xfId="4248" xr:uid="{00000000-0005-0000-0000-00007A0E0000}"/>
    <cellStyle name="Normal 14 5 2 2" xfId="8471" xr:uid="{00000000-0005-0000-0000-00007B0E0000}"/>
    <cellStyle name="Normal 14 5 2 2 2" xfId="25354" xr:uid="{E0684618-E2FD-4F6F-8460-54B0B36665AB}"/>
    <cellStyle name="Normal 14 5 2 2 3" xfId="16913" xr:uid="{1F76E45D-4CA2-4CB6-822E-319268F91132}"/>
    <cellStyle name="Normal 14 5 2 3" xfId="21136" xr:uid="{2BADB3E9-18E4-4A53-88F3-C82A6C268139}"/>
    <cellStyle name="Normal 14 5 2 4" xfId="12695" xr:uid="{9720249F-4030-4775-8000-4B912FE22D1B}"/>
    <cellStyle name="Normal 14 5 3" xfId="6326" xr:uid="{00000000-0005-0000-0000-00007C0E0000}"/>
    <cellStyle name="Normal 14 5 3 2" xfId="23209" xr:uid="{FBE9172D-05D0-4C99-9440-E84CBF280C0B}"/>
    <cellStyle name="Normal 14 5 3 3" xfId="14768" xr:uid="{C4F8D7F1-C47A-4B37-B0DD-8D5CACCB4D14}"/>
    <cellStyle name="Normal 14 5 4" xfId="18991" xr:uid="{DA8A61F9-553E-422F-BF26-26DA6D64C1B8}"/>
    <cellStyle name="Normal 14 5 5" xfId="10550" xr:uid="{8359152B-3FB1-462F-B606-1C9A1C1E0487}"/>
    <cellStyle name="Normal 14 6" xfId="2455" xr:uid="{00000000-0005-0000-0000-00007D0E0000}"/>
    <cellStyle name="Normal 14 6 2" xfId="6739" xr:uid="{00000000-0005-0000-0000-00007E0E0000}"/>
    <cellStyle name="Normal 14 6 2 2" xfId="23622" xr:uid="{B2FEF42B-0D67-4999-A01C-02E79CDD28ED}"/>
    <cellStyle name="Normal 14 6 2 3" xfId="15181" xr:uid="{5E143D17-E311-44B2-98FB-D931E7D63A6B}"/>
    <cellStyle name="Normal 14 6 3" xfId="19404" xr:uid="{83D30517-F8A5-4772-81B3-E00DA03654C4}"/>
    <cellStyle name="Normal 14 6 4" xfId="10963" xr:uid="{A3F35C0A-FF25-4BA6-A5B8-8748470312C7}"/>
    <cellStyle name="Normal 14 7" xfId="4673" xr:uid="{00000000-0005-0000-0000-00007F0E0000}"/>
    <cellStyle name="Normal 14 7 2" xfId="21556" xr:uid="{777BB722-3656-4EAA-9095-4614708915B4}"/>
    <cellStyle name="Normal 14 7 3" xfId="13115" xr:uid="{3DA00AB2-4472-4980-ACD7-DEF99B9B775A}"/>
    <cellStyle name="Normal 14 8" xfId="17338" xr:uid="{71181E32-E11E-401C-A73A-869257A98B8F}"/>
    <cellStyle name="Normal 14 9" xfId="8897" xr:uid="{FA19C870-6202-41C2-B251-646C938D34B6}"/>
    <cellStyle name="Normal 15" xfId="4496" xr:uid="{00000000-0005-0000-0000-0000800E0000}"/>
    <cellStyle name="Normal 15 2" xfId="21382" xr:uid="{E6E6F375-9F5B-4846-AAEB-59E78CF108D7}"/>
    <cellStyle name="Normal 15 3" xfId="12941" xr:uid="{A1C94BE2-B774-4600-99A5-5520C021ED80}"/>
    <cellStyle name="Normal 16" xfId="4500" xr:uid="{00000000-0005-0000-0000-0000810E0000}"/>
    <cellStyle name="Normal 16 2" xfId="8716" xr:uid="{00000000-0005-0000-0000-0000820E0000}"/>
    <cellStyle name="Normal 16 2 2" xfId="25599" xr:uid="{A767A926-12F9-4AEA-A441-024F2606FD41}"/>
    <cellStyle name="Normal 16 2 3" xfId="17158" xr:uid="{E7ED258B-21D3-4424-AFB2-BC1DE149538A}"/>
    <cellStyle name="Normal 16 3" xfId="8719" xr:uid="{3DE1BEEB-61FA-4094-B10F-9E0444F68763}"/>
    <cellStyle name="Normal 16 3 2" xfId="8723" xr:uid="{FE0BC069-4698-40B2-814D-8E09719245E9}"/>
    <cellStyle name="Normal 16 3 2 2" xfId="8726" xr:uid="{D3E9609F-293A-4CFC-B194-1FF2F92D621D}"/>
    <cellStyle name="Normal 16 3 2 2 2" xfId="25608" xr:uid="{CCB31B2A-DAE8-4786-A85A-5BFC3B6A481B}"/>
    <cellStyle name="Normal 16 3 2 2 3" xfId="17167" xr:uid="{0759E764-5C9F-49A2-92DA-2C071238799F}"/>
    <cellStyle name="Normal 16 3 2 3" xfId="25605" xr:uid="{AD6782D5-3CB4-4F57-BA6C-E6FC1E2E41D1}"/>
    <cellStyle name="Normal 16 3 2 4" xfId="17164" xr:uid="{85A2CD30-EF1B-4B0C-BF52-8CADB01297B6}"/>
    <cellStyle name="Normal 16 3 3" xfId="25602" xr:uid="{F5BD4874-9A57-46E6-A6D9-0935F52D9C8B}"/>
    <cellStyle name="Normal 16 3 4" xfId="17161" xr:uid="{48398004-77DF-4728-B6AD-30439210ABCB}"/>
    <cellStyle name="Normal 16 4" xfId="21385" xr:uid="{B5094F18-8827-4190-81D3-557ABDEE3E58}"/>
    <cellStyle name="Normal 16 5" xfId="12944" xr:uid="{1F0E9B32-AA28-414B-A8B3-BF20D5ED0348}"/>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25355" xr:uid="{7F04AC28-5189-44CE-A88B-CC90E07BEBA4}"/>
    <cellStyle name="Normal 2 4 2 10 2 2 3" xfId="16914" xr:uid="{5B4F8EDA-97D8-4B49-BA68-56BFF0FA8C2B}"/>
    <cellStyle name="Normal 2 4 2 10 2 3" xfId="21137" xr:uid="{3C92CF8E-F536-4E1E-B74A-A124CE932436}"/>
    <cellStyle name="Normal 2 4 2 10 2 4" xfId="12696" xr:uid="{E3EC771B-D37D-4E23-B0CF-964682B61B12}"/>
    <cellStyle name="Normal 2 4 2 10 3" xfId="6327" xr:uid="{00000000-0005-0000-0000-0000910E0000}"/>
    <cellStyle name="Normal 2 4 2 10 3 2" xfId="23210" xr:uid="{C2C4C35B-1989-4C64-AA56-2C060CC0C6AE}"/>
    <cellStyle name="Normal 2 4 2 10 3 3" xfId="14769" xr:uid="{C160DA87-4AAC-4BFF-83A3-D8BB9A1DED8D}"/>
    <cellStyle name="Normal 2 4 2 10 4" xfId="18992" xr:uid="{5DD53BFB-D59C-42A2-83FB-D73E9A29729A}"/>
    <cellStyle name="Normal 2 4 2 10 5" xfId="10551" xr:uid="{09F53C42-757D-4671-AA56-A6FE99F89023}"/>
    <cellStyle name="Normal 2 4 2 11" xfId="2456" xr:uid="{00000000-0005-0000-0000-0000920E0000}"/>
    <cellStyle name="Normal 2 4 2 11 2" xfId="6740" xr:uid="{00000000-0005-0000-0000-0000930E0000}"/>
    <cellStyle name="Normal 2 4 2 11 2 2" xfId="23623" xr:uid="{D82389D4-083F-4A33-ADE9-612C5CED4F4C}"/>
    <cellStyle name="Normal 2 4 2 11 2 3" xfId="15182" xr:uid="{AF07C34B-717E-47A3-B0F6-F429EAC0D18C}"/>
    <cellStyle name="Normal 2 4 2 11 3" xfId="19405" xr:uid="{66F6BD48-2866-494A-9BBC-984DC5BE997F}"/>
    <cellStyle name="Normal 2 4 2 11 4" xfId="10964" xr:uid="{1CE6D51C-B5DC-4F52-BAC4-9E583E10AAA2}"/>
    <cellStyle name="Normal 2 4 2 12" xfId="4674" xr:uid="{00000000-0005-0000-0000-0000940E0000}"/>
    <cellStyle name="Normal 2 4 2 12 2" xfId="21557" xr:uid="{848DD272-AC85-45F7-BCBE-63DE33905074}"/>
    <cellStyle name="Normal 2 4 2 12 3" xfId="13116" xr:uid="{9AB41BDC-0250-41F4-8C0F-503C8D394CAD}"/>
    <cellStyle name="Normal 2 4 2 13" xfId="17339" xr:uid="{D7E30D1F-788C-42EB-B2A4-06BF2C03E72A}"/>
    <cellStyle name="Normal 2 4 2 14" xfId="8898" xr:uid="{0BA6C7B0-223A-41BA-B440-433C9FDE86B0}"/>
    <cellStyle name="Normal 2 4 2 2" xfId="280" xr:uid="{00000000-0005-0000-0000-0000950E0000}"/>
    <cellStyle name="Normal 2 4 2 3" xfId="281" xr:uid="{00000000-0005-0000-0000-0000960E0000}"/>
    <cellStyle name="Normal 2 4 2 3 10" xfId="4675" xr:uid="{00000000-0005-0000-0000-0000970E0000}"/>
    <cellStyle name="Normal 2 4 2 3 10 2" xfId="21558" xr:uid="{0E22FE0E-73A5-450F-AA13-AC4474751039}"/>
    <cellStyle name="Normal 2 4 2 3 10 3" xfId="13117" xr:uid="{55391AAB-549E-4982-956E-5D69FE0464E3}"/>
    <cellStyle name="Normal 2 4 2 3 11" xfId="17340" xr:uid="{8133852E-D4D3-4ED6-998F-1868274B5769}"/>
    <cellStyle name="Normal 2 4 2 3 12" xfId="8899" xr:uid="{8DEF6D0D-76B5-4A73-B187-948F8E37492F}"/>
    <cellStyle name="Normal 2 4 2 3 2" xfId="282" xr:uid="{00000000-0005-0000-0000-0000980E0000}"/>
    <cellStyle name="Normal 2 4 2 3 2 10" xfId="17341" xr:uid="{93ECFC08-32AA-4079-ADF5-529A63F249BD}"/>
    <cellStyle name="Normal 2 4 2 3 2 11" xfId="8900" xr:uid="{4B45F705-2616-466B-B1A6-EEC07C76DC81}"/>
    <cellStyle name="Normal 2 4 2 3 2 2" xfId="283" xr:uid="{00000000-0005-0000-0000-0000990E0000}"/>
    <cellStyle name="Normal 2 4 2 3 2 2 10" xfId="8901" xr:uid="{98842616-DA81-4363-BD31-7AD608E107A6}"/>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24120" xr:uid="{1772E2F8-0C77-47D5-A8B5-51F55003754C}"/>
    <cellStyle name="Normal 2 4 2 3 2 2 2 2 2 2 3" xfId="15679" xr:uid="{3DAA6CD3-C055-445F-A924-009ACD28CA9E}"/>
    <cellStyle name="Normal 2 4 2 3 2 2 2 2 2 3" xfId="19902" xr:uid="{255DC296-77A1-4DCA-9528-4C38ECE0FA00}"/>
    <cellStyle name="Normal 2 4 2 3 2 2 2 2 2 4" xfId="11461" xr:uid="{0689EB06-99A3-46B1-BA2F-7D6ED0727DB7}"/>
    <cellStyle name="Normal 2 4 2 3 2 2 2 2 3" xfId="5092" xr:uid="{00000000-0005-0000-0000-00009E0E0000}"/>
    <cellStyle name="Normal 2 4 2 3 2 2 2 2 3 2" xfId="21975" xr:uid="{69DA465B-7C24-4B0A-9E27-35134FBB73BC}"/>
    <cellStyle name="Normal 2 4 2 3 2 2 2 2 3 3" xfId="13534" xr:uid="{D315F51C-A3C4-4058-A01E-223C6340107F}"/>
    <cellStyle name="Normal 2 4 2 3 2 2 2 2 4" xfId="17757" xr:uid="{2FC4D8B4-E9D8-4E0E-A5A4-FB6F0965A33B}"/>
    <cellStyle name="Normal 2 4 2 3 2 2 2 2 5" xfId="9316" xr:uid="{E8E488F1-201E-4843-BB5D-66944E46132E}"/>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24533" xr:uid="{A34D1439-F443-4CE4-823F-031A30C1C81F}"/>
    <cellStyle name="Normal 2 4 2 3 2 2 2 3 2 2 3" xfId="16092" xr:uid="{68E4F810-B699-4386-9449-A26FC457840F}"/>
    <cellStyle name="Normal 2 4 2 3 2 2 2 3 2 3" xfId="20315" xr:uid="{CBD7265B-7F3E-413D-8A09-CF2FCD0E9E99}"/>
    <cellStyle name="Normal 2 4 2 3 2 2 2 3 2 4" xfId="11874" xr:uid="{F8108191-6B38-41CC-BB8A-E0684CD47EBA}"/>
    <cellStyle name="Normal 2 4 2 3 2 2 2 3 3" xfId="5505" xr:uid="{00000000-0005-0000-0000-0000A20E0000}"/>
    <cellStyle name="Normal 2 4 2 3 2 2 2 3 3 2" xfId="22388" xr:uid="{9E5ABF34-8D3A-4812-8364-4E14663C8307}"/>
    <cellStyle name="Normal 2 4 2 3 2 2 2 3 3 3" xfId="13947" xr:uid="{6D1E7EC3-6785-4E70-9EEB-E41272EE0070}"/>
    <cellStyle name="Normal 2 4 2 3 2 2 2 3 4" xfId="18170" xr:uid="{3A39C690-B52E-40AC-8434-68C1DC8121D9}"/>
    <cellStyle name="Normal 2 4 2 3 2 2 2 3 5" xfId="9729" xr:uid="{9876F2E0-CAD1-46CA-8E14-A9A23D523E9C}"/>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24946" xr:uid="{84960155-240E-4633-A0ED-1C1233A0FD7A}"/>
    <cellStyle name="Normal 2 4 2 3 2 2 2 4 2 2 3" xfId="16505" xr:uid="{DD96E7FB-2A58-4374-8721-B2006082B594}"/>
    <cellStyle name="Normal 2 4 2 3 2 2 2 4 2 3" xfId="20728" xr:uid="{CA49A681-63EB-418A-9F69-9289FA261803}"/>
    <cellStyle name="Normal 2 4 2 3 2 2 2 4 2 4" xfId="12287" xr:uid="{9ABFD3B8-E99C-4B5D-AF66-D9E0E3782444}"/>
    <cellStyle name="Normal 2 4 2 3 2 2 2 4 3" xfId="5918" xr:uid="{00000000-0005-0000-0000-0000A60E0000}"/>
    <cellStyle name="Normal 2 4 2 3 2 2 2 4 3 2" xfId="22801" xr:uid="{C2966487-C88D-4F15-98B7-0CE164B800D9}"/>
    <cellStyle name="Normal 2 4 2 3 2 2 2 4 3 3" xfId="14360" xr:uid="{0E7EDF80-B959-4414-BDA4-D5E28513D0FE}"/>
    <cellStyle name="Normal 2 4 2 3 2 2 2 4 4" xfId="18583" xr:uid="{9492D600-FFE0-48A6-935E-F520B109E353}"/>
    <cellStyle name="Normal 2 4 2 3 2 2 2 4 5" xfId="10142" xr:uid="{0091A81D-9118-4872-ACC3-422D1D5377EA}"/>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25359" xr:uid="{8E6D45F2-83C8-48C3-911B-0316BA4A6B64}"/>
    <cellStyle name="Normal 2 4 2 3 2 2 2 5 2 2 3" xfId="16918" xr:uid="{EB62663F-014E-4707-A9CD-C3C93637543E}"/>
    <cellStyle name="Normal 2 4 2 3 2 2 2 5 2 3" xfId="21141" xr:uid="{B7732E3E-CB2A-4E77-BEB2-AE9EEF129E6B}"/>
    <cellStyle name="Normal 2 4 2 3 2 2 2 5 2 4" xfId="12700" xr:uid="{BD71B49E-88E6-46DF-91EA-373F9A51798C}"/>
    <cellStyle name="Normal 2 4 2 3 2 2 2 5 3" xfId="6331" xr:uid="{00000000-0005-0000-0000-0000AA0E0000}"/>
    <cellStyle name="Normal 2 4 2 3 2 2 2 5 3 2" xfId="23214" xr:uid="{BA611CE5-A61C-4BC4-8B22-B9E9A5E3D597}"/>
    <cellStyle name="Normal 2 4 2 3 2 2 2 5 3 3" xfId="14773" xr:uid="{68BDF5EC-37C2-41C2-9214-FB360499F2A2}"/>
    <cellStyle name="Normal 2 4 2 3 2 2 2 5 4" xfId="18996" xr:uid="{4594EEC8-1E70-4AA0-B327-3602316A53F8}"/>
    <cellStyle name="Normal 2 4 2 3 2 2 2 5 5" xfId="10555" xr:uid="{2388E9A9-7161-4345-801F-C13E5B157F52}"/>
    <cellStyle name="Normal 2 4 2 3 2 2 2 6" xfId="2460" xr:uid="{00000000-0005-0000-0000-0000AB0E0000}"/>
    <cellStyle name="Normal 2 4 2 3 2 2 2 6 2" xfId="6744" xr:uid="{00000000-0005-0000-0000-0000AC0E0000}"/>
    <cellStyle name="Normal 2 4 2 3 2 2 2 6 2 2" xfId="23627" xr:uid="{9F4541C5-BC15-41F4-AB6F-C7EA08E028BF}"/>
    <cellStyle name="Normal 2 4 2 3 2 2 2 6 2 3" xfId="15186" xr:uid="{3064D4CD-612F-40E7-8936-4F343CE1D373}"/>
    <cellStyle name="Normal 2 4 2 3 2 2 2 6 3" xfId="19409" xr:uid="{01D18725-E558-4753-9406-CDC8DF07E552}"/>
    <cellStyle name="Normal 2 4 2 3 2 2 2 6 4" xfId="10968" xr:uid="{CA89FD5F-D869-469B-A8EB-96D67FC98A4B}"/>
    <cellStyle name="Normal 2 4 2 3 2 2 2 7" xfId="4678" xr:uid="{00000000-0005-0000-0000-0000AD0E0000}"/>
    <cellStyle name="Normal 2 4 2 3 2 2 2 7 2" xfId="21561" xr:uid="{B2FE8999-D474-4AA6-AE60-363080E5AF69}"/>
    <cellStyle name="Normal 2 4 2 3 2 2 2 7 3" xfId="13120" xr:uid="{45146CEC-7113-4354-8513-6DD9A59FEA23}"/>
    <cellStyle name="Normal 2 4 2 3 2 2 2 8" xfId="17343" xr:uid="{FE198132-9CD8-45C3-80A2-515A1F60FFAC}"/>
    <cellStyle name="Normal 2 4 2 3 2 2 2 9" xfId="8902" xr:uid="{C689E147-36DA-499F-AB10-7375C0375FF8}"/>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24119" xr:uid="{2420DB25-D301-4C5B-B088-C030B7B900A1}"/>
    <cellStyle name="Normal 2 4 2 3 2 2 3 2 2 3" xfId="15678" xr:uid="{BFF91BA5-3441-42A2-88BD-136B519131DF}"/>
    <cellStyle name="Normal 2 4 2 3 2 2 3 2 3" xfId="19901" xr:uid="{422A8002-088F-401D-A59C-9DE527249A8B}"/>
    <cellStyle name="Normal 2 4 2 3 2 2 3 2 4" xfId="11460" xr:uid="{69C8E14E-8C4A-4797-BB6C-C852AB2F262A}"/>
    <cellStyle name="Normal 2 4 2 3 2 2 3 3" xfId="5091" xr:uid="{00000000-0005-0000-0000-0000B10E0000}"/>
    <cellStyle name="Normal 2 4 2 3 2 2 3 3 2" xfId="21974" xr:uid="{6A4D2860-A95F-41FD-AA29-6CDACACEDD7D}"/>
    <cellStyle name="Normal 2 4 2 3 2 2 3 3 3" xfId="13533" xr:uid="{91743E0D-7DB4-4D11-8C89-401B9325CD37}"/>
    <cellStyle name="Normal 2 4 2 3 2 2 3 4" xfId="17756" xr:uid="{6D345403-F948-4591-884B-48F0CBAC3470}"/>
    <cellStyle name="Normal 2 4 2 3 2 2 3 5" xfId="9315" xr:uid="{2035A73E-5F66-4CEE-ADF2-C508A2C0820C}"/>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24532" xr:uid="{BE1B9A60-FC5A-4A0E-84AA-B749BB431362}"/>
    <cellStyle name="Normal 2 4 2 3 2 2 4 2 2 3" xfId="16091" xr:uid="{B3326FDF-F10D-4E3C-B718-8B23EAEDFE6F}"/>
    <cellStyle name="Normal 2 4 2 3 2 2 4 2 3" xfId="20314" xr:uid="{69010DD6-C90F-437D-A755-0321AA4B7335}"/>
    <cellStyle name="Normal 2 4 2 3 2 2 4 2 4" xfId="11873" xr:uid="{268A92C0-AF36-45CD-82BE-2A2F8B515E22}"/>
    <cellStyle name="Normal 2 4 2 3 2 2 4 3" xfId="5504" xr:uid="{00000000-0005-0000-0000-0000B50E0000}"/>
    <cellStyle name="Normal 2 4 2 3 2 2 4 3 2" xfId="22387" xr:uid="{2B31B7F9-D281-40C4-AC78-DF6FC0DA3428}"/>
    <cellStyle name="Normal 2 4 2 3 2 2 4 3 3" xfId="13946" xr:uid="{5B123B33-70B7-4ABD-A49D-44A3234CC209}"/>
    <cellStyle name="Normal 2 4 2 3 2 2 4 4" xfId="18169" xr:uid="{EF6C9DC3-0E01-4742-AD07-0A001154DE8A}"/>
    <cellStyle name="Normal 2 4 2 3 2 2 4 5" xfId="9728" xr:uid="{C74616DD-9D18-4F30-9E38-D409D0CFBF94}"/>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24945" xr:uid="{175183A0-F7B0-42BB-BE1E-3A267BE8839C}"/>
    <cellStyle name="Normal 2 4 2 3 2 2 5 2 2 3" xfId="16504" xr:uid="{D9D3C3A5-1E7C-463F-92FF-666C9008D0B5}"/>
    <cellStyle name="Normal 2 4 2 3 2 2 5 2 3" xfId="20727" xr:uid="{9E75DBCD-5D40-49EB-8166-715477831517}"/>
    <cellStyle name="Normal 2 4 2 3 2 2 5 2 4" xfId="12286" xr:uid="{FA0DDC50-B86F-4409-A6FA-B71B096FB084}"/>
    <cellStyle name="Normal 2 4 2 3 2 2 5 3" xfId="5917" xr:uid="{00000000-0005-0000-0000-0000B90E0000}"/>
    <cellStyle name="Normal 2 4 2 3 2 2 5 3 2" xfId="22800" xr:uid="{B6B64D90-2F25-4671-9316-70CC038ADA26}"/>
    <cellStyle name="Normal 2 4 2 3 2 2 5 3 3" xfId="14359" xr:uid="{C5BA6D2B-4585-4B04-845B-D21FE0DC6068}"/>
    <cellStyle name="Normal 2 4 2 3 2 2 5 4" xfId="18582" xr:uid="{0C7ED0A3-0256-48F0-AC1A-8BD0DBBE891F}"/>
    <cellStyle name="Normal 2 4 2 3 2 2 5 5" xfId="10141" xr:uid="{430993A7-A896-4B26-9390-CDB867AD64BB}"/>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25358" xr:uid="{D4CE19F1-8373-465B-9C94-D558BFE77CCC}"/>
    <cellStyle name="Normal 2 4 2 3 2 2 6 2 2 3" xfId="16917" xr:uid="{F8DB4CA2-5646-4A82-8F5A-2BF226F8C3B8}"/>
    <cellStyle name="Normal 2 4 2 3 2 2 6 2 3" xfId="21140" xr:uid="{553A6A1D-B215-4617-9CA6-789614CF3A5B}"/>
    <cellStyle name="Normal 2 4 2 3 2 2 6 2 4" xfId="12699" xr:uid="{21983345-1610-43E5-AAD6-C078BDF56704}"/>
    <cellStyle name="Normal 2 4 2 3 2 2 6 3" xfId="6330" xr:uid="{00000000-0005-0000-0000-0000BD0E0000}"/>
    <cellStyle name="Normal 2 4 2 3 2 2 6 3 2" xfId="23213" xr:uid="{C31E7C45-AEF6-427B-8493-EFA3DE4D59C9}"/>
    <cellStyle name="Normal 2 4 2 3 2 2 6 3 3" xfId="14772" xr:uid="{C079DB75-CA9C-494A-9393-F86144EA3B10}"/>
    <cellStyle name="Normal 2 4 2 3 2 2 6 4" xfId="18995" xr:uid="{6EFD2B28-ECA6-4971-BEB5-B0FCA822E414}"/>
    <cellStyle name="Normal 2 4 2 3 2 2 6 5" xfId="10554" xr:uid="{02466479-8F5D-4B0F-BBF9-CCB87BEF99A0}"/>
    <cellStyle name="Normal 2 4 2 3 2 2 7" xfId="2459" xr:uid="{00000000-0005-0000-0000-0000BE0E0000}"/>
    <cellStyle name="Normal 2 4 2 3 2 2 7 2" xfId="6743" xr:uid="{00000000-0005-0000-0000-0000BF0E0000}"/>
    <cellStyle name="Normal 2 4 2 3 2 2 7 2 2" xfId="23626" xr:uid="{BCDF6B33-7E4E-477A-8706-94198A163499}"/>
    <cellStyle name="Normal 2 4 2 3 2 2 7 2 3" xfId="15185" xr:uid="{3716C55E-387B-4668-B760-A6A671C143EA}"/>
    <cellStyle name="Normal 2 4 2 3 2 2 7 3" xfId="19408" xr:uid="{6FDA9BF0-B834-49C4-946A-C726ED4D8C91}"/>
    <cellStyle name="Normal 2 4 2 3 2 2 7 4" xfId="10967" xr:uid="{773375C6-4019-4DDE-BB5F-4F1832E44A2A}"/>
    <cellStyle name="Normal 2 4 2 3 2 2 8" xfId="4677" xr:uid="{00000000-0005-0000-0000-0000C00E0000}"/>
    <cellStyle name="Normal 2 4 2 3 2 2 8 2" xfId="21560" xr:uid="{E17224AA-2608-4543-877A-184B66433915}"/>
    <cellStyle name="Normal 2 4 2 3 2 2 8 3" xfId="13119" xr:uid="{3F0BF6EE-4570-40EB-B520-9BD53BB7A0A2}"/>
    <cellStyle name="Normal 2 4 2 3 2 2 9" xfId="17342" xr:uid="{507EF88D-4381-499F-A481-8520D68AFA96}"/>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24121" xr:uid="{EC05310D-54D3-4C25-A45F-6FEBBC052EA6}"/>
    <cellStyle name="Normal 2 4 2 3 2 3 2 2 2 3" xfId="15680" xr:uid="{25BBBDD4-8FB8-4DFA-87BE-AF40FF54D7A4}"/>
    <cellStyle name="Normal 2 4 2 3 2 3 2 2 3" xfId="19903" xr:uid="{BA3F303C-B813-4A4C-B8E7-96DED8B5FED4}"/>
    <cellStyle name="Normal 2 4 2 3 2 3 2 2 4" xfId="11462" xr:uid="{DDA04C68-0650-4B90-BC46-EA957D7301BF}"/>
    <cellStyle name="Normal 2 4 2 3 2 3 2 3" xfId="5093" xr:uid="{00000000-0005-0000-0000-0000C50E0000}"/>
    <cellStyle name="Normal 2 4 2 3 2 3 2 3 2" xfId="21976" xr:uid="{5E1B0F31-C15E-4540-A1C4-43840121539B}"/>
    <cellStyle name="Normal 2 4 2 3 2 3 2 3 3" xfId="13535" xr:uid="{90124684-91D0-4C89-BC64-FE46311ABF3D}"/>
    <cellStyle name="Normal 2 4 2 3 2 3 2 4" xfId="17758" xr:uid="{B738B604-C292-4903-B023-4D3A643DFA58}"/>
    <cellStyle name="Normal 2 4 2 3 2 3 2 5" xfId="9317" xr:uid="{7FC7A322-9B84-4AE4-9459-3749E87C8059}"/>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24534" xr:uid="{29F18208-5556-44A7-AA62-20D11F90BF44}"/>
    <cellStyle name="Normal 2 4 2 3 2 3 3 2 2 3" xfId="16093" xr:uid="{E65510A8-21CD-424B-A8A4-2CDC0A06944D}"/>
    <cellStyle name="Normal 2 4 2 3 2 3 3 2 3" xfId="20316" xr:uid="{70BB562A-AB08-4FBD-9E7B-B48F96471903}"/>
    <cellStyle name="Normal 2 4 2 3 2 3 3 2 4" xfId="11875" xr:uid="{6DE25B01-811D-4ADD-9EBE-50470FB6044D}"/>
    <cellStyle name="Normal 2 4 2 3 2 3 3 3" xfId="5506" xr:uid="{00000000-0005-0000-0000-0000C90E0000}"/>
    <cellStyle name="Normal 2 4 2 3 2 3 3 3 2" xfId="22389" xr:uid="{955F60C9-D9EE-4166-A2CB-0A05BF1F77C7}"/>
    <cellStyle name="Normal 2 4 2 3 2 3 3 3 3" xfId="13948" xr:uid="{4D8D1C2C-CDE1-498B-95D8-CF0810C9E583}"/>
    <cellStyle name="Normal 2 4 2 3 2 3 3 4" xfId="18171" xr:uid="{37ED5E05-9D8D-4FB4-AB45-52B9E4F6E93F}"/>
    <cellStyle name="Normal 2 4 2 3 2 3 3 5" xfId="9730" xr:uid="{21A93811-93B3-4CEF-BB49-D078F358F95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24947" xr:uid="{E9C3C470-23AF-4D3F-B160-1FEB011E5FB8}"/>
    <cellStyle name="Normal 2 4 2 3 2 3 4 2 2 3" xfId="16506" xr:uid="{BA381632-BD94-4398-963E-565E1F04A66B}"/>
    <cellStyle name="Normal 2 4 2 3 2 3 4 2 3" xfId="20729" xr:uid="{39AC5485-600D-461D-B0DE-DE67B1211BF0}"/>
    <cellStyle name="Normal 2 4 2 3 2 3 4 2 4" xfId="12288" xr:uid="{E39CC3B0-367B-45B2-A1DE-53ECFF46D653}"/>
    <cellStyle name="Normal 2 4 2 3 2 3 4 3" xfId="5919" xr:uid="{00000000-0005-0000-0000-0000CD0E0000}"/>
    <cellStyle name="Normal 2 4 2 3 2 3 4 3 2" xfId="22802" xr:uid="{425FEC48-9A2F-407D-916D-E42339690A1C}"/>
    <cellStyle name="Normal 2 4 2 3 2 3 4 3 3" xfId="14361" xr:uid="{629476BE-F262-4DFB-8210-2B82DB366579}"/>
    <cellStyle name="Normal 2 4 2 3 2 3 4 4" xfId="18584" xr:uid="{C56261B1-0220-44B2-9657-50B86B447A3A}"/>
    <cellStyle name="Normal 2 4 2 3 2 3 4 5" xfId="10143" xr:uid="{83E9231C-9BE6-4C3B-B491-E67627F0FBBC}"/>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25360" xr:uid="{16309DC9-3272-47D2-A0A1-D9CCEE869323}"/>
    <cellStyle name="Normal 2 4 2 3 2 3 5 2 2 3" xfId="16919" xr:uid="{FEF7A3FE-B758-4026-BC07-BC5A285C1E51}"/>
    <cellStyle name="Normal 2 4 2 3 2 3 5 2 3" xfId="21142" xr:uid="{08567E7E-AA23-4C6F-921D-C97EB80B0196}"/>
    <cellStyle name="Normal 2 4 2 3 2 3 5 2 4" xfId="12701" xr:uid="{49064548-98A4-48C6-9965-482A756236C4}"/>
    <cellStyle name="Normal 2 4 2 3 2 3 5 3" xfId="6332" xr:uid="{00000000-0005-0000-0000-0000D10E0000}"/>
    <cellStyle name="Normal 2 4 2 3 2 3 5 3 2" xfId="23215" xr:uid="{00A2B101-466B-42CF-9327-6D7C4708568C}"/>
    <cellStyle name="Normal 2 4 2 3 2 3 5 3 3" xfId="14774" xr:uid="{1BAB0B25-DAE7-414D-BCAC-CFAEE34D6F92}"/>
    <cellStyle name="Normal 2 4 2 3 2 3 5 4" xfId="18997" xr:uid="{A99017EF-AB1E-4B66-8491-B6049A7FD172}"/>
    <cellStyle name="Normal 2 4 2 3 2 3 5 5" xfId="10556" xr:uid="{D486F9F1-4590-43FD-B39D-15150BD9B42C}"/>
    <cellStyle name="Normal 2 4 2 3 2 3 6" xfId="2461" xr:uid="{00000000-0005-0000-0000-0000D20E0000}"/>
    <cellStyle name="Normal 2 4 2 3 2 3 6 2" xfId="6745" xr:uid="{00000000-0005-0000-0000-0000D30E0000}"/>
    <cellStyle name="Normal 2 4 2 3 2 3 6 2 2" xfId="23628" xr:uid="{87131071-1FAF-4EC4-9488-F20900A97E17}"/>
    <cellStyle name="Normal 2 4 2 3 2 3 6 2 3" xfId="15187" xr:uid="{EB6938DA-73D3-4ECC-AC4E-146E928C3CD3}"/>
    <cellStyle name="Normal 2 4 2 3 2 3 6 3" xfId="19410" xr:uid="{248C73D4-A876-4D85-BC88-DB7AAA5DB408}"/>
    <cellStyle name="Normal 2 4 2 3 2 3 6 4" xfId="10969" xr:uid="{6CD084F5-D82C-4F61-8190-65A849FBC35C}"/>
    <cellStyle name="Normal 2 4 2 3 2 3 7" xfId="4679" xr:uid="{00000000-0005-0000-0000-0000D40E0000}"/>
    <cellStyle name="Normal 2 4 2 3 2 3 7 2" xfId="21562" xr:uid="{6A06C9D3-169C-4836-90F3-36ECE7EE6CCE}"/>
    <cellStyle name="Normal 2 4 2 3 2 3 7 3" xfId="13121" xr:uid="{E9527EA9-9466-4E62-AA83-D34ACB45BB64}"/>
    <cellStyle name="Normal 2 4 2 3 2 3 8" xfId="17344" xr:uid="{41C95720-1A33-46B7-BE94-52A5AB4BFC3C}"/>
    <cellStyle name="Normal 2 4 2 3 2 3 9" xfId="8903" xr:uid="{F5DC567D-A685-4C84-9B89-1DB5923C29A8}"/>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24118" xr:uid="{D3AA1D35-FD35-46A5-AF72-5821D7ADA70D}"/>
    <cellStyle name="Normal 2 4 2 3 2 4 2 2 3" xfId="15677" xr:uid="{88292EA6-2784-4CEF-9328-D64ACE0E1D6F}"/>
    <cellStyle name="Normal 2 4 2 3 2 4 2 3" xfId="19900" xr:uid="{D377405E-841C-4DD8-AB60-C6EE96DE924E}"/>
    <cellStyle name="Normal 2 4 2 3 2 4 2 4" xfId="11459" xr:uid="{3687A168-9B8D-4771-94E2-1CFDE655E2E5}"/>
    <cellStyle name="Normal 2 4 2 3 2 4 3" xfId="5090" xr:uid="{00000000-0005-0000-0000-0000D80E0000}"/>
    <cellStyle name="Normal 2 4 2 3 2 4 3 2" xfId="21973" xr:uid="{A5C0FC1D-2401-46DF-8399-AC6A159C1F37}"/>
    <cellStyle name="Normal 2 4 2 3 2 4 3 3" xfId="13532" xr:uid="{27E82206-9292-4162-A5D3-C1473EB95BB0}"/>
    <cellStyle name="Normal 2 4 2 3 2 4 4" xfId="17755" xr:uid="{007FE636-CE57-4906-AC4A-BD4312DDF984}"/>
    <cellStyle name="Normal 2 4 2 3 2 4 5" xfId="9314" xr:uid="{BA330B62-2390-42F7-9F15-4D3366E3EB23}"/>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24531" xr:uid="{C1245C43-AC5E-4216-AB6E-BAAED780B370}"/>
    <cellStyle name="Normal 2 4 2 3 2 5 2 2 3" xfId="16090" xr:uid="{56BB5414-ABE4-4116-BA8F-5003AC42112B}"/>
    <cellStyle name="Normal 2 4 2 3 2 5 2 3" xfId="20313" xr:uid="{BBCB143E-A32E-4D36-ACB3-74FFC10101F4}"/>
    <cellStyle name="Normal 2 4 2 3 2 5 2 4" xfId="11872" xr:uid="{89CD292D-84AD-4D32-80F9-F39DDAA0E5C7}"/>
    <cellStyle name="Normal 2 4 2 3 2 5 3" xfId="5503" xr:uid="{00000000-0005-0000-0000-0000DC0E0000}"/>
    <cellStyle name="Normal 2 4 2 3 2 5 3 2" xfId="22386" xr:uid="{5C1679F0-99DD-43DE-8430-B38284BAABF6}"/>
    <cellStyle name="Normal 2 4 2 3 2 5 3 3" xfId="13945" xr:uid="{50AE5348-D281-4CC5-B5B6-EE39A973CAC3}"/>
    <cellStyle name="Normal 2 4 2 3 2 5 4" xfId="18168" xr:uid="{D1053FE1-23A3-416D-B9F4-623BC77B581E}"/>
    <cellStyle name="Normal 2 4 2 3 2 5 5" xfId="9727" xr:uid="{4F73DBC4-3C4A-4D27-932C-E745FDCEE4C4}"/>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24944" xr:uid="{96336308-921E-469A-B20E-8220F3BF6F55}"/>
    <cellStyle name="Normal 2 4 2 3 2 6 2 2 3" xfId="16503" xr:uid="{EA2CE9F6-A009-4263-B184-35FA313A602F}"/>
    <cellStyle name="Normal 2 4 2 3 2 6 2 3" xfId="20726" xr:uid="{AD3B5FC8-5427-4F1A-88F3-FF2B9AF9B10D}"/>
    <cellStyle name="Normal 2 4 2 3 2 6 2 4" xfId="12285" xr:uid="{91D2B384-4308-425A-999A-4CC00DE2BE68}"/>
    <cellStyle name="Normal 2 4 2 3 2 6 3" xfId="5916" xr:uid="{00000000-0005-0000-0000-0000E00E0000}"/>
    <cellStyle name="Normal 2 4 2 3 2 6 3 2" xfId="22799" xr:uid="{B9C067AF-2F73-48EE-838A-F38D2C2406E6}"/>
    <cellStyle name="Normal 2 4 2 3 2 6 3 3" xfId="14358" xr:uid="{B1EDED83-A5B4-43A7-BF9D-C36FF7A94035}"/>
    <cellStyle name="Normal 2 4 2 3 2 6 4" xfId="18581" xr:uid="{A3CA1E9B-7895-478B-88E9-FF4A9A1AD090}"/>
    <cellStyle name="Normal 2 4 2 3 2 6 5" xfId="10140" xr:uid="{690B4EB2-2B44-45F6-83A2-E131510B1FCB}"/>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25357" xr:uid="{8F06393B-BCA0-4F43-8119-0413AD161177}"/>
    <cellStyle name="Normal 2 4 2 3 2 7 2 2 3" xfId="16916" xr:uid="{B9D6F0C5-C17D-4ED6-9DCC-5F249A927785}"/>
    <cellStyle name="Normal 2 4 2 3 2 7 2 3" xfId="21139" xr:uid="{0A8ACE74-AFE3-4555-9859-47BDBB8CA3C8}"/>
    <cellStyle name="Normal 2 4 2 3 2 7 2 4" xfId="12698" xr:uid="{2302EC98-F22B-4BBB-89AC-3D22D84C276C}"/>
    <cellStyle name="Normal 2 4 2 3 2 7 3" xfId="6329" xr:uid="{00000000-0005-0000-0000-0000E40E0000}"/>
    <cellStyle name="Normal 2 4 2 3 2 7 3 2" xfId="23212" xr:uid="{88FF0370-D1C9-4705-83EA-C0601F5DE3F5}"/>
    <cellStyle name="Normal 2 4 2 3 2 7 3 3" xfId="14771" xr:uid="{B808FFF7-9CBA-4868-9900-B78DCDFBA3FE}"/>
    <cellStyle name="Normal 2 4 2 3 2 7 4" xfId="18994" xr:uid="{C8175C39-8437-4BEC-A40D-2A13D6A10763}"/>
    <cellStyle name="Normal 2 4 2 3 2 7 5" xfId="10553" xr:uid="{32A1D0AD-F25F-47D2-899B-C492BAABDFE3}"/>
    <cellStyle name="Normal 2 4 2 3 2 8" xfId="2458" xr:uid="{00000000-0005-0000-0000-0000E50E0000}"/>
    <cellStyle name="Normal 2 4 2 3 2 8 2" xfId="6742" xr:uid="{00000000-0005-0000-0000-0000E60E0000}"/>
    <cellStyle name="Normal 2 4 2 3 2 8 2 2" xfId="23625" xr:uid="{F304C55A-447E-41D1-8AAA-7F66A1A84F61}"/>
    <cellStyle name="Normal 2 4 2 3 2 8 2 3" xfId="15184" xr:uid="{54A71F79-AA65-4BC5-B89A-4DCDD39AB2FD}"/>
    <cellStyle name="Normal 2 4 2 3 2 8 3" xfId="19407" xr:uid="{5CD54D2D-25BF-4E58-AA94-E6AE817A7EAE}"/>
    <cellStyle name="Normal 2 4 2 3 2 8 4" xfId="10966" xr:uid="{3DF39B0C-1009-48AA-9E06-9155533AAAFF}"/>
    <cellStyle name="Normal 2 4 2 3 2 9" xfId="4676" xr:uid="{00000000-0005-0000-0000-0000E70E0000}"/>
    <cellStyle name="Normal 2 4 2 3 2 9 2" xfId="21559" xr:uid="{8E6855CE-C9EE-4CFB-AFFA-4D4E04F10D1C}"/>
    <cellStyle name="Normal 2 4 2 3 2 9 3" xfId="13118" xr:uid="{D86DF75E-CF70-4B39-95D3-BABA74FD7982}"/>
    <cellStyle name="Normal 2 4 2 3 3" xfId="286" xr:uid="{00000000-0005-0000-0000-0000E80E0000}"/>
    <cellStyle name="Normal 2 4 2 3 3 10" xfId="8904" xr:uid="{1C59605E-D87A-492C-975C-88FB91748F2A}"/>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24123" xr:uid="{9F3149FC-4E69-4579-AFEB-73AED9E1F7DD}"/>
    <cellStyle name="Normal 2 4 2 3 3 2 2 2 2 3" xfId="15682" xr:uid="{4F5DBA23-218B-47C5-AD71-904643AC63F4}"/>
    <cellStyle name="Normal 2 4 2 3 3 2 2 2 3" xfId="19905" xr:uid="{10BF6E1D-5756-466A-AC1A-3F1EC83DD7F0}"/>
    <cellStyle name="Normal 2 4 2 3 3 2 2 2 4" xfId="11464" xr:uid="{C5D6495B-141E-4A6B-8944-EEC6AF138B3E}"/>
    <cellStyle name="Normal 2 4 2 3 3 2 2 3" xfId="5095" xr:uid="{00000000-0005-0000-0000-0000ED0E0000}"/>
    <cellStyle name="Normal 2 4 2 3 3 2 2 3 2" xfId="21978" xr:uid="{A93117DF-6EE8-423A-BB02-370D1305FD13}"/>
    <cellStyle name="Normal 2 4 2 3 3 2 2 3 3" xfId="13537" xr:uid="{9F74FBF7-F549-43C5-8CE8-B962BF31F8EE}"/>
    <cellStyle name="Normal 2 4 2 3 3 2 2 4" xfId="17760" xr:uid="{AAA82D7D-3846-4E53-ADD2-0F34981DD487}"/>
    <cellStyle name="Normal 2 4 2 3 3 2 2 5" xfId="9319" xr:uid="{D2DF8F75-318E-4D7B-9B28-527C27FFB9AB}"/>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24536" xr:uid="{6E5FB91E-0E24-4B9E-84B7-BC522F4984D5}"/>
    <cellStyle name="Normal 2 4 2 3 3 2 3 2 2 3" xfId="16095" xr:uid="{8A2AB437-DA05-424E-B642-487ADCCAF1E1}"/>
    <cellStyle name="Normal 2 4 2 3 3 2 3 2 3" xfId="20318" xr:uid="{3136FEC3-4064-42FA-86FC-C752A9A300F4}"/>
    <cellStyle name="Normal 2 4 2 3 3 2 3 2 4" xfId="11877" xr:uid="{BDA06A32-F286-4DB8-983F-B9E38593FB35}"/>
    <cellStyle name="Normal 2 4 2 3 3 2 3 3" xfId="5508" xr:uid="{00000000-0005-0000-0000-0000F10E0000}"/>
    <cellStyle name="Normal 2 4 2 3 3 2 3 3 2" xfId="22391" xr:uid="{68177258-1BB2-4DF7-A6A7-506ED6CAC0E2}"/>
    <cellStyle name="Normal 2 4 2 3 3 2 3 3 3" xfId="13950" xr:uid="{70EC03C7-DB55-45C3-B55D-2DAAB2AFA8F8}"/>
    <cellStyle name="Normal 2 4 2 3 3 2 3 4" xfId="18173" xr:uid="{3701FAAB-C069-4CDA-A9D9-1E1A6A759041}"/>
    <cellStyle name="Normal 2 4 2 3 3 2 3 5" xfId="9732" xr:uid="{FAF6796B-4C02-490E-A0EB-0D3F3F1365D2}"/>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24949" xr:uid="{191A2BB8-85F3-4AA3-89C6-477F806AECA8}"/>
    <cellStyle name="Normal 2 4 2 3 3 2 4 2 2 3" xfId="16508" xr:uid="{D8770135-FDD0-4CC2-9505-9E0081B23825}"/>
    <cellStyle name="Normal 2 4 2 3 3 2 4 2 3" xfId="20731" xr:uid="{73EA2DDD-D0B6-4D06-B366-0141A81E4A5B}"/>
    <cellStyle name="Normal 2 4 2 3 3 2 4 2 4" xfId="12290" xr:uid="{BEB5391B-503E-4D11-BF78-B075DDB35DE8}"/>
    <cellStyle name="Normal 2 4 2 3 3 2 4 3" xfId="5921" xr:uid="{00000000-0005-0000-0000-0000F50E0000}"/>
    <cellStyle name="Normal 2 4 2 3 3 2 4 3 2" xfId="22804" xr:uid="{3D79DA76-1EB5-4F26-B311-639B8202E803}"/>
    <cellStyle name="Normal 2 4 2 3 3 2 4 3 3" xfId="14363" xr:uid="{BA5201D4-E327-4BEA-8F91-4992765D4343}"/>
    <cellStyle name="Normal 2 4 2 3 3 2 4 4" xfId="18586" xr:uid="{41375228-367A-4948-9C5F-48A1157D6185}"/>
    <cellStyle name="Normal 2 4 2 3 3 2 4 5" xfId="10145" xr:uid="{59A692A8-79AE-4BED-A35E-C21A2B3BC101}"/>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25362" xr:uid="{D71249D1-6C23-4883-A2AD-7C7BFE8E1A02}"/>
    <cellStyle name="Normal 2 4 2 3 3 2 5 2 2 3" xfId="16921" xr:uid="{9EEBCABE-D25C-46B2-B579-1A6FA8A11DD6}"/>
    <cellStyle name="Normal 2 4 2 3 3 2 5 2 3" xfId="21144" xr:uid="{2FF4420C-9D98-423A-A43F-D1881489892B}"/>
    <cellStyle name="Normal 2 4 2 3 3 2 5 2 4" xfId="12703" xr:uid="{7DEDE491-1FDE-42B2-95BC-C3F8DAA171B8}"/>
    <cellStyle name="Normal 2 4 2 3 3 2 5 3" xfId="6334" xr:uid="{00000000-0005-0000-0000-0000F90E0000}"/>
    <cellStyle name="Normal 2 4 2 3 3 2 5 3 2" xfId="23217" xr:uid="{931329BD-08B1-42DA-9425-68E1272DA636}"/>
    <cellStyle name="Normal 2 4 2 3 3 2 5 3 3" xfId="14776" xr:uid="{1EE2B3E1-BA6E-4878-912E-9ABE8573F5CB}"/>
    <cellStyle name="Normal 2 4 2 3 3 2 5 4" xfId="18999" xr:uid="{469A8982-CB21-489C-B302-973249E94093}"/>
    <cellStyle name="Normal 2 4 2 3 3 2 5 5" xfId="10558" xr:uid="{B422CF1E-3DE6-4937-83DE-3518FA03384A}"/>
    <cellStyle name="Normal 2 4 2 3 3 2 6" xfId="2463" xr:uid="{00000000-0005-0000-0000-0000FA0E0000}"/>
    <cellStyle name="Normal 2 4 2 3 3 2 6 2" xfId="6747" xr:uid="{00000000-0005-0000-0000-0000FB0E0000}"/>
    <cellStyle name="Normal 2 4 2 3 3 2 6 2 2" xfId="23630" xr:uid="{094B1525-C162-4720-853F-65C5A94DA9F3}"/>
    <cellStyle name="Normal 2 4 2 3 3 2 6 2 3" xfId="15189" xr:uid="{86E46F55-4D21-45B4-9554-8C7EB865A48B}"/>
    <cellStyle name="Normal 2 4 2 3 3 2 6 3" xfId="19412" xr:uid="{3B87D110-2716-4FFF-B926-03802ACECBCE}"/>
    <cellStyle name="Normal 2 4 2 3 3 2 6 4" xfId="10971" xr:uid="{061C3236-B847-452B-8342-570FF9B553FD}"/>
    <cellStyle name="Normal 2 4 2 3 3 2 7" xfId="4681" xr:uid="{00000000-0005-0000-0000-0000FC0E0000}"/>
    <cellStyle name="Normal 2 4 2 3 3 2 7 2" xfId="21564" xr:uid="{6E141997-8BEE-4C45-A550-A3ED78761433}"/>
    <cellStyle name="Normal 2 4 2 3 3 2 7 3" xfId="13123" xr:uid="{58CF5687-FA15-4793-8B55-96A76D8B58DA}"/>
    <cellStyle name="Normal 2 4 2 3 3 2 8" xfId="17346" xr:uid="{7E827DEF-A47D-4E4E-8EB8-8268EECD05BA}"/>
    <cellStyle name="Normal 2 4 2 3 3 2 9" xfId="8905" xr:uid="{D4B8EAA3-935A-4601-8921-B573EC66597A}"/>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24122" xr:uid="{A456A4E9-D8A4-436F-BC19-CAC9BF1B4D7D}"/>
    <cellStyle name="Normal 2 4 2 3 3 3 2 2 3" xfId="15681" xr:uid="{7DF0671C-96AA-4DA0-A14A-37B90D058AB9}"/>
    <cellStyle name="Normal 2 4 2 3 3 3 2 3" xfId="19904" xr:uid="{6E0897DB-BB4F-429C-A967-DB31552157A6}"/>
    <cellStyle name="Normal 2 4 2 3 3 3 2 4" xfId="11463" xr:uid="{1F43D88F-5997-4C9F-9A46-88DE1079D265}"/>
    <cellStyle name="Normal 2 4 2 3 3 3 3" xfId="5094" xr:uid="{00000000-0005-0000-0000-0000000F0000}"/>
    <cellStyle name="Normal 2 4 2 3 3 3 3 2" xfId="21977" xr:uid="{BF2B1786-1CD2-4DEB-9296-809589BE11A4}"/>
    <cellStyle name="Normal 2 4 2 3 3 3 3 3" xfId="13536" xr:uid="{FD271E0D-F49C-4B3C-A3F2-A007580BF065}"/>
    <cellStyle name="Normal 2 4 2 3 3 3 4" xfId="17759" xr:uid="{83359ABD-858E-4F85-875F-494AE68C198F}"/>
    <cellStyle name="Normal 2 4 2 3 3 3 5" xfId="9318" xr:uid="{B98ED7F9-CE27-42D7-A27E-409FC6AE0C8E}"/>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24535" xr:uid="{9B9FC36A-8F48-4791-BB88-4FA032A7E4C7}"/>
    <cellStyle name="Normal 2 4 2 3 3 4 2 2 3" xfId="16094" xr:uid="{44C84ECD-3CF1-45B0-B484-C19EE7D3AA62}"/>
    <cellStyle name="Normal 2 4 2 3 3 4 2 3" xfId="20317" xr:uid="{FE414713-1EAE-480C-A878-0080B725D1E5}"/>
    <cellStyle name="Normal 2 4 2 3 3 4 2 4" xfId="11876" xr:uid="{1630170C-2297-498B-AD1F-E1B61368B240}"/>
    <cellStyle name="Normal 2 4 2 3 3 4 3" xfId="5507" xr:uid="{00000000-0005-0000-0000-0000040F0000}"/>
    <cellStyle name="Normal 2 4 2 3 3 4 3 2" xfId="22390" xr:uid="{438F3CFF-8895-4717-9DCD-863A0BA71305}"/>
    <cellStyle name="Normal 2 4 2 3 3 4 3 3" xfId="13949" xr:uid="{E3693F3A-4407-41ED-96B6-0F0BFE14845D}"/>
    <cellStyle name="Normal 2 4 2 3 3 4 4" xfId="18172" xr:uid="{61548581-0C9F-4006-B6C2-1960F729B31A}"/>
    <cellStyle name="Normal 2 4 2 3 3 4 5" xfId="9731" xr:uid="{8BE207E7-7430-47C9-9FB2-0B44CE613D6D}"/>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24948" xr:uid="{9C0902D4-DE3B-4E7E-8A36-B8947FD3422D}"/>
    <cellStyle name="Normal 2 4 2 3 3 5 2 2 3" xfId="16507" xr:uid="{56BC22B7-F240-46EF-B9AA-C607AB3C43DB}"/>
    <cellStyle name="Normal 2 4 2 3 3 5 2 3" xfId="20730" xr:uid="{D5D0A3E5-E590-49F6-AF3D-8694D509E06E}"/>
    <cellStyle name="Normal 2 4 2 3 3 5 2 4" xfId="12289" xr:uid="{98AF18B7-62A2-44A2-863A-0BC89B5D7B3C}"/>
    <cellStyle name="Normal 2 4 2 3 3 5 3" xfId="5920" xr:uid="{00000000-0005-0000-0000-0000080F0000}"/>
    <cellStyle name="Normal 2 4 2 3 3 5 3 2" xfId="22803" xr:uid="{D2ABF211-1EF1-40E4-8B7E-263FBA040DC2}"/>
    <cellStyle name="Normal 2 4 2 3 3 5 3 3" xfId="14362" xr:uid="{6BF8942C-C2A3-450D-85F1-4490EB58A71C}"/>
    <cellStyle name="Normal 2 4 2 3 3 5 4" xfId="18585" xr:uid="{3A1563F3-FE61-45BD-9F5D-E8D3A43BF82D}"/>
    <cellStyle name="Normal 2 4 2 3 3 5 5" xfId="10144" xr:uid="{6399E1EA-D903-4AE1-9049-994C58445EBF}"/>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25361" xr:uid="{45B66C24-191C-415F-B227-C18FCF0F33C4}"/>
    <cellStyle name="Normal 2 4 2 3 3 6 2 2 3" xfId="16920" xr:uid="{EAD3E18A-BC95-4077-B6C8-8BD4566BEB85}"/>
    <cellStyle name="Normal 2 4 2 3 3 6 2 3" xfId="21143" xr:uid="{05C2414E-115F-4647-8DDB-F768B648FC9E}"/>
    <cellStyle name="Normal 2 4 2 3 3 6 2 4" xfId="12702" xr:uid="{69638C49-3E63-4647-88D6-AC44D2AD3375}"/>
    <cellStyle name="Normal 2 4 2 3 3 6 3" xfId="6333" xr:uid="{00000000-0005-0000-0000-00000C0F0000}"/>
    <cellStyle name="Normal 2 4 2 3 3 6 3 2" xfId="23216" xr:uid="{C6C478DE-1A5E-403C-96BD-01D16E5088D5}"/>
    <cellStyle name="Normal 2 4 2 3 3 6 3 3" xfId="14775" xr:uid="{319B0FB5-DCDF-4ABC-AF3E-0F6D6BD022B9}"/>
    <cellStyle name="Normal 2 4 2 3 3 6 4" xfId="18998" xr:uid="{9477E4BB-6031-4E3C-9D78-09CD4D01E3ED}"/>
    <cellStyle name="Normal 2 4 2 3 3 6 5" xfId="10557" xr:uid="{996384D8-EA5D-4C32-A806-6B94B4FCDE86}"/>
    <cellStyle name="Normal 2 4 2 3 3 7" xfId="2462" xr:uid="{00000000-0005-0000-0000-00000D0F0000}"/>
    <cellStyle name="Normal 2 4 2 3 3 7 2" xfId="6746" xr:uid="{00000000-0005-0000-0000-00000E0F0000}"/>
    <cellStyle name="Normal 2 4 2 3 3 7 2 2" xfId="23629" xr:uid="{35639993-A18B-486E-BF8E-42EAEADECA42}"/>
    <cellStyle name="Normal 2 4 2 3 3 7 2 3" xfId="15188" xr:uid="{417E8268-E381-41C8-9EDC-9635FFCE4625}"/>
    <cellStyle name="Normal 2 4 2 3 3 7 3" xfId="19411" xr:uid="{342B7129-4C2F-405D-B6E7-D0C605A73648}"/>
    <cellStyle name="Normal 2 4 2 3 3 7 4" xfId="10970" xr:uid="{F12C0FA0-52D3-4B86-9C3A-5F4736AF8AE6}"/>
    <cellStyle name="Normal 2 4 2 3 3 8" xfId="4680" xr:uid="{00000000-0005-0000-0000-00000F0F0000}"/>
    <cellStyle name="Normal 2 4 2 3 3 8 2" xfId="21563" xr:uid="{6C8ED554-0759-45B8-9DE3-6900AF2F1CEE}"/>
    <cellStyle name="Normal 2 4 2 3 3 8 3" xfId="13122" xr:uid="{BBD5EE9C-E7C1-42D7-9184-B3ABB83D08FE}"/>
    <cellStyle name="Normal 2 4 2 3 3 9" xfId="17345" xr:uid="{06193F15-55B6-407F-9AD4-25F5D0843DC9}"/>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24124" xr:uid="{31A57E59-67CB-4C56-AB4D-982376F95810}"/>
    <cellStyle name="Normal 2 4 2 3 4 2 2 2 3" xfId="15683" xr:uid="{9351FBB0-ECC2-4108-BCE3-FCCAFB69F897}"/>
    <cellStyle name="Normal 2 4 2 3 4 2 2 3" xfId="19906" xr:uid="{74AAEF06-6F8F-429B-8155-5832D0F7AF9E}"/>
    <cellStyle name="Normal 2 4 2 3 4 2 2 4" xfId="11465" xr:uid="{1C23BA4E-B403-4576-8B4C-89AA7870F6D3}"/>
    <cellStyle name="Normal 2 4 2 3 4 2 3" xfId="5096" xr:uid="{00000000-0005-0000-0000-0000140F0000}"/>
    <cellStyle name="Normal 2 4 2 3 4 2 3 2" xfId="21979" xr:uid="{CE20E7D6-0160-4B13-A0A4-46CF00BCE245}"/>
    <cellStyle name="Normal 2 4 2 3 4 2 3 3" xfId="13538" xr:uid="{C6FE3409-4C02-4C8C-AF6B-5F973FAD6B96}"/>
    <cellStyle name="Normal 2 4 2 3 4 2 4" xfId="17761" xr:uid="{46974906-2855-4114-9BC7-BFA462DEB9BB}"/>
    <cellStyle name="Normal 2 4 2 3 4 2 5" xfId="9320" xr:uid="{385B3F4B-AD47-4F8E-915D-3BE373FBE3C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24537" xr:uid="{FC70F08F-96CB-462F-AE14-6E2D388FA8EF}"/>
    <cellStyle name="Normal 2 4 2 3 4 3 2 2 3" xfId="16096" xr:uid="{BB598982-7730-4D1C-89E2-1E4DE794D940}"/>
    <cellStyle name="Normal 2 4 2 3 4 3 2 3" xfId="20319" xr:uid="{ACF2E1CE-FB31-481C-8F7B-11758204AB6B}"/>
    <cellStyle name="Normal 2 4 2 3 4 3 2 4" xfId="11878" xr:uid="{08EA5797-3FB0-4AF1-91B5-1E2D72771571}"/>
    <cellStyle name="Normal 2 4 2 3 4 3 3" xfId="5509" xr:uid="{00000000-0005-0000-0000-0000180F0000}"/>
    <cellStyle name="Normal 2 4 2 3 4 3 3 2" xfId="22392" xr:uid="{2DBFB680-6B5A-4EFD-90DD-EB0C822784B8}"/>
    <cellStyle name="Normal 2 4 2 3 4 3 3 3" xfId="13951" xr:uid="{A2AD042B-5427-49CA-99E5-B2D10A4F55C7}"/>
    <cellStyle name="Normal 2 4 2 3 4 3 4" xfId="18174" xr:uid="{47D8A00D-C844-46C7-88FD-5A20809EC007}"/>
    <cellStyle name="Normal 2 4 2 3 4 3 5" xfId="9733" xr:uid="{CB8FF0B4-C85E-4465-8361-4ABD6F98DBA9}"/>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24950" xr:uid="{12EB1875-FB46-4B22-95E0-AFE3B1791DB9}"/>
    <cellStyle name="Normal 2 4 2 3 4 4 2 2 3" xfId="16509" xr:uid="{B63AAAD0-4BD8-4D29-9E24-8AF9C84225BA}"/>
    <cellStyle name="Normal 2 4 2 3 4 4 2 3" xfId="20732" xr:uid="{00F4F862-BAB0-4613-973A-CA32DB7696E8}"/>
    <cellStyle name="Normal 2 4 2 3 4 4 2 4" xfId="12291" xr:uid="{47FE8337-6C9F-4928-BD60-CF3ED71AEE1B}"/>
    <cellStyle name="Normal 2 4 2 3 4 4 3" xfId="5922" xr:uid="{00000000-0005-0000-0000-00001C0F0000}"/>
    <cellStyle name="Normal 2 4 2 3 4 4 3 2" xfId="22805" xr:uid="{2750F37E-3098-488B-889A-3064C6728358}"/>
    <cellStyle name="Normal 2 4 2 3 4 4 3 3" xfId="14364" xr:uid="{B976DABB-BB01-4081-891A-1980CD0169EE}"/>
    <cellStyle name="Normal 2 4 2 3 4 4 4" xfId="18587" xr:uid="{3DE7176D-EB92-4ACA-A857-6510E5089A2C}"/>
    <cellStyle name="Normal 2 4 2 3 4 4 5" xfId="10146" xr:uid="{20E58646-862C-4B6F-B901-04CC81562F4A}"/>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25363" xr:uid="{CC486E5B-9B01-4D63-BA82-E50F8E7A7433}"/>
    <cellStyle name="Normal 2 4 2 3 4 5 2 2 3" xfId="16922" xr:uid="{F8EE98DA-22DE-4D09-95DB-EA27945AEB17}"/>
    <cellStyle name="Normal 2 4 2 3 4 5 2 3" xfId="21145" xr:uid="{E6B0F1F1-75E8-4912-8E03-8B23049268B7}"/>
    <cellStyle name="Normal 2 4 2 3 4 5 2 4" xfId="12704" xr:uid="{674C3790-2812-40CB-992C-3313EC836102}"/>
    <cellStyle name="Normal 2 4 2 3 4 5 3" xfId="6335" xr:uid="{00000000-0005-0000-0000-0000200F0000}"/>
    <cellStyle name="Normal 2 4 2 3 4 5 3 2" xfId="23218" xr:uid="{1F740956-B723-42C6-9251-3E7AE18E3BB9}"/>
    <cellStyle name="Normal 2 4 2 3 4 5 3 3" xfId="14777" xr:uid="{24C9846F-9B46-49AC-8414-CD83F592A5B9}"/>
    <cellStyle name="Normal 2 4 2 3 4 5 4" xfId="19000" xr:uid="{1FFFCDE5-3DDB-4E4D-82BD-D39AD0FF6400}"/>
    <cellStyle name="Normal 2 4 2 3 4 5 5" xfId="10559" xr:uid="{FD9E51D7-603E-4709-A01D-88AFB4C00F9D}"/>
    <cellStyle name="Normal 2 4 2 3 4 6" xfId="2464" xr:uid="{00000000-0005-0000-0000-0000210F0000}"/>
    <cellStyle name="Normal 2 4 2 3 4 6 2" xfId="6748" xr:uid="{00000000-0005-0000-0000-0000220F0000}"/>
    <cellStyle name="Normal 2 4 2 3 4 6 2 2" xfId="23631" xr:uid="{5BF6E9D4-6F58-4279-B02D-0A8EF75A6059}"/>
    <cellStyle name="Normal 2 4 2 3 4 6 2 3" xfId="15190" xr:uid="{B5A535E0-748C-49C8-8B58-4BC586478854}"/>
    <cellStyle name="Normal 2 4 2 3 4 6 3" xfId="19413" xr:uid="{AFF0F605-0B9B-410D-ACC1-25388D7789DF}"/>
    <cellStyle name="Normal 2 4 2 3 4 6 4" xfId="10972" xr:uid="{635CD2BD-8470-419A-96B4-FED10C5D09BE}"/>
    <cellStyle name="Normal 2 4 2 3 4 7" xfId="4682" xr:uid="{00000000-0005-0000-0000-0000230F0000}"/>
    <cellStyle name="Normal 2 4 2 3 4 7 2" xfId="21565" xr:uid="{1E11C7A6-9C25-4731-99B6-B420C24A9181}"/>
    <cellStyle name="Normal 2 4 2 3 4 7 3" xfId="13124" xr:uid="{4598E7F9-8CAB-4F9D-8E94-FDF9FB1C00D5}"/>
    <cellStyle name="Normal 2 4 2 3 4 8" xfId="17347" xr:uid="{0B5C0A26-BC9B-48DA-B3CA-29070F428AA8}"/>
    <cellStyle name="Normal 2 4 2 3 4 9" xfId="8906" xr:uid="{F6804F05-F1A7-46FF-B9D2-841809B248F3}"/>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24117" xr:uid="{EC52C997-5873-4D71-8CF3-FB4A5E6841B1}"/>
    <cellStyle name="Normal 2 4 2 3 5 2 2 3" xfId="15676" xr:uid="{F8ACBF57-1A25-4A60-A2C7-F9A4275158CC}"/>
    <cellStyle name="Normal 2 4 2 3 5 2 3" xfId="19899" xr:uid="{F278D017-DF5F-4E39-A75F-579F6347F37A}"/>
    <cellStyle name="Normal 2 4 2 3 5 2 4" xfId="11458" xr:uid="{7069B5E6-71F2-4E2A-B29C-A35205BAD6F1}"/>
    <cellStyle name="Normal 2 4 2 3 5 3" xfId="5089" xr:uid="{00000000-0005-0000-0000-0000270F0000}"/>
    <cellStyle name="Normal 2 4 2 3 5 3 2" xfId="21972" xr:uid="{B89CA121-AB65-496B-8631-38019E52CCB9}"/>
    <cellStyle name="Normal 2 4 2 3 5 3 3" xfId="13531" xr:uid="{1CD8C5EC-5784-417C-BE0D-A5F52CD40F25}"/>
    <cellStyle name="Normal 2 4 2 3 5 4" xfId="17754" xr:uid="{D1C79309-2B36-4F3D-ACE0-1A93F0044E81}"/>
    <cellStyle name="Normal 2 4 2 3 5 5" xfId="9313" xr:uid="{2FB5644D-2BE7-46F7-B52C-7FD426B3B7A6}"/>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24530" xr:uid="{0562E74F-A444-4912-95FB-4054104646F7}"/>
    <cellStyle name="Normal 2 4 2 3 6 2 2 3" xfId="16089" xr:uid="{0BF82567-615D-46C5-BCFF-71D7985B905A}"/>
    <cellStyle name="Normal 2 4 2 3 6 2 3" xfId="20312" xr:uid="{2894DAC6-82FC-4526-B25D-15284DF9236C}"/>
    <cellStyle name="Normal 2 4 2 3 6 2 4" xfId="11871" xr:uid="{8218D0FD-3DF4-4904-8F91-42ED8AF90083}"/>
    <cellStyle name="Normal 2 4 2 3 6 3" xfId="5502" xr:uid="{00000000-0005-0000-0000-00002B0F0000}"/>
    <cellStyle name="Normal 2 4 2 3 6 3 2" xfId="22385" xr:uid="{4ECDFEF2-D8B1-4D29-B389-E87FDCDD1AE5}"/>
    <cellStyle name="Normal 2 4 2 3 6 3 3" xfId="13944" xr:uid="{DA5E195D-5579-41FB-890C-6EC84E0064B5}"/>
    <cellStyle name="Normal 2 4 2 3 6 4" xfId="18167" xr:uid="{3A9A69DE-3180-41C3-8DDD-F28AE3AEC06E}"/>
    <cellStyle name="Normal 2 4 2 3 6 5" xfId="9726" xr:uid="{A490BECA-52C5-4165-9263-2C16534923AF}"/>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24943" xr:uid="{A5CA45B8-3F37-4E75-8EA6-20E7D1839027}"/>
    <cellStyle name="Normal 2 4 2 3 7 2 2 3" xfId="16502" xr:uid="{7BD2A322-2858-4594-AF98-E6CB28F5A501}"/>
    <cellStyle name="Normal 2 4 2 3 7 2 3" xfId="20725" xr:uid="{183CAA3A-C499-44B2-A8E7-4C8B11203BEE}"/>
    <cellStyle name="Normal 2 4 2 3 7 2 4" xfId="12284" xr:uid="{15C6172F-D9E9-4FBD-9A09-7EA07D1EA2D6}"/>
    <cellStyle name="Normal 2 4 2 3 7 3" xfId="5915" xr:uid="{00000000-0005-0000-0000-00002F0F0000}"/>
    <cellStyle name="Normal 2 4 2 3 7 3 2" xfId="22798" xr:uid="{006D4E8D-FC47-47E7-A749-BBA66486D4C5}"/>
    <cellStyle name="Normal 2 4 2 3 7 3 3" xfId="14357" xr:uid="{68379EEE-317B-47A6-AD0C-9F867F9A0449}"/>
    <cellStyle name="Normal 2 4 2 3 7 4" xfId="18580" xr:uid="{1754497B-C8F4-4270-8179-3251AB341AD2}"/>
    <cellStyle name="Normal 2 4 2 3 7 5" xfId="10139" xr:uid="{731A1E84-9DC8-41E3-8EF9-3FE4D657F800}"/>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25356" xr:uid="{5128836E-DC8D-4317-8FAF-9E3AEE147266}"/>
    <cellStyle name="Normal 2 4 2 3 8 2 2 3" xfId="16915" xr:uid="{8C898997-54D7-4560-B61E-2D99A2F04B5D}"/>
    <cellStyle name="Normal 2 4 2 3 8 2 3" xfId="21138" xr:uid="{8F4D055A-A05A-4082-84A7-B8207AF6D17F}"/>
    <cellStyle name="Normal 2 4 2 3 8 2 4" xfId="12697" xr:uid="{BC7ED97B-39A1-4823-8D61-C67E736DEDB2}"/>
    <cellStyle name="Normal 2 4 2 3 8 3" xfId="6328" xr:uid="{00000000-0005-0000-0000-0000330F0000}"/>
    <cellStyle name="Normal 2 4 2 3 8 3 2" xfId="23211" xr:uid="{147B5CE4-060F-4BCD-9033-34F20EDDEE36}"/>
    <cellStyle name="Normal 2 4 2 3 8 3 3" xfId="14770" xr:uid="{0FAB2D0B-10CE-4811-A851-617145F6AEFC}"/>
    <cellStyle name="Normal 2 4 2 3 8 4" xfId="18993" xr:uid="{1A5C32CA-6EC9-47ED-AEB4-1A11DF1BB810}"/>
    <cellStyle name="Normal 2 4 2 3 8 5" xfId="10552" xr:uid="{4CD03863-B22D-4195-A115-DAE6EC164D88}"/>
    <cellStyle name="Normal 2 4 2 3 9" xfId="2457" xr:uid="{00000000-0005-0000-0000-0000340F0000}"/>
    <cellStyle name="Normal 2 4 2 3 9 2" xfId="6741" xr:uid="{00000000-0005-0000-0000-0000350F0000}"/>
    <cellStyle name="Normal 2 4 2 3 9 2 2" xfId="23624" xr:uid="{2099DA4F-6C94-4CE0-A2B5-E745608DF3AE}"/>
    <cellStyle name="Normal 2 4 2 3 9 2 3" xfId="15183" xr:uid="{35B4CF0E-910B-47FE-AABE-BF1A0FC339E1}"/>
    <cellStyle name="Normal 2 4 2 3 9 3" xfId="19406" xr:uid="{E673DA4C-F93F-4B83-950F-D6090C892D00}"/>
    <cellStyle name="Normal 2 4 2 3 9 4" xfId="10965" xr:uid="{8869EC15-2138-4153-924C-35ED66B6194D}"/>
    <cellStyle name="Normal 2 4 2 4" xfId="289" xr:uid="{00000000-0005-0000-0000-0000360F0000}"/>
    <cellStyle name="Normal 2 4 2 4 10" xfId="17348" xr:uid="{32EEFD1F-32B6-40C2-8998-DD4CFC6DEDD4}"/>
    <cellStyle name="Normal 2 4 2 4 11" xfId="8907" xr:uid="{FB9F1CBC-24DD-40A7-9BB4-535C9BAD2A48}"/>
    <cellStyle name="Normal 2 4 2 4 2" xfId="290" xr:uid="{00000000-0005-0000-0000-0000370F0000}"/>
    <cellStyle name="Normal 2 4 2 4 2 10" xfId="8908" xr:uid="{85FC3223-6756-4409-BCCA-4934A823A45A}"/>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24127" xr:uid="{FD585C13-7114-43C6-90D0-E82DA05FEAB7}"/>
    <cellStyle name="Normal 2 4 2 4 2 2 2 2 2 3" xfId="15686" xr:uid="{DD269149-D2C0-42B9-B14F-CD588508969F}"/>
    <cellStyle name="Normal 2 4 2 4 2 2 2 2 3" xfId="19909" xr:uid="{7E2E3E9D-AC0F-4670-9B47-2730ED8891A2}"/>
    <cellStyle name="Normal 2 4 2 4 2 2 2 2 4" xfId="11468" xr:uid="{B6F8C736-ABB0-47D8-AFA0-B5BE5FE34B53}"/>
    <cellStyle name="Normal 2 4 2 4 2 2 2 3" xfId="5099" xr:uid="{00000000-0005-0000-0000-00003C0F0000}"/>
    <cellStyle name="Normal 2 4 2 4 2 2 2 3 2" xfId="21982" xr:uid="{549ECA26-46B6-4088-83BA-A58C92F22FB4}"/>
    <cellStyle name="Normal 2 4 2 4 2 2 2 3 3" xfId="13541" xr:uid="{47B45F44-2491-4D96-887E-C4BC24749023}"/>
    <cellStyle name="Normal 2 4 2 4 2 2 2 4" xfId="17764" xr:uid="{3A1FAA00-E787-43F3-BF63-A550FC42C018}"/>
    <cellStyle name="Normal 2 4 2 4 2 2 2 5" xfId="9323" xr:uid="{6EBDA9CB-2632-47BC-B7DF-0CB0FB7B104E}"/>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24540" xr:uid="{2E157F53-7212-4E2B-B730-E215AE37F8E0}"/>
    <cellStyle name="Normal 2 4 2 4 2 2 3 2 2 3" xfId="16099" xr:uid="{CF9FAD6D-1CAD-412F-8FCF-37441357F241}"/>
    <cellStyle name="Normal 2 4 2 4 2 2 3 2 3" xfId="20322" xr:uid="{C2AFA4B8-4EDB-42EE-AAA2-9F916B069AEB}"/>
    <cellStyle name="Normal 2 4 2 4 2 2 3 2 4" xfId="11881" xr:uid="{8623238D-634D-49A8-AFD0-9636F7C77EA4}"/>
    <cellStyle name="Normal 2 4 2 4 2 2 3 3" xfId="5512" xr:uid="{00000000-0005-0000-0000-0000400F0000}"/>
    <cellStyle name="Normal 2 4 2 4 2 2 3 3 2" xfId="22395" xr:uid="{C245DCE3-24CC-4075-99BD-D2C413C79B2D}"/>
    <cellStyle name="Normal 2 4 2 4 2 2 3 3 3" xfId="13954" xr:uid="{C190C650-3DA2-4891-8AB4-EE9BCE60E53F}"/>
    <cellStyle name="Normal 2 4 2 4 2 2 3 4" xfId="18177" xr:uid="{7014D739-CFDB-43DD-BDB8-5B29F74FA9FB}"/>
    <cellStyle name="Normal 2 4 2 4 2 2 3 5" xfId="9736" xr:uid="{93DDB834-1308-402F-AE7B-EB2692E55CA3}"/>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24953" xr:uid="{7AE50C2D-079B-4BC4-8FBB-180F56CF4482}"/>
    <cellStyle name="Normal 2 4 2 4 2 2 4 2 2 3" xfId="16512" xr:uid="{0E80DD2A-86C2-48C3-ACEE-26DB1A36F9CB}"/>
    <cellStyle name="Normal 2 4 2 4 2 2 4 2 3" xfId="20735" xr:uid="{16A5EDFE-E5D6-436F-AA99-594965D45D36}"/>
    <cellStyle name="Normal 2 4 2 4 2 2 4 2 4" xfId="12294" xr:uid="{BA14F397-25B5-425A-9F60-872FF742C8D0}"/>
    <cellStyle name="Normal 2 4 2 4 2 2 4 3" xfId="5925" xr:uid="{00000000-0005-0000-0000-0000440F0000}"/>
    <cellStyle name="Normal 2 4 2 4 2 2 4 3 2" xfId="22808" xr:uid="{03353EAB-0E94-4C70-9572-7A048D899B6E}"/>
    <cellStyle name="Normal 2 4 2 4 2 2 4 3 3" xfId="14367" xr:uid="{F2A54723-967D-4F95-BEB8-97F99027124F}"/>
    <cellStyle name="Normal 2 4 2 4 2 2 4 4" xfId="18590" xr:uid="{829D9BCB-9FA9-4753-A5B2-C67D100F4951}"/>
    <cellStyle name="Normal 2 4 2 4 2 2 4 5" xfId="10149" xr:uid="{14D88A2D-DD89-41E6-A05D-90A04476EBF2}"/>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25366" xr:uid="{945D9A2E-4747-419B-A9C5-AC6EAF9EF562}"/>
    <cellStyle name="Normal 2 4 2 4 2 2 5 2 2 3" xfId="16925" xr:uid="{A076FB86-4A09-482C-BE9C-CA9140EC6AA3}"/>
    <cellStyle name="Normal 2 4 2 4 2 2 5 2 3" xfId="21148" xr:uid="{4409A0BA-3F3A-4A21-B2AB-3A4415E794F3}"/>
    <cellStyle name="Normal 2 4 2 4 2 2 5 2 4" xfId="12707" xr:uid="{0587DDB6-C694-4BEC-8107-E177C35148FD}"/>
    <cellStyle name="Normal 2 4 2 4 2 2 5 3" xfId="6338" xr:uid="{00000000-0005-0000-0000-0000480F0000}"/>
    <cellStyle name="Normal 2 4 2 4 2 2 5 3 2" xfId="23221" xr:uid="{542896AA-2CAF-4F48-9394-CF7483036BDB}"/>
    <cellStyle name="Normal 2 4 2 4 2 2 5 3 3" xfId="14780" xr:uid="{1B56003B-0121-44EF-A8CD-31E30FBCA21B}"/>
    <cellStyle name="Normal 2 4 2 4 2 2 5 4" xfId="19003" xr:uid="{EBD0085E-4F4F-4EF2-A81B-B5D2F6D250E7}"/>
    <cellStyle name="Normal 2 4 2 4 2 2 5 5" xfId="10562" xr:uid="{C1361D09-E4E5-4B74-B0B3-49CC3500FE06}"/>
    <cellStyle name="Normal 2 4 2 4 2 2 6" xfId="2467" xr:uid="{00000000-0005-0000-0000-0000490F0000}"/>
    <cellStyle name="Normal 2 4 2 4 2 2 6 2" xfId="6751" xr:uid="{00000000-0005-0000-0000-00004A0F0000}"/>
    <cellStyle name="Normal 2 4 2 4 2 2 6 2 2" xfId="23634" xr:uid="{F1FCC094-70BF-42E4-B678-0CA325301C1C}"/>
    <cellStyle name="Normal 2 4 2 4 2 2 6 2 3" xfId="15193" xr:uid="{CA04AA65-DC87-4944-B20C-A4CB52F0A14C}"/>
    <cellStyle name="Normal 2 4 2 4 2 2 6 3" xfId="19416" xr:uid="{B5635C0A-4CD5-4E2B-8949-9D558EBC70D6}"/>
    <cellStyle name="Normal 2 4 2 4 2 2 6 4" xfId="10975" xr:uid="{2A8F3B0B-5955-4A03-ACAF-20388438540F}"/>
    <cellStyle name="Normal 2 4 2 4 2 2 7" xfId="4685" xr:uid="{00000000-0005-0000-0000-00004B0F0000}"/>
    <cellStyle name="Normal 2 4 2 4 2 2 7 2" xfId="21568" xr:uid="{20F2FEED-7E38-4382-958D-DA2B98C84C59}"/>
    <cellStyle name="Normal 2 4 2 4 2 2 7 3" xfId="13127" xr:uid="{EBC3CA8C-A8C3-4CCA-8ED5-B9BEB966DB8A}"/>
    <cellStyle name="Normal 2 4 2 4 2 2 8" xfId="17350" xr:uid="{2262B9EE-8D44-4445-89A4-D89AD4417824}"/>
    <cellStyle name="Normal 2 4 2 4 2 2 9" xfId="8909" xr:uid="{38731CF2-715F-4635-8310-6055D62B2889}"/>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24126" xr:uid="{F60B7B2E-138F-4BC9-BFB7-A2A270541892}"/>
    <cellStyle name="Normal 2 4 2 4 2 3 2 2 3" xfId="15685" xr:uid="{13B4728A-79C1-4551-8F6C-9E4E4149865B}"/>
    <cellStyle name="Normal 2 4 2 4 2 3 2 3" xfId="19908" xr:uid="{BB28C50C-733B-47E1-9350-4A698DC847B2}"/>
    <cellStyle name="Normal 2 4 2 4 2 3 2 4" xfId="11467" xr:uid="{E124A2A4-F76D-41EF-85AE-8774B8A82269}"/>
    <cellStyle name="Normal 2 4 2 4 2 3 3" xfId="5098" xr:uid="{00000000-0005-0000-0000-00004F0F0000}"/>
    <cellStyle name="Normal 2 4 2 4 2 3 3 2" xfId="21981" xr:uid="{2FC4C0E4-140D-4BEE-AB62-D3002C2C4201}"/>
    <cellStyle name="Normal 2 4 2 4 2 3 3 3" xfId="13540" xr:uid="{8481BFDE-811A-409F-8E58-3C665538EE44}"/>
    <cellStyle name="Normal 2 4 2 4 2 3 4" xfId="17763" xr:uid="{B1FB1899-FAD6-4E4D-A288-0B957F464C46}"/>
    <cellStyle name="Normal 2 4 2 4 2 3 5" xfId="9322" xr:uid="{7BA18F3D-7CFD-4426-A0A1-56E3BED7D42A}"/>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24539" xr:uid="{754720AD-D4EF-4559-A008-21CB7ACAB423}"/>
    <cellStyle name="Normal 2 4 2 4 2 4 2 2 3" xfId="16098" xr:uid="{E7451143-05BD-4240-BEC0-8F4F9D4A341F}"/>
    <cellStyle name="Normal 2 4 2 4 2 4 2 3" xfId="20321" xr:uid="{13C57DF6-436C-458F-BE64-98943878AD02}"/>
    <cellStyle name="Normal 2 4 2 4 2 4 2 4" xfId="11880" xr:uid="{9E8AAA5E-58A2-4EDD-8871-67DD637A6C67}"/>
    <cellStyle name="Normal 2 4 2 4 2 4 3" xfId="5511" xr:uid="{00000000-0005-0000-0000-0000530F0000}"/>
    <cellStyle name="Normal 2 4 2 4 2 4 3 2" xfId="22394" xr:uid="{224D0714-7DD8-46E9-83B0-348291CA390D}"/>
    <cellStyle name="Normal 2 4 2 4 2 4 3 3" xfId="13953" xr:uid="{73DA9572-1E42-40A2-9B5D-2DA36AF89DFB}"/>
    <cellStyle name="Normal 2 4 2 4 2 4 4" xfId="18176" xr:uid="{4D80BDC8-77C3-48CE-BE83-DBE3D74B3275}"/>
    <cellStyle name="Normal 2 4 2 4 2 4 5" xfId="9735" xr:uid="{F26C3857-DB51-41A4-8B6E-8A2580AB9B44}"/>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24952" xr:uid="{CD6FC9F7-2B2A-4459-B15A-A7575B480313}"/>
    <cellStyle name="Normal 2 4 2 4 2 5 2 2 3" xfId="16511" xr:uid="{567679CB-169D-41DC-A38A-D7B5EDA2482E}"/>
    <cellStyle name="Normal 2 4 2 4 2 5 2 3" xfId="20734" xr:uid="{F4099AF5-284F-4DEA-8D43-EB854EBE02A1}"/>
    <cellStyle name="Normal 2 4 2 4 2 5 2 4" xfId="12293" xr:uid="{8E9B5A6A-E491-4D07-BBEA-C194FD65B5D0}"/>
    <cellStyle name="Normal 2 4 2 4 2 5 3" xfId="5924" xr:uid="{00000000-0005-0000-0000-0000570F0000}"/>
    <cellStyle name="Normal 2 4 2 4 2 5 3 2" xfId="22807" xr:uid="{102E0519-F374-46E1-BC6D-397E5C2B8990}"/>
    <cellStyle name="Normal 2 4 2 4 2 5 3 3" xfId="14366" xr:uid="{9B189258-E020-4D2A-AC02-43EAD747802F}"/>
    <cellStyle name="Normal 2 4 2 4 2 5 4" xfId="18589" xr:uid="{32938E8C-9874-4A76-A321-7F0A4591643D}"/>
    <cellStyle name="Normal 2 4 2 4 2 5 5" xfId="10148" xr:uid="{C3C3B5C5-E1AF-443C-93DA-ABFF3FE57E37}"/>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25365" xr:uid="{A9543A52-99DF-4D15-A523-F1DAE5A61A03}"/>
    <cellStyle name="Normal 2 4 2 4 2 6 2 2 3" xfId="16924" xr:uid="{81FFD7B5-08F4-4DCE-BAF3-1E077751B119}"/>
    <cellStyle name="Normal 2 4 2 4 2 6 2 3" xfId="21147" xr:uid="{1A70C0AD-A830-45C0-A8FF-EC8F96FC49CB}"/>
    <cellStyle name="Normal 2 4 2 4 2 6 2 4" xfId="12706" xr:uid="{C7C9E79B-D21B-4678-9932-27B0523225AC}"/>
    <cellStyle name="Normal 2 4 2 4 2 6 3" xfId="6337" xr:uid="{00000000-0005-0000-0000-00005B0F0000}"/>
    <cellStyle name="Normal 2 4 2 4 2 6 3 2" xfId="23220" xr:uid="{0BB6F648-7E39-4EE3-95E7-3EDB709D94B6}"/>
    <cellStyle name="Normal 2 4 2 4 2 6 3 3" xfId="14779" xr:uid="{0DDF129F-D239-40A7-83E5-35D3C8CADB83}"/>
    <cellStyle name="Normal 2 4 2 4 2 6 4" xfId="19002" xr:uid="{C9882297-8A53-4B3E-98D1-87467B1BF785}"/>
    <cellStyle name="Normal 2 4 2 4 2 6 5" xfId="10561" xr:uid="{841F0902-8CE3-4A31-B308-87D679FB7E69}"/>
    <cellStyle name="Normal 2 4 2 4 2 7" xfId="2466" xr:uid="{00000000-0005-0000-0000-00005C0F0000}"/>
    <cellStyle name="Normal 2 4 2 4 2 7 2" xfId="6750" xr:uid="{00000000-0005-0000-0000-00005D0F0000}"/>
    <cellStyle name="Normal 2 4 2 4 2 7 2 2" xfId="23633" xr:uid="{2A529B7C-9427-408B-A12E-38BD73A667B6}"/>
    <cellStyle name="Normal 2 4 2 4 2 7 2 3" xfId="15192" xr:uid="{4DB39BB4-35FE-4F42-B7F6-FBC70525DE5F}"/>
    <cellStyle name="Normal 2 4 2 4 2 7 3" xfId="19415" xr:uid="{F5DFD68D-864A-4B02-AA2C-F32EA1A8D76E}"/>
    <cellStyle name="Normal 2 4 2 4 2 7 4" xfId="10974" xr:uid="{25A54CA2-DD34-40B8-91A8-AF58ADB419B5}"/>
    <cellStyle name="Normal 2 4 2 4 2 8" xfId="4684" xr:uid="{00000000-0005-0000-0000-00005E0F0000}"/>
    <cellStyle name="Normal 2 4 2 4 2 8 2" xfId="21567" xr:uid="{6EE3222F-9AE3-4B34-A6E0-2D010FA0A01C}"/>
    <cellStyle name="Normal 2 4 2 4 2 8 3" xfId="13126" xr:uid="{85AEEFF0-499B-4EFC-9082-A2597B202E82}"/>
    <cellStyle name="Normal 2 4 2 4 2 9" xfId="17349" xr:uid="{C7B82CC5-C779-4062-B31C-A46A67F2D0FD}"/>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24128" xr:uid="{26163830-227A-4CF2-B1B0-D1D7D8B2A09D}"/>
    <cellStyle name="Normal 2 4 2 4 3 2 2 2 3" xfId="15687" xr:uid="{A9DA3A0E-5C06-4A29-9FEC-9F0710CED3A8}"/>
    <cellStyle name="Normal 2 4 2 4 3 2 2 3" xfId="19910" xr:uid="{1CB1E913-43B6-4CEA-B7EA-83B7FEA32F21}"/>
    <cellStyle name="Normal 2 4 2 4 3 2 2 4" xfId="11469" xr:uid="{2326B3B3-5C77-47CF-90B1-7A2ECF00C7DD}"/>
    <cellStyle name="Normal 2 4 2 4 3 2 3" xfId="5100" xr:uid="{00000000-0005-0000-0000-0000630F0000}"/>
    <cellStyle name="Normal 2 4 2 4 3 2 3 2" xfId="21983" xr:uid="{8F26CB58-D013-43B4-AC42-988F0B8191DC}"/>
    <cellStyle name="Normal 2 4 2 4 3 2 3 3" xfId="13542" xr:uid="{B31D7C29-EF57-4765-974C-23C5289CAD07}"/>
    <cellStyle name="Normal 2 4 2 4 3 2 4" xfId="17765" xr:uid="{522C7436-807E-4455-AE29-1E807F398658}"/>
    <cellStyle name="Normal 2 4 2 4 3 2 5" xfId="9324" xr:uid="{0FE50A9D-0FED-430A-B281-45C277BD5473}"/>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24541" xr:uid="{3DEA93AC-1A63-492B-8D71-35BB640133CA}"/>
    <cellStyle name="Normal 2 4 2 4 3 3 2 2 3" xfId="16100" xr:uid="{4B9BA8D1-72A7-4539-AE68-8D9C5FFD45EA}"/>
    <cellStyle name="Normal 2 4 2 4 3 3 2 3" xfId="20323" xr:uid="{47DD6E37-7E34-4140-A16F-3345D3CD850B}"/>
    <cellStyle name="Normal 2 4 2 4 3 3 2 4" xfId="11882" xr:uid="{41AE3CCB-4608-47D5-B718-884E1F431B8B}"/>
    <cellStyle name="Normal 2 4 2 4 3 3 3" xfId="5513" xr:uid="{00000000-0005-0000-0000-0000670F0000}"/>
    <cellStyle name="Normal 2 4 2 4 3 3 3 2" xfId="22396" xr:uid="{E7BB3FD7-C14F-4A67-A283-81F850907660}"/>
    <cellStyle name="Normal 2 4 2 4 3 3 3 3" xfId="13955" xr:uid="{467B9792-AE6B-4451-A703-7E79FA3698D0}"/>
    <cellStyle name="Normal 2 4 2 4 3 3 4" xfId="18178" xr:uid="{A47A716C-1F5F-4728-ABC6-BD9E8B080655}"/>
    <cellStyle name="Normal 2 4 2 4 3 3 5" xfId="9737" xr:uid="{E03461D3-955D-4130-BABD-06AC47795506}"/>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24954" xr:uid="{CD0FDDB9-D672-4EF1-8D52-C72C5112FEF2}"/>
    <cellStyle name="Normal 2 4 2 4 3 4 2 2 3" xfId="16513" xr:uid="{8CE98DF3-7F6B-4FD2-8A29-C0E188F2192D}"/>
    <cellStyle name="Normal 2 4 2 4 3 4 2 3" xfId="20736" xr:uid="{A32E3EC5-D12E-4938-8326-62C32815D0D5}"/>
    <cellStyle name="Normal 2 4 2 4 3 4 2 4" xfId="12295" xr:uid="{44E37792-4908-43B0-84D1-5AD38E305F70}"/>
    <cellStyle name="Normal 2 4 2 4 3 4 3" xfId="5926" xr:uid="{00000000-0005-0000-0000-00006B0F0000}"/>
    <cellStyle name="Normal 2 4 2 4 3 4 3 2" xfId="22809" xr:uid="{B3254B4B-36FB-47C5-8FC4-60F769183352}"/>
    <cellStyle name="Normal 2 4 2 4 3 4 3 3" xfId="14368" xr:uid="{47CB1AB3-A9F0-4524-8D01-0705DA66C49B}"/>
    <cellStyle name="Normal 2 4 2 4 3 4 4" xfId="18591" xr:uid="{CE6EDE7F-C0DB-44E9-BA29-BFE4FCE4BF12}"/>
    <cellStyle name="Normal 2 4 2 4 3 4 5" xfId="10150" xr:uid="{F8D16FCD-3E61-4F73-961F-6DD583AC25CD}"/>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25367" xr:uid="{24EAF05F-A443-4735-958B-C31C80EE2296}"/>
    <cellStyle name="Normal 2 4 2 4 3 5 2 2 3" xfId="16926" xr:uid="{41994891-2A57-4BB4-AF43-FEE09D968EC7}"/>
    <cellStyle name="Normal 2 4 2 4 3 5 2 3" xfId="21149" xr:uid="{8438DE39-12F1-48FE-8335-11FBF359E5B3}"/>
    <cellStyle name="Normal 2 4 2 4 3 5 2 4" xfId="12708" xr:uid="{2E5FC6B4-73E4-48BA-A671-A9E8861C1D5F}"/>
    <cellStyle name="Normal 2 4 2 4 3 5 3" xfId="6339" xr:uid="{00000000-0005-0000-0000-00006F0F0000}"/>
    <cellStyle name="Normal 2 4 2 4 3 5 3 2" xfId="23222" xr:uid="{4A1EB38C-50DC-49D6-BBB4-46798D0953BB}"/>
    <cellStyle name="Normal 2 4 2 4 3 5 3 3" xfId="14781" xr:uid="{6EE52D24-0170-4DD5-8CF9-C7CFD896D954}"/>
    <cellStyle name="Normal 2 4 2 4 3 5 4" xfId="19004" xr:uid="{22E5A717-57C7-4BF8-A830-3A9922BDF564}"/>
    <cellStyle name="Normal 2 4 2 4 3 5 5" xfId="10563" xr:uid="{07B4D24B-30E0-48AB-A813-E94BB195AE66}"/>
    <cellStyle name="Normal 2 4 2 4 3 6" xfId="2468" xr:uid="{00000000-0005-0000-0000-0000700F0000}"/>
    <cellStyle name="Normal 2 4 2 4 3 6 2" xfId="6752" xr:uid="{00000000-0005-0000-0000-0000710F0000}"/>
    <cellStyle name="Normal 2 4 2 4 3 6 2 2" xfId="23635" xr:uid="{CE493A95-EC13-446E-956A-F2DD77D300FC}"/>
    <cellStyle name="Normal 2 4 2 4 3 6 2 3" xfId="15194" xr:uid="{B1518124-D398-4A21-BFF4-A61D22991C84}"/>
    <cellStyle name="Normal 2 4 2 4 3 6 3" xfId="19417" xr:uid="{E5B13613-B1F2-4E86-839F-CA24FE9F4B23}"/>
    <cellStyle name="Normal 2 4 2 4 3 6 4" xfId="10976" xr:uid="{4ACE0A8A-E8CC-4AE3-9B60-48A5EA7F0206}"/>
    <cellStyle name="Normal 2 4 2 4 3 7" xfId="4686" xr:uid="{00000000-0005-0000-0000-0000720F0000}"/>
    <cellStyle name="Normal 2 4 2 4 3 7 2" xfId="21569" xr:uid="{C819428E-4C44-4D53-83AE-9DBD9EAF4512}"/>
    <cellStyle name="Normal 2 4 2 4 3 7 3" xfId="13128" xr:uid="{E1CC96EA-ABCB-49BF-8BB0-45FC6BDD78FE}"/>
    <cellStyle name="Normal 2 4 2 4 3 8" xfId="17351" xr:uid="{A35F0C14-42B6-47FC-9BB3-C0DF4E59DC8C}"/>
    <cellStyle name="Normal 2 4 2 4 3 9" xfId="8910" xr:uid="{9C2314EF-5DE5-42BD-A14E-A58898FF365F}"/>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24125" xr:uid="{1F53BEED-60E3-4EFE-A561-4B7850EC0A6A}"/>
    <cellStyle name="Normal 2 4 2 4 4 2 2 3" xfId="15684" xr:uid="{F23AE485-AC13-4A1D-9606-969CEE037FFC}"/>
    <cellStyle name="Normal 2 4 2 4 4 2 3" xfId="19907" xr:uid="{FFE8F9C0-2716-40AC-AF79-55637D03DBBD}"/>
    <cellStyle name="Normal 2 4 2 4 4 2 4" xfId="11466" xr:uid="{29252E87-9A27-418B-8E49-2A34123647EF}"/>
    <cellStyle name="Normal 2 4 2 4 4 3" xfId="5097" xr:uid="{00000000-0005-0000-0000-0000760F0000}"/>
    <cellStyle name="Normal 2 4 2 4 4 3 2" xfId="21980" xr:uid="{1730D621-5CAC-4920-81A8-EA99008636CF}"/>
    <cellStyle name="Normal 2 4 2 4 4 3 3" xfId="13539" xr:uid="{2C4D2130-3DF6-4BE1-8749-9FCB6F5588C5}"/>
    <cellStyle name="Normal 2 4 2 4 4 4" xfId="17762" xr:uid="{29248B36-ED24-421E-A7EE-0F008283CB98}"/>
    <cellStyle name="Normal 2 4 2 4 4 5" xfId="9321" xr:uid="{DE148220-25DC-4DAE-9BA3-4327E7D24C13}"/>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24538" xr:uid="{A2DA942E-3F90-4527-8D97-C51A0A9A40A6}"/>
    <cellStyle name="Normal 2 4 2 4 5 2 2 3" xfId="16097" xr:uid="{2E9248A3-3C97-4D2F-9D2D-61912B098BF9}"/>
    <cellStyle name="Normal 2 4 2 4 5 2 3" xfId="20320" xr:uid="{44C4015C-6C37-465B-B499-6B35B0E95DD0}"/>
    <cellStyle name="Normal 2 4 2 4 5 2 4" xfId="11879" xr:uid="{7C6EB3DD-96EC-420C-8DE2-A79FC8C323A6}"/>
    <cellStyle name="Normal 2 4 2 4 5 3" xfId="5510" xr:uid="{00000000-0005-0000-0000-00007A0F0000}"/>
    <cellStyle name="Normal 2 4 2 4 5 3 2" xfId="22393" xr:uid="{2EF7AAB4-C864-4A1A-B0AF-A615D621692C}"/>
    <cellStyle name="Normal 2 4 2 4 5 3 3" xfId="13952" xr:uid="{03AD1A0C-B2A8-46E9-91B5-276E3A4D8D58}"/>
    <cellStyle name="Normal 2 4 2 4 5 4" xfId="18175" xr:uid="{DB5DAEDD-AC36-4433-ABE4-BC572F5436A7}"/>
    <cellStyle name="Normal 2 4 2 4 5 5" xfId="9734" xr:uid="{00844252-BA5B-4200-A9DF-11B0EDD50723}"/>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24951" xr:uid="{B1FE7D3E-ED50-40DD-B38B-F4C1B62B2C5F}"/>
    <cellStyle name="Normal 2 4 2 4 6 2 2 3" xfId="16510" xr:uid="{0CC195ED-8729-4FBC-A1E7-86A4AFE2FA57}"/>
    <cellStyle name="Normal 2 4 2 4 6 2 3" xfId="20733" xr:uid="{17DB7794-485D-4F89-AD12-CDA2ECF89342}"/>
    <cellStyle name="Normal 2 4 2 4 6 2 4" xfId="12292" xr:uid="{A349F801-9897-45B4-B0C0-BD3EB1863879}"/>
    <cellStyle name="Normal 2 4 2 4 6 3" xfId="5923" xr:uid="{00000000-0005-0000-0000-00007E0F0000}"/>
    <cellStyle name="Normal 2 4 2 4 6 3 2" xfId="22806" xr:uid="{6EF9AA3D-AD87-44D1-B403-369B3DDCC396}"/>
    <cellStyle name="Normal 2 4 2 4 6 3 3" xfId="14365" xr:uid="{C99AB73C-978E-41B4-93B6-D81B5C4A4F0B}"/>
    <cellStyle name="Normal 2 4 2 4 6 4" xfId="18588" xr:uid="{6EF46A8E-898E-495E-8666-51B1E36957FC}"/>
    <cellStyle name="Normal 2 4 2 4 6 5" xfId="10147" xr:uid="{D7D14428-669E-4CB2-8527-69D1605D6F32}"/>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25364" xr:uid="{5F562104-0399-434F-B45F-C9C00F7F645C}"/>
    <cellStyle name="Normal 2 4 2 4 7 2 2 3" xfId="16923" xr:uid="{6C90B6BE-D5F5-4EE3-8E3C-D64E400FD52A}"/>
    <cellStyle name="Normal 2 4 2 4 7 2 3" xfId="21146" xr:uid="{8AC5E639-00D0-4561-85E2-08D251E869EC}"/>
    <cellStyle name="Normal 2 4 2 4 7 2 4" xfId="12705" xr:uid="{4A79CA53-93EF-47D9-B9D4-27048ABF3A56}"/>
    <cellStyle name="Normal 2 4 2 4 7 3" xfId="6336" xr:uid="{00000000-0005-0000-0000-0000820F0000}"/>
    <cellStyle name="Normal 2 4 2 4 7 3 2" xfId="23219" xr:uid="{9317FBEC-4907-40D1-AE3B-3AB66E1F1891}"/>
    <cellStyle name="Normal 2 4 2 4 7 3 3" xfId="14778" xr:uid="{42D33DAB-3E9F-4B51-B32E-570D7A83CCB9}"/>
    <cellStyle name="Normal 2 4 2 4 7 4" xfId="19001" xr:uid="{2359F6D5-337E-4DEB-872C-62693D60119E}"/>
    <cellStyle name="Normal 2 4 2 4 7 5" xfId="10560" xr:uid="{69305065-EA3F-4350-999C-6D2D750CB637}"/>
    <cellStyle name="Normal 2 4 2 4 8" xfId="2465" xr:uid="{00000000-0005-0000-0000-0000830F0000}"/>
    <cellStyle name="Normal 2 4 2 4 8 2" xfId="6749" xr:uid="{00000000-0005-0000-0000-0000840F0000}"/>
    <cellStyle name="Normal 2 4 2 4 8 2 2" xfId="23632" xr:uid="{C39DD9FC-B72B-4C98-B3DB-EB1AE03D1698}"/>
    <cellStyle name="Normal 2 4 2 4 8 2 3" xfId="15191" xr:uid="{0917C46B-A720-486F-B904-9199F893DAEA}"/>
    <cellStyle name="Normal 2 4 2 4 8 3" xfId="19414" xr:uid="{42A1CC33-4912-4A8E-A6E3-62D109D9551D}"/>
    <cellStyle name="Normal 2 4 2 4 8 4" xfId="10973" xr:uid="{C0944F83-2A3C-4C92-8112-423193CC4F6A}"/>
    <cellStyle name="Normal 2 4 2 4 9" xfId="4683" xr:uid="{00000000-0005-0000-0000-0000850F0000}"/>
    <cellStyle name="Normal 2 4 2 4 9 2" xfId="21566" xr:uid="{250DC566-3580-4C5C-9B24-C501076F4AB4}"/>
    <cellStyle name="Normal 2 4 2 4 9 3" xfId="13125" xr:uid="{274ED843-E949-44F5-8027-871DE4D3D968}"/>
    <cellStyle name="Normal 2 4 2 5" xfId="293" xr:uid="{00000000-0005-0000-0000-0000860F0000}"/>
    <cellStyle name="Normal 2 4 2 5 10" xfId="8911" xr:uid="{F0228EDC-02AB-499D-90E8-ACB3C246E37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24130" xr:uid="{2CE181FF-87E0-471A-A947-73AE05B207D3}"/>
    <cellStyle name="Normal 2 4 2 5 2 2 2 2 3" xfId="15689" xr:uid="{BD5C4C7D-54D1-484F-8671-F1B90D16EC5C}"/>
    <cellStyle name="Normal 2 4 2 5 2 2 2 3" xfId="19912" xr:uid="{AA887208-4765-4608-9C20-B23CAE7C11E6}"/>
    <cellStyle name="Normal 2 4 2 5 2 2 2 4" xfId="11471" xr:uid="{AD63494F-5057-4C82-A81E-FEAEB1A6CA3E}"/>
    <cellStyle name="Normal 2 4 2 5 2 2 3" xfId="5102" xr:uid="{00000000-0005-0000-0000-00008B0F0000}"/>
    <cellStyle name="Normal 2 4 2 5 2 2 3 2" xfId="21985" xr:uid="{4192BF36-C35F-4618-8212-CF6B3DF0DAF9}"/>
    <cellStyle name="Normal 2 4 2 5 2 2 3 3" xfId="13544" xr:uid="{44B0B4F2-6603-416C-9FFD-D4485C07C16C}"/>
    <cellStyle name="Normal 2 4 2 5 2 2 4" xfId="17767" xr:uid="{C7DF70A2-99FA-41C8-B307-0EBF390EE827}"/>
    <cellStyle name="Normal 2 4 2 5 2 2 5" xfId="9326" xr:uid="{86F2CB52-C16A-42D1-9FE1-1687C5B7BD08}"/>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24543" xr:uid="{C239BEBD-FC9C-4FE6-BEEF-07B92772C183}"/>
    <cellStyle name="Normal 2 4 2 5 2 3 2 2 3" xfId="16102" xr:uid="{8DC50D54-CC3D-46A0-B293-F897774F3E12}"/>
    <cellStyle name="Normal 2 4 2 5 2 3 2 3" xfId="20325" xr:uid="{AFEF44B6-CB2C-4DFC-88B2-610F41DC33F4}"/>
    <cellStyle name="Normal 2 4 2 5 2 3 2 4" xfId="11884" xr:uid="{410F398D-A55C-4CA2-9D92-36120768ED6C}"/>
    <cellStyle name="Normal 2 4 2 5 2 3 3" xfId="5515" xr:uid="{00000000-0005-0000-0000-00008F0F0000}"/>
    <cellStyle name="Normal 2 4 2 5 2 3 3 2" xfId="22398" xr:uid="{CEA3B4A9-FCB4-4AF6-9839-4DCF5E60A062}"/>
    <cellStyle name="Normal 2 4 2 5 2 3 3 3" xfId="13957" xr:uid="{247FCCEB-89EE-4AC3-B0FF-043BA489949D}"/>
    <cellStyle name="Normal 2 4 2 5 2 3 4" xfId="18180" xr:uid="{BB6378EA-D372-4831-96E2-F4F1DA0001F3}"/>
    <cellStyle name="Normal 2 4 2 5 2 3 5" xfId="9739" xr:uid="{B90BEC01-C03D-4E48-8920-DB58A7D6B824}"/>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24956" xr:uid="{6ACDE66E-8596-4A50-96EE-3A69AD0140F8}"/>
    <cellStyle name="Normal 2 4 2 5 2 4 2 2 3" xfId="16515" xr:uid="{FFA61053-2938-499D-978B-EDFEDC8D99D7}"/>
    <cellStyle name="Normal 2 4 2 5 2 4 2 3" xfId="20738" xr:uid="{BC3231AE-4048-42D6-8A15-3DA7242ED0E3}"/>
    <cellStyle name="Normal 2 4 2 5 2 4 2 4" xfId="12297" xr:uid="{8F000310-4FEF-4BB1-98FA-613C3C3BD14B}"/>
    <cellStyle name="Normal 2 4 2 5 2 4 3" xfId="5928" xr:uid="{00000000-0005-0000-0000-0000930F0000}"/>
    <cellStyle name="Normal 2 4 2 5 2 4 3 2" xfId="22811" xr:uid="{E6DF432F-39C5-4EF6-8400-B0AFA7F273E0}"/>
    <cellStyle name="Normal 2 4 2 5 2 4 3 3" xfId="14370" xr:uid="{549079E3-521D-46FF-AF12-1F1199ED1E22}"/>
    <cellStyle name="Normal 2 4 2 5 2 4 4" xfId="18593" xr:uid="{B10AC088-F975-4481-8B2B-348445F4D6B4}"/>
    <cellStyle name="Normal 2 4 2 5 2 4 5" xfId="10152" xr:uid="{718121C6-CAD8-42F7-9CF8-BE154285EF75}"/>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25369" xr:uid="{D153B910-95BC-4CDE-89C5-83DAC17E286A}"/>
    <cellStyle name="Normal 2 4 2 5 2 5 2 2 3" xfId="16928" xr:uid="{BB8E6C29-86AD-42C8-8A03-A76D8072DAE3}"/>
    <cellStyle name="Normal 2 4 2 5 2 5 2 3" xfId="21151" xr:uid="{75CAF357-3D67-4A33-BEE8-00EAD311E2E0}"/>
    <cellStyle name="Normal 2 4 2 5 2 5 2 4" xfId="12710" xr:uid="{D8E7B83B-DE35-4937-A665-7A647AE89084}"/>
    <cellStyle name="Normal 2 4 2 5 2 5 3" xfId="6341" xr:uid="{00000000-0005-0000-0000-0000970F0000}"/>
    <cellStyle name="Normal 2 4 2 5 2 5 3 2" xfId="23224" xr:uid="{507CA9E4-0C6C-4257-9B22-81C5A21BABF5}"/>
    <cellStyle name="Normal 2 4 2 5 2 5 3 3" xfId="14783" xr:uid="{76830D21-4CA5-414B-AA1E-7DA99327000E}"/>
    <cellStyle name="Normal 2 4 2 5 2 5 4" xfId="19006" xr:uid="{3854194A-A470-4523-8DE4-B633AE5CFF80}"/>
    <cellStyle name="Normal 2 4 2 5 2 5 5" xfId="10565" xr:uid="{FDC7F3C9-59C3-4D99-ABDF-3F384363774B}"/>
    <cellStyle name="Normal 2 4 2 5 2 6" xfId="2470" xr:uid="{00000000-0005-0000-0000-0000980F0000}"/>
    <cellStyle name="Normal 2 4 2 5 2 6 2" xfId="6754" xr:uid="{00000000-0005-0000-0000-0000990F0000}"/>
    <cellStyle name="Normal 2 4 2 5 2 6 2 2" xfId="23637" xr:uid="{1CDD7514-84DE-4CE1-8084-B9DF3FCBB415}"/>
    <cellStyle name="Normal 2 4 2 5 2 6 2 3" xfId="15196" xr:uid="{CF3BE5B1-EEDE-4D4B-AD6A-CC76EACAFCA8}"/>
    <cellStyle name="Normal 2 4 2 5 2 6 3" xfId="19419" xr:uid="{16124B30-102E-46C5-BAF9-24BB2DE0984A}"/>
    <cellStyle name="Normal 2 4 2 5 2 6 4" xfId="10978" xr:uid="{44667868-0991-4A5D-98A9-DBA2F396719B}"/>
    <cellStyle name="Normal 2 4 2 5 2 7" xfId="4688" xr:uid="{00000000-0005-0000-0000-00009A0F0000}"/>
    <cellStyle name="Normal 2 4 2 5 2 7 2" xfId="21571" xr:uid="{CF1B95C0-1E5F-40F7-A4F7-0EA5B8545258}"/>
    <cellStyle name="Normal 2 4 2 5 2 7 3" xfId="13130" xr:uid="{064B1AB9-0DC6-4164-8A40-B7644F48CEC8}"/>
    <cellStyle name="Normal 2 4 2 5 2 8" xfId="17353" xr:uid="{ABF0AF5B-4D44-4F23-A6D6-52E7812F0CDA}"/>
    <cellStyle name="Normal 2 4 2 5 2 9" xfId="8912" xr:uid="{1DCFFA18-8CFC-4525-8780-8838DC7435D5}"/>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24129" xr:uid="{9030F62C-718C-4E9D-9EB4-9BE0CC184E99}"/>
    <cellStyle name="Normal 2 4 2 5 3 2 2 3" xfId="15688" xr:uid="{312F79F5-9C11-48ED-B994-33C8F8D285C6}"/>
    <cellStyle name="Normal 2 4 2 5 3 2 3" xfId="19911" xr:uid="{A392886E-164C-4F29-8D62-515E86245D55}"/>
    <cellStyle name="Normal 2 4 2 5 3 2 4" xfId="11470" xr:uid="{507FDBEB-0126-4F2F-8368-EFE3C619E3E5}"/>
    <cellStyle name="Normal 2 4 2 5 3 3" xfId="5101" xr:uid="{00000000-0005-0000-0000-00009E0F0000}"/>
    <cellStyle name="Normal 2 4 2 5 3 3 2" xfId="21984" xr:uid="{A04AAD85-5F88-4625-997D-484934D38022}"/>
    <cellStyle name="Normal 2 4 2 5 3 3 3" xfId="13543" xr:uid="{87E380B4-1B56-492B-BBBE-2C4A773CF3F9}"/>
    <cellStyle name="Normal 2 4 2 5 3 4" xfId="17766" xr:uid="{6EBB66B2-F7DA-4E83-9F9F-5BB2A5AA719D}"/>
    <cellStyle name="Normal 2 4 2 5 3 5" xfId="9325" xr:uid="{A5A12558-F796-43B0-AC48-FDEDE9828C4F}"/>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24542" xr:uid="{AF0A9FBA-7162-43B5-80B9-771CC07A98BA}"/>
    <cellStyle name="Normal 2 4 2 5 4 2 2 3" xfId="16101" xr:uid="{1692E9D4-E24F-4416-B185-3C5758235005}"/>
    <cellStyle name="Normal 2 4 2 5 4 2 3" xfId="20324" xr:uid="{4933232D-23C8-4EBD-B727-B9A511E59994}"/>
    <cellStyle name="Normal 2 4 2 5 4 2 4" xfId="11883" xr:uid="{D31205B9-28CB-4E26-B602-4009C227B377}"/>
    <cellStyle name="Normal 2 4 2 5 4 3" xfId="5514" xr:uid="{00000000-0005-0000-0000-0000A20F0000}"/>
    <cellStyle name="Normal 2 4 2 5 4 3 2" xfId="22397" xr:uid="{2900AFEB-F3A7-4171-8300-8EF7513BB760}"/>
    <cellStyle name="Normal 2 4 2 5 4 3 3" xfId="13956" xr:uid="{FF1203BC-389A-4BDB-B693-CCB2FDEEEEFD}"/>
    <cellStyle name="Normal 2 4 2 5 4 4" xfId="18179" xr:uid="{456B64A4-01CA-412F-AAF6-12E1E21934CF}"/>
    <cellStyle name="Normal 2 4 2 5 4 5" xfId="9738" xr:uid="{BA7A532F-82CD-4C19-9E78-9E063B741D09}"/>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24955" xr:uid="{B7617F55-8E0B-440B-ACDF-D05034AAEB35}"/>
    <cellStyle name="Normal 2 4 2 5 5 2 2 3" xfId="16514" xr:uid="{5F13A351-474C-43F9-9006-C8BB193062FB}"/>
    <cellStyle name="Normal 2 4 2 5 5 2 3" xfId="20737" xr:uid="{949A0B8D-C39E-43C9-AFDE-F7BBF43C3B3E}"/>
    <cellStyle name="Normal 2 4 2 5 5 2 4" xfId="12296" xr:uid="{00387684-49B5-4CB1-BB21-0C7A99F9AA85}"/>
    <cellStyle name="Normal 2 4 2 5 5 3" xfId="5927" xr:uid="{00000000-0005-0000-0000-0000A60F0000}"/>
    <cellStyle name="Normal 2 4 2 5 5 3 2" xfId="22810" xr:uid="{6CE53047-8799-4973-A8B2-B6ADA99CE55C}"/>
    <cellStyle name="Normal 2 4 2 5 5 3 3" xfId="14369" xr:uid="{B8C2E047-7C03-40E0-BC8C-994A07DE665F}"/>
    <cellStyle name="Normal 2 4 2 5 5 4" xfId="18592" xr:uid="{71CDB407-BB4C-4B23-ADD6-15C528454FCA}"/>
    <cellStyle name="Normal 2 4 2 5 5 5" xfId="10151" xr:uid="{66CF2291-6312-4502-85C9-837AB643F207}"/>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25368" xr:uid="{EF7FBA97-9B65-4089-88CF-A36113869D22}"/>
    <cellStyle name="Normal 2 4 2 5 6 2 2 3" xfId="16927" xr:uid="{53440CB3-E7E3-428E-A028-9310A4FB0D12}"/>
    <cellStyle name="Normal 2 4 2 5 6 2 3" xfId="21150" xr:uid="{54ACA6DB-2C5F-40BE-B0CF-2BDE1569B39D}"/>
    <cellStyle name="Normal 2 4 2 5 6 2 4" xfId="12709" xr:uid="{3DD0F727-A9C2-489F-9930-7393DC53A041}"/>
    <cellStyle name="Normal 2 4 2 5 6 3" xfId="6340" xr:uid="{00000000-0005-0000-0000-0000AA0F0000}"/>
    <cellStyle name="Normal 2 4 2 5 6 3 2" xfId="23223" xr:uid="{2FFA2866-A9C4-4078-A57D-CC87FD19EA77}"/>
    <cellStyle name="Normal 2 4 2 5 6 3 3" xfId="14782" xr:uid="{8080896E-7511-408B-B246-CABC7BC885DA}"/>
    <cellStyle name="Normal 2 4 2 5 6 4" xfId="19005" xr:uid="{40236688-7751-4988-B704-1E7C2F83AEBB}"/>
    <cellStyle name="Normal 2 4 2 5 6 5" xfId="10564" xr:uid="{7D99DA94-42F1-47EE-A532-46DAAE7C56F8}"/>
    <cellStyle name="Normal 2 4 2 5 7" xfId="2469" xr:uid="{00000000-0005-0000-0000-0000AB0F0000}"/>
    <cellStyle name="Normal 2 4 2 5 7 2" xfId="6753" xr:uid="{00000000-0005-0000-0000-0000AC0F0000}"/>
    <cellStyle name="Normal 2 4 2 5 7 2 2" xfId="23636" xr:uid="{031E7A27-3F58-4A42-9E57-7156A789DC39}"/>
    <cellStyle name="Normal 2 4 2 5 7 2 3" xfId="15195" xr:uid="{45EA4FAD-5CC2-44BC-93BB-5B50017298E0}"/>
    <cellStyle name="Normal 2 4 2 5 7 3" xfId="19418" xr:uid="{9C3F7AE5-55DD-479D-9F87-EFF6635FCFFE}"/>
    <cellStyle name="Normal 2 4 2 5 7 4" xfId="10977" xr:uid="{8CB59DD3-098A-4B91-87DC-915AA9BC9E73}"/>
    <cellStyle name="Normal 2 4 2 5 8" xfId="4687" xr:uid="{00000000-0005-0000-0000-0000AD0F0000}"/>
    <cellStyle name="Normal 2 4 2 5 8 2" xfId="21570" xr:uid="{B4901162-C724-44A7-B356-65DE922AB8EE}"/>
    <cellStyle name="Normal 2 4 2 5 8 3" xfId="13129" xr:uid="{C428D45F-4302-495A-B99A-954B381E6416}"/>
    <cellStyle name="Normal 2 4 2 5 9" xfId="17352" xr:uid="{CE040464-B9D5-469B-B899-1E52A3C71AE7}"/>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24131" xr:uid="{C4FFA195-F63B-408A-BCC3-222E71E00A68}"/>
    <cellStyle name="Normal 2 4 2 6 2 2 2 3" xfId="15690" xr:uid="{217BC59B-3869-407D-81C6-9D557E9D63DE}"/>
    <cellStyle name="Normal 2 4 2 6 2 2 3" xfId="19913" xr:uid="{4B2034EB-4521-4FAB-8340-EDA246A2589A}"/>
    <cellStyle name="Normal 2 4 2 6 2 2 4" xfId="11472" xr:uid="{86B7B8D4-A7DC-4147-9046-509619266A11}"/>
    <cellStyle name="Normal 2 4 2 6 2 3" xfId="5103" xr:uid="{00000000-0005-0000-0000-0000B20F0000}"/>
    <cellStyle name="Normal 2 4 2 6 2 3 2" xfId="21986" xr:uid="{EDA41B9D-F7C5-4B05-9668-B7D481021AFE}"/>
    <cellStyle name="Normal 2 4 2 6 2 3 3" xfId="13545" xr:uid="{81F8D81B-9BFC-414C-BE50-AB5425DFEC84}"/>
    <cellStyle name="Normal 2 4 2 6 2 4" xfId="17768" xr:uid="{D35E064C-6E8F-43F6-8221-908BE75BFCFB}"/>
    <cellStyle name="Normal 2 4 2 6 2 5" xfId="9327" xr:uid="{E26BCB76-76C2-4B70-919D-8944BAFB4EE1}"/>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24544" xr:uid="{80BA43CF-AEA9-405D-B2CE-4BAAF26F2DCF}"/>
    <cellStyle name="Normal 2 4 2 6 3 2 2 3" xfId="16103" xr:uid="{D643781F-2C58-4498-88A6-541A7F443C70}"/>
    <cellStyle name="Normal 2 4 2 6 3 2 3" xfId="20326" xr:uid="{E221DB95-8E17-41AC-ADEC-C7E4ED120334}"/>
    <cellStyle name="Normal 2 4 2 6 3 2 4" xfId="11885" xr:uid="{7A4094A2-ABF9-4B36-8F6F-99282E659758}"/>
    <cellStyle name="Normal 2 4 2 6 3 3" xfId="5516" xr:uid="{00000000-0005-0000-0000-0000B60F0000}"/>
    <cellStyle name="Normal 2 4 2 6 3 3 2" xfId="22399" xr:uid="{F58C2C6A-3BDC-4E6E-BC6B-6CB7D51C0005}"/>
    <cellStyle name="Normal 2 4 2 6 3 3 3" xfId="13958" xr:uid="{6EB56440-E609-4D4F-A1B7-FF337725F766}"/>
    <cellStyle name="Normal 2 4 2 6 3 4" xfId="18181" xr:uid="{63EEF8AB-A3FD-4FD7-BA5A-BB4A885A483E}"/>
    <cellStyle name="Normal 2 4 2 6 3 5" xfId="9740" xr:uid="{020AA9D8-9114-4ACD-9209-F039C3CC89AD}"/>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24957" xr:uid="{983B3A91-3436-4849-BBE4-C3F96E4FCDE4}"/>
    <cellStyle name="Normal 2 4 2 6 4 2 2 3" xfId="16516" xr:uid="{11C9B221-EDAD-49E8-BB2B-91858E9FEB81}"/>
    <cellStyle name="Normal 2 4 2 6 4 2 3" xfId="20739" xr:uid="{AE4CAB68-17C5-458C-A90D-FE26A387D32B}"/>
    <cellStyle name="Normal 2 4 2 6 4 2 4" xfId="12298" xr:uid="{A50B3908-BEDF-4876-9DA5-9449CEDB4D33}"/>
    <cellStyle name="Normal 2 4 2 6 4 3" xfId="5929" xr:uid="{00000000-0005-0000-0000-0000BA0F0000}"/>
    <cellStyle name="Normal 2 4 2 6 4 3 2" xfId="22812" xr:uid="{E82E4D5A-558B-4FD6-8173-4E8C148CD145}"/>
    <cellStyle name="Normal 2 4 2 6 4 3 3" xfId="14371" xr:uid="{5456A73C-7A9A-4444-9313-295D227E9C25}"/>
    <cellStyle name="Normal 2 4 2 6 4 4" xfId="18594" xr:uid="{4D443A52-517B-4241-BEAA-F36C634862C2}"/>
    <cellStyle name="Normal 2 4 2 6 4 5" xfId="10153" xr:uid="{727F50EB-B136-42B3-A85D-92C1C89E5081}"/>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25370" xr:uid="{B61E2810-E752-4CF9-B17B-7C32DE30C332}"/>
    <cellStyle name="Normal 2 4 2 6 5 2 2 3" xfId="16929" xr:uid="{CC93177B-8094-4A72-9E33-590F029022D5}"/>
    <cellStyle name="Normal 2 4 2 6 5 2 3" xfId="21152" xr:uid="{015AA90E-F817-4046-B082-8A29EA305EE3}"/>
    <cellStyle name="Normal 2 4 2 6 5 2 4" xfId="12711" xr:uid="{F476C556-ADC2-4347-8B06-AD9B71B954A4}"/>
    <cellStyle name="Normal 2 4 2 6 5 3" xfId="6342" xr:uid="{00000000-0005-0000-0000-0000BE0F0000}"/>
    <cellStyle name="Normal 2 4 2 6 5 3 2" xfId="23225" xr:uid="{D8B56CB5-D3E6-4FE8-85B1-9F52D9FED998}"/>
    <cellStyle name="Normal 2 4 2 6 5 3 3" xfId="14784" xr:uid="{19D652E8-213E-4C37-A959-92FDB5BC9F50}"/>
    <cellStyle name="Normal 2 4 2 6 5 4" xfId="19007" xr:uid="{50ECFDF2-2F4D-4E28-BF3C-10E34858690C}"/>
    <cellStyle name="Normal 2 4 2 6 5 5" xfId="10566" xr:uid="{A71EEC55-068F-41B1-A13D-4B7DAE8892D3}"/>
    <cellStyle name="Normal 2 4 2 6 6" xfId="2471" xr:uid="{00000000-0005-0000-0000-0000BF0F0000}"/>
    <cellStyle name="Normal 2 4 2 6 6 2" xfId="6755" xr:uid="{00000000-0005-0000-0000-0000C00F0000}"/>
    <cellStyle name="Normal 2 4 2 6 6 2 2" xfId="23638" xr:uid="{8F698A63-D1A9-490D-BCB2-B8045CED0EE5}"/>
    <cellStyle name="Normal 2 4 2 6 6 2 3" xfId="15197" xr:uid="{BF20036B-F6D2-4DBA-9AF7-B2CD65B3B27E}"/>
    <cellStyle name="Normal 2 4 2 6 6 3" xfId="19420" xr:uid="{BD4ED0AA-D323-4476-AC4F-6EA1738B0340}"/>
    <cellStyle name="Normal 2 4 2 6 6 4" xfId="10979" xr:uid="{D1B60FA8-989C-4B5C-82EE-CBAA678E6785}"/>
    <cellStyle name="Normal 2 4 2 6 7" xfId="4689" xr:uid="{00000000-0005-0000-0000-0000C10F0000}"/>
    <cellStyle name="Normal 2 4 2 6 7 2" xfId="21572" xr:uid="{5DD2E4BD-0575-4B89-8A21-1CD7BC7179F9}"/>
    <cellStyle name="Normal 2 4 2 6 7 3" xfId="13131" xr:uid="{BE40DBBD-0641-4BDE-B847-0560603DBBF5}"/>
    <cellStyle name="Normal 2 4 2 6 8" xfId="17354" xr:uid="{53C869AF-4E50-4B53-B4B0-8122A0E7C787}"/>
    <cellStyle name="Normal 2 4 2 6 9" xfId="8913" xr:uid="{08E05360-986D-4676-B00E-751A59F9CBB5}"/>
    <cellStyle name="Normal 2 4 2 7" xfId="771" xr:uid="{00000000-0005-0000-0000-0000C20F0000}"/>
    <cellStyle name="Normal 2 4 2 7 2" xfId="3010" xr:uid="{00000000-0005-0000-0000-0000C30F0000}"/>
    <cellStyle name="Normal 2 4 2 7 2 2" xfId="7233" xr:uid="{00000000-0005-0000-0000-0000C40F0000}"/>
    <cellStyle name="Normal 2 4 2 7 2 2 2" xfId="24116" xr:uid="{EDF2E7D2-1F0F-41D6-9D9E-75F003142BA0}"/>
    <cellStyle name="Normal 2 4 2 7 2 2 3" xfId="15675" xr:uid="{EB64FBB9-1402-4307-B95C-2DE395D47A8C}"/>
    <cellStyle name="Normal 2 4 2 7 2 3" xfId="19898" xr:uid="{3BCC90EC-87F8-4769-A88D-636FF49AB627}"/>
    <cellStyle name="Normal 2 4 2 7 2 4" xfId="11457" xr:uid="{E5DDF633-D0EF-4B78-90BC-3565B9AF8EAC}"/>
    <cellStyle name="Normal 2 4 2 7 3" xfId="5088" xr:uid="{00000000-0005-0000-0000-0000C50F0000}"/>
    <cellStyle name="Normal 2 4 2 7 3 2" xfId="21971" xr:uid="{868546E8-344F-4B0C-A3D6-8077F4C47702}"/>
    <cellStyle name="Normal 2 4 2 7 3 3" xfId="13530" xr:uid="{4B7B3896-3CED-4974-80A3-17ADD58655E6}"/>
    <cellStyle name="Normal 2 4 2 7 4" xfId="17753" xr:uid="{BA3C44E6-8C5A-40E7-9A96-8CB7890AC251}"/>
    <cellStyle name="Normal 2 4 2 7 5" xfId="9312" xr:uid="{40A82A56-CACC-45E5-B357-C1AFEBCC7323}"/>
    <cellStyle name="Normal 2 4 2 8" xfId="1193" xr:uid="{00000000-0005-0000-0000-0000C60F0000}"/>
    <cellStyle name="Normal 2 4 2 8 2" xfId="3423" xr:uid="{00000000-0005-0000-0000-0000C70F0000}"/>
    <cellStyle name="Normal 2 4 2 8 2 2" xfId="7646" xr:uid="{00000000-0005-0000-0000-0000C80F0000}"/>
    <cellStyle name="Normal 2 4 2 8 2 2 2" xfId="24529" xr:uid="{F4D47510-F13D-44B0-ACF1-ED769BC60CBB}"/>
    <cellStyle name="Normal 2 4 2 8 2 2 3" xfId="16088" xr:uid="{19C7B10D-378D-4DB8-B186-C84AC2CD4140}"/>
    <cellStyle name="Normal 2 4 2 8 2 3" xfId="20311" xr:uid="{D88CD20C-10A8-4ECB-8CCE-E028EEA4B503}"/>
    <cellStyle name="Normal 2 4 2 8 2 4" xfId="11870" xr:uid="{FA6D88AB-B7CE-4BB6-95A4-CD4185C4C0FE}"/>
    <cellStyle name="Normal 2 4 2 8 3" xfId="5501" xr:uid="{00000000-0005-0000-0000-0000C90F0000}"/>
    <cellStyle name="Normal 2 4 2 8 3 2" xfId="22384" xr:uid="{B9AC2C0A-7217-4561-AD70-948183560751}"/>
    <cellStyle name="Normal 2 4 2 8 3 3" xfId="13943" xr:uid="{049E4D1C-F756-4CB6-A1D0-D47D01101235}"/>
    <cellStyle name="Normal 2 4 2 8 4" xfId="18166" xr:uid="{B193BA58-2BB3-461D-B084-487D388A23D9}"/>
    <cellStyle name="Normal 2 4 2 8 5" xfId="9725" xr:uid="{D37A9363-BE6C-45E5-88F8-263DD8C49A79}"/>
    <cellStyle name="Normal 2 4 2 9" xfId="1606" xr:uid="{00000000-0005-0000-0000-0000CA0F0000}"/>
    <cellStyle name="Normal 2 4 2 9 2" xfId="3836" xr:uid="{00000000-0005-0000-0000-0000CB0F0000}"/>
    <cellStyle name="Normal 2 4 2 9 2 2" xfId="8059" xr:uid="{00000000-0005-0000-0000-0000CC0F0000}"/>
    <cellStyle name="Normal 2 4 2 9 2 2 2" xfId="24942" xr:uid="{C1EA7600-E67C-4DD1-89D2-F1A8EB2094E5}"/>
    <cellStyle name="Normal 2 4 2 9 2 2 3" xfId="16501" xr:uid="{B885FAB5-1CE7-4F36-A774-A179D61B02A9}"/>
    <cellStyle name="Normal 2 4 2 9 2 3" xfId="20724" xr:uid="{FAEAADDA-B9C4-4D20-A335-58169D58B63C}"/>
    <cellStyle name="Normal 2 4 2 9 2 4" xfId="12283" xr:uid="{7CD34D33-9D19-4185-B85D-F725BECF7AE7}"/>
    <cellStyle name="Normal 2 4 2 9 3" xfId="5914" xr:uid="{00000000-0005-0000-0000-0000CD0F0000}"/>
    <cellStyle name="Normal 2 4 2 9 3 2" xfId="22797" xr:uid="{DAB5EA84-940F-4A40-B35C-13644DAF779B}"/>
    <cellStyle name="Normal 2 4 2 9 3 3" xfId="14356" xr:uid="{9312959B-B031-4E96-BBA1-D43C6B5354E9}"/>
    <cellStyle name="Normal 2 4 2 9 4" xfId="18579" xr:uid="{46E627DE-76AC-49BC-9475-DFD6D876968A}"/>
    <cellStyle name="Normal 2 4 2 9 5" xfId="10138" xr:uid="{869D0D36-7695-4B38-AB82-64011F62A26B}"/>
    <cellStyle name="Normal 2 4 3" xfId="296" xr:uid="{00000000-0005-0000-0000-0000CE0F0000}"/>
    <cellStyle name="Normal 2 4 3 10" xfId="17355" xr:uid="{B655C21D-BFE9-4F06-872F-5140548A4628}"/>
    <cellStyle name="Normal 2 4 3 11" xfId="8914" xr:uid="{C2A9311D-EDB3-45F5-9123-E91BDF4A1132}"/>
    <cellStyle name="Normal 2 4 3 2" xfId="297" xr:uid="{00000000-0005-0000-0000-0000CF0F0000}"/>
    <cellStyle name="Normal 2 4 3 3" xfId="298" xr:uid="{00000000-0005-0000-0000-0000D00F0000}"/>
    <cellStyle name="Normal 2 4 3 3 10" xfId="17356" xr:uid="{207D905F-E567-4094-988A-28CF3CD36E76}"/>
    <cellStyle name="Normal 2 4 3 3 11" xfId="8915" xr:uid="{08AE1133-9A63-4F2D-82A6-A5EEA29C876F}"/>
    <cellStyle name="Normal 2 4 3 3 2" xfId="299" xr:uid="{00000000-0005-0000-0000-0000D10F0000}"/>
    <cellStyle name="Normal 2 4 3 3 2 10" xfId="8916" xr:uid="{A7524913-131C-4E53-962E-99721D93E06F}"/>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24135" xr:uid="{39A3CD2A-4E1A-4074-BFED-37B424D64AA1}"/>
    <cellStyle name="Normal 2 4 3 3 2 2 2 2 2 3" xfId="15694" xr:uid="{AA13E356-4EB0-4B73-B56C-65A40112FF80}"/>
    <cellStyle name="Normal 2 4 3 3 2 2 2 2 3" xfId="19917" xr:uid="{4B220644-BFFE-42F5-AE31-41F1843DA43D}"/>
    <cellStyle name="Normal 2 4 3 3 2 2 2 2 4" xfId="11476" xr:uid="{79E2C0BD-61A8-465F-B547-51B30DC498C2}"/>
    <cellStyle name="Normal 2 4 3 3 2 2 2 3" xfId="5107" xr:uid="{00000000-0005-0000-0000-0000D60F0000}"/>
    <cellStyle name="Normal 2 4 3 3 2 2 2 3 2" xfId="21990" xr:uid="{7EDC898D-C6F2-4B1E-AE27-02AC29E51067}"/>
    <cellStyle name="Normal 2 4 3 3 2 2 2 3 3" xfId="13549" xr:uid="{E50BE7AA-E554-4CF7-8E45-CC17D532A6C0}"/>
    <cellStyle name="Normal 2 4 3 3 2 2 2 4" xfId="17772" xr:uid="{D8566E47-07D2-4359-B786-94F02DD0184B}"/>
    <cellStyle name="Normal 2 4 3 3 2 2 2 5" xfId="9331" xr:uid="{EC6CBBE1-9A6D-409E-A50B-CD5652F966FE}"/>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24548" xr:uid="{48361BB8-3936-4785-B13C-35BF92BDDBC5}"/>
    <cellStyle name="Normal 2 4 3 3 2 2 3 2 2 3" xfId="16107" xr:uid="{20FC866F-B5CF-41A3-82F8-F760CAADB04B}"/>
    <cellStyle name="Normal 2 4 3 3 2 2 3 2 3" xfId="20330" xr:uid="{A72451C7-E209-4874-A6F7-744600A06402}"/>
    <cellStyle name="Normal 2 4 3 3 2 2 3 2 4" xfId="11889" xr:uid="{D5A560E0-6020-4368-8E23-4CD8E2037AF8}"/>
    <cellStyle name="Normal 2 4 3 3 2 2 3 3" xfId="5520" xr:uid="{00000000-0005-0000-0000-0000DA0F0000}"/>
    <cellStyle name="Normal 2 4 3 3 2 2 3 3 2" xfId="22403" xr:uid="{79E6974B-51B7-49A7-8711-CA4213194688}"/>
    <cellStyle name="Normal 2 4 3 3 2 2 3 3 3" xfId="13962" xr:uid="{B28854F8-9C72-4481-A2AF-33339547A06C}"/>
    <cellStyle name="Normal 2 4 3 3 2 2 3 4" xfId="18185" xr:uid="{9EEDD18C-3FEE-4BD3-9CAA-30FD63F8166A}"/>
    <cellStyle name="Normal 2 4 3 3 2 2 3 5" xfId="9744" xr:uid="{A29C86E0-A960-430B-8FD9-1A27C96D6E0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24961" xr:uid="{26566CAD-8FF8-4AC4-BA07-16E1D3A28540}"/>
    <cellStyle name="Normal 2 4 3 3 2 2 4 2 2 3" xfId="16520" xr:uid="{B3A865E3-B386-4863-A4BC-D52C58D3FB4C}"/>
    <cellStyle name="Normal 2 4 3 3 2 2 4 2 3" xfId="20743" xr:uid="{5DC47D8D-284D-4C3A-9FDB-EE30DC1C26BF}"/>
    <cellStyle name="Normal 2 4 3 3 2 2 4 2 4" xfId="12302" xr:uid="{1E5178FD-902F-4C72-8F9D-A61FEEAB014A}"/>
    <cellStyle name="Normal 2 4 3 3 2 2 4 3" xfId="5933" xr:uid="{00000000-0005-0000-0000-0000DE0F0000}"/>
    <cellStyle name="Normal 2 4 3 3 2 2 4 3 2" xfId="22816" xr:uid="{CE187089-C57E-4F7E-9C9F-4E7341580D78}"/>
    <cellStyle name="Normal 2 4 3 3 2 2 4 3 3" xfId="14375" xr:uid="{F7381563-C997-4732-99D2-21FA86451824}"/>
    <cellStyle name="Normal 2 4 3 3 2 2 4 4" xfId="18598" xr:uid="{D32258E6-A62D-470E-B1BA-B1110AF97550}"/>
    <cellStyle name="Normal 2 4 3 3 2 2 4 5" xfId="10157" xr:uid="{BB93528A-C97C-4398-95DC-F2B9ABFC936A}"/>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25374" xr:uid="{78B5A2B6-24DE-4F33-8B8F-1C34D89652EF}"/>
    <cellStyle name="Normal 2 4 3 3 2 2 5 2 2 3" xfId="16933" xr:uid="{C1E7EBB9-48EC-4E6F-A2B4-8A4F1792B1C3}"/>
    <cellStyle name="Normal 2 4 3 3 2 2 5 2 3" xfId="21156" xr:uid="{C9520E7C-318E-496F-8BA3-F1A442AE1A75}"/>
    <cellStyle name="Normal 2 4 3 3 2 2 5 2 4" xfId="12715" xr:uid="{C7715B43-95DC-4952-8754-1791855DFB51}"/>
    <cellStyle name="Normal 2 4 3 3 2 2 5 3" xfId="6346" xr:uid="{00000000-0005-0000-0000-0000E20F0000}"/>
    <cellStyle name="Normal 2 4 3 3 2 2 5 3 2" xfId="23229" xr:uid="{F468D832-3715-4431-A4BB-802E8A304D09}"/>
    <cellStyle name="Normal 2 4 3 3 2 2 5 3 3" xfId="14788" xr:uid="{07EA5823-B2CD-4375-B4FB-3B37389C009B}"/>
    <cellStyle name="Normal 2 4 3 3 2 2 5 4" xfId="19011" xr:uid="{10071668-823B-46D4-89B4-FF1EBB7812B0}"/>
    <cellStyle name="Normal 2 4 3 3 2 2 5 5" xfId="10570" xr:uid="{BCAB6CD9-88C2-408E-B6C3-C3FD655B7D1C}"/>
    <cellStyle name="Normal 2 4 3 3 2 2 6" xfId="2475" xr:uid="{00000000-0005-0000-0000-0000E30F0000}"/>
    <cellStyle name="Normal 2 4 3 3 2 2 6 2" xfId="6759" xr:uid="{00000000-0005-0000-0000-0000E40F0000}"/>
    <cellStyle name="Normal 2 4 3 3 2 2 6 2 2" xfId="23642" xr:uid="{1AF11877-B73F-411B-A972-A4E38E5AF51E}"/>
    <cellStyle name="Normal 2 4 3 3 2 2 6 2 3" xfId="15201" xr:uid="{E65E77BE-5252-4DCF-8796-9C0F6AC6E7A0}"/>
    <cellStyle name="Normal 2 4 3 3 2 2 6 3" xfId="19424" xr:uid="{88CEBB51-B1B2-4926-86E8-34D288BD56BD}"/>
    <cellStyle name="Normal 2 4 3 3 2 2 6 4" xfId="10983" xr:uid="{C8A57869-1D3A-41CD-8E7A-5BC76EE2E760}"/>
    <cellStyle name="Normal 2 4 3 3 2 2 7" xfId="4693" xr:uid="{00000000-0005-0000-0000-0000E50F0000}"/>
    <cellStyle name="Normal 2 4 3 3 2 2 7 2" xfId="21576" xr:uid="{AE5F6D5D-98BC-4484-84C0-C65D2FEF9729}"/>
    <cellStyle name="Normal 2 4 3 3 2 2 7 3" xfId="13135" xr:uid="{CE0EC06F-9821-41D4-94BE-C097FAF37460}"/>
    <cellStyle name="Normal 2 4 3 3 2 2 8" xfId="17358" xr:uid="{A75F0790-EDAF-4006-A059-210E8579DB07}"/>
    <cellStyle name="Normal 2 4 3 3 2 2 9" xfId="8917" xr:uid="{55FA5362-1ED9-4FCB-8550-E911664E84D9}"/>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24134" xr:uid="{5A1889D2-0F6C-47B6-A634-FBC149F93F83}"/>
    <cellStyle name="Normal 2 4 3 3 2 3 2 2 3" xfId="15693" xr:uid="{8EF47744-4663-476A-8792-98B30D6437BD}"/>
    <cellStyle name="Normal 2 4 3 3 2 3 2 3" xfId="19916" xr:uid="{64052AEF-11FB-4E8D-BED0-8680C52A64DB}"/>
    <cellStyle name="Normal 2 4 3 3 2 3 2 4" xfId="11475" xr:uid="{41FED16D-E907-4BC8-80EF-A288BD36335E}"/>
    <cellStyle name="Normal 2 4 3 3 2 3 3" xfId="5106" xr:uid="{00000000-0005-0000-0000-0000E90F0000}"/>
    <cellStyle name="Normal 2 4 3 3 2 3 3 2" xfId="21989" xr:uid="{851AD959-AB02-41C3-A357-DA6795289C1F}"/>
    <cellStyle name="Normal 2 4 3 3 2 3 3 3" xfId="13548" xr:uid="{CFFBC5F1-4B1C-468B-950A-B74813F2952C}"/>
    <cellStyle name="Normal 2 4 3 3 2 3 4" xfId="17771" xr:uid="{3C784AC8-991A-4A24-A821-E0462300BDB0}"/>
    <cellStyle name="Normal 2 4 3 3 2 3 5" xfId="9330" xr:uid="{0E2FAFEF-C751-4FBB-9BB1-0C145FA3E51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24547" xr:uid="{3CABD42B-0B7D-4164-B8EC-01EDD77C3DE4}"/>
    <cellStyle name="Normal 2 4 3 3 2 4 2 2 3" xfId="16106" xr:uid="{828F7268-A886-48BB-B557-F607F5BCFC7B}"/>
    <cellStyle name="Normal 2 4 3 3 2 4 2 3" xfId="20329" xr:uid="{F953DD14-24B2-4A87-A6A2-D68D03E24915}"/>
    <cellStyle name="Normal 2 4 3 3 2 4 2 4" xfId="11888" xr:uid="{0699785E-B79F-4998-931C-BEFF82A8754B}"/>
    <cellStyle name="Normal 2 4 3 3 2 4 3" xfId="5519" xr:uid="{00000000-0005-0000-0000-0000ED0F0000}"/>
    <cellStyle name="Normal 2 4 3 3 2 4 3 2" xfId="22402" xr:uid="{A45934E9-FDED-4640-AC2B-83C6C36DAF43}"/>
    <cellStyle name="Normal 2 4 3 3 2 4 3 3" xfId="13961" xr:uid="{E3FA1FD5-6512-401F-B4B5-2784AFAC19CE}"/>
    <cellStyle name="Normal 2 4 3 3 2 4 4" xfId="18184" xr:uid="{F0C44B88-C747-4F83-B286-F070000A5964}"/>
    <cellStyle name="Normal 2 4 3 3 2 4 5" xfId="9743" xr:uid="{15F803F1-89B6-404C-B7FC-ABD8F00B127D}"/>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24960" xr:uid="{D7044258-673A-4DCA-B7CC-F381472ECF80}"/>
    <cellStyle name="Normal 2 4 3 3 2 5 2 2 3" xfId="16519" xr:uid="{FAD28C5E-6062-40DC-8360-CF04D6CA59B7}"/>
    <cellStyle name="Normal 2 4 3 3 2 5 2 3" xfId="20742" xr:uid="{4516DB6B-EE3D-4631-9DBE-E5743FEC470B}"/>
    <cellStyle name="Normal 2 4 3 3 2 5 2 4" xfId="12301" xr:uid="{50CB18BE-C131-47B2-B874-251FE6A2E6CE}"/>
    <cellStyle name="Normal 2 4 3 3 2 5 3" xfId="5932" xr:uid="{00000000-0005-0000-0000-0000F10F0000}"/>
    <cellStyle name="Normal 2 4 3 3 2 5 3 2" xfId="22815" xr:uid="{DFD257BC-0A26-4BA6-A00A-71C05FBAD51B}"/>
    <cellStyle name="Normal 2 4 3 3 2 5 3 3" xfId="14374" xr:uid="{435D06C0-E79C-4DF0-B8B5-B63F09D9EDB8}"/>
    <cellStyle name="Normal 2 4 3 3 2 5 4" xfId="18597" xr:uid="{277EDC96-B057-4B70-A30A-2DA6CEBA53AD}"/>
    <cellStyle name="Normal 2 4 3 3 2 5 5" xfId="10156" xr:uid="{56282596-610A-4DDF-BD9B-8343386A7033}"/>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25373" xr:uid="{4C206ECA-40BA-45A2-A0C8-5252ABBB7C7B}"/>
    <cellStyle name="Normal 2 4 3 3 2 6 2 2 3" xfId="16932" xr:uid="{AE9AD576-BCE1-4822-A2CB-D6CB9DCCF4B4}"/>
    <cellStyle name="Normal 2 4 3 3 2 6 2 3" xfId="21155" xr:uid="{4C00CECD-694F-430A-9D46-1766EC2F7444}"/>
    <cellStyle name="Normal 2 4 3 3 2 6 2 4" xfId="12714" xr:uid="{C97AA695-5089-4CE1-A124-8EAD7B1715E2}"/>
    <cellStyle name="Normal 2 4 3 3 2 6 3" xfId="6345" xr:uid="{00000000-0005-0000-0000-0000F50F0000}"/>
    <cellStyle name="Normal 2 4 3 3 2 6 3 2" xfId="23228" xr:uid="{A18AD755-745D-437B-A60B-A2B878CFB989}"/>
    <cellStyle name="Normal 2 4 3 3 2 6 3 3" xfId="14787" xr:uid="{962D9090-B2B1-4453-B66A-8E8ACA8B73C6}"/>
    <cellStyle name="Normal 2 4 3 3 2 6 4" xfId="19010" xr:uid="{20AF0171-C212-4EC2-B6A2-6F16A53DC60D}"/>
    <cellStyle name="Normal 2 4 3 3 2 6 5" xfId="10569" xr:uid="{C4AA018F-2217-40E4-8944-E4A48BFA4669}"/>
    <cellStyle name="Normal 2 4 3 3 2 7" xfId="2474" xr:uid="{00000000-0005-0000-0000-0000F60F0000}"/>
    <cellStyle name="Normal 2 4 3 3 2 7 2" xfId="6758" xr:uid="{00000000-0005-0000-0000-0000F70F0000}"/>
    <cellStyle name="Normal 2 4 3 3 2 7 2 2" xfId="23641" xr:uid="{07C21FCB-94FC-4DEA-8F23-64F2BD38CB2B}"/>
    <cellStyle name="Normal 2 4 3 3 2 7 2 3" xfId="15200" xr:uid="{C1D4FA0F-B9D6-4E34-A0E2-8769B05F6E92}"/>
    <cellStyle name="Normal 2 4 3 3 2 7 3" xfId="19423" xr:uid="{0F14E3EC-4640-4FA9-B7AE-761D90FE3AE2}"/>
    <cellStyle name="Normal 2 4 3 3 2 7 4" xfId="10982" xr:uid="{C13436DB-9BCE-401A-9631-E0A5D0E8B43D}"/>
    <cellStyle name="Normal 2 4 3 3 2 8" xfId="4692" xr:uid="{00000000-0005-0000-0000-0000F80F0000}"/>
    <cellStyle name="Normal 2 4 3 3 2 8 2" xfId="21575" xr:uid="{D6B6EAB4-16EE-487C-8FEB-5FD2B00E520C}"/>
    <cellStyle name="Normal 2 4 3 3 2 8 3" xfId="13134" xr:uid="{FC98FDCA-36E5-4553-B08C-EC83E9F9C6EC}"/>
    <cellStyle name="Normal 2 4 3 3 2 9" xfId="17357" xr:uid="{0D9550D2-D34C-475F-AF71-B3E76106449D}"/>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24136" xr:uid="{D27C0A4D-5633-4915-A975-198FAEF90AEE}"/>
    <cellStyle name="Normal 2 4 3 3 3 2 2 2 3" xfId="15695" xr:uid="{9A0F3A06-DE62-4D19-85C7-57F085848C20}"/>
    <cellStyle name="Normal 2 4 3 3 3 2 2 3" xfId="19918" xr:uid="{537C08FA-EBCE-49CE-96EA-31904311FD44}"/>
    <cellStyle name="Normal 2 4 3 3 3 2 2 4" xfId="11477" xr:uid="{5A7E41B1-2A76-4D32-B81C-35E95F88537D}"/>
    <cellStyle name="Normal 2 4 3 3 3 2 3" xfId="5108" xr:uid="{00000000-0005-0000-0000-0000FD0F0000}"/>
    <cellStyle name="Normal 2 4 3 3 3 2 3 2" xfId="21991" xr:uid="{70AFFD69-132A-4106-9E3D-DA4B77776837}"/>
    <cellStyle name="Normal 2 4 3 3 3 2 3 3" xfId="13550" xr:uid="{6527262A-EFB0-428A-8438-730A31D7D81D}"/>
    <cellStyle name="Normal 2 4 3 3 3 2 4" xfId="17773" xr:uid="{0877D5DD-1702-4949-9EE6-AE664E83796E}"/>
    <cellStyle name="Normal 2 4 3 3 3 2 5" xfId="9332" xr:uid="{CB03C0FF-1174-4FAE-B3F1-E55318624B85}"/>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24549" xr:uid="{68F12778-1456-42CE-B2B4-7B90A75F64E4}"/>
    <cellStyle name="Normal 2 4 3 3 3 3 2 2 3" xfId="16108" xr:uid="{EEBE6AEA-B447-47EB-8B56-ECCA86ABDA7B}"/>
    <cellStyle name="Normal 2 4 3 3 3 3 2 3" xfId="20331" xr:uid="{F76EF707-187F-489D-9AD3-B740A6B9C04A}"/>
    <cellStyle name="Normal 2 4 3 3 3 3 2 4" xfId="11890" xr:uid="{F4EDD3B1-B0CF-43D6-9F5C-2FB66BB12F1B}"/>
    <cellStyle name="Normal 2 4 3 3 3 3 3" xfId="5521" xr:uid="{00000000-0005-0000-0000-000001100000}"/>
    <cellStyle name="Normal 2 4 3 3 3 3 3 2" xfId="22404" xr:uid="{B72ABF61-342B-42F5-B2AA-ABEE0B1CE9B1}"/>
    <cellStyle name="Normal 2 4 3 3 3 3 3 3" xfId="13963" xr:uid="{5734FC1C-F66E-4BC6-9FF8-5D83C14854B0}"/>
    <cellStyle name="Normal 2 4 3 3 3 3 4" xfId="18186" xr:uid="{E1F350DE-5179-4AA9-8729-33E477F75D89}"/>
    <cellStyle name="Normal 2 4 3 3 3 3 5" xfId="9745" xr:uid="{849E5A74-6C9E-40F0-AA49-9ED52932D5E7}"/>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24962" xr:uid="{55E7C7BF-7926-4934-8E53-A5E7CA3CF595}"/>
    <cellStyle name="Normal 2 4 3 3 3 4 2 2 3" xfId="16521" xr:uid="{1A8AB104-F266-4C9C-A160-925186B08D43}"/>
    <cellStyle name="Normal 2 4 3 3 3 4 2 3" xfId="20744" xr:uid="{711C52DE-7F08-4A11-86E6-6B953F381DCA}"/>
    <cellStyle name="Normal 2 4 3 3 3 4 2 4" xfId="12303" xr:uid="{A58AB6B3-BFAA-4E5F-983A-155A7B3CE4FF}"/>
    <cellStyle name="Normal 2 4 3 3 3 4 3" xfId="5934" xr:uid="{00000000-0005-0000-0000-000005100000}"/>
    <cellStyle name="Normal 2 4 3 3 3 4 3 2" xfId="22817" xr:uid="{E8C40A47-A39D-4D36-92A3-DA292FEFEE7F}"/>
    <cellStyle name="Normal 2 4 3 3 3 4 3 3" xfId="14376" xr:uid="{35F555D1-C258-4966-9855-7AC2BA849E18}"/>
    <cellStyle name="Normal 2 4 3 3 3 4 4" xfId="18599" xr:uid="{E02FB0F8-37D7-445A-9672-C6DFE26A762C}"/>
    <cellStyle name="Normal 2 4 3 3 3 4 5" xfId="10158" xr:uid="{7C0C1D68-829D-4644-B667-689D862B8C5D}"/>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25375" xr:uid="{7041EC49-6441-420D-AFAF-3DBC3D808624}"/>
    <cellStyle name="Normal 2 4 3 3 3 5 2 2 3" xfId="16934" xr:uid="{FB775F1D-E3C7-423A-9C21-2A2C22E3153A}"/>
    <cellStyle name="Normal 2 4 3 3 3 5 2 3" xfId="21157" xr:uid="{5191D3ED-F86C-4816-9DC4-D8D11EFC0CA9}"/>
    <cellStyle name="Normal 2 4 3 3 3 5 2 4" xfId="12716" xr:uid="{E9A8ED07-2555-4E17-B360-D2DE6942D482}"/>
    <cellStyle name="Normal 2 4 3 3 3 5 3" xfId="6347" xr:uid="{00000000-0005-0000-0000-000009100000}"/>
    <cellStyle name="Normal 2 4 3 3 3 5 3 2" xfId="23230" xr:uid="{8A5E7248-A635-44C5-A03D-C72CB29B2580}"/>
    <cellStyle name="Normal 2 4 3 3 3 5 3 3" xfId="14789" xr:uid="{F34AD55D-FFB3-4F11-89E7-1767ED6085ED}"/>
    <cellStyle name="Normal 2 4 3 3 3 5 4" xfId="19012" xr:uid="{A1FDEF70-A4FE-4E8B-B59E-4C3D658F8C33}"/>
    <cellStyle name="Normal 2 4 3 3 3 5 5" xfId="10571" xr:uid="{71BB9D65-7753-4693-AE10-6451BE6805AE}"/>
    <cellStyle name="Normal 2 4 3 3 3 6" xfId="2476" xr:uid="{00000000-0005-0000-0000-00000A100000}"/>
    <cellStyle name="Normal 2 4 3 3 3 6 2" xfId="6760" xr:uid="{00000000-0005-0000-0000-00000B100000}"/>
    <cellStyle name="Normal 2 4 3 3 3 6 2 2" xfId="23643" xr:uid="{2F4D12BF-4B8E-4448-97F5-D79659E81C6F}"/>
    <cellStyle name="Normal 2 4 3 3 3 6 2 3" xfId="15202" xr:uid="{6027F3D4-3359-40EA-AE05-AEBD1A21B06E}"/>
    <cellStyle name="Normal 2 4 3 3 3 6 3" xfId="19425" xr:uid="{5B3C0C34-4AB0-4A06-AF3F-5DE405663614}"/>
    <cellStyle name="Normal 2 4 3 3 3 6 4" xfId="10984" xr:uid="{92CA5C4D-ED90-4390-81CA-3A8FBC52BFED}"/>
    <cellStyle name="Normal 2 4 3 3 3 7" xfId="4694" xr:uid="{00000000-0005-0000-0000-00000C100000}"/>
    <cellStyle name="Normal 2 4 3 3 3 7 2" xfId="21577" xr:uid="{140331AB-0976-41BB-938B-27FBB127EAE6}"/>
    <cellStyle name="Normal 2 4 3 3 3 7 3" xfId="13136" xr:uid="{2F5C4153-B00E-48EB-AB5B-118C65067DEA}"/>
    <cellStyle name="Normal 2 4 3 3 3 8" xfId="17359" xr:uid="{D5741AE6-EF70-4AE5-8020-4FC5A6F3CC38}"/>
    <cellStyle name="Normal 2 4 3 3 3 9" xfId="8918" xr:uid="{D5411DF8-3E36-4B34-A81B-F2A3A104BF11}"/>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24133" xr:uid="{33108122-4BA4-4C2A-BD32-2434114844BC}"/>
    <cellStyle name="Normal 2 4 3 3 4 2 2 3" xfId="15692" xr:uid="{24BF93AD-6610-4362-BC3F-5D6D58BB5305}"/>
    <cellStyle name="Normal 2 4 3 3 4 2 3" xfId="19915" xr:uid="{FFEF1996-DD6C-4102-A8B5-0FFC3C8E491E}"/>
    <cellStyle name="Normal 2 4 3 3 4 2 4" xfId="11474" xr:uid="{A47B09D1-0AB1-4C96-8970-040647C95016}"/>
    <cellStyle name="Normal 2 4 3 3 4 3" xfId="5105" xr:uid="{00000000-0005-0000-0000-000010100000}"/>
    <cellStyle name="Normal 2 4 3 3 4 3 2" xfId="21988" xr:uid="{5AEBC21D-A3A6-4C65-ABDF-A4A3A42D3AC4}"/>
    <cellStyle name="Normal 2 4 3 3 4 3 3" xfId="13547" xr:uid="{B188A728-F2B3-4F61-85CB-4CEC8D9CE469}"/>
    <cellStyle name="Normal 2 4 3 3 4 4" xfId="17770" xr:uid="{1DB9A989-DEB6-4BBA-9665-8BE2AAF181D7}"/>
    <cellStyle name="Normal 2 4 3 3 4 5" xfId="9329" xr:uid="{4603248F-E729-4DCF-BB08-68272197AB5E}"/>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24546" xr:uid="{3C69E8BC-6590-4A13-8A77-09F82453D563}"/>
    <cellStyle name="Normal 2 4 3 3 5 2 2 3" xfId="16105" xr:uid="{CA439346-065E-4E0A-A96F-892F207E204A}"/>
    <cellStyle name="Normal 2 4 3 3 5 2 3" xfId="20328" xr:uid="{34DEC708-4ADA-4A5D-B765-332A889D349B}"/>
    <cellStyle name="Normal 2 4 3 3 5 2 4" xfId="11887" xr:uid="{54FAEEFF-FB6F-4AD1-BD69-13B75B110602}"/>
    <cellStyle name="Normal 2 4 3 3 5 3" xfId="5518" xr:uid="{00000000-0005-0000-0000-000014100000}"/>
    <cellStyle name="Normal 2 4 3 3 5 3 2" xfId="22401" xr:uid="{3673AFEA-3B3E-427F-AE9C-9EB04965A102}"/>
    <cellStyle name="Normal 2 4 3 3 5 3 3" xfId="13960" xr:uid="{3C5263EF-15D6-4886-BA0E-7E0A20009407}"/>
    <cellStyle name="Normal 2 4 3 3 5 4" xfId="18183" xr:uid="{13DA7DC6-AFF2-4893-858B-21DA9C6D48E8}"/>
    <cellStyle name="Normal 2 4 3 3 5 5" xfId="9742" xr:uid="{4F1B7773-71D0-4A9F-8EE7-1520A79B3488}"/>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24959" xr:uid="{13E60799-6911-4308-9371-11B089C32A3C}"/>
    <cellStyle name="Normal 2 4 3 3 6 2 2 3" xfId="16518" xr:uid="{2F90DD56-41D3-424C-8F15-51D263019479}"/>
    <cellStyle name="Normal 2 4 3 3 6 2 3" xfId="20741" xr:uid="{976BA076-E156-42DA-90D6-161B16967F7A}"/>
    <cellStyle name="Normal 2 4 3 3 6 2 4" xfId="12300" xr:uid="{23DD5EEF-D103-4A13-B2B1-537A8C50F247}"/>
    <cellStyle name="Normal 2 4 3 3 6 3" xfId="5931" xr:uid="{00000000-0005-0000-0000-000018100000}"/>
    <cellStyle name="Normal 2 4 3 3 6 3 2" xfId="22814" xr:uid="{4B839242-8F8B-4B12-9E6C-7109BD41021C}"/>
    <cellStyle name="Normal 2 4 3 3 6 3 3" xfId="14373" xr:uid="{3D674903-D95F-4E4D-9213-F1DC417418BA}"/>
    <cellStyle name="Normal 2 4 3 3 6 4" xfId="18596" xr:uid="{8F6BBFA6-F9F4-4E6C-8980-2DA543543108}"/>
    <cellStyle name="Normal 2 4 3 3 6 5" xfId="10155" xr:uid="{9C9B5637-2461-43C6-A384-C14A8BFC451D}"/>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25372" xr:uid="{1059529C-1AB8-492D-9096-50A4077628DF}"/>
    <cellStyle name="Normal 2 4 3 3 7 2 2 3" xfId="16931" xr:uid="{BC808DBF-2586-44D4-BB03-C7F4BCDE7E15}"/>
    <cellStyle name="Normal 2 4 3 3 7 2 3" xfId="21154" xr:uid="{64BE4DFF-D023-4FEC-A66D-AC981BC8C374}"/>
    <cellStyle name="Normal 2 4 3 3 7 2 4" xfId="12713" xr:uid="{C66E6A90-9F0D-4366-9495-928D723CCED7}"/>
    <cellStyle name="Normal 2 4 3 3 7 3" xfId="6344" xr:uid="{00000000-0005-0000-0000-00001C100000}"/>
    <cellStyle name="Normal 2 4 3 3 7 3 2" xfId="23227" xr:uid="{7B5D6D0F-51E0-4DD7-A3A9-EE4EC1DE9BCF}"/>
    <cellStyle name="Normal 2 4 3 3 7 3 3" xfId="14786" xr:uid="{32D0F97B-572D-4919-B315-1389C06F99ED}"/>
    <cellStyle name="Normal 2 4 3 3 7 4" xfId="19009" xr:uid="{9D81A46B-6FB2-463D-9067-76407B632C9A}"/>
    <cellStyle name="Normal 2 4 3 3 7 5" xfId="10568" xr:uid="{06DD23A7-BEDC-4BFA-91DD-5A10AC6635BC}"/>
    <cellStyle name="Normal 2 4 3 3 8" xfId="2473" xr:uid="{00000000-0005-0000-0000-00001D100000}"/>
    <cellStyle name="Normal 2 4 3 3 8 2" xfId="6757" xr:uid="{00000000-0005-0000-0000-00001E100000}"/>
    <cellStyle name="Normal 2 4 3 3 8 2 2" xfId="23640" xr:uid="{7445A9FB-C777-41AC-A9FA-6BAAAEE3BE0D}"/>
    <cellStyle name="Normal 2 4 3 3 8 2 3" xfId="15199" xr:uid="{7B286C54-4819-4FD0-A907-8C3AA799E0CD}"/>
    <cellStyle name="Normal 2 4 3 3 8 3" xfId="19422" xr:uid="{85928011-E481-4C97-9996-7BB7764EBC83}"/>
    <cellStyle name="Normal 2 4 3 3 8 4" xfId="10981" xr:uid="{1C0649F5-D960-413A-8B9A-4155818F2990}"/>
    <cellStyle name="Normal 2 4 3 3 9" xfId="4691" xr:uid="{00000000-0005-0000-0000-00001F100000}"/>
    <cellStyle name="Normal 2 4 3 3 9 2" xfId="21574" xr:uid="{919F3B46-8941-495E-AD01-E7A46E3D6235}"/>
    <cellStyle name="Normal 2 4 3 3 9 3" xfId="13133" xr:uid="{47F18AF5-BD0F-415C-AE5E-6BFAB8FC163C}"/>
    <cellStyle name="Normal 2 4 3 4" xfId="787" xr:uid="{00000000-0005-0000-0000-000020100000}"/>
    <cellStyle name="Normal 2 4 3 4 2" xfId="3026" xr:uid="{00000000-0005-0000-0000-000021100000}"/>
    <cellStyle name="Normal 2 4 3 4 2 2" xfId="7249" xr:uid="{00000000-0005-0000-0000-000022100000}"/>
    <cellStyle name="Normal 2 4 3 4 2 2 2" xfId="24132" xr:uid="{A6210AE2-5D21-4FB8-9EB1-6CD5072E85FC}"/>
    <cellStyle name="Normal 2 4 3 4 2 2 3" xfId="15691" xr:uid="{17D9ADB7-88A3-4A66-ABA2-4B85A728E0ED}"/>
    <cellStyle name="Normal 2 4 3 4 2 3" xfId="19914" xr:uid="{0CD28CCD-A20F-4A37-AD63-ADB945A87D10}"/>
    <cellStyle name="Normal 2 4 3 4 2 4" xfId="11473" xr:uid="{7B6E764B-A7A3-45AC-859A-EBBC35C8588A}"/>
    <cellStyle name="Normal 2 4 3 4 3" xfId="5104" xr:uid="{00000000-0005-0000-0000-000023100000}"/>
    <cellStyle name="Normal 2 4 3 4 3 2" xfId="21987" xr:uid="{D72179C7-0E41-49F7-8B13-CF9A61604D7D}"/>
    <cellStyle name="Normal 2 4 3 4 3 3" xfId="13546" xr:uid="{66D218B5-613B-4869-9A8F-2066D03B0B0B}"/>
    <cellStyle name="Normal 2 4 3 4 4" xfId="17769" xr:uid="{05EDA245-75A4-498A-9A9C-84B6B2A0CF88}"/>
    <cellStyle name="Normal 2 4 3 4 5" xfId="9328" xr:uid="{BD5B2509-833A-4023-926F-5E52C0F4FF41}"/>
    <cellStyle name="Normal 2 4 3 5" xfId="1209" xr:uid="{00000000-0005-0000-0000-000024100000}"/>
    <cellStyle name="Normal 2 4 3 5 2" xfId="3439" xr:uid="{00000000-0005-0000-0000-000025100000}"/>
    <cellStyle name="Normal 2 4 3 5 2 2" xfId="7662" xr:uid="{00000000-0005-0000-0000-000026100000}"/>
    <cellStyle name="Normal 2 4 3 5 2 2 2" xfId="24545" xr:uid="{F7DF38F9-BF2C-454D-926E-FD6BED447CB1}"/>
    <cellStyle name="Normal 2 4 3 5 2 2 3" xfId="16104" xr:uid="{C2B0036A-FD25-4325-83FE-9FF10CC01530}"/>
    <cellStyle name="Normal 2 4 3 5 2 3" xfId="20327" xr:uid="{3994B5B2-6F7F-47E4-AF1B-CC2A8633F0C8}"/>
    <cellStyle name="Normal 2 4 3 5 2 4" xfId="11886" xr:uid="{3036FC39-B976-4ECA-8CD7-52ABDA6FA2D8}"/>
    <cellStyle name="Normal 2 4 3 5 3" xfId="5517" xr:uid="{00000000-0005-0000-0000-000027100000}"/>
    <cellStyle name="Normal 2 4 3 5 3 2" xfId="22400" xr:uid="{1C8C9D16-2995-4AEE-AA9F-DAFAEACA8CAC}"/>
    <cellStyle name="Normal 2 4 3 5 3 3" xfId="13959" xr:uid="{9DBF5ECF-7B42-4E2E-A01B-2E5EA489ADC2}"/>
    <cellStyle name="Normal 2 4 3 5 4" xfId="18182" xr:uid="{D7E894F4-2A43-4A67-BE4C-5B2032ABEB8C}"/>
    <cellStyle name="Normal 2 4 3 5 5" xfId="9741" xr:uid="{A0800137-1813-46F4-9A3B-96781DFBE317}"/>
    <cellStyle name="Normal 2 4 3 6" xfId="1622" xr:uid="{00000000-0005-0000-0000-000028100000}"/>
    <cellStyle name="Normal 2 4 3 6 2" xfId="3852" xr:uid="{00000000-0005-0000-0000-000029100000}"/>
    <cellStyle name="Normal 2 4 3 6 2 2" xfId="8075" xr:uid="{00000000-0005-0000-0000-00002A100000}"/>
    <cellStyle name="Normal 2 4 3 6 2 2 2" xfId="24958" xr:uid="{A014F654-442E-4DFC-B4E7-4BB5EF9B3B5B}"/>
    <cellStyle name="Normal 2 4 3 6 2 2 3" xfId="16517" xr:uid="{08A2CFBD-0EBF-4199-9B47-895E9B744A2A}"/>
    <cellStyle name="Normal 2 4 3 6 2 3" xfId="20740" xr:uid="{48C64002-8142-4118-9649-DD83592C4927}"/>
    <cellStyle name="Normal 2 4 3 6 2 4" xfId="12299" xr:uid="{BDA9CE54-5146-48E4-AB33-5D0CD190B28B}"/>
    <cellStyle name="Normal 2 4 3 6 3" xfId="5930" xr:uid="{00000000-0005-0000-0000-00002B100000}"/>
    <cellStyle name="Normal 2 4 3 6 3 2" xfId="22813" xr:uid="{5A5E6439-46F1-4EB9-8004-7A2CF7A502BB}"/>
    <cellStyle name="Normal 2 4 3 6 3 3" xfId="14372" xr:uid="{368C1791-F5E3-4AB3-A014-5EFB119B103E}"/>
    <cellStyle name="Normal 2 4 3 6 4" xfId="18595" xr:uid="{190E4ED0-E6E6-4B57-918F-00B61BC33670}"/>
    <cellStyle name="Normal 2 4 3 6 5" xfId="10154" xr:uid="{628B5947-7652-4B0E-94C9-88B5E3CEEC81}"/>
    <cellStyle name="Normal 2 4 3 7" xfId="2036" xr:uid="{00000000-0005-0000-0000-00002C100000}"/>
    <cellStyle name="Normal 2 4 3 7 2" xfId="4265" xr:uid="{00000000-0005-0000-0000-00002D100000}"/>
    <cellStyle name="Normal 2 4 3 7 2 2" xfId="8488" xr:uid="{00000000-0005-0000-0000-00002E100000}"/>
    <cellStyle name="Normal 2 4 3 7 2 2 2" xfId="25371" xr:uid="{C5426F68-18B3-42EC-896B-2930E1016360}"/>
    <cellStyle name="Normal 2 4 3 7 2 2 3" xfId="16930" xr:uid="{72262C07-844F-414F-AA0C-8AAAAE6F450B}"/>
    <cellStyle name="Normal 2 4 3 7 2 3" xfId="21153" xr:uid="{F4364A35-2A7E-4D3A-92B8-0BF0F362E2BE}"/>
    <cellStyle name="Normal 2 4 3 7 2 4" xfId="12712" xr:uid="{81DFAEAE-453F-4978-842A-787130900738}"/>
    <cellStyle name="Normal 2 4 3 7 3" xfId="6343" xr:uid="{00000000-0005-0000-0000-00002F100000}"/>
    <cellStyle name="Normal 2 4 3 7 3 2" xfId="23226" xr:uid="{9FD69AC8-3EC8-40D0-88A9-3BCF9C2E12DC}"/>
    <cellStyle name="Normal 2 4 3 7 3 3" xfId="14785" xr:uid="{D8B223E5-86C1-4E8C-8516-F7A1C6C32E2C}"/>
    <cellStyle name="Normal 2 4 3 7 4" xfId="19008" xr:uid="{E593A255-857F-4077-8CE1-CC09C9746436}"/>
    <cellStyle name="Normal 2 4 3 7 5" xfId="10567" xr:uid="{1CC6E9BB-4F56-4E76-B009-78E7A9154DE1}"/>
    <cellStyle name="Normal 2 4 3 8" xfId="2472" xr:uid="{00000000-0005-0000-0000-000030100000}"/>
    <cellStyle name="Normal 2 4 3 8 2" xfId="6756" xr:uid="{00000000-0005-0000-0000-000031100000}"/>
    <cellStyle name="Normal 2 4 3 8 2 2" xfId="23639" xr:uid="{8B78CA40-EE45-4806-9452-C8C5AC427693}"/>
    <cellStyle name="Normal 2 4 3 8 2 3" xfId="15198" xr:uid="{631AC185-97BC-4FF5-8B05-DFA9B6F376D0}"/>
    <cellStyle name="Normal 2 4 3 8 3" xfId="19421" xr:uid="{0E1238F1-A943-491E-9E2A-2C17869EFE6D}"/>
    <cellStyle name="Normal 2 4 3 8 4" xfId="10980" xr:uid="{DEF24E08-38A3-4031-9ECA-E8505C2B1395}"/>
    <cellStyle name="Normal 2 4 3 9" xfId="4690" xr:uid="{00000000-0005-0000-0000-000032100000}"/>
    <cellStyle name="Normal 2 4 3 9 2" xfId="21573" xr:uid="{81810B49-FC76-468A-8FC8-727AA04BDE13}"/>
    <cellStyle name="Normal 2 4 3 9 3" xfId="13132" xr:uid="{F3618E00-474C-45CD-BD1F-566E68357CCD}"/>
    <cellStyle name="Normal 2 4 4" xfId="302" xr:uid="{00000000-0005-0000-0000-000033100000}"/>
    <cellStyle name="Normal 2 4 5" xfId="303" xr:uid="{00000000-0005-0000-0000-000034100000}"/>
    <cellStyle name="Normal 2 4 5 10" xfId="4695" xr:uid="{00000000-0005-0000-0000-000035100000}"/>
    <cellStyle name="Normal 2 4 5 10 2" xfId="21578" xr:uid="{252EF5C9-7F6A-45D7-B7E5-EC63CFD0F2E1}"/>
    <cellStyle name="Normal 2 4 5 10 3" xfId="13137" xr:uid="{F1F4683A-9A90-4AEB-880B-D0D86E834000}"/>
    <cellStyle name="Normal 2 4 5 11" xfId="17360" xr:uid="{774753D4-A2A8-4726-B4EB-B29057206222}"/>
    <cellStyle name="Normal 2 4 5 12" xfId="8919" xr:uid="{C785DAAA-6DE4-4000-9891-E052F10A3FF9}"/>
    <cellStyle name="Normal 2 4 5 2" xfId="304" xr:uid="{00000000-0005-0000-0000-000036100000}"/>
    <cellStyle name="Normal 2 4 5 2 10" xfId="17361" xr:uid="{D1B5055F-E581-4E84-A549-786F1ACFB392}"/>
    <cellStyle name="Normal 2 4 5 2 11" xfId="8920" xr:uid="{A3E0DE16-60E7-4632-B133-B4ED8A18E5AB}"/>
    <cellStyle name="Normal 2 4 5 2 2" xfId="305" xr:uid="{00000000-0005-0000-0000-000037100000}"/>
    <cellStyle name="Normal 2 4 5 2 2 10" xfId="8921" xr:uid="{9E210105-C114-461F-934A-C2B9FF5EA3F5}"/>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24140" xr:uid="{ADC55D60-72A6-46EE-A000-04C2E7FDA527}"/>
    <cellStyle name="Normal 2 4 5 2 2 2 2 2 2 3" xfId="15699" xr:uid="{0752986C-03B8-4A7F-9ACC-0CC6346AA654}"/>
    <cellStyle name="Normal 2 4 5 2 2 2 2 2 3" xfId="19922" xr:uid="{1AA4ADE4-DAD2-456F-B671-E86F4741AEC0}"/>
    <cellStyle name="Normal 2 4 5 2 2 2 2 2 4" xfId="11481" xr:uid="{8E7DE793-E492-4978-9283-FF8CE6E2E008}"/>
    <cellStyle name="Normal 2 4 5 2 2 2 2 3" xfId="5112" xr:uid="{00000000-0005-0000-0000-00003C100000}"/>
    <cellStyle name="Normal 2 4 5 2 2 2 2 3 2" xfId="21995" xr:uid="{C4F4F04E-D268-4844-A0AF-31826AF7A75D}"/>
    <cellStyle name="Normal 2 4 5 2 2 2 2 3 3" xfId="13554" xr:uid="{3C2FA86C-387A-4F95-96FE-2383971620D0}"/>
    <cellStyle name="Normal 2 4 5 2 2 2 2 4" xfId="17777" xr:uid="{41F2F848-157B-4565-9771-94A5925391F8}"/>
    <cellStyle name="Normal 2 4 5 2 2 2 2 5" xfId="9336" xr:uid="{D135D82B-633D-4345-88EB-DA79CFDF17AA}"/>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24553" xr:uid="{8CBF8BCF-F9A4-47BD-8642-70E67AAFA68F}"/>
    <cellStyle name="Normal 2 4 5 2 2 2 3 2 2 3" xfId="16112" xr:uid="{73BF2568-F4CE-457B-93D0-35531E41BA14}"/>
    <cellStyle name="Normal 2 4 5 2 2 2 3 2 3" xfId="20335" xr:uid="{98E95544-6957-45F4-9A51-8727F63287E9}"/>
    <cellStyle name="Normal 2 4 5 2 2 2 3 2 4" xfId="11894" xr:uid="{BE76C8FD-3551-4FFE-BF05-6718D05EEB28}"/>
    <cellStyle name="Normal 2 4 5 2 2 2 3 3" xfId="5525" xr:uid="{00000000-0005-0000-0000-000040100000}"/>
    <cellStyle name="Normal 2 4 5 2 2 2 3 3 2" xfId="22408" xr:uid="{6CF5EC11-B8E9-4317-9BCA-D47C6D351E32}"/>
    <cellStyle name="Normal 2 4 5 2 2 2 3 3 3" xfId="13967" xr:uid="{C8422EF1-04E2-42A7-9D1F-4102C3F54AE4}"/>
    <cellStyle name="Normal 2 4 5 2 2 2 3 4" xfId="18190" xr:uid="{62AC1B0E-0E80-498C-94CB-1D6062CF73AF}"/>
    <cellStyle name="Normal 2 4 5 2 2 2 3 5" xfId="9749" xr:uid="{ED53B70E-87EE-435B-A040-BFD85803B2D2}"/>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24966" xr:uid="{8BB4696C-D52F-4248-B370-DC815799A9BF}"/>
    <cellStyle name="Normal 2 4 5 2 2 2 4 2 2 3" xfId="16525" xr:uid="{F0F57D03-D4FF-46CA-A771-CAC9CBFC0350}"/>
    <cellStyle name="Normal 2 4 5 2 2 2 4 2 3" xfId="20748" xr:uid="{63FCA29D-8254-48CF-AA48-36DE61904F44}"/>
    <cellStyle name="Normal 2 4 5 2 2 2 4 2 4" xfId="12307" xr:uid="{07ADE6B1-B9DE-43A5-B6BA-0BAD2A2BEB3B}"/>
    <cellStyle name="Normal 2 4 5 2 2 2 4 3" xfId="5938" xr:uid="{00000000-0005-0000-0000-000044100000}"/>
    <cellStyle name="Normal 2 4 5 2 2 2 4 3 2" xfId="22821" xr:uid="{03D70611-6E28-42F7-BD99-5ABDB48422BD}"/>
    <cellStyle name="Normal 2 4 5 2 2 2 4 3 3" xfId="14380" xr:uid="{517B7E11-3907-472F-9597-D35E0D473D8A}"/>
    <cellStyle name="Normal 2 4 5 2 2 2 4 4" xfId="18603" xr:uid="{515C4F8C-02E6-435A-B494-078402714F5D}"/>
    <cellStyle name="Normal 2 4 5 2 2 2 4 5" xfId="10162" xr:uid="{378AF8B6-1C55-4BAA-ABF1-EBEECCA7BC62}"/>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25379" xr:uid="{26417929-340E-46DC-9B91-336F18734305}"/>
    <cellStyle name="Normal 2 4 5 2 2 2 5 2 2 3" xfId="16938" xr:uid="{EA2319C9-801B-43C3-B9BD-E420140CB97C}"/>
    <cellStyle name="Normal 2 4 5 2 2 2 5 2 3" xfId="21161" xr:uid="{FECDE746-380B-4A6E-92C0-247D228324B0}"/>
    <cellStyle name="Normal 2 4 5 2 2 2 5 2 4" xfId="12720" xr:uid="{17382903-CD89-4E55-8AA3-5B529FBB560E}"/>
    <cellStyle name="Normal 2 4 5 2 2 2 5 3" xfId="6351" xr:uid="{00000000-0005-0000-0000-000048100000}"/>
    <cellStyle name="Normal 2 4 5 2 2 2 5 3 2" xfId="23234" xr:uid="{B25A0810-58DD-43FD-A068-614CFAEF08FD}"/>
    <cellStyle name="Normal 2 4 5 2 2 2 5 3 3" xfId="14793" xr:uid="{6DB9B12D-FF46-4982-87C3-F7A5B2E2888A}"/>
    <cellStyle name="Normal 2 4 5 2 2 2 5 4" xfId="19016" xr:uid="{AAB0229A-EAAC-44A6-9C46-73EAA6B1C103}"/>
    <cellStyle name="Normal 2 4 5 2 2 2 5 5" xfId="10575" xr:uid="{7178D6D1-FEDA-4341-8F5E-93E8BCAFCEC9}"/>
    <cellStyle name="Normal 2 4 5 2 2 2 6" xfId="2480" xr:uid="{00000000-0005-0000-0000-000049100000}"/>
    <cellStyle name="Normal 2 4 5 2 2 2 6 2" xfId="6764" xr:uid="{00000000-0005-0000-0000-00004A100000}"/>
    <cellStyle name="Normal 2 4 5 2 2 2 6 2 2" xfId="23647" xr:uid="{C961918B-5989-46CF-A7FC-985777735236}"/>
    <cellStyle name="Normal 2 4 5 2 2 2 6 2 3" xfId="15206" xr:uid="{936A85A4-D536-46F4-BB46-1392C4D35DCA}"/>
    <cellStyle name="Normal 2 4 5 2 2 2 6 3" xfId="19429" xr:uid="{42DCFEBB-603B-4832-B2A2-F89A40D9E240}"/>
    <cellStyle name="Normal 2 4 5 2 2 2 6 4" xfId="10988" xr:uid="{688CA7FE-7768-4A1F-913F-4EED037F1546}"/>
    <cellStyle name="Normal 2 4 5 2 2 2 7" xfId="4698" xr:uid="{00000000-0005-0000-0000-00004B100000}"/>
    <cellStyle name="Normal 2 4 5 2 2 2 7 2" xfId="21581" xr:uid="{1AE695EC-D617-46F8-80CE-A52C294B1B0B}"/>
    <cellStyle name="Normal 2 4 5 2 2 2 7 3" xfId="13140" xr:uid="{C2407078-1AF3-4303-A323-57941A338D7B}"/>
    <cellStyle name="Normal 2 4 5 2 2 2 8" xfId="17363" xr:uid="{193045F4-8A6F-469A-ADE6-8BE679947B75}"/>
    <cellStyle name="Normal 2 4 5 2 2 2 9" xfId="8922" xr:uid="{2E1C08AC-4A69-41C5-8C20-9FB1662CE4D3}"/>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24139" xr:uid="{B31EB3CD-230E-47C2-A450-9266FBAF50B1}"/>
    <cellStyle name="Normal 2 4 5 2 2 3 2 2 3" xfId="15698" xr:uid="{F06E119A-7A86-44E8-8074-FE0A8C39F9BA}"/>
    <cellStyle name="Normal 2 4 5 2 2 3 2 3" xfId="19921" xr:uid="{55048241-A47A-44B4-9404-123FF5625DDF}"/>
    <cellStyle name="Normal 2 4 5 2 2 3 2 4" xfId="11480" xr:uid="{200D359E-8210-48FD-82F4-C7D19B29AFB5}"/>
    <cellStyle name="Normal 2 4 5 2 2 3 3" xfId="5111" xr:uid="{00000000-0005-0000-0000-00004F100000}"/>
    <cellStyle name="Normal 2 4 5 2 2 3 3 2" xfId="21994" xr:uid="{D697DD41-950B-4E24-8E78-08152C066DD6}"/>
    <cellStyle name="Normal 2 4 5 2 2 3 3 3" xfId="13553" xr:uid="{6E07C863-CDDA-4705-9DC8-C5715158B1BF}"/>
    <cellStyle name="Normal 2 4 5 2 2 3 4" xfId="17776" xr:uid="{9A23BFA8-CE9F-40CE-8D24-C2B21B79091C}"/>
    <cellStyle name="Normal 2 4 5 2 2 3 5" xfId="9335" xr:uid="{C010DA7B-42B7-4FC8-9D13-49014E8C6199}"/>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24552" xr:uid="{C078A592-D704-4634-B4B3-CD4BAEA0252E}"/>
    <cellStyle name="Normal 2 4 5 2 2 4 2 2 3" xfId="16111" xr:uid="{177EF5F2-0263-450C-B654-49D33159CBD4}"/>
    <cellStyle name="Normal 2 4 5 2 2 4 2 3" xfId="20334" xr:uid="{EA5904CC-7FCB-4E58-8925-7C77B82F8DC1}"/>
    <cellStyle name="Normal 2 4 5 2 2 4 2 4" xfId="11893" xr:uid="{6EA5F4CE-0FBC-4BAE-B198-A9E602E1B3AF}"/>
    <cellStyle name="Normal 2 4 5 2 2 4 3" xfId="5524" xr:uid="{00000000-0005-0000-0000-000053100000}"/>
    <cellStyle name="Normal 2 4 5 2 2 4 3 2" xfId="22407" xr:uid="{039D825D-26CF-4893-8932-C2959A4C90A6}"/>
    <cellStyle name="Normal 2 4 5 2 2 4 3 3" xfId="13966" xr:uid="{5DC62E0A-2E42-4508-A4CE-F5002C62FE9F}"/>
    <cellStyle name="Normal 2 4 5 2 2 4 4" xfId="18189" xr:uid="{7B2ED080-CDB7-4B1B-80B7-448CA6D00985}"/>
    <cellStyle name="Normal 2 4 5 2 2 4 5" xfId="9748" xr:uid="{8EDD46A3-8BC6-4231-BFCB-A7D8952ADA87}"/>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24965" xr:uid="{2F12D6DB-C9D9-4F85-9B24-90849E45FFB2}"/>
    <cellStyle name="Normal 2 4 5 2 2 5 2 2 3" xfId="16524" xr:uid="{00836335-7650-4EE3-9B70-C70C0F62D557}"/>
    <cellStyle name="Normal 2 4 5 2 2 5 2 3" xfId="20747" xr:uid="{C7B80BF6-DAF4-49C6-9186-811F5B000ED5}"/>
    <cellStyle name="Normal 2 4 5 2 2 5 2 4" xfId="12306" xr:uid="{A3D5FBA5-194A-4593-8006-78E0EF549B3E}"/>
    <cellStyle name="Normal 2 4 5 2 2 5 3" xfId="5937" xr:uid="{00000000-0005-0000-0000-000057100000}"/>
    <cellStyle name="Normal 2 4 5 2 2 5 3 2" xfId="22820" xr:uid="{056BB7D6-B0E9-4F29-B2DC-0F4FD02B2496}"/>
    <cellStyle name="Normal 2 4 5 2 2 5 3 3" xfId="14379" xr:uid="{EB0879EC-BD60-41FF-BF27-0EA67D30DD44}"/>
    <cellStyle name="Normal 2 4 5 2 2 5 4" xfId="18602" xr:uid="{5DDDB83A-426F-4CA6-9CA6-4DEFE0211422}"/>
    <cellStyle name="Normal 2 4 5 2 2 5 5" xfId="10161" xr:uid="{9A7CA659-C20B-445F-8C4E-C65F378C3F3E}"/>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25378" xr:uid="{1FCF39DC-3CC4-456E-9C7D-77257FFF7618}"/>
    <cellStyle name="Normal 2 4 5 2 2 6 2 2 3" xfId="16937" xr:uid="{05ADC4C3-FA4E-44C3-8FF0-87E7573731A2}"/>
    <cellStyle name="Normal 2 4 5 2 2 6 2 3" xfId="21160" xr:uid="{ACA61F1E-B5B1-41B1-BF60-2131D5E2FB3E}"/>
    <cellStyle name="Normal 2 4 5 2 2 6 2 4" xfId="12719" xr:uid="{CC655AAA-9C97-4AA6-9B20-C7237012233B}"/>
    <cellStyle name="Normal 2 4 5 2 2 6 3" xfId="6350" xr:uid="{00000000-0005-0000-0000-00005B100000}"/>
    <cellStyle name="Normal 2 4 5 2 2 6 3 2" xfId="23233" xr:uid="{FA7AF1D4-7A56-4049-B723-ABAFAA2111B6}"/>
    <cellStyle name="Normal 2 4 5 2 2 6 3 3" xfId="14792" xr:uid="{D0C7C7FE-ACD5-4887-AA6C-9EEC266FD609}"/>
    <cellStyle name="Normal 2 4 5 2 2 6 4" xfId="19015" xr:uid="{76D474AE-EB41-4124-998C-10E23467583D}"/>
    <cellStyle name="Normal 2 4 5 2 2 6 5" xfId="10574" xr:uid="{08704C96-8080-4264-B0A2-86595FCFC91B}"/>
    <cellStyle name="Normal 2 4 5 2 2 7" xfId="2479" xr:uid="{00000000-0005-0000-0000-00005C100000}"/>
    <cellStyle name="Normal 2 4 5 2 2 7 2" xfId="6763" xr:uid="{00000000-0005-0000-0000-00005D100000}"/>
    <cellStyle name="Normal 2 4 5 2 2 7 2 2" xfId="23646" xr:uid="{00AEA28B-87DE-4695-9925-4C36088D1EBD}"/>
    <cellStyle name="Normal 2 4 5 2 2 7 2 3" xfId="15205" xr:uid="{E8C9B59A-C9CF-48C7-B1EA-3D92A14C5869}"/>
    <cellStyle name="Normal 2 4 5 2 2 7 3" xfId="19428" xr:uid="{1DAAD4EF-B03C-4C8C-B5DB-1813B16C99D0}"/>
    <cellStyle name="Normal 2 4 5 2 2 7 4" xfId="10987" xr:uid="{5D228E37-32A8-4EA4-9295-D6889055FC25}"/>
    <cellStyle name="Normal 2 4 5 2 2 8" xfId="4697" xr:uid="{00000000-0005-0000-0000-00005E100000}"/>
    <cellStyle name="Normal 2 4 5 2 2 8 2" xfId="21580" xr:uid="{553BE23E-E3AB-45EA-B817-11FD089CDBF3}"/>
    <cellStyle name="Normal 2 4 5 2 2 8 3" xfId="13139" xr:uid="{732EC949-173E-433A-854B-006D24954DAA}"/>
    <cellStyle name="Normal 2 4 5 2 2 9" xfId="17362" xr:uid="{4BF03311-3387-45A7-8F11-244E47FB55B2}"/>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24141" xr:uid="{E0338543-63DF-49C2-A179-CD216C29D635}"/>
    <cellStyle name="Normal 2 4 5 2 3 2 2 2 3" xfId="15700" xr:uid="{9748B5E2-B99D-4E21-A4B8-983CA18E7B27}"/>
    <cellStyle name="Normal 2 4 5 2 3 2 2 3" xfId="19923" xr:uid="{3F7E9F35-7C86-4517-B6B9-AC5FF687A69A}"/>
    <cellStyle name="Normal 2 4 5 2 3 2 2 4" xfId="11482" xr:uid="{7D2FA5BE-CF37-4438-BA22-297DE5093581}"/>
    <cellStyle name="Normal 2 4 5 2 3 2 3" xfId="5113" xr:uid="{00000000-0005-0000-0000-000063100000}"/>
    <cellStyle name="Normal 2 4 5 2 3 2 3 2" xfId="21996" xr:uid="{5C4DCB56-3AF7-433F-9E7F-839AF406678F}"/>
    <cellStyle name="Normal 2 4 5 2 3 2 3 3" xfId="13555" xr:uid="{85041DD6-2893-473E-B7C2-7A63FE957E0B}"/>
    <cellStyle name="Normal 2 4 5 2 3 2 4" xfId="17778" xr:uid="{49B18423-9411-4CF9-8014-939194B911D2}"/>
    <cellStyle name="Normal 2 4 5 2 3 2 5" xfId="9337" xr:uid="{544267CB-FE54-4BF8-ABC4-4E8117808847}"/>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24554" xr:uid="{93113E3E-1282-4B16-8C04-F06821AA7A6F}"/>
    <cellStyle name="Normal 2 4 5 2 3 3 2 2 3" xfId="16113" xr:uid="{D03AAFB1-2DBA-4437-8E80-7F03CA4CA832}"/>
    <cellStyle name="Normal 2 4 5 2 3 3 2 3" xfId="20336" xr:uid="{6D4CCE33-4724-4AFF-B82A-691D780027DD}"/>
    <cellStyle name="Normal 2 4 5 2 3 3 2 4" xfId="11895" xr:uid="{597E7878-418A-410B-B25B-E1D0FC73AFD5}"/>
    <cellStyle name="Normal 2 4 5 2 3 3 3" xfId="5526" xr:uid="{00000000-0005-0000-0000-000067100000}"/>
    <cellStyle name="Normal 2 4 5 2 3 3 3 2" xfId="22409" xr:uid="{C27C4218-7584-42F6-97D6-200EFA5CC8FB}"/>
    <cellStyle name="Normal 2 4 5 2 3 3 3 3" xfId="13968" xr:uid="{9DCA75DB-1ACE-49BF-96D2-9C41B0319CEE}"/>
    <cellStyle name="Normal 2 4 5 2 3 3 4" xfId="18191" xr:uid="{AC2D9F90-B0DC-4DF8-AAE7-BFB2F83D50C4}"/>
    <cellStyle name="Normal 2 4 5 2 3 3 5" xfId="9750" xr:uid="{395F6B37-0998-4F0B-9047-078D260F97B5}"/>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24967" xr:uid="{AAA12965-2404-4915-9FAF-EF3A98B3D88C}"/>
    <cellStyle name="Normal 2 4 5 2 3 4 2 2 3" xfId="16526" xr:uid="{034F862D-0C73-4CDA-963A-C3B709CF1DA5}"/>
    <cellStyle name="Normal 2 4 5 2 3 4 2 3" xfId="20749" xr:uid="{FE3C66AF-357F-49EF-953B-5177FB8AF067}"/>
    <cellStyle name="Normal 2 4 5 2 3 4 2 4" xfId="12308" xr:uid="{8C7E2F2C-7EE7-46DF-8D21-1899EC53B290}"/>
    <cellStyle name="Normal 2 4 5 2 3 4 3" xfId="5939" xr:uid="{00000000-0005-0000-0000-00006B100000}"/>
    <cellStyle name="Normal 2 4 5 2 3 4 3 2" xfId="22822" xr:uid="{3D4D62A1-CF45-40B5-9575-B664170343CE}"/>
    <cellStyle name="Normal 2 4 5 2 3 4 3 3" xfId="14381" xr:uid="{C8A79379-F20A-4DE9-8B28-B69C580CC0E7}"/>
    <cellStyle name="Normal 2 4 5 2 3 4 4" xfId="18604" xr:uid="{47844C40-6305-45E7-8F58-491E7F650405}"/>
    <cellStyle name="Normal 2 4 5 2 3 4 5" xfId="10163" xr:uid="{60C1A458-8D8D-497E-85A1-3BFE579A1ED5}"/>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25380" xr:uid="{2EEBA39C-3132-4DEE-8DD6-81C94390A854}"/>
    <cellStyle name="Normal 2 4 5 2 3 5 2 2 3" xfId="16939" xr:uid="{AD98B580-F51E-485C-80F9-C803C66CAA99}"/>
    <cellStyle name="Normal 2 4 5 2 3 5 2 3" xfId="21162" xr:uid="{84F88420-ED8A-4FDF-918B-42D3E32D8B2F}"/>
    <cellStyle name="Normal 2 4 5 2 3 5 2 4" xfId="12721" xr:uid="{5A50C612-B4DD-40BE-A4A8-73248DC6BE53}"/>
    <cellStyle name="Normal 2 4 5 2 3 5 3" xfId="6352" xr:uid="{00000000-0005-0000-0000-00006F100000}"/>
    <cellStyle name="Normal 2 4 5 2 3 5 3 2" xfId="23235" xr:uid="{4401259F-9A69-46D7-9949-DA4E91367320}"/>
    <cellStyle name="Normal 2 4 5 2 3 5 3 3" xfId="14794" xr:uid="{656B076F-5E8D-418E-9503-37D6F6CF15E7}"/>
    <cellStyle name="Normal 2 4 5 2 3 5 4" xfId="19017" xr:uid="{63D8275E-808B-4EB3-8AFE-F91F860F2BF1}"/>
    <cellStyle name="Normal 2 4 5 2 3 5 5" xfId="10576" xr:uid="{B40441D7-227B-4BC5-96ED-207D2FE83D78}"/>
    <cellStyle name="Normal 2 4 5 2 3 6" xfId="2481" xr:uid="{00000000-0005-0000-0000-000070100000}"/>
    <cellStyle name="Normal 2 4 5 2 3 6 2" xfId="6765" xr:uid="{00000000-0005-0000-0000-000071100000}"/>
    <cellStyle name="Normal 2 4 5 2 3 6 2 2" xfId="23648" xr:uid="{2A046542-2C11-4882-A63A-99B085133EBD}"/>
    <cellStyle name="Normal 2 4 5 2 3 6 2 3" xfId="15207" xr:uid="{8952E591-F2BD-4449-B6DD-6C952CF039D3}"/>
    <cellStyle name="Normal 2 4 5 2 3 6 3" xfId="19430" xr:uid="{C5CE9D8A-0F16-4515-9E97-202F219CD72C}"/>
    <cellStyle name="Normal 2 4 5 2 3 6 4" xfId="10989" xr:uid="{A00B1F1E-4249-40A7-9773-C477357B2669}"/>
    <cellStyle name="Normal 2 4 5 2 3 7" xfId="4699" xr:uid="{00000000-0005-0000-0000-000072100000}"/>
    <cellStyle name="Normal 2 4 5 2 3 7 2" xfId="21582" xr:uid="{B30760A7-34D8-46E3-AF41-ACAA4A3EC92A}"/>
    <cellStyle name="Normal 2 4 5 2 3 7 3" xfId="13141" xr:uid="{9DC36576-9CCE-4768-98A6-A14CDEB29088}"/>
    <cellStyle name="Normal 2 4 5 2 3 8" xfId="17364" xr:uid="{ED3D9C59-AC74-47D0-B6B7-892AF4363C55}"/>
    <cellStyle name="Normal 2 4 5 2 3 9" xfId="8923" xr:uid="{9D9C7146-6C08-4A95-B8AB-C36AD9C31FF7}"/>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24138" xr:uid="{A48FD015-AAC5-4DDB-9ECD-23B243847BE8}"/>
    <cellStyle name="Normal 2 4 5 2 4 2 2 3" xfId="15697" xr:uid="{1C2A0B8F-21B8-46DC-9113-B7A6DD832A47}"/>
    <cellStyle name="Normal 2 4 5 2 4 2 3" xfId="19920" xr:uid="{C9ADDD60-DC36-4768-AF76-41A0F83A3690}"/>
    <cellStyle name="Normal 2 4 5 2 4 2 4" xfId="11479" xr:uid="{AC5F069D-AB23-4583-A202-0385C93D4FD0}"/>
    <cellStyle name="Normal 2 4 5 2 4 3" xfId="5110" xr:uid="{00000000-0005-0000-0000-000076100000}"/>
    <cellStyle name="Normal 2 4 5 2 4 3 2" xfId="21993" xr:uid="{3E3F8AE4-3887-4CFC-82B5-72D0D9D9E25B}"/>
    <cellStyle name="Normal 2 4 5 2 4 3 3" xfId="13552" xr:uid="{AD5F9790-2D57-48F4-A4F3-93B23BF4B596}"/>
    <cellStyle name="Normal 2 4 5 2 4 4" xfId="17775" xr:uid="{AD55F8DD-2430-4115-B692-7C2458CBDBB0}"/>
    <cellStyle name="Normal 2 4 5 2 4 5" xfId="9334" xr:uid="{B86A1EC9-60C7-4045-96A8-5A84978955EB}"/>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24551" xr:uid="{1FA53000-B843-463A-A672-0B703A0C2F02}"/>
    <cellStyle name="Normal 2 4 5 2 5 2 2 3" xfId="16110" xr:uid="{84319CE0-CB40-4FF9-BA99-05051D2C3FFB}"/>
    <cellStyle name="Normal 2 4 5 2 5 2 3" xfId="20333" xr:uid="{18F699C2-8FC7-47B0-ABC5-2C837E1536C9}"/>
    <cellStyle name="Normal 2 4 5 2 5 2 4" xfId="11892" xr:uid="{A5E75B6D-8A54-4798-BFD6-A47A83E63318}"/>
    <cellStyle name="Normal 2 4 5 2 5 3" xfId="5523" xr:uid="{00000000-0005-0000-0000-00007A100000}"/>
    <cellStyle name="Normal 2 4 5 2 5 3 2" xfId="22406" xr:uid="{9D21BA6E-2655-4E34-9D05-83BC52BC0875}"/>
    <cellStyle name="Normal 2 4 5 2 5 3 3" xfId="13965" xr:uid="{E1D4691B-194D-4E8C-85FE-933559BE732D}"/>
    <cellStyle name="Normal 2 4 5 2 5 4" xfId="18188" xr:uid="{6C8DFB9A-2745-4E83-AB91-7D85C412E5F3}"/>
    <cellStyle name="Normal 2 4 5 2 5 5" xfId="9747" xr:uid="{23C9CA6F-13AB-418C-A342-594EF438CADE}"/>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24964" xr:uid="{BBAD0C80-42E5-45A1-AB1F-7582016CE056}"/>
    <cellStyle name="Normal 2 4 5 2 6 2 2 3" xfId="16523" xr:uid="{71FFB031-9C59-4D8A-8395-B55B5ED73740}"/>
    <cellStyle name="Normal 2 4 5 2 6 2 3" xfId="20746" xr:uid="{810D98E5-D838-466C-AA0C-BED700423F4B}"/>
    <cellStyle name="Normal 2 4 5 2 6 2 4" xfId="12305" xr:uid="{1291A65C-D0B1-4FF2-B03C-06A2A65384C7}"/>
    <cellStyle name="Normal 2 4 5 2 6 3" xfId="5936" xr:uid="{00000000-0005-0000-0000-00007E100000}"/>
    <cellStyle name="Normal 2 4 5 2 6 3 2" xfId="22819" xr:uid="{6C0546B3-C811-46C6-9045-B086D3DFD4F5}"/>
    <cellStyle name="Normal 2 4 5 2 6 3 3" xfId="14378" xr:uid="{D9C03A1C-1CDE-4364-9952-396C3A937CC3}"/>
    <cellStyle name="Normal 2 4 5 2 6 4" xfId="18601" xr:uid="{EA834434-64FF-4E55-ACC2-8792E429D9BD}"/>
    <cellStyle name="Normal 2 4 5 2 6 5" xfId="10160" xr:uid="{AE6513E9-1643-4F7B-8339-5D3E6C4C835D}"/>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25377" xr:uid="{9A5B340A-766A-4DCA-9DA6-0DDE69B6655D}"/>
    <cellStyle name="Normal 2 4 5 2 7 2 2 3" xfId="16936" xr:uid="{05667973-2905-4C01-BD84-CEBA3701EC4B}"/>
    <cellStyle name="Normal 2 4 5 2 7 2 3" xfId="21159" xr:uid="{62DF9DEF-2483-4900-B462-F031ADE3FBDE}"/>
    <cellStyle name="Normal 2 4 5 2 7 2 4" xfId="12718" xr:uid="{DBE9A9BC-C96B-4F40-8F2D-C2685AACCA5C}"/>
    <cellStyle name="Normal 2 4 5 2 7 3" xfId="6349" xr:uid="{00000000-0005-0000-0000-000082100000}"/>
    <cellStyle name="Normal 2 4 5 2 7 3 2" xfId="23232" xr:uid="{03D99BA6-6843-4442-9256-29F752F8B6E3}"/>
    <cellStyle name="Normal 2 4 5 2 7 3 3" xfId="14791" xr:uid="{020AC554-9795-426D-8DD0-900BB69A1250}"/>
    <cellStyle name="Normal 2 4 5 2 7 4" xfId="19014" xr:uid="{71B8CD6E-02EF-4B83-9240-D28172D2B003}"/>
    <cellStyle name="Normal 2 4 5 2 7 5" xfId="10573" xr:uid="{61901B83-512D-4DD5-A9D6-B34EC0D1B0FB}"/>
    <cellStyle name="Normal 2 4 5 2 8" xfId="2478" xr:uid="{00000000-0005-0000-0000-000083100000}"/>
    <cellStyle name="Normal 2 4 5 2 8 2" xfId="6762" xr:uid="{00000000-0005-0000-0000-000084100000}"/>
    <cellStyle name="Normal 2 4 5 2 8 2 2" xfId="23645" xr:uid="{717F4C66-B208-4BB8-9FD3-7D2F27DF6146}"/>
    <cellStyle name="Normal 2 4 5 2 8 2 3" xfId="15204" xr:uid="{26A4EFB2-C223-4F92-9799-3297348EAF60}"/>
    <cellStyle name="Normal 2 4 5 2 8 3" xfId="19427" xr:uid="{F9F89868-B60A-435D-8026-9817FA79BC9B}"/>
    <cellStyle name="Normal 2 4 5 2 8 4" xfId="10986" xr:uid="{C22FF077-18C1-4826-BFA6-2B5943DB72A6}"/>
    <cellStyle name="Normal 2 4 5 2 9" xfId="4696" xr:uid="{00000000-0005-0000-0000-000085100000}"/>
    <cellStyle name="Normal 2 4 5 2 9 2" xfId="21579" xr:uid="{69541944-9519-4805-AD10-31F5F38744E6}"/>
    <cellStyle name="Normal 2 4 5 2 9 3" xfId="13138" xr:uid="{BC0572F7-FE0E-45CA-BF40-928963228AA4}"/>
    <cellStyle name="Normal 2 4 5 3" xfId="308" xr:uid="{00000000-0005-0000-0000-000086100000}"/>
    <cellStyle name="Normal 2 4 5 3 10" xfId="8924" xr:uid="{E49CC4BF-B728-4D80-891E-AF73C7A22F5C}"/>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24143" xr:uid="{0E12FBEF-6A07-43B3-8D9C-7D554D35B6D8}"/>
    <cellStyle name="Normal 2 4 5 3 2 2 2 2 3" xfId="15702" xr:uid="{3E385A02-AFAE-4B2C-BCD6-D5F3740D4F30}"/>
    <cellStyle name="Normal 2 4 5 3 2 2 2 3" xfId="19925" xr:uid="{8C3922E4-1C57-408C-A1A0-04FE9FDFAEE9}"/>
    <cellStyle name="Normal 2 4 5 3 2 2 2 4" xfId="11484" xr:uid="{DE61F2FA-96B0-49BD-9F05-A3024571C122}"/>
    <cellStyle name="Normal 2 4 5 3 2 2 3" xfId="5115" xr:uid="{00000000-0005-0000-0000-00008B100000}"/>
    <cellStyle name="Normal 2 4 5 3 2 2 3 2" xfId="21998" xr:uid="{86B8A33B-F327-4B69-AA74-F9C92E782F44}"/>
    <cellStyle name="Normal 2 4 5 3 2 2 3 3" xfId="13557" xr:uid="{190DB494-0A68-4A0B-B9CA-5E2F17D2F8C8}"/>
    <cellStyle name="Normal 2 4 5 3 2 2 4" xfId="17780" xr:uid="{8E3882DC-95A5-477F-B2FD-0CB9A66DC3C0}"/>
    <cellStyle name="Normal 2 4 5 3 2 2 5" xfId="9339" xr:uid="{AFC0AE7C-189C-45CA-B2B6-F336733D6402}"/>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24556" xr:uid="{7E4C4ACD-09B1-48E0-B65A-1237EE480759}"/>
    <cellStyle name="Normal 2 4 5 3 2 3 2 2 3" xfId="16115" xr:uid="{D2EF7E3F-C7EF-4E49-AE27-B4C0A637CF98}"/>
    <cellStyle name="Normal 2 4 5 3 2 3 2 3" xfId="20338" xr:uid="{B136028C-43C9-4B02-9962-C1B69CD23693}"/>
    <cellStyle name="Normal 2 4 5 3 2 3 2 4" xfId="11897" xr:uid="{25A669D4-D074-44E6-B22F-ADF9E4BD0010}"/>
    <cellStyle name="Normal 2 4 5 3 2 3 3" xfId="5528" xr:uid="{00000000-0005-0000-0000-00008F100000}"/>
    <cellStyle name="Normal 2 4 5 3 2 3 3 2" xfId="22411" xr:uid="{9D8C0DEF-AB8A-404C-8609-8364B25EF27F}"/>
    <cellStyle name="Normal 2 4 5 3 2 3 3 3" xfId="13970" xr:uid="{C39BF229-A52C-4A3F-8C2B-B73E58EEB0A4}"/>
    <cellStyle name="Normal 2 4 5 3 2 3 4" xfId="18193" xr:uid="{B76D0C5A-995F-4D39-A50D-5AD0ABAE8D35}"/>
    <cellStyle name="Normal 2 4 5 3 2 3 5" xfId="9752" xr:uid="{B4AF86A7-1101-434C-981B-EBE179E55515}"/>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24969" xr:uid="{4370C359-340C-440F-AFE4-D433F84B824C}"/>
    <cellStyle name="Normal 2 4 5 3 2 4 2 2 3" xfId="16528" xr:uid="{E2AF72F7-4532-4130-A7B7-4584CAC23F7A}"/>
    <cellStyle name="Normal 2 4 5 3 2 4 2 3" xfId="20751" xr:uid="{22A5AC22-680C-465C-91D8-194135857211}"/>
    <cellStyle name="Normal 2 4 5 3 2 4 2 4" xfId="12310" xr:uid="{3FE6C901-E715-460A-8732-5100F6815324}"/>
    <cellStyle name="Normal 2 4 5 3 2 4 3" xfId="5941" xr:uid="{00000000-0005-0000-0000-000093100000}"/>
    <cellStyle name="Normal 2 4 5 3 2 4 3 2" xfId="22824" xr:uid="{1FF187A8-87DA-4BCC-A125-E3592F90962F}"/>
    <cellStyle name="Normal 2 4 5 3 2 4 3 3" xfId="14383" xr:uid="{2D023957-D3BF-4EA3-A677-43976507486F}"/>
    <cellStyle name="Normal 2 4 5 3 2 4 4" xfId="18606" xr:uid="{C4D30BE5-F7CD-4EFA-B913-EE38A5910CA2}"/>
    <cellStyle name="Normal 2 4 5 3 2 4 5" xfId="10165" xr:uid="{4301FF83-C895-4482-B9AE-99C822FB66DE}"/>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25382" xr:uid="{8D6F6DF7-C80A-40AB-9E6F-3C037CF3D1A9}"/>
    <cellStyle name="Normal 2 4 5 3 2 5 2 2 3" xfId="16941" xr:uid="{876E2CC9-ACDE-4DCA-A882-808541B8A66A}"/>
    <cellStyle name="Normal 2 4 5 3 2 5 2 3" xfId="21164" xr:uid="{7CB17E08-7730-4695-B21F-99DE4596400A}"/>
    <cellStyle name="Normal 2 4 5 3 2 5 2 4" xfId="12723" xr:uid="{AFD1A817-B374-432B-A28F-05482D1A13E3}"/>
    <cellStyle name="Normal 2 4 5 3 2 5 3" xfId="6354" xr:uid="{00000000-0005-0000-0000-000097100000}"/>
    <cellStyle name="Normal 2 4 5 3 2 5 3 2" xfId="23237" xr:uid="{B77415FC-9EC4-4033-936B-843B949C76C3}"/>
    <cellStyle name="Normal 2 4 5 3 2 5 3 3" xfId="14796" xr:uid="{18409BC4-74CE-412A-8B99-F470E3851213}"/>
    <cellStyle name="Normal 2 4 5 3 2 5 4" xfId="19019" xr:uid="{2894B15E-4213-441A-A269-CD5EF7117542}"/>
    <cellStyle name="Normal 2 4 5 3 2 5 5" xfId="10578" xr:uid="{B8F603D3-CE13-4E57-8AF9-7F9160741AEB}"/>
    <cellStyle name="Normal 2 4 5 3 2 6" xfId="2483" xr:uid="{00000000-0005-0000-0000-000098100000}"/>
    <cellStyle name="Normal 2 4 5 3 2 6 2" xfId="6767" xr:uid="{00000000-0005-0000-0000-000099100000}"/>
    <cellStyle name="Normal 2 4 5 3 2 6 2 2" xfId="23650" xr:uid="{9D4B2DC2-A3C2-4AF7-AB34-35380EF5EEF2}"/>
    <cellStyle name="Normal 2 4 5 3 2 6 2 3" xfId="15209" xr:uid="{A29C0BE0-7512-46AA-A165-F14A311A6A5B}"/>
    <cellStyle name="Normal 2 4 5 3 2 6 3" xfId="19432" xr:uid="{0F39C333-2C54-4CE2-A6E5-A36016D3A7A4}"/>
    <cellStyle name="Normal 2 4 5 3 2 6 4" xfId="10991" xr:uid="{023F2407-0750-4FA0-BD2A-207E8490954A}"/>
    <cellStyle name="Normal 2 4 5 3 2 7" xfId="4701" xr:uid="{00000000-0005-0000-0000-00009A100000}"/>
    <cellStyle name="Normal 2 4 5 3 2 7 2" xfId="21584" xr:uid="{51F3BBD8-4CE0-4785-A435-238D843E8979}"/>
    <cellStyle name="Normal 2 4 5 3 2 7 3" xfId="13143" xr:uid="{AA9BB920-2E86-411B-9C8A-7BBBFC4F9C49}"/>
    <cellStyle name="Normal 2 4 5 3 2 8" xfId="17366" xr:uid="{51501BA0-7D8C-4E81-86EC-C93435D7C474}"/>
    <cellStyle name="Normal 2 4 5 3 2 9" xfId="8925" xr:uid="{48C5D727-B72C-4C64-96A3-96EF4D11B067}"/>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24142" xr:uid="{479206A7-BCB0-456D-942C-97FC302397D8}"/>
    <cellStyle name="Normal 2 4 5 3 3 2 2 3" xfId="15701" xr:uid="{102D82E1-49E1-47E1-B6B4-6A6B7EBF7D7A}"/>
    <cellStyle name="Normal 2 4 5 3 3 2 3" xfId="19924" xr:uid="{B8D18350-F036-442A-99D7-F1D8163E1030}"/>
    <cellStyle name="Normal 2 4 5 3 3 2 4" xfId="11483" xr:uid="{A1E381BF-C347-4A7F-B913-519508CA6012}"/>
    <cellStyle name="Normal 2 4 5 3 3 3" xfId="5114" xr:uid="{00000000-0005-0000-0000-00009E100000}"/>
    <cellStyle name="Normal 2 4 5 3 3 3 2" xfId="21997" xr:uid="{E3E6985E-76C5-4F17-AB97-E6DA84EA2D87}"/>
    <cellStyle name="Normal 2 4 5 3 3 3 3" xfId="13556" xr:uid="{FD37A73C-39F2-4505-B8C8-A2C406B1AB3F}"/>
    <cellStyle name="Normal 2 4 5 3 3 4" xfId="17779" xr:uid="{93ACEA4F-B03E-4BEF-A290-F4681DBE7B02}"/>
    <cellStyle name="Normal 2 4 5 3 3 5" xfId="9338" xr:uid="{81A0FB3A-262F-4009-972E-510D482A8A94}"/>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24555" xr:uid="{664CC23A-8552-4751-A29A-F326252974EF}"/>
    <cellStyle name="Normal 2 4 5 3 4 2 2 3" xfId="16114" xr:uid="{8288ECFD-FD10-48AF-9B37-F138AECEFF55}"/>
    <cellStyle name="Normal 2 4 5 3 4 2 3" xfId="20337" xr:uid="{AF75999B-5DBF-430D-97B3-BB274703D81B}"/>
    <cellStyle name="Normal 2 4 5 3 4 2 4" xfId="11896" xr:uid="{379B9533-FA71-4478-9F3A-1992D40AAB1E}"/>
    <cellStyle name="Normal 2 4 5 3 4 3" xfId="5527" xr:uid="{00000000-0005-0000-0000-0000A2100000}"/>
    <cellStyle name="Normal 2 4 5 3 4 3 2" xfId="22410" xr:uid="{2C7C0555-66BF-4136-8F3D-58E7B85E72F2}"/>
    <cellStyle name="Normal 2 4 5 3 4 3 3" xfId="13969" xr:uid="{F0667925-655D-4866-A2F3-4684C0524605}"/>
    <cellStyle name="Normal 2 4 5 3 4 4" xfId="18192" xr:uid="{FC2C7E30-044B-402C-BED9-98A08A3A983B}"/>
    <cellStyle name="Normal 2 4 5 3 4 5" xfId="9751" xr:uid="{D8900FEF-E4BA-4AF9-8F1E-3EBEBC0AA165}"/>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24968" xr:uid="{FD04FA43-D67A-46F8-9A7E-E7471C719AB0}"/>
    <cellStyle name="Normal 2 4 5 3 5 2 2 3" xfId="16527" xr:uid="{EF749B1D-08A3-4D27-97D2-FB1D1D0911E2}"/>
    <cellStyle name="Normal 2 4 5 3 5 2 3" xfId="20750" xr:uid="{6EE50377-D577-4B7B-BE05-C675436ADE98}"/>
    <cellStyle name="Normal 2 4 5 3 5 2 4" xfId="12309" xr:uid="{20AAD3EB-CBC9-405E-AE45-624851037F04}"/>
    <cellStyle name="Normal 2 4 5 3 5 3" xfId="5940" xr:uid="{00000000-0005-0000-0000-0000A6100000}"/>
    <cellStyle name="Normal 2 4 5 3 5 3 2" xfId="22823" xr:uid="{C269C1A4-FF29-4482-B185-A6A41AF56749}"/>
    <cellStyle name="Normal 2 4 5 3 5 3 3" xfId="14382" xr:uid="{ED5AE341-D967-45BE-B0F2-B8E55E78E870}"/>
    <cellStyle name="Normal 2 4 5 3 5 4" xfId="18605" xr:uid="{3E7E62F5-442A-47CE-90B1-A11812ABE4B9}"/>
    <cellStyle name="Normal 2 4 5 3 5 5" xfId="10164" xr:uid="{AF1D2C5C-6331-4A79-9748-F0305D2B2765}"/>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25381" xr:uid="{153FD5C1-9806-4CA1-8762-08476C3EEDE7}"/>
    <cellStyle name="Normal 2 4 5 3 6 2 2 3" xfId="16940" xr:uid="{24E0F38B-C3D0-4C4B-B5C9-4A1462CB28C1}"/>
    <cellStyle name="Normal 2 4 5 3 6 2 3" xfId="21163" xr:uid="{EC02E397-F016-420A-A1C3-759BA3B6C72B}"/>
    <cellStyle name="Normal 2 4 5 3 6 2 4" xfId="12722" xr:uid="{4F328851-ECAC-434D-9CB6-64D11DA686CF}"/>
    <cellStyle name="Normal 2 4 5 3 6 3" xfId="6353" xr:uid="{00000000-0005-0000-0000-0000AA100000}"/>
    <cellStyle name="Normal 2 4 5 3 6 3 2" xfId="23236" xr:uid="{6128E66C-E84D-48FA-8550-8F3AE612E6D0}"/>
    <cellStyle name="Normal 2 4 5 3 6 3 3" xfId="14795" xr:uid="{FFCDBD4C-BA94-485C-B1E0-21696008C72C}"/>
    <cellStyle name="Normal 2 4 5 3 6 4" xfId="19018" xr:uid="{0FE5656C-77E5-4591-B9D8-B5833C8C2A00}"/>
    <cellStyle name="Normal 2 4 5 3 6 5" xfId="10577" xr:uid="{BB2BE637-C6D1-4AB0-A03B-2E46E26B0989}"/>
    <cellStyle name="Normal 2 4 5 3 7" xfId="2482" xr:uid="{00000000-0005-0000-0000-0000AB100000}"/>
    <cellStyle name="Normal 2 4 5 3 7 2" xfId="6766" xr:uid="{00000000-0005-0000-0000-0000AC100000}"/>
    <cellStyle name="Normal 2 4 5 3 7 2 2" xfId="23649" xr:uid="{0DD2BF2E-053C-4821-A82E-970DE535AA2D}"/>
    <cellStyle name="Normal 2 4 5 3 7 2 3" xfId="15208" xr:uid="{0781111E-D852-418A-9CDE-A3677DF2877C}"/>
    <cellStyle name="Normal 2 4 5 3 7 3" xfId="19431" xr:uid="{3AD4E4FC-4364-4741-9D24-A342D0EA5CEA}"/>
    <cellStyle name="Normal 2 4 5 3 7 4" xfId="10990" xr:uid="{16ADF06A-0335-4566-93D1-8913A8938EFC}"/>
    <cellStyle name="Normal 2 4 5 3 8" xfId="4700" xr:uid="{00000000-0005-0000-0000-0000AD100000}"/>
    <cellStyle name="Normal 2 4 5 3 8 2" xfId="21583" xr:uid="{F0857212-4C60-4C93-971A-0C8DC322162B}"/>
    <cellStyle name="Normal 2 4 5 3 8 3" xfId="13142" xr:uid="{8A338C35-36D9-40AD-B4E3-07025AA3599E}"/>
    <cellStyle name="Normal 2 4 5 3 9" xfId="17365" xr:uid="{1CF1EF7E-6E58-40EF-946E-7E14F317103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24144" xr:uid="{0D90FE1A-37C7-4AA5-8A10-6DC109378028}"/>
    <cellStyle name="Normal 2 4 5 4 2 2 2 3" xfId="15703" xr:uid="{356EC3F6-FCA5-4D19-A904-AAB56746C05C}"/>
    <cellStyle name="Normal 2 4 5 4 2 2 3" xfId="19926" xr:uid="{699DC965-B2C2-40CE-861D-9106B30373F2}"/>
    <cellStyle name="Normal 2 4 5 4 2 2 4" xfId="11485" xr:uid="{B8DEBC9A-9023-4D64-A5E8-AA97DEA329DB}"/>
    <cellStyle name="Normal 2 4 5 4 2 3" xfId="5116" xr:uid="{00000000-0005-0000-0000-0000B2100000}"/>
    <cellStyle name="Normal 2 4 5 4 2 3 2" xfId="21999" xr:uid="{F1D4DDB0-1C60-4C15-B9E7-823C796DF113}"/>
    <cellStyle name="Normal 2 4 5 4 2 3 3" xfId="13558" xr:uid="{5BF1BE1A-4032-4F52-8A54-EEF901877C52}"/>
    <cellStyle name="Normal 2 4 5 4 2 4" xfId="17781" xr:uid="{8E7A8A96-7139-4767-A583-6126AF21E658}"/>
    <cellStyle name="Normal 2 4 5 4 2 5" xfId="9340" xr:uid="{2DEA603A-3072-425C-8779-636A04C898A9}"/>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24557" xr:uid="{98B2C28E-FD36-46EA-96A2-1FC992373ED4}"/>
    <cellStyle name="Normal 2 4 5 4 3 2 2 3" xfId="16116" xr:uid="{A1B66D97-A5E8-40D3-BBBA-C039D1FAB558}"/>
    <cellStyle name="Normal 2 4 5 4 3 2 3" xfId="20339" xr:uid="{6D7055A3-4E5D-4DD6-964A-86C1EA962BF6}"/>
    <cellStyle name="Normal 2 4 5 4 3 2 4" xfId="11898" xr:uid="{7880D918-B9A3-46D9-B034-4E400E93AE69}"/>
    <cellStyle name="Normal 2 4 5 4 3 3" xfId="5529" xr:uid="{00000000-0005-0000-0000-0000B6100000}"/>
    <cellStyle name="Normal 2 4 5 4 3 3 2" xfId="22412" xr:uid="{E4FAFD16-55FB-46B7-907F-1DC9AE0022E4}"/>
    <cellStyle name="Normal 2 4 5 4 3 3 3" xfId="13971" xr:uid="{99B73AC1-8731-45B8-9AE3-2ED3538ECE8F}"/>
    <cellStyle name="Normal 2 4 5 4 3 4" xfId="18194" xr:uid="{2005EE2D-30DB-4548-ACB3-D0C3D8F00819}"/>
    <cellStyle name="Normal 2 4 5 4 3 5" xfId="9753" xr:uid="{676E0DB2-80D6-4E6B-9741-0C5B3BB4A116}"/>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24970" xr:uid="{A4321A6D-D072-4331-A9E5-FEA3A404B342}"/>
    <cellStyle name="Normal 2 4 5 4 4 2 2 3" xfId="16529" xr:uid="{8F8EFFE4-A491-44C0-813C-3F51ADF7D7B8}"/>
    <cellStyle name="Normal 2 4 5 4 4 2 3" xfId="20752" xr:uid="{183A71DB-2C85-4A9F-A041-A7F6C5751494}"/>
    <cellStyle name="Normal 2 4 5 4 4 2 4" xfId="12311" xr:uid="{E5E0161D-A231-4C4F-AF0B-D1831586BC6C}"/>
    <cellStyle name="Normal 2 4 5 4 4 3" xfId="5942" xr:uid="{00000000-0005-0000-0000-0000BA100000}"/>
    <cellStyle name="Normal 2 4 5 4 4 3 2" xfId="22825" xr:uid="{453924F6-BC7E-436F-9562-AB45F00D0C33}"/>
    <cellStyle name="Normal 2 4 5 4 4 3 3" xfId="14384" xr:uid="{38A7799C-3DE9-4499-8FD9-5671F7C6483C}"/>
    <cellStyle name="Normal 2 4 5 4 4 4" xfId="18607" xr:uid="{4C042367-EC7F-4BEB-B382-AD8E23217502}"/>
    <cellStyle name="Normal 2 4 5 4 4 5" xfId="10166" xr:uid="{8D5A53FB-2A58-4C50-9CD8-D7C7F62CCFD1}"/>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25383" xr:uid="{EB691A16-6B7E-4394-AED5-101680043729}"/>
    <cellStyle name="Normal 2 4 5 4 5 2 2 3" xfId="16942" xr:uid="{6A4E6DD2-66BF-4725-92DA-74DB5F2DC79A}"/>
    <cellStyle name="Normal 2 4 5 4 5 2 3" xfId="21165" xr:uid="{2460A4C6-0360-46FA-AD39-9743AE820FBF}"/>
    <cellStyle name="Normal 2 4 5 4 5 2 4" xfId="12724" xr:uid="{EF735B25-FD29-401D-A5F2-1A3D8D5E0CE9}"/>
    <cellStyle name="Normal 2 4 5 4 5 3" xfId="6355" xr:uid="{00000000-0005-0000-0000-0000BE100000}"/>
    <cellStyle name="Normal 2 4 5 4 5 3 2" xfId="23238" xr:uid="{ECC47A1F-3F4D-40D5-A6C5-E012F7629FF8}"/>
    <cellStyle name="Normal 2 4 5 4 5 3 3" xfId="14797" xr:uid="{4C6FED85-5C0B-4699-A4CD-C703C4296EA5}"/>
    <cellStyle name="Normal 2 4 5 4 5 4" xfId="19020" xr:uid="{1A04D04D-EF4D-4188-885B-2A71D5A4CFD0}"/>
    <cellStyle name="Normal 2 4 5 4 5 5" xfId="10579" xr:uid="{2FFB2014-F594-4BBE-93BE-157C629C6DD8}"/>
    <cellStyle name="Normal 2 4 5 4 6" xfId="2484" xr:uid="{00000000-0005-0000-0000-0000BF100000}"/>
    <cellStyle name="Normal 2 4 5 4 6 2" xfId="6768" xr:uid="{00000000-0005-0000-0000-0000C0100000}"/>
    <cellStyle name="Normal 2 4 5 4 6 2 2" xfId="23651" xr:uid="{F8CC5E09-1E64-4024-B354-D11466319162}"/>
    <cellStyle name="Normal 2 4 5 4 6 2 3" xfId="15210" xr:uid="{09611305-4B71-46C8-8595-D068B72EAF8A}"/>
    <cellStyle name="Normal 2 4 5 4 6 3" xfId="19433" xr:uid="{BA7F00CC-CB8C-4BC8-BDD6-625A34FBFE57}"/>
    <cellStyle name="Normal 2 4 5 4 6 4" xfId="10992" xr:uid="{DBBEDA5F-70DD-49BC-B317-4F447533D30F}"/>
    <cellStyle name="Normal 2 4 5 4 7" xfId="4702" xr:uid="{00000000-0005-0000-0000-0000C1100000}"/>
    <cellStyle name="Normal 2 4 5 4 7 2" xfId="21585" xr:uid="{BEF06EF3-626E-44B7-9309-7B2163048661}"/>
    <cellStyle name="Normal 2 4 5 4 7 3" xfId="13144" xr:uid="{70DAF153-B26C-4C4F-9302-B65007150F28}"/>
    <cellStyle name="Normal 2 4 5 4 8" xfId="17367" xr:uid="{D8A62017-DBCC-4388-AD35-3842542A419E}"/>
    <cellStyle name="Normal 2 4 5 4 9" xfId="8926" xr:uid="{47AF38DE-ED12-4857-BEE3-2F76978CBEED}"/>
    <cellStyle name="Normal 2 4 5 5" xfId="792" xr:uid="{00000000-0005-0000-0000-0000C2100000}"/>
    <cellStyle name="Normal 2 4 5 5 2" xfId="3031" xr:uid="{00000000-0005-0000-0000-0000C3100000}"/>
    <cellStyle name="Normal 2 4 5 5 2 2" xfId="7254" xr:uid="{00000000-0005-0000-0000-0000C4100000}"/>
    <cellStyle name="Normal 2 4 5 5 2 2 2" xfId="24137" xr:uid="{CFAF3930-F634-465B-A927-5682A65EBD42}"/>
    <cellStyle name="Normal 2 4 5 5 2 2 3" xfId="15696" xr:uid="{056F0AB9-E35F-4C12-AE69-A82CB6DB64F5}"/>
    <cellStyle name="Normal 2 4 5 5 2 3" xfId="19919" xr:uid="{F42D347D-81AD-40BE-BEBB-82F89718DDDC}"/>
    <cellStyle name="Normal 2 4 5 5 2 4" xfId="11478" xr:uid="{863BAA18-98BC-4C6C-A440-4338F097E5B7}"/>
    <cellStyle name="Normal 2 4 5 5 3" xfId="5109" xr:uid="{00000000-0005-0000-0000-0000C5100000}"/>
    <cellStyle name="Normal 2 4 5 5 3 2" xfId="21992" xr:uid="{6581BCCB-CA6B-4974-9FC7-5C0D838AA01E}"/>
    <cellStyle name="Normal 2 4 5 5 3 3" xfId="13551" xr:uid="{B01E3E11-97EF-4E96-8E17-DA51CDDA33EA}"/>
    <cellStyle name="Normal 2 4 5 5 4" xfId="17774" xr:uid="{7D9AB2BE-0289-43FF-9913-8D912E59A89F}"/>
    <cellStyle name="Normal 2 4 5 5 5" xfId="9333" xr:uid="{AC499186-0A80-4F93-AB1D-910EDE1ACE52}"/>
    <cellStyle name="Normal 2 4 5 6" xfId="1214" xr:uid="{00000000-0005-0000-0000-0000C6100000}"/>
    <cellStyle name="Normal 2 4 5 6 2" xfId="3444" xr:uid="{00000000-0005-0000-0000-0000C7100000}"/>
    <cellStyle name="Normal 2 4 5 6 2 2" xfId="7667" xr:uid="{00000000-0005-0000-0000-0000C8100000}"/>
    <cellStyle name="Normal 2 4 5 6 2 2 2" xfId="24550" xr:uid="{14BD058C-CB66-4FB4-AAA5-7D874C7A7D7E}"/>
    <cellStyle name="Normal 2 4 5 6 2 2 3" xfId="16109" xr:uid="{55D9AACA-4C89-455D-843D-9ADE493052C2}"/>
    <cellStyle name="Normal 2 4 5 6 2 3" xfId="20332" xr:uid="{E6F5F0FC-F3FD-44B1-88FF-4A31B73EFFC3}"/>
    <cellStyle name="Normal 2 4 5 6 2 4" xfId="11891" xr:uid="{B9700890-1895-4669-87A3-BE57EFB2B935}"/>
    <cellStyle name="Normal 2 4 5 6 3" xfId="5522" xr:uid="{00000000-0005-0000-0000-0000C9100000}"/>
    <cellStyle name="Normal 2 4 5 6 3 2" xfId="22405" xr:uid="{D899C305-237F-4236-AC5D-F4E4CC967255}"/>
    <cellStyle name="Normal 2 4 5 6 3 3" xfId="13964" xr:uid="{7A9B2911-64B2-48E6-AFFE-4C166174C264}"/>
    <cellStyle name="Normal 2 4 5 6 4" xfId="18187" xr:uid="{E61EE95C-279D-4D77-8596-035924D8A482}"/>
    <cellStyle name="Normal 2 4 5 6 5" xfId="9746" xr:uid="{32F5BAD1-CE7A-4C31-B5A9-620C80EB8229}"/>
    <cellStyle name="Normal 2 4 5 7" xfId="1627" xr:uid="{00000000-0005-0000-0000-0000CA100000}"/>
    <cellStyle name="Normal 2 4 5 7 2" xfId="3857" xr:uid="{00000000-0005-0000-0000-0000CB100000}"/>
    <cellStyle name="Normal 2 4 5 7 2 2" xfId="8080" xr:uid="{00000000-0005-0000-0000-0000CC100000}"/>
    <cellStyle name="Normal 2 4 5 7 2 2 2" xfId="24963" xr:uid="{D1014D93-8078-482B-B2B5-E9911611C46B}"/>
    <cellStyle name="Normal 2 4 5 7 2 2 3" xfId="16522" xr:uid="{75AE25DF-8779-4FF3-9A76-15F1AE50B714}"/>
    <cellStyle name="Normal 2 4 5 7 2 3" xfId="20745" xr:uid="{123F591C-B307-4E4B-9CF2-297E940C7AD6}"/>
    <cellStyle name="Normal 2 4 5 7 2 4" xfId="12304" xr:uid="{7819F0F0-D01E-441C-B24E-A98BBD8BF632}"/>
    <cellStyle name="Normal 2 4 5 7 3" xfId="5935" xr:uid="{00000000-0005-0000-0000-0000CD100000}"/>
    <cellStyle name="Normal 2 4 5 7 3 2" xfId="22818" xr:uid="{E68AAD9A-9D78-41C6-8BA9-CA8B04D6E87B}"/>
    <cellStyle name="Normal 2 4 5 7 3 3" xfId="14377" xr:uid="{6B1CEC1A-527B-4C45-BBE7-0D59CC8E2420}"/>
    <cellStyle name="Normal 2 4 5 7 4" xfId="18600" xr:uid="{877545E2-196C-4645-B8F6-8E02E1595461}"/>
    <cellStyle name="Normal 2 4 5 7 5" xfId="10159" xr:uid="{4E02583F-EC81-46A1-82C9-EDA2161A572D}"/>
    <cellStyle name="Normal 2 4 5 8" xfId="2041" xr:uid="{00000000-0005-0000-0000-0000CE100000}"/>
    <cellStyle name="Normal 2 4 5 8 2" xfId="4270" xr:uid="{00000000-0005-0000-0000-0000CF100000}"/>
    <cellStyle name="Normal 2 4 5 8 2 2" xfId="8493" xr:uid="{00000000-0005-0000-0000-0000D0100000}"/>
    <cellStyle name="Normal 2 4 5 8 2 2 2" xfId="25376" xr:uid="{62630116-B799-4D55-953A-F95CCC01F1F7}"/>
    <cellStyle name="Normal 2 4 5 8 2 2 3" xfId="16935" xr:uid="{37CF0DEB-2A92-4BC7-97F4-73BEB480E054}"/>
    <cellStyle name="Normal 2 4 5 8 2 3" xfId="21158" xr:uid="{37BAE896-7D1B-4B6C-A8C9-527719CEEA34}"/>
    <cellStyle name="Normal 2 4 5 8 2 4" xfId="12717" xr:uid="{E24264F4-5C66-4BB8-A983-CA893C95DE5F}"/>
    <cellStyle name="Normal 2 4 5 8 3" xfId="6348" xr:uid="{00000000-0005-0000-0000-0000D1100000}"/>
    <cellStyle name="Normal 2 4 5 8 3 2" xfId="23231" xr:uid="{9F282620-58C7-48F1-9966-6D957C4C2261}"/>
    <cellStyle name="Normal 2 4 5 8 3 3" xfId="14790" xr:uid="{52F956B6-1245-462F-86CB-56C3D2F2D357}"/>
    <cellStyle name="Normal 2 4 5 8 4" xfId="19013" xr:uid="{447EECF2-813A-4831-BEA5-D385416B4579}"/>
    <cellStyle name="Normal 2 4 5 8 5" xfId="10572" xr:uid="{9DD2C06C-D409-4A4D-A36F-54E2A9D75A78}"/>
    <cellStyle name="Normal 2 4 5 9" xfId="2477" xr:uid="{00000000-0005-0000-0000-0000D2100000}"/>
    <cellStyle name="Normal 2 4 5 9 2" xfId="6761" xr:uid="{00000000-0005-0000-0000-0000D3100000}"/>
    <cellStyle name="Normal 2 4 5 9 2 2" xfId="23644" xr:uid="{50CEC550-C786-465E-B3B1-C9953944984C}"/>
    <cellStyle name="Normal 2 4 5 9 2 3" xfId="15203" xr:uid="{A6669A98-7EB2-429C-B8CC-B9FDE30702E8}"/>
    <cellStyle name="Normal 2 4 5 9 3" xfId="19426" xr:uid="{9F99D39A-B997-44BD-8ADD-679F25B51284}"/>
    <cellStyle name="Normal 2 4 5 9 4" xfId="10985" xr:uid="{AE54A54A-70E5-4219-82D7-540BE3FB301F}"/>
    <cellStyle name="Normal 2 4 6" xfId="311" xr:uid="{00000000-0005-0000-0000-0000D4100000}"/>
    <cellStyle name="Normal 2 4 7" xfId="312" xr:uid="{00000000-0005-0000-0000-0000D5100000}"/>
    <cellStyle name="Normal 2 4 7 10" xfId="8927" xr:uid="{1F973F2C-4C1F-4A1B-B71F-593E1EC915DC}"/>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24146" xr:uid="{37A0307E-5859-4CCC-89C2-A87019558484}"/>
    <cellStyle name="Normal 2 4 7 2 2 2 2 3" xfId="15705" xr:uid="{EE20B536-EBC6-4C63-ACF5-FE377C368E60}"/>
    <cellStyle name="Normal 2 4 7 2 2 2 3" xfId="19928" xr:uid="{B7F5DDB4-A718-43D3-9E73-97B426D54078}"/>
    <cellStyle name="Normal 2 4 7 2 2 2 4" xfId="11487" xr:uid="{4B1CE1B8-797C-4F00-BAF6-1014AEBF6D10}"/>
    <cellStyle name="Normal 2 4 7 2 2 3" xfId="5118" xr:uid="{00000000-0005-0000-0000-0000DA100000}"/>
    <cellStyle name="Normal 2 4 7 2 2 3 2" xfId="22001" xr:uid="{58DDD7CF-FE37-45F3-8622-D30FF0E0A255}"/>
    <cellStyle name="Normal 2 4 7 2 2 3 3" xfId="13560" xr:uid="{0E3A0334-CC2A-42F7-BF1F-088BDE8122B2}"/>
    <cellStyle name="Normal 2 4 7 2 2 4" xfId="17783" xr:uid="{E6AD6375-C9E3-4D5A-A9B3-405E9987734A}"/>
    <cellStyle name="Normal 2 4 7 2 2 5" xfId="9342" xr:uid="{C2B07C63-774A-4A76-BA2A-CDBB520A0D94}"/>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24559" xr:uid="{F1724684-F2E7-4334-9045-5B3C49559D1C}"/>
    <cellStyle name="Normal 2 4 7 2 3 2 2 3" xfId="16118" xr:uid="{CB55F9C2-437C-4631-B22F-D3E4AF7CA197}"/>
    <cellStyle name="Normal 2 4 7 2 3 2 3" xfId="20341" xr:uid="{E30D5308-5DCB-4440-9116-E09759C25D31}"/>
    <cellStyle name="Normal 2 4 7 2 3 2 4" xfId="11900" xr:uid="{D19DFF3A-F73E-426E-9FC7-58801A8E6C24}"/>
    <cellStyle name="Normal 2 4 7 2 3 3" xfId="5531" xr:uid="{00000000-0005-0000-0000-0000DE100000}"/>
    <cellStyle name="Normal 2 4 7 2 3 3 2" xfId="22414" xr:uid="{D8320AAF-4C2D-432D-A0F5-E287F8C934A5}"/>
    <cellStyle name="Normal 2 4 7 2 3 3 3" xfId="13973" xr:uid="{731B6E93-12A5-4A01-B873-740B26E8D3C9}"/>
    <cellStyle name="Normal 2 4 7 2 3 4" xfId="18196" xr:uid="{788A3372-2626-42C3-B667-03F9D3FBCDA0}"/>
    <cellStyle name="Normal 2 4 7 2 3 5" xfId="9755" xr:uid="{D4557C8F-689A-43DD-9ACE-6C60965440A7}"/>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24972" xr:uid="{9E48299D-FDFC-4542-B1EE-F0628DD4BA5B}"/>
    <cellStyle name="Normal 2 4 7 2 4 2 2 3" xfId="16531" xr:uid="{04984C3E-3917-4FC9-B734-636A9ADCCBB0}"/>
    <cellStyle name="Normal 2 4 7 2 4 2 3" xfId="20754" xr:uid="{DF3253BB-31A3-43A6-B847-B902A4B80759}"/>
    <cellStyle name="Normal 2 4 7 2 4 2 4" xfId="12313" xr:uid="{0BF06A48-990D-4A07-B19A-6F6D788E595C}"/>
    <cellStyle name="Normal 2 4 7 2 4 3" xfId="5944" xr:uid="{00000000-0005-0000-0000-0000E2100000}"/>
    <cellStyle name="Normal 2 4 7 2 4 3 2" xfId="22827" xr:uid="{DAB64540-83DD-4374-A098-74F9E4A2D2B7}"/>
    <cellStyle name="Normal 2 4 7 2 4 3 3" xfId="14386" xr:uid="{04E07845-C3AB-48B3-8C12-28FCF6F4CF24}"/>
    <cellStyle name="Normal 2 4 7 2 4 4" xfId="18609" xr:uid="{07D58173-3801-40DA-9BB9-FB060F893F02}"/>
    <cellStyle name="Normal 2 4 7 2 4 5" xfId="10168" xr:uid="{0B5B4A33-9CC9-481E-B7A2-8398B890DD86}"/>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25385" xr:uid="{9436A7A6-BA02-4D8B-A5DC-443C33D8C238}"/>
    <cellStyle name="Normal 2 4 7 2 5 2 2 3" xfId="16944" xr:uid="{568B3F49-8989-4568-858E-30DF52C4509A}"/>
    <cellStyle name="Normal 2 4 7 2 5 2 3" xfId="21167" xr:uid="{27022BFC-D555-4947-B691-51AABBC46A0C}"/>
    <cellStyle name="Normal 2 4 7 2 5 2 4" xfId="12726" xr:uid="{1F4DE76D-48D7-45BA-A1D9-A53F0C3BA4A9}"/>
    <cellStyle name="Normal 2 4 7 2 5 3" xfId="6357" xr:uid="{00000000-0005-0000-0000-0000E6100000}"/>
    <cellStyle name="Normal 2 4 7 2 5 3 2" xfId="23240" xr:uid="{437398A1-EA4C-44D9-BB5B-F74CB6D482B5}"/>
    <cellStyle name="Normal 2 4 7 2 5 3 3" xfId="14799" xr:uid="{A75BD3CD-4969-4436-9809-EDD700EA59B7}"/>
    <cellStyle name="Normal 2 4 7 2 5 4" xfId="19022" xr:uid="{1F7E2F2E-39EE-4AA6-A195-7CE4BD9403DA}"/>
    <cellStyle name="Normal 2 4 7 2 5 5" xfId="10581" xr:uid="{66BE9D33-ABDC-44FB-B794-53B6EC2191CF}"/>
    <cellStyle name="Normal 2 4 7 2 6" xfId="2486" xr:uid="{00000000-0005-0000-0000-0000E7100000}"/>
    <cellStyle name="Normal 2 4 7 2 6 2" xfId="6770" xr:uid="{00000000-0005-0000-0000-0000E8100000}"/>
    <cellStyle name="Normal 2 4 7 2 6 2 2" xfId="23653" xr:uid="{B9508DED-9D78-47DE-BC7F-2295E022606D}"/>
    <cellStyle name="Normal 2 4 7 2 6 2 3" xfId="15212" xr:uid="{364234B4-DECD-4FA0-BFB5-01113750BA7A}"/>
    <cellStyle name="Normal 2 4 7 2 6 3" xfId="19435" xr:uid="{BC86D8BE-E2D7-4285-A686-A92863BC7721}"/>
    <cellStyle name="Normal 2 4 7 2 6 4" xfId="10994" xr:uid="{5E1EAB87-19DD-4351-8174-8714CB461327}"/>
    <cellStyle name="Normal 2 4 7 2 7" xfId="4704" xr:uid="{00000000-0005-0000-0000-0000E9100000}"/>
    <cellStyle name="Normal 2 4 7 2 7 2" xfId="21587" xr:uid="{412C17DB-7296-4D7F-A62B-E536F406C3A3}"/>
    <cellStyle name="Normal 2 4 7 2 7 3" xfId="13146" xr:uid="{E009AACD-F142-4703-BD26-9E316542EE81}"/>
    <cellStyle name="Normal 2 4 7 2 8" xfId="17369" xr:uid="{31A37FE9-EFA9-44AE-B106-529CF71BEB9B}"/>
    <cellStyle name="Normal 2 4 7 2 9" xfId="8928" xr:uid="{BF51751E-194E-44F1-8FF6-3C219FD503C3}"/>
    <cellStyle name="Normal 2 4 7 3" xfId="800" xr:uid="{00000000-0005-0000-0000-0000EA100000}"/>
    <cellStyle name="Normal 2 4 7 3 2" xfId="3039" xr:uid="{00000000-0005-0000-0000-0000EB100000}"/>
    <cellStyle name="Normal 2 4 7 3 2 2" xfId="7262" xr:uid="{00000000-0005-0000-0000-0000EC100000}"/>
    <cellStyle name="Normal 2 4 7 3 2 2 2" xfId="24145" xr:uid="{0F058A2D-A508-451E-9F9D-424D72A98481}"/>
    <cellStyle name="Normal 2 4 7 3 2 2 3" xfId="15704" xr:uid="{B38EC1E2-4A36-48FC-9C8E-AC2754A1B600}"/>
    <cellStyle name="Normal 2 4 7 3 2 3" xfId="19927" xr:uid="{DF3CEDBC-54E1-43F2-8109-4F42E9CC68BC}"/>
    <cellStyle name="Normal 2 4 7 3 2 4" xfId="11486" xr:uid="{78B81B58-DFFF-400B-A106-CDE3AD6771D8}"/>
    <cellStyle name="Normal 2 4 7 3 3" xfId="5117" xr:uid="{00000000-0005-0000-0000-0000ED100000}"/>
    <cellStyle name="Normal 2 4 7 3 3 2" xfId="22000" xr:uid="{1B57F940-C77D-442F-957A-9B2A2905EC2C}"/>
    <cellStyle name="Normal 2 4 7 3 3 3" xfId="13559" xr:uid="{84A59BCC-F4CA-41F1-A705-08AAE3353E96}"/>
    <cellStyle name="Normal 2 4 7 3 4" xfId="17782" xr:uid="{8A0430E1-D680-441F-B712-230BD2B07BD8}"/>
    <cellStyle name="Normal 2 4 7 3 5" xfId="9341" xr:uid="{6E41DC9D-02FD-4305-ADF2-D4AAB0950355}"/>
    <cellStyle name="Normal 2 4 7 4" xfId="1222" xr:uid="{00000000-0005-0000-0000-0000EE100000}"/>
    <cellStyle name="Normal 2 4 7 4 2" xfId="3452" xr:uid="{00000000-0005-0000-0000-0000EF100000}"/>
    <cellStyle name="Normal 2 4 7 4 2 2" xfId="7675" xr:uid="{00000000-0005-0000-0000-0000F0100000}"/>
    <cellStyle name="Normal 2 4 7 4 2 2 2" xfId="24558" xr:uid="{48C69051-8C17-491D-B8BE-4931DC988796}"/>
    <cellStyle name="Normal 2 4 7 4 2 2 3" xfId="16117" xr:uid="{B2CBD3DB-0F6E-46CA-AAEB-FBE219C63531}"/>
    <cellStyle name="Normal 2 4 7 4 2 3" xfId="20340" xr:uid="{98B5196F-ABDC-4565-A72C-C4FBE19D2E0A}"/>
    <cellStyle name="Normal 2 4 7 4 2 4" xfId="11899" xr:uid="{D09E0360-5784-4926-B726-D1C21438A545}"/>
    <cellStyle name="Normal 2 4 7 4 3" xfId="5530" xr:uid="{00000000-0005-0000-0000-0000F1100000}"/>
    <cellStyle name="Normal 2 4 7 4 3 2" xfId="22413" xr:uid="{34560296-C92C-44EE-95F4-C5407B411A08}"/>
    <cellStyle name="Normal 2 4 7 4 3 3" xfId="13972" xr:uid="{061C270D-010E-4CEF-9670-0DA4BECD7B84}"/>
    <cellStyle name="Normal 2 4 7 4 4" xfId="18195" xr:uid="{9BE5CE61-D977-4CD0-A1BF-A4FEBB58A975}"/>
    <cellStyle name="Normal 2 4 7 4 5" xfId="9754" xr:uid="{57E0AC99-4168-4B16-9581-91271C65C8BE}"/>
    <cellStyle name="Normal 2 4 7 5" xfId="1635" xr:uid="{00000000-0005-0000-0000-0000F2100000}"/>
    <cellStyle name="Normal 2 4 7 5 2" xfId="3865" xr:uid="{00000000-0005-0000-0000-0000F3100000}"/>
    <cellStyle name="Normal 2 4 7 5 2 2" xfId="8088" xr:uid="{00000000-0005-0000-0000-0000F4100000}"/>
    <cellStyle name="Normal 2 4 7 5 2 2 2" xfId="24971" xr:uid="{2D3AC21C-6306-4D96-92CA-113EB4FAD74C}"/>
    <cellStyle name="Normal 2 4 7 5 2 2 3" xfId="16530" xr:uid="{EF56B676-BB97-44DF-9BBC-EA54B42A991F}"/>
    <cellStyle name="Normal 2 4 7 5 2 3" xfId="20753" xr:uid="{3D3922DA-79FA-4BFA-A744-D1D7AF5BECE2}"/>
    <cellStyle name="Normal 2 4 7 5 2 4" xfId="12312" xr:uid="{7D239DF6-2DDB-4D4F-B85C-7DBB33E31EC7}"/>
    <cellStyle name="Normal 2 4 7 5 3" xfId="5943" xr:uid="{00000000-0005-0000-0000-0000F5100000}"/>
    <cellStyle name="Normal 2 4 7 5 3 2" xfId="22826" xr:uid="{37EE1CDD-A94C-48DD-AC60-95BF10804D1A}"/>
    <cellStyle name="Normal 2 4 7 5 3 3" xfId="14385" xr:uid="{C044FE89-E33B-4397-9375-2F67C21365E0}"/>
    <cellStyle name="Normal 2 4 7 5 4" xfId="18608" xr:uid="{01FC4CB0-18F2-4870-B24E-D696535AF543}"/>
    <cellStyle name="Normal 2 4 7 5 5" xfId="10167" xr:uid="{420BB9D9-942C-4DDF-9386-61F4E4680690}"/>
    <cellStyle name="Normal 2 4 7 6" xfId="2049" xr:uid="{00000000-0005-0000-0000-0000F6100000}"/>
    <cellStyle name="Normal 2 4 7 6 2" xfId="4278" xr:uid="{00000000-0005-0000-0000-0000F7100000}"/>
    <cellStyle name="Normal 2 4 7 6 2 2" xfId="8501" xr:uid="{00000000-0005-0000-0000-0000F8100000}"/>
    <cellStyle name="Normal 2 4 7 6 2 2 2" xfId="25384" xr:uid="{ADD94C0C-49C0-40BE-95AA-7760D46F8D6E}"/>
    <cellStyle name="Normal 2 4 7 6 2 2 3" xfId="16943" xr:uid="{0E250FD3-5B8B-4BA9-98F4-F4DECDA688B0}"/>
    <cellStyle name="Normal 2 4 7 6 2 3" xfId="21166" xr:uid="{DBD704A8-1FE3-4F6B-A7EE-C6665C325C17}"/>
    <cellStyle name="Normal 2 4 7 6 2 4" xfId="12725" xr:uid="{400299CF-19A4-4E0A-A592-DE9A863A961D}"/>
    <cellStyle name="Normal 2 4 7 6 3" xfId="6356" xr:uid="{00000000-0005-0000-0000-0000F9100000}"/>
    <cellStyle name="Normal 2 4 7 6 3 2" xfId="23239" xr:uid="{A3ABCB68-F1D0-44F9-8C3B-AEE014D9AD05}"/>
    <cellStyle name="Normal 2 4 7 6 3 3" xfId="14798" xr:uid="{9E45DD6B-F217-4814-96D8-E01B1AEE5C38}"/>
    <cellStyle name="Normal 2 4 7 6 4" xfId="19021" xr:uid="{C92813AB-3443-4103-8E85-CCFAB69722F9}"/>
    <cellStyle name="Normal 2 4 7 6 5" xfId="10580" xr:uid="{B0BAE172-DC9E-453D-927E-01EBDAA5133C}"/>
    <cellStyle name="Normal 2 4 7 7" xfId="2485" xr:uid="{00000000-0005-0000-0000-0000FA100000}"/>
    <cellStyle name="Normal 2 4 7 7 2" xfId="6769" xr:uid="{00000000-0005-0000-0000-0000FB100000}"/>
    <cellStyle name="Normal 2 4 7 7 2 2" xfId="23652" xr:uid="{CAE4C60C-748B-462C-BC2C-3454A03D23FE}"/>
    <cellStyle name="Normal 2 4 7 7 2 3" xfId="15211" xr:uid="{1764564E-9DB5-469F-BBA9-2CD2C0BF4739}"/>
    <cellStyle name="Normal 2 4 7 7 3" xfId="19434" xr:uid="{74C7652A-F78E-4F02-BE99-0BBCDFAB03BF}"/>
    <cellStyle name="Normal 2 4 7 7 4" xfId="10993" xr:uid="{74A2D858-B3D0-46BE-9A00-E3C7ADC9A887}"/>
    <cellStyle name="Normal 2 4 7 8" xfId="4703" xr:uid="{00000000-0005-0000-0000-0000FC100000}"/>
    <cellStyle name="Normal 2 4 7 8 2" xfId="21586" xr:uid="{6A985035-31B1-44CD-83DA-19FAC270F0AF}"/>
    <cellStyle name="Normal 2 4 7 8 3" xfId="13145" xr:uid="{AAE962C8-3C12-4712-ADDA-051A78D9B93E}"/>
    <cellStyle name="Normal 2 4 7 9" xfId="17368" xr:uid="{8B4386D5-DC22-4C63-AD44-77D92128B91A}"/>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24147" xr:uid="{704D99C7-0A31-41D3-8835-BBD3E067DA2D}"/>
    <cellStyle name="Normal 2 4 8 2 2 2 3" xfId="15706" xr:uid="{0EF8D3D7-C017-48E4-BD34-FD807A79DE65}"/>
    <cellStyle name="Normal 2 4 8 2 2 3" xfId="19929" xr:uid="{568C8801-AF65-4337-ABA9-9746CF89533B}"/>
    <cellStyle name="Normal 2 4 8 2 2 4" xfId="11488" xr:uid="{B4E485A0-1A4A-4542-9C58-61A88E998F88}"/>
    <cellStyle name="Normal 2 4 8 2 3" xfId="5119" xr:uid="{00000000-0005-0000-0000-000001110000}"/>
    <cellStyle name="Normal 2 4 8 2 3 2" xfId="22002" xr:uid="{0179C245-155B-4908-9D8D-7FDE608F38CA}"/>
    <cellStyle name="Normal 2 4 8 2 3 3" xfId="13561" xr:uid="{E6CD570E-4946-4A8C-8FD2-B7C633C86C29}"/>
    <cellStyle name="Normal 2 4 8 2 4" xfId="17784" xr:uid="{431E3075-D78B-4264-B5E1-D3560F8979CC}"/>
    <cellStyle name="Normal 2 4 8 2 5" xfId="9343" xr:uid="{2DBCFC56-4D44-4B0D-B8EC-FDADB78AB6DA}"/>
    <cellStyle name="Normal 2 4 8 3" xfId="1224" xr:uid="{00000000-0005-0000-0000-000002110000}"/>
    <cellStyle name="Normal 2 4 8 3 2" xfId="3454" xr:uid="{00000000-0005-0000-0000-000003110000}"/>
    <cellStyle name="Normal 2 4 8 3 2 2" xfId="7677" xr:uid="{00000000-0005-0000-0000-000004110000}"/>
    <cellStyle name="Normal 2 4 8 3 2 2 2" xfId="24560" xr:uid="{6854AEF1-3F6B-42BE-BFC0-CA5FBD4C002D}"/>
    <cellStyle name="Normal 2 4 8 3 2 2 3" xfId="16119" xr:uid="{18B3BBF3-473F-43C8-9A36-7A8CE077BE0B}"/>
    <cellStyle name="Normal 2 4 8 3 2 3" xfId="20342" xr:uid="{860DA4F5-9029-4497-A620-5082928D8C78}"/>
    <cellStyle name="Normal 2 4 8 3 2 4" xfId="11901" xr:uid="{DF76CFF5-EB10-4112-86D0-E4EDF7407F86}"/>
    <cellStyle name="Normal 2 4 8 3 3" xfId="5532" xr:uid="{00000000-0005-0000-0000-000005110000}"/>
    <cellStyle name="Normal 2 4 8 3 3 2" xfId="22415" xr:uid="{E9C4BC4D-163F-4D6C-B6A6-EA06219A1C2D}"/>
    <cellStyle name="Normal 2 4 8 3 3 3" xfId="13974" xr:uid="{B8562562-CD6F-468C-977A-26EA555F0336}"/>
    <cellStyle name="Normal 2 4 8 3 4" xfId="18197" xr:uid="{68C7D1A0-4533-4EDA-9D33-1830B4B926E1}"/>
    <cellStyle name="Normal 2 4 8 3 5" xfId="9756" xr:uid="{9244590A-8E48-441F-8B95-E7E8A5111E4B}"/>
    <cellStyle name="Normal 2 4 8 4" xfId="1637" xr:uid="{00000000-0005-0000-0000-000006110000}"/>
    <cellStyle name="Normal 2 4 8 4 2" xfId="3867" xr:uid="{00000000-0005-0000-0000-000007110000}"/>
    <cellStyle name="Normal 2 4 8 4 2 2" xfId="8090" xr:uid="{00000000-0005-0000-0000-000008110000}"/>
    <cellStyle name="Normal 2 4 8 4 2 2 2" xfId="24973" xr:uid="{C3AA770D-E404-43D4-B5A7-B2DEAFD8BF36}"/>
    <cellStyle name="Normal 2 4 8 4 2 2 3" xfId="16532" xr:uid="{59CF8B16-466B-4CFE-B81F-7C29732ADDA7}"/>
    <cellStyle name="Normal 2 4 8 4 2 3" xfId="20755" xr:uid="{80E9CE3D-B9A2-4DE5-B080-D4B1A2793967}"/>
    <cellStyle name="Normal 2 4 8 4 2 4" xfId="12314" xr:uid="{47D0046D-BFB6-4333-A8A5-3AC5B46F47FF}"/>
    <cellStyle name="Normal 2 4 8 4 3" xfId="5945" xr:uid="{00000000-0005-0000-0000-000009110000}"/>
    <cellStyle name="Normal 2 4 8 4 3 2" xfId="22828" xr:uid="{DDF215D2-D7D9-454D-AC92-F430E5016FA5}"/>
    <cellStyle name="Normal 2 4 8 4 3 3" xfId="14387" xr:uid="{95FBB040-25D4-478D-84C5-C2063AC8DC28}"/>
    <cellStyle name="Normal 2 4 8 4 4" xfId="18610" xr:uid="{D69E799B-6E58-4FAA-9B79-31FD64E86846}"/>
    <cellStyle name="Normal 2 4 8 4 5" xfId="10169" xr:uid="{6FB5C3EE-11C8-4262-89D9-DF3FB0AAB800}"/>
    <cellStyle name="Normal 2 4 8 5" xfId="2051" xr:uid="{00000000-0005-0000-0000-00000A110000}"/>
    <cellStyle name="Normal 2 4 8 5 2" xfId="4280" xr:uid="{00000000-0005-0000-0000-00000B110000}"/>
    <cellStyle name="Normal 2 4 8 5 2 2" xfId="8503" xr:uid="{00000000-0005-0000-0000-00000C110000}"/>
    <cellStyle name="Normal 2 4 8 5 2 2 2" xfId="25386" xr:uid="{CC726934-4811-43DA-9F67-BFB6154C1890}"/>
    <cellStyle name="Normal 2 4 8 5 2 2 3" xfId="16945" xr:uid="{EC6637AA-86EF-4175-B0D9-1A865DB0E840}"/>
    <cellStyle name="Normal 2 4 8 5 2 3" xfId="21168" xr:uid="{7AA91368-AB62-4F4A-90E8-005E39B218E3}"/>
    <cellStyle name="Normal 2 4 8 5 2 4" xfId="12727" xr:uid="{4A43F6FB-9078-4EC6-B7D8-CBEAD423303D}"/>
    <cellStyle name="Normal 2 4 8 5 3" xfId="6358" xr:uid="{00000000-0005-0000-0000-00000D110000}"/>
    <cellStyle name="Normal 2 4 8 5 3 2" xfId="23241" xr:uid="{B320AE39-45A8-4372-85F6-4C50C36194E6}"/>
    <cellStyle name="Normal 2 4 8 5 3 3" xfId="14800" xr:uid="{A9250E73-B0D1-479D-8129-E221FE2B4182}"/>
    <cellStyle name="Normal 2 4 8 5 4" xfId="19023" xr:uid="{A141AF89-352C-405F-BD42-265929085FA2}"/>
    <cellStyle name="Normal 2 4 8 5 5" xfId="10582" xr:uid="{E8E6479A-2664-4645-9C55-8128E8720221}"/>
    <cellStyle name="Normal 2 4 8 6" xfId="2487" xr:uid="{00000000-0005-0000-0000-00000E110000}"/>
    <cellStyle name="Normal 2 4 8 6 2" xfId="6771" xr:uid="{00000000-0005-0000-0000-00000F110000}"/>
    <cellStyle name="Normal 2 4 8 6 2 2" xfId="23654" xr:uid="{11864DC3-BE89-4557-94FA-6D733F6B01D3}"/>
    <cellStyle name="Normal 2 4 8 6 2 3" xfId="15213" xr:uid="{A172842B-ED1B-4CBB-8C0D-91AD41F7089E}"/>
    <cellStyle name="Normal 2 4 8 6 3" xfId="19436" xr:uid="{20CFB162-B645-4725-976D-863AFE29FA29}"/>
    <cellStyle name="Normal 2 4 8 6 4" xfId="10995" xr:uid="{35A7D01E-95A1-4EB1-9724-528526025E06}"/>
    <cellStyle name="Normal 2 4 8 7" xfId="4705" xr:uid="{00000000-0005-0000-0000-000010110000}"/>
    <cellStyle name="Normal 2 4 8 7 2" xfId="21588" xr:uid="{20A4BF8B-C8C7-4477-8538-399D2567EA73}"/>
    <cellStyle name="Normal 2 4 8 7 3" xfId="13147" xr:uid="{1C89C393-2413-4820-949B-27D4EEBCCC67}"/>
    <cellStyle name="Normal 2 4 8 8" xfId="17370" xr:uid="{0CCD917E-3909-43C4-932D-D65CB9C27E46}"/>
    <cellStyle name="Normal 2 4 8 9" xfId="8929" xr:uid="{F1E323B6-238E-4DD4-820D-973763148266}"/>
    <cellStyle name="Normal 2 5" xfId="315" xr:uid="{00000000-0005-0000-0000-000011110000}"/>
    <cellStyle name="Normal 2 5 10" xfId="4706" xr:uid="{00000000-0005-0000-0000-000012110000}"/>
    <cellStyle name="Normal 2 5 10 2" xfId="21589" xr:uid="{2AA0B7AA-BA2F-4612-BB64-4C4607E57F4F}"/>
    <cellStyle name="Normal 2 5 10 3" xfId="13148" xr:uid="{413792B9-180F-4E6A-9F8A-04F1460680AC}"/>
    <cellStyle name="Normal 2 5 11" xfId="17371" xr:uid="{517125FA-1829-4405-96AC-DBC3AA263E59}"/>
    <cellStyle name="Normal 2 5 12" xfId="8930" xr:uid="{5A4F3A96-BC20-493F-B5EE-BEDFDBD462B8}"/>
    <cellStyle name="Normal 2 5 2" xfId="316" xr:uid="{00000000-0005-0000-0000-000013110000}"/>
    <cellStyle name="Normal 2 5 3" xfId="317" xr:uid="{00000000-0005-0000-0000-000014110000}"/>
    <cellStyle name="Normal 2 5 4" xfId="318" xr:uid="{00000000-0005-0000-0000-000015110000}"/>
    <cellStyle name="Normal 2 5 4 10" xfId="17372" xr:uid="{C9A9BEA1-1931-480C-966B-ECB1A65B5921}"/>
    <cellStyle name="Normal 2 5 4 11" xfId="8931" xr:uid="{B20D8FB7-9B22-461E-83A9-C0248261CB31}"/>
    <cellStyle name="Normal 2 5 4 2" xfId="319" xr:uid="{00000000-0005-0000-0000-000016110000}"/>
    <cellStyle name="Normal 2 5 4 2 10" xfId="8932" xr:uid="{D74CFB56-A3C6-4C85-81E5-7D73512276FD}"/>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24151" xr:uid="{2D90C08E-B641-4710-A174-75270C7AE811}"/>
    <cellStyle name="Normal 2 5 4 2 2 2 2 2 3" xfId="15710" xr:uid="{333F81BF-B6EC-4C6B-84DD-A227C2A7A2F9}"/>
    <cellStyle name="Normal 2 5 4 2 2 2 2 3" xfId="19933" xr:uid="{E547C10B-F229-4EAC-863E-66AA1E79DA66}"/>
    <cellStyle name="Normal 2 5 4 2 2 2 2 4" xfId="11492" xr:uid="{50AC6AB1-FF32-4E35-8DAD-7F5D304EB117}"/>
    <cellStyle name="Normal 2 5 4 2 2 2 3" xfId="5123" xr:uid="{00000000-0005-0000-0000-00001B110000}"/>
    <cellStyle name="Normal 2 5 4 2 2 2 3 2" xfId="22006" xr:uid="{4B9789E9-1D08-4F58-AC76-43E69A733BFB}"/>
    <cellStyle name="Normal 2 5 4 2 2 2 3 3" xfId="13565" xr:uid="{71305796-A501-4F77-87E5-FF43DD241634}"/>
    <cellStyle name="Normal 2 5 4 2 2 2 4" xfId="17788" xr:uid="{36D8124D-0483-4F8D-8A7F-281E8C854A71}"/>
    <cellStyle name="Normal 2 5 4 2 2 2 5" xfId="9347" xr:uid="{538E710A-770A-422B-A9AE-C4F7B912CEE2}"/>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24564" xr:uid="{8C819B98-8604-42AF-AE11-5B79F5B16898}"/>
    <cellStyle name="Normal 2 5 4 2 2 3 2 2 3" xfId="16123" xr:uid="{DC3BFC80-F248-4423-96D5-915DE60D8DBF}"/>
    <cellStyle name="Normal 2 5 4 2 2 3 2 3" xfId="20346" xr:uid="{AF89A7C7-BE0F-46BA-B08B-0A5CD2681864}"/>
    <cellStyle name="Normal 2 5 4 2 2 3 2 4" xfId="11905" xr:uid="{6212B5A0-2830-4C30-A41A-5C1DD82D7D12}"/>
    <cellStyle name="Normal 2 5 4 2 2 3 3" xfId="5536" xr:uid="{00000000-0005-0000-0000-00001F110000}"/>
    <cellStyle name="Normal 2 5 4 2 2 3 3 2" xfId="22419" xr:uid="{2CCB191F-15FF-43BA-8F60-3964E865D81D}"/>
    <cellStyle name="Normal 2 5 4 2 2 3 3 3" xfId="13978" xr:uid="{E1CC0881-FD1F-44AB-962B-DC627D921F55}"/>
    <cellStyle name="Normal 2 5 4 2 2 3 4" xfId="18201" xr:uid="{B68C08F0-19CA-4047-B136-DE5D6CBC9EE0}"/>
    <cellStyle name="Normal 2 5 4 2 2 3 5" xfId="9760" xr:uid="{7A6CCB54-0F0A-46AE-BEAD-5280E30E3F1D}"/>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24977" xr:uid="{5E41F14A-D9D0-44F4-8367-214CF3E28C61}"/>
    <cellStyle name="Normal 2 5 4 2 2 4 2 2 3" xfId="16536" xr:uid="{CE794604-5718-4AFF-8D12-82B397AEE355}"/>
    <cellStyle name="Normal 2 5 4 2 2 4 2 3" xfId="20759" xr:uid="{93D35946-05E4-4F1B-966E-540208CF6871}"/>
    <cellStyle name="Normal 2 5 4 2 2 4 2 4" xfId="12318" xr:uid="{039CA537-AD68-4F34-A8C1-13DFC4DDB040}"/>
    <cellStyle name="Normal 2 5 4 2 2 4 3" xfId="5949" xr:uid="{00000000-0005-0000-0000-000023110000}"/>
    <cellStyle name="Normal 2 5 4 2 2 4 3 2" xfId="22832" xr:uid="{7216575C-F5A5-4517-B6E1-0BE8A1702B84}"/>
    <cellStyle name="Normal 2 5 4 2 2 4 3 3" xfId="14391" xr:uid="{103EDB44-52D9-490C-B533-F2096AB08973}"/>
    <cellStyle name="Normal 2 5 4 2 2 4 4" xfId="18614" xr:uid="{3D3AB044-962E-48C3-B3D7-F7E133C99EFF}"/>
    <cellStyle name="Normal 2 5 4 2 2 4 5" xfId="10173" xr:uid="{19340381-124A-47BA-AADE-B4068F84DA22}"/>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25390" xr:uid="{AB54FF24-13A8-41AF-8BBB-65876D606825}"/>
    <cellStyle name="Normal 2 5 4 2 2 5 2 2 3" xfId="16949" xr:uid="{79A8CB5E-9736-47BB-81F8-DE83D70D1722}"/>
    <cellStyle name="Normal 2 5 4 2 2 5 2 3" xfId="21172" xr:uid="{BC2BF2FD-FDD2-4BFF-BD91-82F49F314A74}"/>
    <cellStyle name="Normal 2 5 4 2 2 5 2 4" xfId="12731" xr:uid="{43948F86-CFBF-4F4E-83EB-4FA75D71D2E1}"/>
    <cellStyle name="Normal 2 5 4 2 2 5 3" xfId="6362" xr:uid="{00000000-0005-0000-0000-000027110000}"/>
    <cellStyle name="Normal 2 5 4 2 2 5 3 2" xfId="23245" xr:uid="{D55A2555-191C-458F-94B1-CB1841FFF017}"/>
    <cellStyle name="Normal 2 5 4 2 2 5 3 3" xfId="14804" xr:uid="{96AA62C7-24CE-48BB-B0F2-513CA78EF5A3}"/>
    <cellStyle name="Normal 2 5 4 2 2 5 4" xfId="19027" xr:uid="{609BC501-F88B-4E31-B410-1BB82233CF64}"/>
    <cellStyle name="Normal 2 5 4 2 2 5 5" xfId="10586" xr:uid="{E18DAEB6-131F-4516-9BAE-3201FC2DFA23}"/>
    <cellStyle name="Normal 2 5 4 2 2 6" xfId="2491" xr:uid="{00000000-0005-0000-0000-000028110000}"/>
    <cellStyle name="Normal 2 5 4 2 2 6 2" xfId="6775" xr:uid="{00000000-0005-0000-0000-000029110000}"/>
    <cellStyle name="Normal 2 5 4 2 2 6 2 2" xfId="23658" xr:uid="{DD02E306-48BF-4414-B9CA-71F2A286AA36}"/>
    <cellStyle name="Normal 2 5 4 2 2 6 2 3" xfId="15217" xr:uid="{4CEFA4B5-BE58-482A-ACA8-B9E0AE5BA1F6}"/>
    <cellStyle name="Normal 2 5 4 2 2 6 3" xfId="19440" xr:uid="{6482BB15-46D5-4749-B1AE-4AFCDB407261}"/>
    <cellStyle name="Normal 2 5 4 2 2 6 4" xfId="10999" xr:uid="{4FE81485-2F25-421D-9678-89A5D75AB7B6}"/>
    <cellStyle name="Normal 2 5 4 2 2 7" xfId="4709" xr:uid="{00000000-0005-0000-0000-00002A110000}"/>
    <cellStyle name="Normal 2 5 4 2 2 7 2" xfId="21592" xr:uid="{83F21CBC-92F4-48EE-9D17-DB77943CB6F6}"/>
    <cellStyle name="Normal 2 5 4 2 2 7 3" xfId="13151" xr:uid="{BF9DDB36-79F9-4E8A-A2A1-544928E59824}"/>
    <cellStyle name="Normal 2 5 4 2 2 8" xfId="17374" xr:uid="{5F69AD1E-F577-4EFC-ABC6-99A4485F4BC2}"/>
    <cellStyle name="Normal 2 5 4 2 2 9" xfId="8933" xr:uid="{9F16EBEE-8BE7-4C94-9EBD-B1793688FD7D}"/>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24150" xr:uid="{34C6043D-1715-42DE-825F-17F9AA78F213}"/>
    <cellStyle name="Normal 2 5 4 2 3 2 2 3" xfId="15709" xr:uid="{5EA89471-AF47-471A-BFF4-DE1BC77789A0}"/>
    <cellStyle name="Normal 2 5 4 2 3 2 3" xfId="19932" xr:uid="{00687E45-7075-434C-853F-246405A91D08}"/>
    <cellStyle name="Normal 2 5 4 2 3 2 4" xfId="11491" xr:uid="{792DEE4A-006A-4E3F-8F8F-3BBAD2CCFEAB}"/>
    <cellStyle name="Normal 2 5 4 2 3 3" xfId="5122" xr:uid="{00000000-0005-0000-0000-00002E110000}"/>
    <cellStyle name="Normal 2 5 4 2 3 3 2" xfId="22005" xr:uid="{0C6DC65F-EEFB-4A15-8F1B-72902F49AD85}"/>
    <cellStyle name="Normal 2 5 4 2 3 3 3" xfId="13564" xr:uid="{604E1BEE-FCEA-4C46-88F0-36423C9E85D6}"/>
    <cellStyle name="Normal 2 5 4 2 3 4" xfId="17787" xr:uid="{0CA034A6-6905-4151-B866-27DB453EEB2E}"/>
    <cellStyle name="Normal 2 5 4 2 3 5" xfId="9346" xr:uid="{DCCD0A72-0BA5-44EE-8067-61AC1715B451}"/>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24563" xr:uid="{FF5F09B3-0313-430B-8FB0-5ADCDB530BBA}"/>
    <cellStyle name="Normal 2 5 4 2 4 2 2 3" xfId="16122" xr:uid="{0E8BF145-9B31-4929-82AC-55B7CB0FB32E}"/>
    <cellStyle name="Normal 2 5 4 2 4 2 3" xfId="20345" xr:uid="{08C564E6-0D47-4EF8-91A8-E17B43AF224D}"/>
    <cellStyle name="Normal 2 5 4 2 4 2 4" xfId="11904" xr:uid="{D46537DF-4077-41D0-9FE7-1F1F43FE5EF3}"/>
    <cellStyle name="Normal 2 5 4 2 4 3" xfId="5535" xr:uid="{00000000-0005-0000-0000-000032110000}"/>
    <cellStyle name="Normal 2 5 4 2 4 3 2" xfId="22418" xr:uid="{EDB0C168-BF1D-4E09-A459-06D0DB1C474A}"/>
    <cellStyle name="Normal 2 5 4 2 4 3 3" xfId="13977" xr:uid="{D21587FB-CF05-4648-9501-3424C9761CA0}"/>
    <cellStyle name="Normal 2 5 4 2 4 4" xfId="18200" xr:uid="{59F78D74-60D7-4B30-A510-58D4B1002E32}"/>
    <cellStyle name="Normal 2 5 4 2 4 5" xfId="9759" xr:uid="{C064B5CB-6ACB-428F-BFA5-3DD7B58D8B0D}"/>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24976" xr:uid="{437ECFFD-C687-417F-B116-9338A8DB34B4}"/>
    <cellStyle name="Normal 2 5 4 2 5 2 2 3" xfId="16535" xr:uid="{79E4F1EA-F149-477F-BB26-9F2C1F665A4D}"/>
    <cellStyle name="Normal 2 5 4 2 5 2 3" xfId="20758" xr:uid="{EAACBCD0-9729-4CBA-B631-0D0B92EE250E}"/>
    <cellStyle name="Normal 2 5 4 2 5 2 4" xfId="12317" xr:uid="{CDB9E8BB-C958-4046-8D41-BF9E5D6308AD}"/>
    <cellStyle name="Normal 2 5 4 2 5 3" xfId="5948" xr:uid="{00000000-0005-0000-0000-000036110000}"/>
    <cellStyle name="Normal 2 5 4 2 5 3 2" xfId="22831" xr:uid="{0DE1A63B-A9C9-4001-B42C-AF8844C4283A}"/>
    <cellStyle name="Normal 2 5 4 2 5 3 3" xfId="14390" xr:uid="{5FE81844-B2E8-4931-82D1-19DB488DFFB7}"/>
    <cellStyle name="Normal 2 5 4 2 5 4" xfId="18613" xr:uid="{E2880660-B8B4-4E3B-BE4C-CB4146C1BDD8}"/>
    <cellStyle name="Normal 2 5 4 2 5 5" xfId="10172" xr:uid="{B4201D93-5396-401E-8D39-389B1B00E5F6}"/>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25389" xr:uid="{CF8C265C-AE0C-4DBF-938D-A4B511203F18}"/>
    <cellStyle name="Normal 2 5 4 2 6 2 2 3" xfId="16948" xr:uid="{A4DCE564-72FB-4A8A-BD35-6984AD43F0F3}"/>
    <cellStyle name="Normal 2 5 4 2 6 2 3" xfId="21171" xr:uid="{22CCC746-8601-41A5-ADEB-BDCB51FDBE35}"/>
    <cellStyle name="Normal 2 5 4 2 6 2 4" xfId="12730" xr:uid="{D52CA5A1-0214-4719-A022-655A22625086}"/>
    <cellStyle name="Normal 2 5 4 2 6 3" xfId="6361" xr:uid="{00000000-0005-0000-0000-00003A110000}"/>
    <cellStyle name="Normal 2 5 4 2 6 3 2" xfId="23244" xr:uid="{E0384FE5-CB57-4CDC-91D7-0C92D3A63C19}"/>
    <cellStyle name="Normal 2 5 4 2 6 3 3" xfId="14803" xr:uid="{218F6979-880E-4427-BC3D-43513CBB743A}"/>
    <cellStyle name="Normal 2 5 4 2 6 4" xfId="19026" xr:uid="{7A890603-6C36-4645-8CA0-1BA7F3F5ACF1}"/>
    <cellStyle name="Normal 2 5 4 2 6 5" xfId="10585" xr:uid="{1A0FEEE0-D1DC-4161-8707-AB2B897324FB}"/>
    <cellStyle name="Normal 2 5 4 2 7" xfId="2490" xr:uid="{00000000-0005-0000-0000-00003B110000}"/>
    <cellStyle name="Normal 2 5 4 2 7 2" xfId="6774" xr:uid="{00000000-0005-0000-0000-00003C110000}"/>
    <cellStyle name="Normal 2 5 4 2 7 2 2" xfId="23657" xr:uid="{8A611225-2C46-43BB-A870-018D432F77F7}"/>
    <cellStyle name="Normal 2 5 4 2 7 2 3" xfId="15216" xr:uid="{0A19BA46-4C23-468F-B560-E39AEFF95477}"/>
    <cellStyle name="Normal 2 5 4 2 7 3" xfId="19439" xr:uid="{4857511C-CFFE-47BA-AE60-3EB24DA0F7A8}"/>
    <cellStyle name="Normal 2 5 4 2 7 4" xfId="10998" xr:uid="{DF84DA34-DB17-4CC6-B6B7-C6DECA3B7C19}"/>
    <cellStyle name="Normal 2 5 4 2 8" xfId="4708" xr:uid="{00000000-0005-0000-0000-00003D110000}"/>
    <cellStyle name="Normal 2 5 4 2 8 2" xfId="21591" xr:uid="{A801AAA0-C05F-43A0-9F6B-07F9F5F182AB}"/>
    <cellStyle name="Normal 2 5 4 2 8 3" xfId="13150" xr:uid="{CFAB7417-B149-43EF-8D90-F61963393589}"/>
    <cellStyle name="Normal 2 5 4 2 9" xfId="17373" xr:uid="{0B77ADFD-A53E-4183-A0C1-C2608918CA56}"/>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24152" xr:uid="{A12C4D76-1E89-4018-AE29-1B4CB264DE3B}"/>
    <cellStyle name="Normal 2 5 4 3 2 2 2 3" xfId="15711" xr:uid="{7E4A2772-FB6D-4D4E-8F82-AC65C7843963}"/>
    <cellStyle name="Normal 2 5 4 3 2 2 3" xfId="19934" xr:uid="{1B532E6D-7014-4692-AC0A-77402375708C}"/>
    <cellStyle name="Normal 2 5 4 3 2 2 4" xfId="11493" xr:uid="{C5C81534-2D89-4681-BEB9-1780F37BF167}"/>
    <cellStyle name="Normal 2 5 4 3 2 3" xfId="5124" xr:uid="{00000000-0005-0000-0000-000042110000}"/>
    <cellStyle name="Normal 2 5 4 3 2 3 2" xfId="22007" xr:uid="{63592138-CBC5-4A6D-99F0-994B2DE27A53}"/>
    <cellStyle name="Normal 2 5 4 3 2 3 3" xfId="13566" xr:uid="{ADD6FECE-74DC-4B7F-B4F1-C5E54966DA80}"/>
    <cellStyle name="Normal 2 5 4 3 2 4" xfId="17789" xr:uid="{71C8109D-AD42-4391-9CD9-39F08F76CD05}"/>
    <cellStyle name="Normal 2 5 4 3 2 5" xfId="9348" xr:uid="{201675D3-13DF-4171-A15E-DB9008E90A66}"/>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24565" xr:uid="{320375DA-9309-4D2A-877C-64E81709A76F}"/>
    <cellStyle name="Normal 2 5 4 3 3 2 2 3" xfId="16124" xr:uid="{1D61FE1C-B6C5-44B6-98C4-1D0D52E8D06D}"/>
    <cellStyle name="Normal 2 5 4 3 3 2 3" xfId="20347" xr:uid="{5FB371A4-EB1D-4B15-9A34-A38EC8D929ED}"/>
    <cellStyle name="Normal 2 5 4 3 3 2 4" xfId="11906" xr:uid="{40D824B1-B0BB-44C3-88FD-51C04FB9571E}"/>
    <cellStyle name="Normal 2 5 4 3 3 3" xfId="5537" xr:uid="{00000000-0005-0000-0000-000046110000}"/>
    <cellStyle name="Normal 2 5 4 3 3 3 2" xfId="22420" xr:uid="{E681A6B1-BC8C-4DAC-9B40-5FF94EAFC90B}"/>
    <cellStyle name="Normal 2 5 4 3 3 3 3" xfId="13979" xr:uid="{7E8F0D44-9485-415E-9FDB-9A71704D8470}"/>
    <cellStyle name="Normal 2 5 4 3 3 4" xfId="18202" xr:uid="{6528D8DC-B78D-44C2-B26E-D3E5138E454C}"/>
    <cellStyle name="Normal 2 5 4 3 3 5" xfId="9761" xr:uid="{76049505-8316-4F6D-804D-90EB0005354E}"/>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24978" xr:uid="{80972553-402E-4E79-AA84-94A88131EAE5}"/>
    <cellStyle name="Normal 2 5 4 3 4 2 2 3" xfId="16537" xr:uid="{7EA71B8C-C0C3-4A19-B9AD-5E71D0500154}"/>
    <cellStyle name="Normal 2 5 4 3 4 2 3" xfId="20760" xr:uid="{83B4B2D6-155C-40C7-86F6-45ABC3CDFBE3}"/>
    <cellStyle name="Normal 2 5 4 3 4 2 4" xfId="12319" xr:uid="{C3D2F083-F29B-4C73-BFA3-F8676B805FE9}"/>
    <cellStyle name="Normal 2 5 4 3 4 3" xfId="5950" xr:uid="{00000000-0005-0000-0000-00004A110000}"/>
    <cellStyle name="Normal 2 5 4 3 4 3 2" xfId="22833" xr:uid="{F6F6FC95-725C-4BC7-AB3F-ED5F6867F871}"/>
    <cellStyle name="Normal 2 5 4 3 4 3 3" xfId="14392" xr:uid="{9349B1FB-AFA1-4550-89BA-13E78003E6CA}"/>
    <cellStyle name="Normal 2 5 4 3 4 4" xfId="18615" xr:uid="{60937759-DAF5-4C1C-B2FF-773CC2401F50}"/>
    <cellStyle name="Normal 2 5 4 3 4 5" xfId="10174" xr:uid="{CB2E5B21-3974-4447-BB5F-8923FE37BF97}"/>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25391" xr:uid="{F4A6ED34-BCCD-4D38-AF75-17719584CE79}"/>
    <cellStyle name="Normal 2 5 4 3 5 2 2 3" xfId="16950" xr:uid="{AC41C32B-EC20-486A-A930-7E63206F410D}"/>
    <cellStyle name="Normal 2 5 4 3 5 2 3" xfId="21173" xr:uid="{D3ED7E9B-086E-4A11-868A-BE94E3552B4B}"/>
    <cellStyle name="Normal 2 5 4 3 5 2 4" xfId="12732" xr:uid="{3A193CB9-11A4-4E2E-AFFF-E68B9EFEB769}"/>
    <cellStyle name="Normal 2 5 4 3 5 3" xfId="6363" xr:uid="{00000000-0005-0000-0000-00004E110000}"/>
    <cellStyle name="Normal 2 5 4 3 5 3 2" xfId="23246" xr:uid="{CB76FA82-3B5F-4546-A16A-89F372955B45}"/>
    <cellStyle name="Normal 2 5 4 3 5 3 3" xfId="14805" xr:uid="{0F1E604D-F12D-4680-AEA7-B840FCE6EA07}"/>
    <cellStyle name="Normal 2 5 4 3 5 4" xfId="19028" xr:uid="{0F95C948-DA05-4725-8825-0082C700B25B}"/>
    <cellStyle name="Normal 2 5 4 3 5 5" xfId="10587" xr:uid="{9087DA35-5E0B-4CD7-8C93-C42F28E90487}"/>
    <cellStyle name="Normal 2 5 4 3 6" xfId="2492" xr:uid="{00000000-0005-0000-0000-00004F110000}"/>
    <cellStyle name="Normal 2 5 4 3 6 2" xfId="6776" xr:uid="{00000000-0005-0000-0000-000050110000}"/>
    <cellStyle name="Normal 2 5 4 3 6 2 2" xfId="23659" xr:uid="{586C96C6-85FA-4069-A1B2-B80DA765C039}"/>
    <cellStyle name="Normal 2 5 4 3 6 2 3" xfId="15218" xr:uid="{8348EA44-9A25-4D3B-9584-8D60E4B68004}"/>
    <cellStyle name="Normal 2 5 4 3 6 3" xfId="19441" xr:uid="{3071A706-3EEB-45A6-8285-732FC099EA6E}"/>
    <cellStyle name="Normal 2 5 4 3 6 4" xfId="11000" xr:uid="{0FF183A5-FF79-4563-849E-EB47E25ECCBA}"/>
    <cellStyle name="Normal 2 5 4 3 7" xfId="4710" xr:uid="{00000000-0005-0000-0000-000051110000}"/>
    <cellStyle name="Normal 2 5 4 3 7 2" xfId="21593" xr:uid="{426E6175-C96C-4AEF-AE5F-70E16D5B1191}"/>
    <cellStyle name="Normal 2 5 4 3 7 3" xfId="13152" xr:uid="{F24E605B-869B-4D1A-ACDF-7A860DA94A92}"/>
    <cellStyle name="Normal 2 5 4 3 8" xfId="17375" xr:uid="{78B58389-34BE-4ABF-B760-E93B4AF9625E}"/>
    <cellStyle name="Normal 2 5 4 3 9" xfId="8934" xr:uid="{EE77FAE2-4F43-4A8B-A17E-4259F0DD16D2}"/>
    <cellStyle name="Normal 2 5 4 4" xfId="804" xr:uid="{00000000-0005-0000-0000-000052110000}"/>
    <cellStyle name="Normal 2 5 4 4 2" xfId="3043" xr:uid="{00000000-0005-0000-0000-000053110000}"/>
    <cellStyle name="Normal 2 5 4 4 2 2" xfId="7266" xr:uid="{00000000-0005-0000-0000-000054110000}"/>
    <cellStyle name="Normal 2 5 4 4 2 2 2" xfId="24149" xr:uid="{05D54AA1-2D77-4F32-AB71-647D897AB78A}"/>
    <cellStyle name="Normal 2 5 4 4 2 2 3" xfId="15708" xr:uid="{8AB63DBD-003B-4DDA-B6E3-481F7CE569A6}"/>
    <cellStyle name="Normal 2 5 4 4 2 3" xfId="19931" xr:uid="{4FD07518-CEEB-49CF-82DB-9396456FF189}"/>
    <cellStyle name="Normal 2 5 4 4 2 4" xfId="11490" xr:uid="{4305F26F-0460-4ADC-9FA8-D6127AD34723}"/>
    <cellStyle name="Normal 2 5 4 4 3" xfId="5121" xr:uid="{00000000-0005-0000-0000-000055110000}"/>
    <cellStyle name="Normal 2 5 4 4 3 2" xfId="22004" xr:uid="{AED18381-B5A8-4477-8E10-5524178A0009}"/>
    <cellStyle name="Normal 2 5 4 4 3 3" xfId="13563" xr:uid="{91573161-C9A4-4490-9772-7C3759D90EDB}"/>
    <cellStyle name="Normal 2 5 4 4 4" xfId="17786" xr:uid="{F5BC9AAB-95B3-4B98-BDA6-809B866ECEFE}"/>
    <cellStyle name="Normal 2 5 4 4 5" xfId="9345" xr:uid="{0C6DBDF6-F80A-4BDA-806F-A6EC890D9905}"/>
    <cellStyle name="Normal 2 5 4 5" xfId="1226" xr:uid="{00000000-0005-0000-0000-000056110000}"/>
    <cellStyle name="Normal 2 5 4 5 2" xfId="3456" xr:uid="{00000000-0005-0000-0000-000057110000}"/>
    <cellStyle name="Normal 2 5 4 5 2 2" xfId="7679" xr:uid="{00000000-0005-0000-0000-000058110000}"/>
    <cellStyle name="Normal 2 5 4 5 2 2 2" xfId="24562" xr:uid="{065963A3-4D21-413A-9547-B44F7F3EAB6A}"/>
    <cellStyle name="Normal 2 5 4 5 2 2 3" xfId="16121" xr:uid="{031AD644-D1F0-4973-8BEE-763EB07DADD6}"/>
    <cellStyle name="Normal 2 5 4 5 2 3" xfId="20344" xr:uid="{F64C906F-6B8A-43AA-A673-6DA83E3773C9}"/>
    <cellStyle name="Normal 2 5 4 5 2 4" xfId="11903" xr:uid="{4B657224-9520-4520-AC22-7971CD4A18BB}"/>
    <cellStyle name="Normal 2 5 4 5 3" xfId="5534" xr:uid="{00000000-0005-0000-0000-000059110000}"/>
    <cellStyle name="Normal 2 5 4 5 3 2" xfId="22417" xr:uid="{3BA0C6D8-8945-4E50-8960-F0B388CED574}"/>
    <cellStyle name="Normal 2 5 4 5 3 3" xfId="13976" xr:uid="{42BF9594-3744-43AD-ACAC-6E8251FC801E}"/>
    <cellStyle name="Normal 2 5 4 5 4" xfId="18199" xr:uid="{348560BD-FF5F-4B26-85EA-E1CB8DE8133F}"/>
    <cellStyle name="Normal 2 5 4 5 5" xfId="9758" xr:uid="{EB5881F9-84EB-455B-BA85-BFDE50F88F0E}"/>
    <cellStyle name="Normal 2 5 4 6" xfId="1639" xr:uid="{00000000-0005-0000-0000-00005A110000}"/>
    <cellStyle name="Normal 2 5 4 6 2" xfId="3869" xr:uid="{00000000-0005-0000-0000-00005B110000}"/>
    <cellStyle name="Normal 2 5 4 6 2 2" xfId="8092" xr:uid="{00000000-0005-0000-0000-00005C110000}"/>
    <cellStyle name="Normal 2 5 4 6 2 2 2" xfId="24975" xr:uid="{3973E70B-F701-4080-8CCF-75428362F424}"/>
    <cellStyle name="Normal 2 5 4 6 2 2 3" xfId="16534" xr:uid="{E7534905-6496-4B56-BDDD-CFF63ABC70BD}"/>
    <cellStyle name="Normal 2 5 4 6 2 3" xfId="20757" xr:uid="{3C0BABDE-3801-447A-A4BA-64FEC80C90A7}"/>
    <cellStyle name="Normal 2 5 4 6 2 4" xfId="12316" xr:uid="{F85E6D23-9A2F-4461-8625-1BCC0D5B415C}"/>
    <cellStyle name="Normal 2 5 4 6 3" xfId="5947" xr:uid="{00000000-0005-0000-0000-00005D110000}"/>
    <cellStyle name="Normal 2 5 4 6 3 2" xfId="22830" xr:uid="{11F72D32-9EC2-4DB7-9823-41164A532CE7}"/>
    <cellStyle name="Normal 2 5 4 6 3 3" xfId="14389" xr:uid="{54E998D7-FFB9-4408-86E1-9CF5AE518CC1}"/>
    <cellStyle name="Normal 2 5 4 6 4" xfId="18612" xr:uid="{060632B7-BA68-439F-964B-3D31E038F1C8}"/>
    <cellStyle name="Normal 2 5 4 6 5" xfId="10171" xr:uid="{F1C71F9E-FC71-4E05-8F37-CE7C69E4849D}"/>
    <cellStyle name="Normal 2 5 4 7" xfId="2053" xr:uid="{00000000-0005-0000-0000-00005E110000}"/>
    <cellStyle name="Normal 2 5 4 7 2" xfId="4282" xr:uid="{00000000-0005-0000-0000-00005F110000}"/>
    <cellStyle name="Normal 2 5 4 7 2 2" xfId="8505" xr:uid="{00000000-0005-0000-0000-000060110000}"/>
    <cellStyle name="Normal 2 5 4 7 2 2 2" xfId="25388" xr:uid="{3ABD11D8-F9D2-4B2D-962A-B3F9094F8743}"/>
    <cellStyle name="Normal 2 5 4 7 2 2 3" xfId="16947" xr:uid="{1B84149D-5103-4834-A5F6-1372030EACF9}"/>
    <cellStyle name="Normal 2 5 4 7 2 3" xfId="21170" xr:uid="{1DBD011B-AF4E-40C6-8E21-18DABB0E312D}"/>
    <cellStyle name="Normal 2 5 4 7 2 4" xfId="12729" xr:uid="{67D59077-FE04-49ED-AA1F-01C1B4665C86}"/>
    <cellStyle name="Normal 2 5 4 7 3" xfId="6360" xr:uid="{00000000-0005-0000-0000-000061110000}"/>
    <cellStyle name="Normal 2 5 4 7 3 2" xfId="23243" xr:uid="{E21BE8EF-040B-467E-91D1-A0E18255DE47}"/>
    <cellStyle name="Normal 2 5 4 7 3 3" xfId="14802" xr:uid="{B7BB253C-7C6F-4A39-BF34-549D0537B1F2}"/>
    <cellStyle name="Normal 2 5 4 7 4" xfId="19025" xr:uid="{82279666-303D-4027-A5A4-8F77B6F5DE48}"/>
    <cellStyle name="Normal 2 5 4 7 5" xfId="10584" xr:uid="{413CF8AB-FBB2-4DB5-A2D3-D8821E44A8B4}"/>
    <cellStyle name="Normal 2 5 4 8" xfId="2489" xr:uid="{00000000-0005-0000-0000-000062110000}"/>
    <cellStyle name="Normal 2 5 4 8 2" xfId="6773" xr:uid="{00000000-0005-0000-0000-000063110000}"/>
    <cellStyle name="Normal 2 5 4 8 2 2" xfId="23656" xr:uid="{772F2565-6D6A-453C-9852-28F1DE7F54E6}"/>
    <cellStyle name="Normal 2 5 4 8 2 3" xfId="15215" xr:uid="{122ECE92-E7C3-415D-B290-BA93704CFA3C}"/>
    <cellStyle name="Normal 2 5 4 8 3" xfId="19438" xr:uid="{DDC1EB5E-1D7E-4212-934D-B592615E9420}"/>
    <cellStyle name="Normal 2 5 4 8 4" xfId="10997" xr:uid="{0B2AD46D-6D6F-45C6-BA4E-C4FB999FE976}"/>
    <cellStyle name="Normal 2 5 4 9" xfId="4707" xr:uid="{00000000-0005-0000-0000-000064110000}"/>
    <cellStyle name="Normal 2 5 4 9 2" xfId="21590" xr:uid="{A639CD38-A4E7-4FA4-A626-1BB626EFFB82}"/>
    <cellStyle name="Normal 2 5 4 9 3" xfId="13149" xr:uid="{B86C6BB2-6BF0-419C-BA2B-DFD8C0221398}"/>
    <cellStyle name="Normal 2 5 5" xfId="803" xr:uid="{00000000-0005-0000-0000-000065110000}"/>
    <cellStyle name="Normal 2 5 5 2" xfId="3042" xr:uid="{00000000-0005-0000-0000-000066110000}"/>
    <cellStyle name="Normal 2 5 5 2 2" xfId="7265" xr:uid="{00000000-0005-0000-0000-000067110000}"/>
    <cellStyle name="Normal 2 5 5 2 2 2" xfId="24148" xr:uid="{0CAB100F-FBBB-4B18-A47B-7553301051BD}"/>
    <cellStyle name="Normal 2 5 5 2 2 3" xfId="15707" xr:uid="{ED199DDB-B155-4484-852D-79A609F8EF41}"/>
    <cellStyle name="Normal 2 5 5 2 3" xfId="19930" xr:uid="{322C142F-B870-4FFD-931E-63D780FDD32A}"/>
    <cellStyle name="Normal 2 5 5 2 4" xfId="11489" xr:uid="{2C274DAA-402B-48A1-A28D-F63DC40FD83B}"/>
    <cellStyle name="Normal 2 5 5 3" xfId="5120" xr:uid="{00000000-0005-0000-0000-000068110000}"/>
    <cellStyle name="Normal 2 5 5 3 2" xfId="22003" xr:uid="{850A7345-C6C9-4C32-A1C9-933699E6F3D1}"/>
    <cellStyle name="Normal 2 5 5 3 3" xfId="13562" xr:uid="{695D8F79-5B65-4FC8-8F63-C70019B31307}"/>
    <cellStyle name="Normal 2 5 5 4" xfId="17785" xr:uid="{DF28531E-0ADE-4D18-98A5-842C36458EC6}"/>
    <cellStyle name="Normal 2 5 5 5" xfId="9344" xr:uid="{BAAB2FB6-A8E3-4A33-A41F-39F751CFED7F}"/>
    <cellStyle name="Normal 2 5 6" xfId="1225" xr:uid="{00000000-0005-0000-0000-000069110000}"/>
    <cellStyle name="Normal 2 5 6 2" xfId="3455" xr:uid="{00000000-0005-0000-0000-00006A110000}"/>
    <cellStyle name="Normal 2 5 6 2 2" xfId="7678" xr:uid="{00000000-0005-0000-0000-00006B110000}"/>
    <cellStyle name="Normal 2 5 6 2 2 2" xfId="24561" xr:uid="{8C735437-70C8-43D8-85A7-C5D23FC20F8A}"/>
    <cellStyle name="Normal 2 5 6 2 2 3" xfId="16120" xr:uid="{F2038464-3556-497C-AE47-F5C1CA542541}"/>
    <cellStyle name="Normal 2 5 6 2 3" xfId="20343" xr:uid="{29A81125-0ECD-47AD-AC51-2D7BCB5F5A5F}"/>
    <cellStyle name="Normal 2 5 6 2 4" xfId="11902" xr:uid="{1F60AA93-0EA2-4916-BF75-BF188FDD5B43}"/>
    <cellStyle name="Normal 2 5 6 3" xfId="5533" xr:uid="{00000000-0005-0000-0000-00006C110000}"/>
    <cellStyle name="Normal 2 5 6 3 2" xfId="22416" xr:uid="{21E2F02E-54F5-47C3-A969-29594BBEA707}"/>
    <cellStyle name="Normal 2 5 6 3 3" xfId="13975" xr:uid="{90FC3422-7E1E-4CC5-A246-1322DCA51E50}"/>
    <cellStyle name="Normal 2 5 6 4" xfId="18198" xr:uid="{F5DD370F-B45B-43DA-BB00-BA313E4A5BAE}"/>
    <cellStyle name="Normal 2 5 6 5" xfId="9757" xr:uid="{A16271C2-DEC2-4B04-AAD5-598292F9FBD8}"/>
    <cellStyle name="Normal 2 5 7" xfId="1638" xr:uid="{00000000-0005-0000-0000-00006D110000}"/>
    <cellStyle name="Normal 2 5 7 2" xfId="3868" xr:uid="{00000000-0005-0000-0000-00006E110000}"/>
    <cellStyle name="Normal 2 5 7 2 2" xfId="8091" xr:uid="{00000000-0005-0000-0000-00006F110000}"/>
    <cellStyle name="Normal 2 5 7 2 2 2" xfId="24974" xr:uid="{0A51CF88-230B-4048-9EB6-75C7D6A36B08}"/>
    <cellStyle name="Normal 2 5 7 2 2 3" xfId="16533" xr:uid="{189DBEAC-29E7-47B3-A507-942493065624}"/>
    <cellStyle name="Normal 2 5 7 2 3" xfId="20756" xr:uid="{AA9FB486-F8F0-423B-8B0E-BD67E218DF6D}"/>
    <cellStyle name="Normal 2 5 7 2 4" xfId="12315" xr:uid="{E60126FD-C8DC-48BA-A9AE-CD92DAC93DB9}"/>
    <cellStyle name="Normal 2 5 7 3" xfId="5946" xr:uid="{00000000-0005-0000-0000-000070110000}"/>
    <cellStyle name="Normal 2 5 7 3 2" xfId="22829" xr:uid="{32FA5620-8495-48F6-AD57-9D09268464D9}"/>
    <cellStyle name="Normal 2 5 7 3 3" xfId="14388" xr:uid="{F791455A-01F6-438F-B79B-C94F49969380}"/>
    <cellStyle name="Normal 2 5 7 4" xfId="18611" xr:uid="{03BE9EA5-F706-4F9F-87C3-59FDDC64904B}"/>
    <cellStyle name="Normal 2 5 7 5" xfId="10170" xr:uid="{D0544CDE-9DFA-4F6E-A45E-9CE9816B07D8}"/>
    <cellStyle name="Normal 2 5 8" xfId="2052" xr:uid="{00000000-0005-0000-0000-000071110000}"/>
    <cellStyle name="Normal 2 5 8 2" xfId="4281" xr:uid="{00000000-0005-0000-0000-000072110000}"/>
    <cellStyle name="Normal 2 5 8 2 2" xfId="8504" xr:uid="{00000000-0005-0000-0000-000073110000}"/>
    <cellStyle name="Normal 2 5 8 2 2 2" xfId="25387" xr:uid="{ADE16D2C-60E5-4011-BB6C-345B389AA403}"/>
    <cellStyle name="Normal 2 5 8 2 2 3" xfId="16946" xr:uid="{CA40BA20-202E-4E63-BD17-D633E3ED60DD}"/>
    <cellStyle name="Normal 2 5 8 2 3" xfId="21169" xr:uid="{9372A532-34E1-49F3-9EA7-C42A9C086CB9}"/>
    <cellStyle name="Normal 2 5 8 2 4" xfId="12728" xr:uid="{FCA94117-A3B6-44B6-ABDF-A665E508AD23}"/>
    <cellStyle name="Normal 2 5 8 3" xfId="6359" xr:uid="{00000000-0005-0000-0000-000074110000}"/>
    <cellStyle name="Normal 2 5 8 3 2" xfId="23242" xr:uid="{17D5865F-F5FA-4AD0-9221-435A36215B14}"/>
    <cellStyle name="Normal 2 5 8 3 3" xfId="14801" xr:uid="{D17167AD-9056-4EFA-8C83-35B9AB54B373}"/>
    <cellStyle name="Normal 2 5 8 4" xfId="19024" xr:uid="{C8B9037B-6757-496C-A7D6-5EFA82C37C75}"/>
    <cellStyle name="Normal 2 5 8 5" xfId="10583" xr:uid="{B09FCF3D-6587-47DB-AD5C-2C4A3F1E670B}"/>
    <cellStyle name="Normal 2 5 9" xfId="2488" xr:uid="{00000000-0005-0000-0000-000075110000}"/>
    <cellStyle name="Normal 2 5 9 2" xfId="6772" xr:uid="{00000000-0005-0000-0000-000076110000}"/>
    <cellStyle name="Normal 2 5 9 2 2" xfId="23655" xr:uid="{BF8DE0E6-EBAC-4AC6-BA39-1BA219C6F875}"/>
    <cellStyle name="Normal 2 5 9 2 3" xfId="15214" xr:uid="{ABED42A8-0AAC-490E-A849-AD4F1DCBABA5}"/>
    <cellStyle name="Normal 2 5 9 3" xfId="19437" xr:uid="{A6EA1A74-CA76-40E0-A91C-34A9AE7B2FAD}"/>
    <cellStyle name="Normal 2 5 9 4" xfId="10996" xr:uid="{12736E7C-4CEA-4325-8AC5-1962799FFFFE}"/>
    <cellStyle name="Normal 2 6" xfId="322" xr:uid="{00000000-0005-0000-0000-000077110000}"/>
    <cellStyle name="Normal 2 7" xfId="769" xr:uid="{00000000-0005-0000-0000-000078110000}"/>
    <cellStyle name="Normal 2 8" xfId="4495" xr:uid="{00000000-0005-0000-0000-000079110000}"/>
    <cellStyle name="Normal 2 8 2" xfId="21381" xr:uid="{7B7C3998-7A8D-498C-8AB4-3E3195BCF89B}"/>
    <cellStyle name="Normal 2 8 3" xfId="12940" xr:uid="{8AD64A48-64BA-4B43-B7A7-2EA9E0A514FD}"/>
    <cellStyle name="Normal 3" xfId="323" xr:uid="{00000000-0005-0000-0000-00007A110000}"/>
    <cellStyle name="Normal 3 2" xfId="324" xr:uid="{00000000-0005-0000-0000-00007B110000}"/>
    <cellStyle name="Normal 3 2 10" xfId="17376" xr:uid="{62074494-F472-4C87-AECD-243378497EF5}"/>
    <cellStyle name="Normal 3 2 11" xfId="8935" xr:uid="{50B8A871-7811-403F-B92A-0D321B1BEF2B}"/>
    <cellStyle name="Normal 3 2 2" xfId="325" xr:uid="{00000000-0005-0000-0000-00007C110000}"/>
    <cellStyle name="Normal 3 2 2 2" xfId="810" xr:uid="{00000000-0005-0000-0000-00007D110000}"/>
    <cellStyle name="Normal 3 2 3" xfId="326" xr:uid="{00000000-0005-0000-0000-00007E110000}"/>
    <cellStyle name="Normal 3 2 3 10" xfId="17377" xr:uid="{B4179B72-4E7A-459D-9773-000D3BFA3794}"/>
    <cellStyle name="Normal 3 2 3 11" xfId="8936" xr:uid="{19CC4525-53CD-4851-B3A3-362B4563A06B}"/>
    <cellStyle name="Normal 3 2 3 2" xfId="327" xr:uid="{00000000-0005-0000-0000-00007F110000}"/>
    <cellStyle name="Normal 3 2 3 2 10" xfId="8937" xr:uid="{EBFEBE54-90E7-4C51-B241-0364055A5D48}"/>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24156" xr:uid="{4EFF9C59-B77D-4E2B-B9FD-94E080C91246}"/>
    <cellStyle name="Normal 3 2 3 2 2 2 2 2 3" xfId="15715" xr:uid="{2C7CD920-48B5-4FEC-9327-561FC819D29B}"/>
    <cellStyle name="Normal 3 2 3 2 2 2 2 3" xfId="19938" xr:uid="{6312B5C5-CC0C-47AE-A87A-1C0C33E7256C}"/>
    <cellStyle name="Normal 3 2 3 2 2 2 2 4" xfId="11497" xr:uid="{873A8723-580D-4391-A2A1-BE1B0D7E7A94}"/>
    <cellStyle name="Normal 3 2 3 2 2 2 3" xfId="5128" xr:uid="{00000000-0005-0000-0000-000084110000}"/>
    <cellStyle name="Normal 3 2 3 2 2 2 3 2" xfId="22011" xr:uid="{DB320078-A2DD-4DC1-9B7D-FE32F167B169}"/>
    <cellStyle name="Normal 3 2 3 2 2 2 3 3" xfId="13570" xr:uid="{350FD2BF-58F5-4F39-BEF7-23B1FCA5BB3D}"/>
    <cellStyle name="Normal 3 2 3 2 2 2 4" xfId="17793" xr:uid="{3A4BCEFA-AA0B-4FFE-830D-15A4DCFF5C46}"/>
    <cellStyle name="Normal 3 2 3 2 2 2 5" xfId="9352" xr:uid="{E885AD8D-2A21-4B7F-B41E-1C2DFF9EFDB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24569" xr:uid="{B111431F-BE9D-4154-BBAB-9AD12BFD366F}"/>
    <cellStyle name="Normal 3 2 3 2 2 3 2 2 3" xfId="16128" xr:uid="{9462ADE5-811F-44CC-A731-880086F8CDB0}"/>
    <cellStyle name="Normal 3 2 3 2 2 3 2 3" xfId="20351" xr:uid="{1849C6F2-C2CA-4655-B009-1129792BA885}"/>
    <cellStyle name="Normal 3 2 3 2 2 3 2 4" xfId="11910" xr:uid="{4067E490-EDEF-4D6E-BDEC-F06740818902}"/>
    <cellStyle name="Normal 3 2 3 2 2 3 3" xfId="5541" xr:uid="{00000000-0005-0000-0000-000088110000}"/>
    <cellStyle name="Normal 3 2 3 2 2 3 3 2" xfId="22424" xr:uid="{A4609393-0C1E-4F6A-A205-2795FA0BD069}"/>
    <cellStyle name="Normal 3 2 3 2 2 3 3 3" xfId="13983" xr:uid="{148FA132-C0E4-4812-A1E0-7C40E33C011C}"/>
    <cellStyle name="Normal 3 2 3 2 2 3 4" xfId="18206" xr:uid="{99BA5DEF-3265-40F8-BE3A-68B5F423ABF8}"/>
    <cellStyle name="Normal 3 2 3 2 2 3 5" xfId="9765" xr:uid="{E8499155-78A4-46B0-B7BA-E25F7B548725}"/>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24982" xr:uid="{A65418BA-0FC0-4AAA-8E58-9B0306C61254}"/>
    <cellStyle name="Normal 3 2 3 2 2 4 2 2 3" xfId="16541" xr:uid="{E621A139-3F91-4E40-B7B5-AFBF02CA7FB9}"/>
    <cellStyle name="Normal 3 2 3 2 2 4 2 3" xfId="20764" xr:uid="{BB01C968-E58E-4792-AD5F-3016A477D6CB}"/>
    <cellStyle name="Normal 3 2 3 2 2 4 2 4" xfId="12323" xr:uid="{422D82AC-4DC2-47C5-A3BC-F6A71C6D0F4B}"/>
    <cellStyle name="Normal 3 2 3 2 2 4 3" xfId="5954" xr:uid="{00000000-0005-0000-0000-00008C110000}"/>
    <cellStyle name="Normal 3 2 3 2 2 4 3 2" xfId="22837" xr:uid="{76654DD9-2C11-4DD7-BBF0-CFEB13115AB8}"/>
    <cellStyle name="Normal 3 2 3 2 2 4 3 3" xfId="14396" xr:uid="{3D9D84CB-E5E9-4D68-924B-F98BCE056DB3}"/>
    <cellStyle name="Normal 3 2 3 2 2 4 4" xfId="18619" xr:uid="{4CCE5259-3C47-4E2D-8A12-0B85FD3BE5DC}"/>
    <cellStyle name="Normal 3 2 3 2 2 4 5" xfId="10178" xr:uid="{C5EE8A19-B8B3-4AAE-9223-3B1D85E61816}"/>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25395" xr:uid="{77A04666-78D0-45C9-81EA-BD5464E842D5}"/>
    <cellStyle name="Normal 3 2 3 2 2 5 2 2 3" xfId="16954" xr:uid="{88A0D59C-5213-4B53-A66C-4DA808CE9248}"/>
    <cellStyle name="Normal 3 2 3 2 2 5 2 3" xfId="21177" xr:uid="{6976BFD3-BFBA-40CF-8021-980BDC220A1D}"/>
    <cellStyle name="Normal 3 2 3 2 2 5 2 4" xfId="12736" xr:uid="{90CAC6D1-D494-4AC0-9388-329415409A2B}"/>
    <cellStyle name="Normal 3 2 3 2 2 5 3" xfId="6367" xr:uid="{00000000-0005-0000-0000-000090110000}"/>
    <cellStyle name="Normal 3 2 3 2 2 5 3 2" xfId="23250" xr:uid="{4FD83FE7-4E7E-4353-B30F-074A7AE504E3}"/>
    <cellStyle name="Normal 3 2 3 2 2 5 3 3" xfId="14809" xr:uid="{5050DE9B-10BF-4FFC-8119-464CFBD25B72}"/>
    <cellStyle name="Normal 3 2 3 2 2 5 4" xfId="19032" xr:uid="{2C08CCE2-0726-484F-8429-C9C1F2CE2772}"/>
    <cellStyle name="Normal 3 2 3 2 2 5 5" xfId="10591" xr:uid="{4D2AEB87-80C6-4588-9FAA-1408D7E2C63E}"/>
    <cellStyle name="Normal 3 2 3 2 2 6" xfId="2496" xr:uid="{00000000-0005-0000-0000-000091110000}"/>
    <cellStyle name="Normal 3 2 3 2 2 6 2" xfId="6780" xr:uid="{00000000-0005-0000-0000-000092110000}"/>
    <cellStyle name="Normal 3 2 3 2 2 6 2 2" xfId="23663" xr:uid="{EF6D0A26-AAC7-4568-A932-6702562EAC96}"/>
    <cellStyle name="Normal 3 2 3 2 2 6 2 3" xfId="15222" xr:uid="{AD027A5B-66AB-4F7A-84D3-4A8DCBDE24AC}"/>
    <cellStyle name="Normal 3 2 3 2 2 6 3" xfId="19445" xr:uid="{D2CDFA04-0DF9-47A3-B601-48994D1772D0}"/>
    <cellStyle name="Normal 3 2 3 2 2 6 4" xfId="11004" xr:uid="{3AC90E24-30DC-4CF6-BD1A-579A9150CB26}"/>
    <cellStyle name="Normal 3 2 3 2 2 7" xfId="4714" xr:uid="{00000000-0005-0000-0000-000093110000}"/>
    <cellStyle name="Normal 3 2 3 2 2 7 2" xfId="21597" xr:uid="{2E681DF2-BF5E-4FCB-824E-2387C40BD213}"/>
    <cellStyle name="Normal 3 2 3 2 2 7 3" xfId="13156" xr:uid="{F5C5005E-F67B-41E6-AE69-E94E681A646E}"/>
    <cellStyle name="Normal 3 2 3 2 2 8" xfId="17379" xr:uid="{68FDCE20-4600-4FC3-9814-00085ED3A2F5}"/>
    <cellStyle name="Normal 3 2 3 2 2 9" xfId="8938" xr:uid="{3CE29EE8-C006-467F-9B49-20037E42EC89}"/>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24155" xr:uid="{25AE046D-7B08-48A7-B071-A6317FB07E74}"/>
    <cellStyle name="Normal 3 2 3 2 3 2 2 3" xfId="15714" xr:uid="{414A8391-1634-4E9D-A1C7-D129CDAEF5AF}"/>
    <cellStyle name="Normal 3 2 3 2 3 2 3" xfId="19937" xr:uid="{A347A653-98CF-48BA-8D04-613AC0DCB74C}"/>
    <cellStyle name="Normal 3 2 3 2 3 2 4" xfId="11496" xr:uid="{794CB535-565F-450E-844D-AB6F1AB7A0C6}"/>
    <cellStyle name="Normal 3 2 3 2 3 3" xfId="5127" xr:uid="{00000000-0005-0000-0000-000097110000}"/>
    <cellStyle name="Normal 3 2 3 2 3 3 2" xfId="22010" xr:uid="{9F5C0EE9-F134-4AAE-9D0A-90B52243AC1E}"/>
    <cellStyle name="Normal 3 2 3 2 3 3 3" xfId="13569" xr:uid="{B957374F-488F-471F-8EBD-3DF41916B2B1}"/>
    <cellStyle name="Normal 3 2 3 2 3 4" xfId="17792" xr:uid="{3237A2A8-1574-44AA-B80E-540E0DEE398E}"/>
    <cellStyle name="Normal 3 2 3 2 3 5" xfId="9351" xr:uid="{4C664ED9-F333-4483-A851-7A10887F4888}"/>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24568" xr:uid="{828E4D0C-8DF2-4FF7-A269-851737E7FF08}"/>
    <cellStyle name="Normal 3 2 3 2 4 2 2 3" xfId="16127" xr:uid="{23625323-A2F7-47BA-8AD0-B9D45704BAE1}"/>
    <cellStyle name="Normal 3 2 3 2 4 2 3" xfId="20350" xr:uid="{1C633BC4-317F-4525-8D16-8D62A58B3C39}"/>
    <cellStyle name="Normal 3 2 3 2 4 2 4" xfId="11909" xr:uid="{AE9C602D-B696-4F8B-AD6E-FBC2B4F0C559}"/>
    <cellStyle name="Normal 3 2 3 2 4 3" xfId="5540" xr:uid="{00000000-0005-0000-0000-00009B110000}"/>
    <cellStyle name="Normal 3 2 3 2 4 3 2" xfId="22423" xr:uid="{284D9BC8-DC3D-4875-83AD-68A3AE864405}"/>
    <cellStyle name="Normal 3 2 3 2 4 3 3" xfId="13982" xr:uid="{FBDB6C8F-C933-44C1-973A-DD7FDF236D95}"/>
    <cellStyle name="Normal 3 2 3 2 4 4" xfId="18205" xr:uid="{504D51E6-A571-4737-9AC3-157655630D0E}"/>
    <cellStyle name="Normal 3 2 3 2 4 5" xfId="9764" xr:uid="{043CE579-0811-49F2-BA67-8828D04A78C2}"/>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24981" xr:uid="{4D32C793-5091-4D1C-888C-829D079813C5}"/>
    <cellStyle name="Normal 3 2 3 2 5 2 2 3" xfId="16540" xr:uid="{0363E9C5-889E-41F7-86BB-22F977E118F3}"/>
    <cellStyle name="Normal 3 2 3 2 5 2 3" xfId="20763" xr:uid="{9CB53693-6293-48DE-8632-B20D6ABD4BE5}"/>
    <cellStyle name="Normal 3 2 3 2 5 2 4" xfId="12322" xr:uid="{AC0E2807-E5E9-476F-B4DC-240FA80ED176}"/>
    <cellStyle name="Normal 3 2 3 2 5 3" xfId="5953" xr:uid="{00000000-0005-0000-0000-00009F110000}"/>
    <cellStyle name="Normal 3 2 3 2 5 3 2" xfId="22836" xr:uid="{B9DCAEA5-5F92-4AB2-AE74-AE6511F57D30}"/>
    <cellStyle name="Normal 3 2 3 2 5 3 3" xfId="14395" xr:uid="{14B1F6D2-6F8A-4085-884C-B7F6B54D9785}"/>
    <cellStyle name="Normal 3 2 3 2 5 4" xfId="18618" xr:uid="{9F10597C-5967-46DF-AF78-731182EC74C9}"/>
    <cellStyle name="Normal 3 2 3 2 5 5" xfId="10177" xr:uid="{9AC00D71-1025-4ECF-93E2-F7FE1C7FB9B2}"/>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25394" xr:uid="{D104C5ED-2DB9-4B02-AAF9-DB75F405D24F}"/>
    <cellStyle name="Normal 3 2 3 2 6 2 2 3" xfId="16953" xr:uid="{A0085A32-DF72-4B2A-9EE9-3F44D047C714}"/>
    <cellStyle name="Normal 3 2 3 2 6 2 3" xfId="21176" xr:uid="{CA378C90-B919-463D-92F0-CD8F3E08A147}"/>
    <cellStyle name="Normal 3 2 3 2 6 2 4" xfId="12735" xr:uid="{26E1BB87-808D-44AB-84ED-FE1E94CB5728}"/>
    <cellStyle name="Normal 3 2 3 2 6 3" xfId="6366" xr:uid="{00000000-0005-0000-0000-0000A3110000}"/>
    <cellStyle name="Normal 3 2 3 2 6 3 2" xfId="23249" xr:uid="{BCA0A9E1-3631-47BA-A682-A6B5B862486D}"/>
    <cellStyle name="Normal 3 2 3 2 6 3 3" xfId="14808" xr:uid="{0A0A6AD4-DF44-4A8C-86D1-2C48DFE62572}"/>
    <cellStyle name="Normal 3 2 3 2 6 4" xfId="19031" xr:uid="{EFAB60E2-C2B4-4BC3-B54B-4C79F907CFD1}"/>
    <cellStyle name="Normal 3 2 3 2 6 5" xfId="10590" xr:uid="{1E21D48E-8809-4159-BF83-279590ADD26E}"/>
    <cellStyle name="Normal 3 2 3 2 7" xfId="2495" xr:uid="{00000000-0005-0000-0000-0000A4110000}"/>
    <cellStyle name="Normal 3 2 3 2 7 2" xfId="6779" xr:uid="{00000000-0005-0000-0000-0000A5110000}"/>
    <cellStyle name="Normal 3 2 3 2 7 2 2" xfId="23662" xr:uid="{D483F1E3-BA30-47E3-8C9B-348FB73F4F3E}"/>
    <cellStyle name="Normal 3 2 3 2 7 2 3" xfId="15221" xr:uid="{995DA37D-5C10-46F9-ADDB-D983A66F7E83}"/>
    <cellStyle name="Normal 3 2 3 2 7 3" xfId="19444" xr:uid="{F359FDB0-6859-4BED-A271-944EBC134CA3}"/>
    <cellStyle name="Normal 3 2 3 2 7 4" xfId="11003" xr:uid="{78063C2F-084D-41D8-9112-F861C12EE792}"/>
    <cellStyle name="Normal 3 2 3 2 8" xfId="4713" xr:uid="{00000000-0005-0000-0000-0000A6110000}"/>
    <cellStyle name="Normal 3 2 3 2 8 2" xfId="21596" xr:uid="{51A51424-B138-4A82-9AA0-EA5D211B4EB4}"/>
    <cellStyle name="Normal 3 2 3 2 8 3" xfId="13155" xr:uid="{24E6CE7A-87A6-47BA-A26D-DDF6B87524AE}"/>
    <cellStyle name="Normal 3 2 3 2 9" xfId="17378" xr:uid="{69701E21-A64A-4A50-8B9F-F2654A79956B}"/>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24157" xr:uid="{118DAE91-09C1-4319-9CC5-4C6644C85C92}"/>
    <cellStyle name="Normal 3 2 3 3 2 2 2 3" xfId="15716" xr:uid="{D3607F77-B855-43A9-A0D6-1EFB6E1C3533}"/>
    <cellStyle name="Normal 3 2 3 3 2 2 3" xfId="19939" xr:uid="{BBE1F94D-7C65-4FFC-BD37-27A67228F195}"/>
    <cellStyle name="Normal 3 2 3 3 2 2 4" xfId="11498" xr:uid="{49278AB3-0660-445B-BB4F-22EA05D91C25}"/>
    <cellStyle name="Normal 3 2 3 3 2 3" xfId="5129" xr:uid="{00000000-0005-0000-0000-0000AB110000}"/>
    <cellStyle name="Normal 3 2 3 3 2 3 2" xfId="22012" xr:uid="{F24A6453-D15D-4EBD-A80A-76D08FA10716}"/>
    <cellStyle name="Normal 3 2 3 3 2 3 3" xfId="13571" xr:uid="{161EF099-D109-4E84-B366-E27385CF3369}"/>
    <cellStyle name="Normal 3 2 3 3 2 4" xfId="17794" xr:uid="{89EB397D-E796-4A61-B4F3-C3FA16E7C32B}"/>
    <cellStyle name="Normal 3 2 3 3 2 5" xfId="9353" xr:uid="{A276AE6F-2A2B-43CF-A078-4D40A9CD3C9D}"/>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24570" xr:uid="{48E7AD74-B580-4635-898F-73A151D2AAB9}"/>
    <cellStyle name="Normal 3 2 3 3 3 2 2 3" xfId="16129" xr:uid="{1CE2E955-DC34-4484-A7A8-BD7077379F46}"/>
    <cellStyle name="Normal 3 2 3 3 3 2 3" xfId="20352" xr:uid="{529E6CF2-C3B3-41B0-A6C3-24A1E1FFEDC4}"/>
    <cellStyle name="Normal 3 2 3 3 3 2 4" xfId="11911" xr:uid="{DF4EDCCA-752C-4F79-845A-15F2A32FD812}"/>
    <cellStyle name="Normal 3 2 3 3 3 3" xfId="5542" xr:uid="{00000000-0005-0000-0000-0000AF110000}"/>
    <cellStyle name="Normal 3 2 3 3 3 3 2" xfId="22425" xr:uid="{C03B1FD3-0321-466C-AC03-80CC92BF4ACA}"/>
    <cellStyle name="Normal 3 2 3 3 3 3 3" xfId="13984" xr:uid="{CD9E022F-7379-4BB9-B802-BB00C967F4DB}"/>
    <cellStyle name="Normal 3 2 3 3 3 4" xfId="18207" xr:uid="{2C7427F1-FE64-4D82-9F06-C5DC9E82ABF7}"/>
    <cellStyle name="Normal 3 2 3 3 3 5" xfId="9766" xr:uid="{4A5383E3-5F93-4C7F-8226-ABE9E168D0ED}"/>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24983" xr:uid="{0599BCE3-9CD4-4BAC-A0DA-9063CBC0ADBE}"/>
    <cellStyle name="Normal 3 2 3 3 4 2 2 3" xfId="16542" xr:uid="{0EE159B6-4AF3-40A8-8E38-E17FF8C5B07A}"/>
    <cellStyle name="Normal 3 2 3 3 4 2 3" xfId="20765" xr:uid="{5DD3F851-F0D7-45FB-855C-FAACA5A2647A}"/>
    <cellStyle name="Normal 3 2 3 3 4 2 4" xfId="12324" xr:uid="{A47FDA36-99E9-4F00-A27D-957B299CA01C}"/>
    <cellStyle name="Normal 3 2 3 3 4 3" xfId="5955" xr:uid="{00000000-0005-0000-0000-0000B3110000}"/>
    <cellStyle name="Normal 3 2 3 3 4 3 2" xfId="22838" xr:uid="{AA441C6D-1CFD-46F1-B8A2-73543A6B3DFA}"/>
    <cellStyle name="Normal 3 2 3 3 4 3 3" xfId="14397" xr:uid="{19B38F32-B2B5-4D3C-AE28-26684CEB573A}"/>
    <cellStyle name="Normal 3 2 3 3 4 4" xfId="18620" xr:uid="{C93AA55A-8B87-4766-9848-05007ECD6E4D}"/>
    <cellStyle name="Normal 3 2 3 3 4 5" xfId="10179" xr:uid="{3B1EE8DB-2887-4ACD-951D-0B10969E182F}"/>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25396" xr:uid="{8B460B4F-61DC-4F35-A7E3-4D9477B5DB91}"/>
    <cellStyle name="Normal 3 2 3 3 5 2 2 3" xfId="16955" xr:uid="{63274109-0720-4515-944F-E8E7F95B6CB7}"/>
    <cellStyle name="Normal 3 2 3 3 5 2 3" xfId="21178" xr:uid="{2485B4CF-1E69-4B89-99F3-0E0165F99EF6}"/>
    <cellStyle name="Normal 3 2 3 3 5 2 4" xfId="12737" xr:uid="{67638918-F192-4B69-910E-EDB2EF7636F8}"/>
    <cellStyle name="Normal 3 2 3 3 5 3" xfId="6368" xr:uid="{00000000-0005-0000-0000-0000B7110000}"/>
    <cellStyle name="Normal 3 2 3 3 5 3 2" xfId="23251" xr:uid="{7504434B-6DC8-47EA-94F4-063DBA9341CD}"/>
    <cellStyle name="Normal 3 2 3 3 5 3 3" xfId="14810" xr:uid="{3212D24A-D6F2-4C3C-971C-160A8092F6F2}"/>
    <cellStyle name="Normal 3 2 3 3 5 4" xfId="19033" xr:uid="{1227CBE5-39B0-4F31-823F-B3590A240156}"/>
    <cellStyle name="Normal 3 2 3 3 5 5" xfId="10592" xr:uid="{E64D5E1C-EC24-4263-9C23-1DAB70ECDFEC}"/>
    <cellStyle name="Normal 3 2 3 3 6" xfId="2497" xr:uid="{00000000-0005-0000-0000-0000B8110000}"/>
    <cellStyle name="Normal 3 2 3 3 6 2" xfId="6781" xr:uid="{00000000-0005-0000-0000-0000B9110000}"/>
    <cellStyle name="Normal 3 2 3 3 6 2 2" xfId="23664" xr:uid="{926040E5-3101-47BD-A021-670FBE4D0FDA}"/>
    <cellStyle name="Normal 3 2 3 3 6 2 3" xfId="15223" xr:uid="{96E020BD-81CC-4706-A629-506F1BAF718D}"/>
    <cellStyle name="Normal 3 2 3 3 6 3" xfId="19446" xr:uid="{D2BB85EA-0255-4AE6-9DA4-9D06675B19E2}"/>
    <cellStyle name="Normal 3 2 3 3 6 4" xfId="11005" xr:uid="{F6B45FD6-82C9-4E5B-9FF9-80FDEDAB0C76}"/>
    <cellStyle name="Normal 3 2 3 3 7" xfId="4715" xr:uid="{00000000-0005-0000-0000-0000BA110000}"/>
    <cellStyle name="Normal 3 2 3 3 7 2" xfId="21598" xr:uid="{4665942B-DD14-48FF-A6F1-2277FC6D4E71}"/>
    <cellStyle name="Normal 3 2 3 3 7 3" xfId="13157" xr:uid="{D27439CC-7FD1-4ED4-861F-ADAA7FEBEB93}"/>
    <cellStyle name="Normal 3 2 3 3 8" xfId="17380" xr:uid="{241DC37D-3589-4CFD-8BF2-9707CC0D077D}"/>
    <cellStyle name="Normal 3 2 3 3 9" xfId="8939" xr:uid="{45EDF020-3148-41C0-89D8-A0A16303B1F1}"/>
    <cellStyle name="Normal 3 2 3 4" xfId="811" xr:uid="{00000000-0005-0000-0000-0000BB110000}"/>
    <cellStyle name="Normal 3 2 3 4 2" xfId="3048" xr:uid="{00000000-0005-0000-0000-0000BC110000}"/>
    <cellStyle name="Normal 3 2 3 4 2 2" xfId="7271" xr:uid="{00000000-0005-0000-0000-0000BD110000}"/>
    <cellStyle name="Normal 3 2 3 4 2 2 2" xfId="24154" xr:uid="{5A716834-0A5C-4725-875E-D479F42DDDEE}"/>
    <cellStyle name="Normal 3 2 3 4 2 2 3" xfId="15713" xr:uid="{99EA7BC8-56D6-4098-AC75-16137C6D4629}"/>
    <cellStyle name="Normal 3 2 3 4 2 3" xfId="19936" xr:uid="{3841A823-8B4D-4BDE-80E7-F08618C3076A}"/>
    <cellStyle name="Normal 3 2 3 4 2 4" xfId="11495" xr:uid="{AB2C9CC3-7589-4520-86C0-48399C188450}"/>
    <cellStyle name="Normal 3 2 3 4 3" xfId="5126" xr:uid="{00000000-0005-0000-0000-0000BE110000}"/>
    <cellStyle name="Normal 3 2 3 4 3 2" xfId="22009" xr:uid="{AD653703-4DD8-48E3-B912-4349073232D2}"/>
    <cellStyle name="Normal 3 2 3 4 3 3" xfId="13568" xr:uid="{C4292F19-4949-4740-8D5A-8A912DEF367C}"/>
    <cellStyle name="Normal 3 2 3 4 4" xfId="17791" xr:uid="{1D2604F0-22DC-4448-9F77-45032533BB2D}"/>
    <cellStyle name="Normal 3 2 3 4 5" xfId="9350" xr:uid="{F1B0B452-9283-4148-A11E-1717C01B9016}"/>
    <cellStyle name="Normal 3 2 3 5" xfId="1231" xr:uid="{00000000-0005-0000-0000-0000BF110000}"/>
    <cellStyle name="Normal 3 2 3 5 2" xfId="3461" xr:uid="{00000000-0005-0000-0000-0000C0110000}"/>
    <cellStyle name="Normal 3 2 3 5 2 2" xfId="7684" xr:uid="{00000000-0005-0000-0000-0000C1110000}"/>
    <cellStyle name="Normal 3 2 3 5 2 2 2" xfId="24567" xr:uid="{E4CAF333-587A-403D-9A84-7E7D089D719A}"/>
    <cellStyle name="Normal 3 2 3 5 2 2 3" xfId="16126" xr:uid="{A5602ADC-0B85-41AE-A8CF-4B11F836CB9C}"/>
    <cellStyle name="Normal 3 2 3 5 2 3" xfId="20349" xr:uid="{16947792-F5E7-455D-ADCF-06CAAC955593}"/>
    <cellStyle name="Normal 3 2 3 5 2 4" xfId="11908" xr:uid="{54F40AE6-6172-4E23-92D6-3347599F100B}"/>
    <cellStyle name="Normal 3 2 3 5 3" xfId="5539" xr:uid="{00000000-0005-0000-0000-0000C2110000}"/>
    <cellStyle name="Normal 3 2 3 5 3 2" xfId="22422" xr:uid="{CEAF63F7-0CD0-4BC3-98EC-505BE57FC847}"/>
    <cellStyle name="Normal 3 2 3 5 3 3" xfId="13981" xr:uid="{74C14F9F-42ED-4F85-95B0-40E308DDB788}"/>
    <cellStyle name="Normal 3 2 3 5 4" xfId="18204" xr:uid="{F933EB56-EAF9-4E26-B33C-A9922D90EDE7}"/>
    <cellStyle name="Normal 3 2 3 5 5" xfId="9763" xr:uid="{A5BDAFB0-5D42-4392-8879-309527AA8175}"/>
    <cellStyle name="Normal 3 2 3 6" xfId="1644" xr:uid="{00000000-0005-0000-0000-0000C3110000}"/>
    <cellStyle name="Normal 3 2 3 6 2" xfId="3874" xr:uid="{00000000-0005-0000-0000-0000C4110000}"/>
    <cellStyle name="Normal 3 2 3 6 2 2" xfId="8097" xr:uid="{00000000-0005-0000-0000-0000C5110000}"/>
    <cellStyle name="Normal 3 2 3 6 2 2 2" xfId="24980" xr:uid="{7E9FF694-258D-46D5-B37C-44062EB0C92C}"/>
    <cellStyle name="Normal 3 2 3 6 2 2 3" xfId="16539" xr:uid="{BE6104E8-D619-43D6-82DB-62F8FD928D43}"/>
    <cellStyle name="Normal 3 2 3 6 2 3" xfId="20762" xr:uid="{337B324D-0480-46A9-BB9E-A51AC816D932}"/>
    <cellStyle name="Normal 3 2 3 6 2 4" xfId="12321" xr:uid="{960CE6E6-F10F-4368-94DA-3EF9D096CA00}"/>
    <cellStyle name="Normal 3 2 3 6 3" xfId="5952" xr:uid="{00000000-0005-0000-0000-0000C6110000}"/>
    <cellStyle name="Normal 3 2 3 6 3 2" xfId="22835" xr:uid="{77B00630-6B4B-479F-9F38-629D0B63ED61}"/>
    <cellStyle name="Normal 3 2 3 6 3 3" xfId="14394" xr:uid="{E096E9CF-B7F1-41B3-86F4-0DB7682A607D}"/>
    <cellStyle name="Normal 3 2 3 6 4" xfId="18617" xr:uid="{132FCA59-F2B5-4BCA-8AD7-AADFC92DD7D1}"/>
    <cellStyle name="Normal 3 2 3 6 5" xfId="10176" xr:uid="{F4E97C08-64DB-4C90-A9BD-02E52C4D2F73}"/>
    <cellStyle name="Normal 3 2 3 7" xfId="2058" xr:uid="{00000000-0005-0000-0000-0000C7110000}"/>
    <cellStyle name="Normal 3 2 3 7 2" xfId="4287" xr:uid="{00000000-0005-0000-0000-0000C8110000}"/>
    <cellStyle name="Normal 3 2 3 7 2 2" xfId="8510" xr:uid="{00000000-0005-0000-0000-0000C9110000}"/>
    <cellStyle name="Normal 3 2 3 7 2 2 2" xfId="25393" xr:uid="{CCD67C46-7A8F-4AA5-942B-902B4BC5C3FC}"/>
    <cellStyle name="Normal 3 2 3 7 2 2 3" xfId="16952" xr:uid="{E970DD68-D6CC-4EDD-B642-0044F08116E0}"/>
    <cellStyle name="Normal 3 2 3 7 2 3" xfId="21175" xr:uid="{3CCB8FE7-C4C3-4684-BB60-1F75BCCF39A1}"/>
    <cellStyle name="Normal 3 2 3 7 2 4" xfId="12734" xr:uid="{8EAEDEC9-999E-4AD0-9993-BFD34EBD4002}"/>
    <cellStyle name="Normal 3 2 3 7 3" xfId="6365" xr:uid="{00000000-0005-0000-0000-0000CA110000}"/>
    <cellStyle name="Normal 3 2 3 7 3 2" xfId="23248" xr:uid="{37F602BD-E13A-44F9-A15D-55868245E17D}"/>
    <cellStyle name="Normal 3 2 3 7 3 3" xfId="14807" xr:uid="{319D53F3-CF4B-479B-B913-9642B80F85C4}"/>
    <cellStyle name="Normal 3 2 3 7 4" xfId="19030" xr:uid="{AE3FE6C2-D283-45D2-A54E-E3EE25FD8A48}"/>
    <cellStyle name="Normal 3 2 3 7 5" xfId="10589" xr:uid="{F727858E-31E4-4F57-9C7B-C7A0A8B924CF}"/>
    <cellStyle name="Normal 3 2 3 8" xfId="2494" xr:uid="{00000000-0005-0000-0000-0000CB110000}"/>
    <cellStyle name="Normal 3 2 3 8 2" xfId="6778" xr:uid="{00000000-0005-0000-0000-0000CC110000}"/>
    <cellStyle name="Normal 3 2 3 8 2 2" xfId="23661" xr:uid="{44C63C1C-ADAA-47C3-8441-04E09C804319}"/>
    <cellStyle name="Normal 3 2 3 8 2 3" xfId="15220" xr:uid="{C5C20454-394B-44A5-AE49-36B94059FE20}"/>
    <cellStyle name="Normal 3 2 3 8 3" xfId="19443" xr:uid="{11EF39F0-3DE9-48D0-928C-B30D6A5EBEA2}"/>
    <cellStyle name="Normal 3 2 3 8 4" xfId="11002" xr:uid="{6ADC271B-798E-4E1F-9FC0-D70B38A3A0E1}"/>
    <cellStyle name="Normal 3 2 3 9" xfId="4712" xr:uid="{00000000-0005-0000-0000-0000CD110000}"/>
    <cellStyle name="Normal 3 2 3 9 2" xfId="21595" xr:uid="{5F2802A4-CFA7-42D5-9C0F-7E687770C599}"/>
    <cellStyle name="Normal 3 2 3 9 3" xfId="13154" xr:uid="{EE921388-BF3E-4A91-A36A-E0D5C6B355AD}"/>
    <cellStyle name="Normal 3 2 4" xfId="809" xr:uid="{00000000-0005-0000-0000-0000CE110000}"/>
    <cellStyle name="Normal 3 2 4 2" xfId="3047" xr:uid="{00000000-0005-0000-0000-0000CF110000}"/>
    <cellStyle name="Normal 3 2 4 2 2" xfId="7270" xr:uid="{00000000-0005-0000-0000-0000D0110000}"/>
    <cellStyle name="Normal 3 2 4 2 2 2" xfId="24153" xr:uid="{6FB99F35-D3D9-4C7E-B39B-9A8E69523E7B}"/>
    <cellStyle name="Normal 3 2 4 2 2 3" xfId="15712" xr:uid="{15BC03D7-52B3-41C0-A672-37AD73817C3D}"/>
    <cellStyle name="Normal 3 2 4 2 3" xfId="19935" xr:uid="{9E86642F-E156-4C74-8E45-236BFB70E95F}"/>
    <cellStyle name="Normal 3 2 4 2 4" xfId="11494" xr:uid="{E2774FEA-8E42-4342-BE1B-7EB1B3A24130}"/>
    <cellStyle name="Normal 3 2 4 3" xfId="5125" xr:uid="{00000000-0005-0000-0000-0000D1110000}"/>
    <cellStyle name="Normal 3 2 4 3 2" xfId="22008" xr:uid="{0FDAC7B4-B7DD-488D-B85C-522577CA2581}"/>
    <cellStyle name="Normal 3 2 4 3 3" xfId="13567" xr:uid="{5EBB22A5-BBE5-48C9-81CC-170D8B08FD37}"/>
    <cellStyle name="Normal 3 2 4 4" xfId="17790" xr:uid="{41A1D4B3-95C1-4C79-AC02-1A9F85F66658}"/>
    <cellStyle name="Normal 3 2 4 5" xfId="9349" xr:uid="{FDB05A9F-3E9E-4E8E-AAD3-DB71E1EB7E64}"/>
    <cellStyle name="Normal 3 2 5" xfId="1230" xr:uid="{00000000-0005-0000-0000-0000D2110000}"/>
    <cellStyle name="Normal 3 2 5 2" xfId="3460" xr:uid="{00000000-0005-0000-0000-0000D3110000}"/>
    <cellStyle name="Normal 3 2 5 2 2" xfId="7683" xr:uid="{00000000-0005-0000-0000-0000D4110000}"/>
    <cellStyle name="Normal 3 2 5 2 2 2" xfId="24566" xr:uid="{8567C8F4-9435-48F6-94C2-CEC16928E530}"/>
    <cellStyle name="Normal 3 2 5 2 2 3" xfId="16125" xr:uid="{B2A5F2CC-8A1C-4230-93C9-DE70544779ED}"/>
    <cellStyle name="Normal 3 2 5 2 3" xfId="20348" xr:uid="{C95A796F-C64C-4D2F-8DDB-B4FBB4B4087F}"/>
    <cellStyle name="Normal 3 2 5 2 4" xfId="11907" xr:uid="{5A8A4142-5769-4453-89C2-6E735D3E755F}"/>
    <cellStyle name="Normal 3 2 5 3" xfId="5538" xr:uid="{00000000-0005-0000-0000-0000D5110000}"/>
    <cellStyle name="Normal 3 2 5 3 2" xfId="22421" xr:uid="{B3ED9ED4-E30E-4D9B-A964-C514FF65CBE3}"/>
    <cellStyle name="Normal 3 2 5 3 3" xfId="13980" xr:uid="{3A827B02-6BB6-4D3D-9B29-A30FDE2EE500}"/>
    <cellStyle name="Normal 3 2 5 4" xfId="18203" xr:uid="{A39DDC93-7F0A-480A-ADD5-3046FEECC4A7}"/>
    <cellStyle name="Normal 3 2 5 5" xfId="9762" xr:uid="{0F9B6644-9B42-44B1-B52A-8287B3BD8C01}"/>
    <cellStyle name="Normal 3 2 6" xfId="1643" xr:uid="{00000000-0005-0000-0000-0000D6110000}"/>
    <cellStyle name="Normal 3 2 6 2" xfId="3873" xr:uid="{00000000-0005-0000-0000-0000D7110000}"/>
    <cellStyle name="Normal 3 2 6 2 2" xfId="8096" xr:uid="{00000000-0005-0000-0000-0000D8110000}"/>
    <cellStyle name="Normal 3 2 6 2 2 2" xfId="24979" xr:uid="{84BBCD23-D45B-472D-B050-7017015708D9}"/>
    <cellStyle name="Normal 3 2 6 2 2 3" xfId="16538" xr:uid="{CC996D0A-852E-4E28-86CC-4ADDA237F0D7}"/>
    <cellStyle name="Normal 3 2 6 2 3" xfId="20761" xr:uid="{2CDFB9F6-A5A3-490E-B444-090960CB5261}"/>
    <cellStyle name="Normal 3 2 6 2 4" xfId="12320" xr:uid="{D68209D6-B0E6-49E2-BAEC-E47E2B1329CB}"/>
    <cellStyle name="Normal 3 2 6 3" xfId="5951" xr:uid="{00000000-0005-0000-0000-0000D9110000}"/>
    <cellStyle name="Normal 3 2 6 3 2" xfId="22834" xr:uid="{CEA828A8-FCAE-48BD-ABD0-CA0E22DFDF4B}"/>
    <cellStyle name="Normal 3 2 6 3 3" xfId="14393" xr:uid="{2EDE04FA-9E3B-4E78-86FB-90151EE78058}"/>
    <cellStyle name="Normal 3 2 6 4" xfId="18616" xr:uid="{AEDED279-0141-4A42-9700-833021922B7C}"/>
    <cellStyle name="Normal 3 2 6 5" xfId="10175" xr:uid="{030D70C2-7A0B-48CB-9EF8-0F1E414B9F10}"/>
    <cellStyle name="Normal 3 2 7" xfId="2057" xr:uid="{00000000-0005-0000-0000-0000DA110000}"/>
    <cellStyle name="Normal 3 2 7 2" xfId="4286" xr:uid="{00000000-0005-0000-0000-0000DB110000}"/>
    <cellStyle name="Normal 3 2 7 2 2" xfId="8509" xr:uid="{00000000-0005-0000-0000-0000DC110000}"/>
    <cellStyle name="Normal 3 2 7 2 2 2" xfId="25392" xr:uid="{BD679DF1-82A6-434A-BCA9-1520BA53DBF6}"/>
    <cellStyle name="Normal 3 2 7 2 2 3" xfId="16951" xr:uid="{9F370E4F-1872-44E6-AA24-73C04E2D1708}"/>
    <cellStyle name="Normal 3 2 7 2 3" xfId="21174" xr:uid="{2F1940E3-F01C-4B37-8DA4-DE89689F9ED9}"/>
    <cellStyle name="Normal 3 2 7 2 4" xfId="12733" xr:uid="{CE0684E3-0D13-4770-A8B6-F314321869EC}"/>
    <cellStyle name="Normal 3 2 7 3" xfId="6364" xr:uid="{00000000-0005-0000-0000-0000DD110000}"/>
    <cellStyle name="Normal 3 2 7 3 2" xfId="23247" xr:uid="{89C275CD-AEC2-4BA4-B057-CD39DBDFACF4}"/>
    <cellStyle name="Normal 3 2 7 3 3" xfId="14806" xr:uid="{EBE051B3-452E-4ECD-9237-3BA4D8C3A989}"/>
    <cellStyle name="Normal 3 2 7 4" xfId="19029" xr:uid="{E1990F5A-FFB3-492B-AEFC-059FD9A7BE46}"/>
    <cellStyle name="Normal 3 2 7 5" xfId="10588" xr:uid="{A2C828A7-C5FA-4058-A080-638F2EDCA195}"/>
    <cellStyle name="Normal 3 2 8" xfId="2493" xr:uid="{00000000-0005-0000-0000-0000DE110000}"/>
    <cellStyle name="Normal 3 2 8 2" xfId="6777" xr:uid="{00000000-0005-0000-0000-0000DF110000}"/>
    <cellStyle name="Normal 3 2 8 2 2" xfId="23660" xr:uid="{B2443C7E-1E25-42AD-B301-38E79923F6A4}"/>
    <cellStyle name="Normal 3 2 8 2 3" xfId="15219" xr:uid="{3AD69E66-9D8D-4AF7-91DC-187098B5B590}"/>
    <cellStyle name="Normal 3 2 8 3" xfId="19442" xr:uid="{C470DFEA-6FB5-45CB-B8BF-2766C6C12824}"/>
    <cellStyle name="Normal 3 2 8 4" xfId="11001" xr:uid="{2B11856A-00B5-42EE-94A4-3757A9C5B455}"/>
    <cellStyle name="Normal 3 2 9" xfId="4711" xr:uid="{00000000-0005-0000-0000-0000E0110000}"/>
    <cellStyle name="Normal 3 2 9 2" xfId="21594" xr:uid="{0EFF678E-9C7A-4ADB-AE40-8F53B2453127}"/>
    <cellStyle name="Normal 3 2 9 3" xfId="13153" xr:uid="{05C3E59C-A5D8-4ECD-98B3-918B4BA4EE1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17381" xr:uid="{7F715596-E5F4-4FF6-8AC6-C11AFFD320EC}"/>
    <cellStyle name="Normal 4 11" xfId="8940" xr:uid="{84C390D6-D73F-4DC6-A23D-CE523559C124}"/>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25397" xr:uid="{7EA8DDAA-6890-4212-8BFC-27BE6213C417}"/>
    <cellStyle name="Normal 4 2 2 10 2 2 3" xfId="16956" xr:uid="{1FCE6CC0-7B34-4856-AE4C-412423859EE9}"/>
    <cellStyle name="Normal 4 2 2 10 2 3" xfId="21179" xr:uid="{66CCE5A3-BFF5-467A-A215-8CE2FEF03013}"/>
    <cellStyle name="Normal 4 2 2 10 2 4" xfId="12738" xr:uid="{AC2E8D23-8BFC-4A29-9217-2A82F1234C2F}"/>
    <cellStyle name="Normal 4 2 2 10 3" xfId="6369" xr:uid="{00000000-0005-0000-0000-0000ED110000}"/>
    <cellStyle name="Normal 4 2 2 10 3 2" xfId="23252" xr:uid="{09BBDB18-8300-4172-8775-25F303715ECC}"/>
    <cellStyle name="Normal 4 2 2 10 3 3" xfId="14811" xr:uid="{B17E7579-0CA5-4390-A3A9-D25E0FD4D36D}"/>
    <cellStyle name="Normal 4 2 2 10 4" xfId="19034" xr:uid="{D2A360ED-86B5-482B-A0A8-8F71243EB519}"/>
    <cellStyle name="Normal 4 2 2 10 5" xfId="10593" xr:uid="{4B7913FC-1E3D-48A4-A9AE-D7A9F8AFFD7A}"/>
    <cellStyle name="Normal 4 2 2 11" xfId="2498" xr:uid="{00000000-0005-0000-0000-0000EE110000}"/>
    <cellStyle name="Normal 4 2 2 11 2" xfId="6782" xr:uid="{00000000-0005-0000-0000-0000EF110000}"/>
    <cellStyle name="Normal 4 2 2 11 2 2" xfId="23665" xr:uid="{31A3DBEF-651E-4609-81C0-7264454191AA}"/>
    <cellStyle name="Normal 4 2 2 11 2 3" xfId="15224" xr:uid="{652AA741-E23C-4D6B-8227-2B24960EE33F}"/>
    <cellStyle name="Normal 4 2 2 11 3" xfId="19447" xr:uid="{15D1DA6C-4B98-4830-A799-2812209EB094}"/>
    <cellStyle name="Normal 4 2 2 11 4" xfId="11006" xr:uid="{1B3DF30F-9CF9-408B-A110-84CF8D107A89}"/>
    <cellStyle name="Normal 4 2 2 12" xfId="4717" xr:uid="{00000000-0005-0000-0000-0000F0110000}"/>
    <cellStyle name="Normal 4 2 2 12 2" xfId="21600" xr:uid="{9670EF0C-5831-40BE-84F8-813875ACA268}"/>
    <cellStyle name="Normal 4 2 2 12 3" xfId="13159" xr:uid="{0B9F2D0D-1B02-40CC-B114-732656D783D5}"/>
    <cellStyle name="Normal 4 2 2 13" xfId="17382" xr:uid="{C3F1BE0D-EAF4-43F3-98C5-22E798B32553}"/>
    <cellStyle name="Normal 4 2 2 14" xfId="8941" xr:uid="{D87BE24C-0E94-4D40-8FD2-A8C86092B402}"/>
    <cellStyle name="Normal 4 2 2 2" xfId="338" xr:uid="{00000000-0005-0000-0000-0000F1110000}"/>
    <cellStyle name="Normal 4 2 2 3" xfId="339" xr:uid="{00000000-0005-0000-0000-0000F2110000}"/>
    <cellStyle name="Normal 4 2 2 3 10" xfId="4718" xr:uid="{00000000-0005-0000-0000-0000F3110000}"/>
    <cellStyle name="Normal 4 2 2 3 10 2" xfId="21601" xr:uid="{00F8FCF4-A3A7-4BB7-BE23-255FE7A98534}"/>
    <cellStyle name="Normal 4 2 2 3 10 3" xfId="13160" xr:uid="{BA678673-E433-4208-B9BB-7BADC1187FDD}"/>
    <cellStyle name="Normal 4 2 2 3 11" xfId="17383" xr:uid="{D35E2653-AA05-4E49-AE88-EE8960599776}"/>
    <cellStyle name="Normal 4 2 2 3 12" xfId="8942" xr:uid="{6E59FCF6-135E-45AD-842A-19D95C14BEB0}"/>
    <cellStyle name="Normal 4 2 2 3 2" xfId="340" xr:uid="{00000000-0005-0000-0000-0000F4110000}"/>
    <cellStyle name="Normal 4 2 2 3 2 10" xfId="17384" xr:uid="{CA194D99-6452-4182-AC4C-A7B7D7894F58}"/>
    <cellStyle name="Normal 4 2 2 3 2 11" xfId="8943" xr:uid="{7B171A77-CE16-42C4-9759-BFD780890CC2}"/>
    <cellStyle name="Normal 4 2 2 3 2 2" xfId="341" xr:uid="{00000000-0005-0000-0000-0000F5110000}"/>
    <cellStyle name="Normal 4 2 2 3 2 2 10" xfId="8944" xr:uid="{DE701672-42DE-45F6-A2E9-59FA3E4194F9}"/>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24162" xr:uid="{1156BF86-E293-4186-905E-4D037B128607}"/>
    <cellStyle name="Normal 4 2 2 3 2 2 2 2 2 2 3" xfId="15721" xr:uid="{CFD1C478-F118-496D-AC61-1934AB9702C8}"/>
    <cellStyle name="Normal 4 2 2 3 2 2 2 2 2 3" xfId="19944" xr:uid="{AC41E268-E6C7-4EC3-AF42-2ACEC0CD5870}"/>
    <cellStyle name="Normal 4 2 2 3 2 2 2 2 2 4" xfId="11503" xr:uid="{D81E6A5D-5FBC-4078-930C-3AA57D8DDCB6}"/>
    <cellStyle name="Normal 4 2 2 3 2 2 2 2 3" xfId="5134" xr:uid="{00000000-0005-0000-0000-0000FA110000}"/>
    <cellStyle name="Normal 4 2 2 3 2 2 2 2 3 2" xfId="22017" xr:uid="{1F77C34C-2FAB-41E5-8143-D5242C300231}"/>
    <cellStyle name="Normal 4 2 2 3 2 2 2 2 3 3" xfId="13576" xr:uid="{F3A8449E-D945-4233-96D8-79287D93F9C3}"/>
    <cellStyle name="Normal 4 2 2 3 2 2 2 2 4" xfId="17799" xr:uid="{27E8C4F0-DF44-480D-A227-B93B1BA5F973}"/>
    <cellStyle name="Normal 4 2 2 3 2 2 2 2 5" xfId="9358" xr:uid="{EE963423-F67E-44F5-97D7-B9542CA0A388}"/>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24575" xr:uid="{A88056F6-BD4D-47DB-B584-BBFFC2CB5928}"/>
    <cellStyle name="Normal 4 2 2 3 2 2 2 3 2 2 3" xfId="16134" xr:uid="{1BFBBD76-F659-4762-ABCA-E6BE8A00FB63}"/>
    <cellStyle name="Normal 4 2 2 3 2 2 2 3 2 3" xfId="20357" xr:uid="{10BFC408-E2DF-47F7-AB48-CF0B3725BDB8}"/>
    <cellStyle name="Normal 4 2 2 3 2 2 2 3 2 4" xfId="11916" xr:uid="{BC89C41B-7408-434C-9E20-4C899B97F646}"/>
    <cellStyle name="Normal 4 2 2 3 2 2 2 3 3" xfId="5547" xr:uid="{00000000-0005-0000-0000-0000FE110000}"/>
    <cellStyle name="Normal 4 2 2 3 2 2 2 3 3 2" xfId="22430" xr:uid="{C88A7248-4297-413C-933F-473D07483C8B}"/>
    <cellStyle name="Normal 4 2 2 3 2 2 2 3 3 3" xfId="13989" xr:uid="{81F87CBC-3047-4B42-929A-E5EC626FAEB9}"/>
    <cellStyle name="Normal 4 2 2 3 2 2 2 3 4" xfId="18212" xr:uid="{898012CE-A954-47EC-BB93-53D6914275D9}"/>
    <cellStyle name="Normal 4 2 2 3 2 2 2 3 5" xfId="9771" xr:uid="{735AB1FC-B295-41E0-B8DF-92B7DA07FA0B}"/>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24988" xr:uid="{9A4BA978-998B-45D3-B578-14970E9887FE}"/>
    <cellStyle name="Normal 4 2 2 3 2 2 2 4 2 2 3" xfId="16547" xr:uid="{3F1D3871-2AEF-47B4-A652-5DD9A167C230}"/>
    <cellStyle name="Normal 4 2 2 3 2 2 2 4 2 3" xfId="20770" xr:uid="{50C237A9-442E-4BA6-AE2D-DAE86347CC00}"/>
    <cellStyle name="Normal 4 2 2 3 2 2 2 4 2 4" xfId="12329" xr:uid="{56B73268-877B-40F1-8C22-1AFD0E2326F2}"/>
    <cellStyle name="Normal 4 2 2 3 2 2 2 4 3" xfId="5960" xr:uid="{00000000-0005-0000-0000-000002120000}"/>
    <cellStyle name="Normal 4 2 2 3 2 2 2 4 3 2" xfId="22843" xr:uid="{FA955869-BC3C-4757-ACBA-3EE4527CB259}"/>
    <cellStyle name="Normal 4 2 2 3 2 2 2 4 3 3" xfId="14402" xr:uid="{077429DE-5713-4CB0-A838-2686E8A8AD39}"/>
    <cellStyle name="Normal 4 2 2 3 2 2 2 4 4" xfId="18625" xr:uid="{10B88DED-DA21-4F6A-B664-A234C917B888}"/>
    <cellStyle name="Normal 4 2 2 3 2 2 2 4 5" xfId="10184" xr:uid="{EEDD740B-25DC-455A-8F96-36C0CC518C62}"/>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25401" xr:uid="{E4250146-DE9D-4CC3-89F6-FFD8E4B4EB4D}"/>
    <cellStyle name="Normal 4 2 2 3 2 2 2 5 2 2 3" xfId="16960" xr:uid="{4786B4BE-F6AB-4547-A51C-5E3A61938B81}"/>
    <cellStyle name="Normal 4 2 2 3 2 2 2 5 2 3" xfId="21183" xr:uid="{91ACAD2C-28D6-45C3-ABC7-2F04DAE1AD75}"/>
    <cellStyle name="Normal 4 2 2 3 2 2 2 5 2 4" xfId="12742" xr:uid="{EEDEB582-0EAC-418E-BAA3-2923C76878C1}"/>
    <cellStyle name="Normal 4 2 2 3 2 2 2 5 3" xfId="6373" xr:uid="{00000000-0005-0000-0000-000006120000}"/>
    <cellStyle name="Normal 4 2 2 3 2 2 2 5 3 2" xfId="23256" xr:uid="{DDAE0196-E0DF-4EF0-B00B-66CAA1761007}"/>
    <cellStyle name="Normal 4 2 2 3 2 2 2 5 3 3" xfId="14815" xr:uid="{F68205B6-FD10-472F-84C8-D6B067E559E2}"/>
    <cellStyle name="Normal 4 2 2 3 2 2 2 5 4" xfId="19038" xr:uid="{76AA5B0F-92FC-4101-91CF-98AC768BC74D}"/>
    <cellStyle name="Normal 4 2 2 3 2 2 2 5 5" xfId="10597" xr:uid="{AB9BD02E-7B2E-4D01-90D8-9A61C08C811D}"/>
    <cellStyle name="Normal 4 2 2 3 2 2 2 6" xfId="2502" xr:uid="{00000000-0005-0000-0000-000007120000}"/>
    <cellStyle name="Normal 4 2 2 3 2 2 2 6 2" xfId="6786" xr:uid="{00000000-0005-0000-0000-000008120000}"/>
    <cellStyle name="Normal 4 2 2 3 2 2 2 6 2 2" xfId="23669" xr:uid="{50DD02E3-5283-4C61-8010-AF54AD83362D}"/>
    <cellStyle name="Normal 4 2 2 3 2 2 2 6 2 3" xfId="15228" xr:uid="{9849BBCB-FF83-4145-BE1D-DBFD4E5F4197}"/>
    <cellStyle name="Normal 4 2 2 3 2 2 2 6 3" xfId="19451" xr:uid="{B0F1CC57-36DD-4925-B04F-93F5B554C127}"/>
    <cellStyle name="Normal 4 2 2 3 2 2 2 6 4" xfId="11010" xr:uid="{A30D59BC-CE4C-447D-AA43-86E3DDFB21E2}"/>
    <cellStyle name="Normal 4 2 2 3 2 2 2 7" xfId="4721" xr:uid="{00000000-0005-0000-0000-000009120000}"/>
    <cellStyle name="Normal 4 2 2 3 2 2 2 7 2" xfId="21604" xr:uid="{BB5730F8-6437-4845-8161-FA9F3169D183}"/>
    <cellStyle name="Normal 4 2 2 3 2 2 2 7 3" xfId="13163" xr:uid="{DAE27389-A2AE-4203-A4AD-8B9F61482DAD}"/>
    <cellStyle name="Normal 4 2 2 3 2 2 2 8" xfId="17386" xr:uid="{65175CBD-B7AD-47E9-B6C2-B66A11266BF8}"/>
    <cellStyle name="Normal 4 2 2 3 2 2 2 9" xfId="8945" xr:uid="{BE13B4CC-F261-4457-B354-FC7ABD62563D}"/>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24161" xr:uid="{73D118C4-72B3-47B1-A8FA-47775BDCA6E3}"/>
    <cellStyle name="Normal 4 2 2 3 2 2 3 2 2 3" xfId="15720" xr:uid="{1AB137E4-2991-4E50-A660-77B957725B68}"/>
    <cellStyle name="Normal 4 2 2 3 2 2 3 2 3" xfId="19943" xr:uid="{7E3513E1-A702-4729-80D8-A4E2054288E7}"/>
    <cellStyle name="Normal 4 2 2 3 2 2 3 2 4" xfId="11502" xr:uid="{C77E12E0-6CED-4B0E-984E-891931E12763}"/>
    <cellStyle name="Normal 4 2 2 3 2 2 3 3" xfId="5133" xr:uid="{00000000-0005-0000-0000-00000D120000}"/>
    <cellStyle name="Normal 4 2 2 3 2 2 3 3 2" xfId="22016" xr:uid="{3ED2C6A6-D1DF-44DC-951B-7D1675B2F390}"/>
    <cellStyle name="Normal 4 2 2 3 2 2 3 3 3" xfId="13575" xr:uid="{4B8207DA-415D-4851-9915-7B4AF30C72FE}"/>
    <cellStyle name="Normal 4 2 2 3 2 2 3 4" xfId="17798" xr:uid="{C23E5971-6261-4870-B88E-2E33568894A6}"/>
    <cellStyle name="Normal 4 2 2 3 2 2 3 5" xfId="9357" xr:uid="{29171042-03BC-4BDF-8439-5ACC629737CA}"/>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24574" xr:uid="{96DD9F38-6666-4351-996B-A3D24A95245F}"/>
    <cellStyle name="Normal 4 2 2 3 2 2 4 2 2 3" xfId="16133" xr:uid="{E11049B9-10C9-4727-9120-FDF390B0F695}"/>
    <cellStyle name="Normal 4 2 2 3 2 2 4 2 3" xfId="20356" xr:uid="{BA992B21-6A3F-4C6D-A448-96A9BFA3B2EC}"/>
    <cellStyle name="Normal 4 2 2 3 2 2 4 2 4" xfId="11915" xr:uid="{67347D1A-B4A2-41CA-A38F-09CC4C32FB83}"/>
    <cellStyle name="Normal 4 2 2 3 2 2 4 3" xfId="5546" xr:uid="{00000000-0005-0000-0000-000011120000}"/>
    <cellStyle name="Normal 4 2 2 3 2 2 4 3 2" xfId="22429" xr:uid="{8E17C1EC-9EAD-4090-B7EC-6396775F41F9}"/>
    <cellStyle name="Normal 4 2 2 3 2 2 4 3 3" xfId="13988" xr:uid="{5128CC56-8F66-4566-8C55-E2BA6968DF77}"/>
    <cellStyle name="Normal 4 2 2 3 2 2 4 4" xfId="18211" xr:uid="{06F0B346-44B4-48F3-8BC7-D7F7DC31238D}"/>
    <cellStyle name="Normal 4 2 2 3 2 2 4 5" xfId="9770" xr:uid="{C6BDC4D3-517B-452E-A8DC-6595F69F9868}"/>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24987" xr:uid="{EBE58D67-A9BC-4307-9762-CD530124D0B8}"/>
    <cellStyle name="Normal 4 2 2 3 2 2 5 2 2 3" xfId="16546" xr:uid="{DB8F1E0D-1848-4D95-864E-4AFF8FDAFD63}"/>
    <cellStyle name="Normal 4 2 2 3 2 2 5 2 3" xfId="20769" xr:uid="{977E34C0-C02C-42E3-AE56-09835A47F6FD}"/>
    <cellStyle name="Normal 4 2 2 3 2 2 5 2 4" xfId="12328" xr:uid="{ED7F6A40-44A4-439D-BE2B-698D416F8218}"/>
    <cellStyle name="Normal 4 2 2 3 2 2 5 3" xfId="5959" xr:uid="{00000000-0005-0000-0000-000015120000}"/>
    <cellStyle name="Normal 4 2 2 3 2 2 5 3 2" xfId="22842" xr:uid="{66F86EEC-5B66-4417-BB30-812A9776DCAD}"/>
    <cellStyle name="Normal 4 2 2 3 2 2 5 3 3" xfId="14401" xr:uid="{BD30EF53-256F-4BFD-AF90-EA9917B7A5F8}"/>
    <cellStyle name="Normal 4 2 2 3 2 2 5 4" xfId="18624" xr:uid="{77C36BD6-B6F4-44B6-B3B6-BA21F30C466B}"/>
    <cellStyle name="Normal 4 2 2 3 2 2 5 5" xfId="10183" xr:uid="{3A22FA87-8000-4C73-A312-61CA8F82DEE4}"/>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25400" xr:uid="{B22006CB-7FBC-4158-B025-46A23DDDE348}"/>
    <cellStyle name="Normal 4 2 2 3 2 2 6 2 2 3" xfId="16959" xr:uid="{AB56EBA7-9644-4E45-8D20-C4342ACC9568}"/>
    <cellStyle name="Normal 4 2 2 3 2 2 6 2 3" xfId="21182" xr:uid="{59B7C04B-BD0A-46A0-BCC6-6C3D2F93616B}"/>
    <cellStyle name="Normal 4 2 2 3 2 2 6 2 4" xfId="12741" xr:uid="{0568982D-212C-4EF8-BDAA-6DA0FE7A211B}"/>
    <cellStyle name="Normal 4 2 2 3 2 2 6 3" xfId="6372" xr:uid="{00000000-0005-0000-0000-000019120000}"/>
    <cellStyle name="Normal 4 2 2 3 2 2 6 3 2" xfId="23255" xr:uid="{A31F5420-1FCC-465C-AC24-2049C154270F}"/>
    <cellStyle name="Normal 4 2 2 3 2 2 6 3 3" xfId="14814" xr:uid="{274CEF84-18E5-4D68-BA87-23BCA844E9E0}"/>
    <cellStyle name="Normal 4 2 2 3 2 2 6 4" xfId="19037" xr:uid="{D3E5F0D5-8688-43C0-A5EF-41E80897E72B}"/>
    <cellStyle name="Normal 4 2 2 3 2 2 6 5" xfId="10596" xr:uid="{0A94A615-3A72-414A-A7AC-B3C735D426EA}"/>
    <cellStyle name="Normal 4 2 2 3 2 2 7" xfId="2501" xr:uid="{00000000-0005-0000-0000-00001A120000}"/>
    <cellStyle name="Normal 4 2 2 3 2 2 7 2" xfId="6785" xr:uid="{00000000-0005-0000-0000-00001B120000}"/>
    <cellStyle name="Normal 4 2 2 3 2 2 7 2 2" xfId="23668" xr:uid="{25616CE2-5FC5-4408-803F-0D1B7F5A7589}"/>
    <cellStyle name="Normal 4 2 2 3 2 2 7 2 3" xfId="15227" xr:uid="{9C4D9B38-B6DF-45AC-972B-8A8845CBF1FD}"/>
    <cellStyle name="Normal 4 2 2 3 2 2 7 3" xfId="19450" xr:uid="{166241E7-3CD4-45CC-AF51-06EA14F313F3}"/>
    <cellStyle name="Normal 4 2 2 3 2 2 7 4" xfId="11009" xr:uid="{2D65A45A-BA1D-4EB4-A4EB-BF4C76508CBB}"/>
    <cellStyle name="Normal 4 2 2 3 2 2 8" xfId="4720" xr:uid="{00000000-0005-0000-0000-00001C120000}"/>
    <cellStyle name="Normal 4 2 2 3 2 2 8 2" xfId="21603" xr:uid="{37410A71-6711-4BDF-B1F2-0E4FBBFF8701}"/>
    <cellStyle name="Normal 4 2 2 3 2 2 8 3" xfId="13162" xr:uid="{FE418ADC-28BC-49CA-8078-CB1ED378E148}"/>
    <cellStyle name="Normal 4 2 2 3 2 2 9" xfId="17385" xr:uid="{E9D70C75-264F-4684-9C1C-C6FBD0F9C49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24163" xr:uid="{8178EB4E-EBE8-4C44-8ABB-F7C250CDBCD5}"/>
    <cellStyle name="Normal 4 2 2 3 2 3 2 2 2 3" xfId="15722" xr:uid="{A3154CCA-10BA-4E15-A500-472BAFB923B9}"/>
    <cellStyle name="Normal 4 2 2 3 2 3 2 2 3" xfId="19945" xr:uid="{57A028CA-032C-4318-8E83-764A231EFD15}"/>
    <cellStyle name="Normal 4 2 2 3 2 3 2 2 4" xfId="11504" xr:uid="{409AAD59-F555-4449-8B53-FB1EDE84C20B}"/>
    <cellStyle name="Normal 4 2 2 3 2 3 2 3" xfId="5135" xr:uid="{00000000-0005-0000-0000-000021120000}"/>
    <cellStyle name="Normal 4 2 2 3 2 3 2 3 2" xfId="22018" xr:uid="{D37BCC50-45CE-4973-80BE-FB145CC88962}"/>
    <cellStyle name="Normal 4 2 2 3 2 3 2 3 3" xfId="13577" xr:uid="{EAC5BA4B-0F88-4264-A9B6-0D95580EE73A}"/>
    <cellStyle name="Normal 4 2 2 3 2 3 2 4" xfId="17800" xr:uid="{4F6F2DEE-3FF1-4275-A25F-0BF89777073C}"/>
    <cellStyle name="Normal 4 2 2 3 2 3 2 5" xfId="9359" xr:uid="{9DB0C4CA-4C71-4DF9-ABFC-9DB1CC2F2FA8}"/>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24576" xr:uid="{4B2A2293-84B9-4FC3-8763-533E876745CE}"/>
    <cellStyle name="Normal 4 2 2 3 2 3 3 2 2 3" xfId="16135" xr:uid="{E9892603-0D89-4FDF-8DFF-078144CD500B}"/>
    <cellStyle name="Normal 4 2 2 3 2 3 3 2 3" xfId="20358" xr:uid="{F3E94F84-C01B-43E6-8310-6DD43F20DF15}"/>
    <cellStyle name="Normal 4 2 2 3 2 3 3 2 4" xfId="11917" xr:uid="{B8D03258-79E6-43E4-9BC0-6841266CC1DE}"/>
    <cellStyle name="Normal 4 2 2 3 2 3 3 3" xfId="5548" xr:uid="{00000000-0005-0000-0000-000025120000}"/>
    <cellStyle name="Normal 4 2 2 3 2 3 3 3 2" xfId="22431" xr:uid="{C6D8F559-8BD5-4CCC-8DBC-95C58BE7B04D}"/>
    <cellStyle name="Normal 4 2 2 3 2 3 3 3 3" xfId="13990" xr:uid="{96717FA4-55EC-4256-9148-27D071908ED8}"/>
    <cellStyle name="Normal 4 2 2 3 2 3 3 4" xfId="18213" xr:uid="{8877153D-FDCE-4DD8-ABFA-B2C98DD5335B}"/>
    <cellStyle name="Normal 4 2 2 3 2 3 3 5" xfId="9772" xr:uid="{B6640E31-FDC9-438D-A4EA-1B33C772D832}"/>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24989" xr:uid="{F7746FBB-DDC0-4DE0-8384-F6A8323B0309}"/>
    <cellStyle name="Normal 4 2 2 3 2 3 4 2 2 3" xfId="16548" xr:uid="{D4F6F04C-C887-4DC3-B79B-D799D8D93ED9}"/>
    <cellStyle name="Normal 4 2 2 3 2 3 4 2 3" xfId="20771" xr:uid="{2F83B6C2-1D80-435D-B10B-E1904A31E9CE}"/>
    <cellStyle name="Normal 4 2 2 3 2 3 4 2 4" xfId="12330" xr:uid="{34C8A06B-D87A-418A-8D8F-54F7FDA6609B}"/>
    <cellStyle name="Normal 4 2 2 3 2 3 4 3" xfId="5961" xr:uid="{00000000-0005-0000-0000-000029120000}"/>
    <cellStyle name="Normal 4 2 2 3 2 3 4 3 2" xfId="22844" xr:uid="{52DE8248-FB10-474B-AD4C-9A44373B2C44}"/>
    <cellStyle name="Normal 4 2 2 3 2 3 4 3 3" xfId="14403" xr:uid="{52C8C798-0900-4C38-83A4-FDCF79225E35}"/>
    <cellStyle name="Normal 4 2 2 3 2 3 4 4" xfId="18626" xr:uid="{1ACAC1E7-F8DE-4A41-B03C-BFC2198C0EDE}"/>
    <cellStyle name="Normal 4 2 2 3 2 3 4 5" xfId="10185" xr:uid="{1F0F4908-9616-4CB0-B346-C54B5DB31844}"/>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25402" xr:uid="{AC9422EA-732B-4461-BCE3-0F26AF227853}"/>
    <cellStyle name="Normal 4 2 2 3 2 3 5 2 2 3" xfId="16961" xr:uid="{8548EE17-C0D6-4F79-B677-B74C4A110565}"/>
    <cellStyle name="Normal 4 2 2 3 2 3 5 2 3" xfId="21184" xr:uid="{7AD92DF3-4FF3-4196-B865-8795D000C60A}"/>
    <cellStyle name="Normal 4 2 2 3 2 3 5 2 4" xfId="12743" xr:uid="{8F9E52DD-B11C-4074-AF45-23FC5013F9FC}"/>
    <cellStyle name="Normal 4 2 2 3 2 3 5 3" xfId="6374" xr:uid="{00000000-0005-0000-0000-00002D120000}"/>
    <cellStyle name="Normal 4 2 2 3 2 3 5 3 2" xfId="23257" xr:uid="{571BCDA4-BCE7-494E-ADD4-248E3FE33CA8}"/>
    <cellStyle name="Normal 4 2 2 3 2 3 5 3 3" xfId="14816" xr:uid="{FFDC8E4F-BE42-457D-A545-9629952DB42B}"/>
    <cellStyle name="Normal 4 2 2 3 2 3 5 4" xfId="19039" xr:uid="{9FF4D040-CB93-4BD4-8C2D-8B4D97A801DC}"/>
    <cellStyle name="Normal 4 2 2 3 2 3 5 5" xfId="10598" xr:uid="{C38008B8-91E0-4250-B8C8-75BBB93EBEC1}"/>
    <cellStyle name="Normal 4 2 2 3 2 3 6" xfId="2503" xr:uid="{00000000-0005-0000-0000-00002E120000}"/>
    <cellStyle name="Normal 4 2 2 3 2 3 6 2" xfId="6787" xr:uid="{00000000-0005-0000-0000-00002F120000}"/>
    <cellStyle name="Normal 4 2 2 3 2 3 6 2 2" xfId="23670" xr:uid="{5822BEE4-0B68-44CE-A325-E6FCD4C67E88}"/>
    <cellStyle name="Normal 4 2 2 3 2 3 6 2 3" xfId="15229" xr:uid="{C0461891-DD02-40FB-91D7-BC6E0A7A1063}"/>
    <cellStyle name="Normal 4 2 2 3 2 3 6 3" xfId="19452" xr:uid="{161CDB5D-5D35-47EE-8D1B-FB7C3242CDC7}"/>
    <cellStyle name="Normal 4 2 2 3 2 3 6 4" xfId="11011" xr:uid="{B1453F8E-35E4-408B-9710-2B5177DCF5B0}"/>
    <cellStyle name="Normal 4 2 2 3 2 3 7" xfId="4722" xr:uid="{00000000-0005-0000-0000-000030120000}"/>
    <cellStyle name="Normal 4 2 2 3 2 3 7 2" xfId="21605" xr:uid="{6D1953A2-467C-4056-A6C3-3230D20D52FE}"/>
    <cellStyle name="Normal 4 2 2 3 2 3 7 3" xfId="13164" xr:uid="{FF7BC0C5-065D-40EF-A791-D1EB4AFCEA24}"/>
    <cellStyle name="Normal 4 2 2 3 2 3 8" xfId="17387" xr:uid="{95C85314-3717-495D-A557-0CA7C40C41DB}"/>
    <cellStyle name="Normal 4 2 2 3 2 3 9" xfId="8946" xr:uid="{6BB60191-8B55-4E8C-9C5D-ACDEE880F1EA}"/>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24160" xr:uid="{7077F8CF-DC19-46AD-862C-EC982DDE567C}"/>
    <cellStyle name="Normal 4 2 2 3 2 4 2 2 3" xfId="15719" xr:uid="{B5EB0DA3-4533-4BC6-A3AF-DCA51982E1EA}"/>
    <cellStyle name="Normal 4 2 2 3 2 4 2 3" xfId="19942" xr:uid="{991FB966-DADE-42F2-B27C-3E18B1321DF8}"/>
    <cellStyle name="Normal 4 2 2 3 2 4 2 4" xfId="11501" xr:uid="{52AF3AAD-A2C3-41A2-9938-02C40A4E2659}"/>
    <cellStyle name="Normal 4 2 2 3 2 4 3" xfId="5132" xr:uid="{00000000-0005-0000-0000-000034120000}"/>
    <cellStyle name="Normal 4 2 2 3 2 4 3 2" xfId="22015" xr:uid="{23F8B54E-FFBD-4CEF-AC37-B5BEAB56D03B}"/>
    <cellStyle name="Normal 4 2 2 3 2 4 3 3" xfId="13574" xr:uid="{77E86CDD-21E3-44FF-BF79-57BB6B65577F}"/>
    <cellStyle name="Normal 4 2 2 3 2 4 4" xfId="17797" xr:uid="{699AA1F9-4209-4B71-B17C-7A4BFAF5CC6B}"/>
    <cellStyle name="Normal 4 2 2 3 2 4 5" xfId="9356" xr:uid="{435CB020-1638-4335-B67B-1EBBD0B05755}"/>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24573" xr:uid="{A9A8B2C0-93C7-4015-9F31-BED02518318E}"/>
    <cellStyle name="Normal 4 2 2 3 2 5 2 2 3" xfId="16132" xr:uid="{4B809FF6-EEC8-4685-A275-705AB6D0AC93}"/>
    <cellStyle name="Normal 4 2 2 3 2 5 2 3" xfId="20355" xr:uid="{BA37A50B-ADD2-4B6F-ABEA-588C62803381}"/>
    <cellStyle name="Normal 4 2 2 3 2 5 2 4" xfId="11914" xr:uid="{44F2DD1E-D544-4607-B69D-3160A40CD855}"/>
    <cellStyle name="Normal 4 2 2 3 2 5 3" xfId="5545" xr:uid="{00000000-0005-0000-0000-000038120000}"/>
    <cellStyle name="Normal 4 2 2 3 2 5 3 2" xfId="22428" xr:uid="{D7C8A928-BE21-487A-9E36-ED976384F7E4}"/>
    <cellStyle name="Normal 4 2 2 3 2 5 3 3" xfId="13987" xr:uid="{0FC7D1A7-2E65-4E04-AE9E-4D7AAB253941}"/>
    <cellStyle name="Normal 4 2 2 3 2 5 4" xfId="18210" xr:uid="{E0BEFF8F-2AEC-4E34-B6E6-AE0508B75CD9}"/>
    <cellStyle name="Normal 4 2 2 3 2 5 5" xfId="9769" xr:uid="{4AAD02D2-AF70-4F4A-BE90-85682814364F}"/>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24986" xr:uid="{D545E64D-EC37-4980-9D95-CCB9DDD6BB5C}"/>
    <cellStyle name="Normal 4 2 2 3 2 6 2 2 3" xfId="16545" xr:uid="{388DE5F1-4AB1-4DB9-B36A-7F526C8A17DA}"/>
    <cellStyle name="Normal 4 2 2 3 2 6 2 3" xfId="20768" xr:uid="{B7387A69-6B99-4078-AB61-F4DBFEA3F1B0}"/>
    <cellStyle name="Normal 4 2 2 3 2 6 2 4" xfId="12327" xr:uid="{F08E0927-50BD-4CA9-A25D-D9768E3D87C8}"/>
    <cellStyle name="Normal 4 2 2 3 2 6 3" xfId="5958" xr:uid="{00000000-0005-0000-0000-00003C120000}"/>
    <cellStyle name="Normal 4 2 2 3 2 6 3 2" xfId="22841" xr:uid="{BC1590BD-141E-4745-8268-59C14FF4696A}"/>
    <cellStyle name="Normal 4 2 2 3 2 6 3 3" xfId="14400" xr:uid="{5E8D568B-FD23-4F74-9602-D86843F5AB78}"/>
    <cellStyle name="Normal 4 2 2 3 2 6 4" xfId="18623" xr:uid="{A8740E82-0D6C-44BE-83C0-0B27EBB55890}"/>
    <cellStyle name="Normal 4 2 2 3 2 6 5" xfId="10182" xr:uid="{487E1535-C710-4A77-8945-489FA1120593}"/>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25399" xr:uid="{F3F580CF-46C0-49B8-A558-EC266087561E}"/>
    <cellStyle name="Normal 4 2 2 3 2 7 2 2 3" xfId="16958" xr:uid="{732E13B5-4537-4077-B018-CD3DA52FFFF2}"/>
    <cellStyle name="Normal 4 2 2 3 2 7 2 3" xfId="21181" xr:uid="{8821628A-9ABF-42E8-BFD1-624122FDE32F}"/>
    <cellStyle name="Normal 4 2 2 3 2 7 2 4" xfId="12740" xr:uid="{C43301FF-92DB-42DA-BA48-0271B8533108}"/>
    <cellStyle name="Normal 4 2 2 3 2 7 3" xfId="6371" xr:uid="{00000000-0005-0000-0000-000040120000}"/>
    <cellStyle name="Normal 4 2 2 3 2 7 3 2" xfId="23254" xr:uid="{9316BF44-2CF3-4108-925E-56D8A5142E76}"/>
    <cellStyle name="Normal 4 2 2 3 2 7 3 3" xfId="14813" xr:uid="{633EA6AA-4AA2-447D-A1FE-230B499DEF38}"/>
    <cellStyle name="Normal 4 2 2 3 2 7 4" xfId="19036" xr:uid="{CCAC9FBB-BFA6-4438-8E00-24C7E014459F}"/>
    <cellStyle name="Normal 4 2 2 3 2 7 5" xfId="10595" xr:uid="{947965EE-2DEE-47FB-BDC2-D4270EDFCA4E}"/>
    <cellStyle name="Normal 4 2 2 3 2 8" xfId="2500" xr:uid="{00000000-0005-0000-0000-000041120000}"/>
    <cellStyle name="Normal 4 2 2 3 2 8 2" xfId="6784" xr:uid="{00000000-0005-0000-0000-000042120000}"/>
    <cellStyle name="Normal 4 2 2 3 2 8 2 2" xfId="23667" xr:uid="{1D026B42-14D4-4543-A3E1-A71CBADEFD73}"/>
    <cellStyle name="Normal 4 2 2 3 2 8 2 3" xfId="15226" xr:uid="{36CCF55D-E754-403A-9112-20A6ED42CFCF}"/>
    <cellStyle name="Normal 4 2 2 3 2 8 3" xfId="19449" xr:uid="{F3D860D6-3913-4E88-9CCC-8B8BC9BB6BE6}"/>
    <cellStyle name="Normal 4 2 2 3 2 8 4" xfId="11008" xr:uid="{08DAC13E-EBDB-4208-A536-1053BC65FA96}"/>
    <cellStyle name="Normal 4 2 2 3 2 9" xfId="4719" xr:uid="{00000000-0005-0000-0000-000043120000}"/>
    <cellStyle name="Normal 4 2 2 3 2 9 2" xfId="21602" xr:uid="{07610D77-F5E3-4E2C-8F3A-7139454302E9}"/>
    <cellStyle name="Normal 4 2 2 3 2 9 3" xfId="13161" xr:uid="{485E4044-42D6-4D58-80AF-3FE430F8876A}"/>
    <cellStyle name="Normal 4 2 2 3 3" xfId="344" xr:uid="{00000000-0005-0000-0000-000044120000}"/>
    <cellStyle name="Normal 4 2 2 3 3 10" xfId="8947" xr:uid="{D89CD879-9FC5-42B4-A8D4-F8E0C7563C41}"/>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24165" xr:uid="{A1655205-A70C-402C-93A4-FC98CEC17D94}"/>
    <cellStyle name="Normal 4 2 2 3 3 2 2 2 2 3" xfId="15724" xr:uid="{591116A8-DFBA-4DF6-8EEF-11571395DBC9}"/>
    <cellStyle name="Normal 4 2 2 3 3 2 2 2 3" xfId="19947" xr:uid="{CF611494-9BD0-4204-8F1E-D14CF453C21E}"/>
    <cellStyle name="Normal 4 2 2 3 3 2 2 2 4" xfId="11506" xr:uid="{583357DF-BAB1-4C55-9D12-F29ED8CEE9A8}"/>
    <cellStyle name="Normal 4 2 2 3 3 2 2 3" xfId="5137" xr:uid="{00000000-0005-0000-0000-000049120000}"/>
    <cellStyle name="Normal 4 2 2 3 3 2 2 3 2" xfId="22020" xr:uid="{C757E666-4B70-4CC4-981B-4C5BFCE16C66}"/>
    <cellStyle name="Normal 4 2 2 3 3 2 2 3 3" xfId="13579" xr:uid="{26C22981-CF84-4BF2-B49E-1C4A61DFEED8}"/>
    <cellStyle name="Normal 4 2 2 3 3 2 2 4" xfId="17802" xr:uid="{CAAD1CE5-706E-49C4-A0DF-1B7429D415E4}"/>
    <cellStyle name="Normal 4 2 2 3 3 2 2 5" xfId="9361" xr:uid="{B3A3DD63-58B1-4996-84E1-D6C4A16B1785}"/>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24578" xr:uid="{12467553-13BC-4D2F-AF40-A61D7A056AE5}"/>
    <cellStyle name="Normal 4 2 2 3 3 2 3 2 2 3" xfId="16137" xr:uid="{1CF7900B-3586-4F9E-AD83-CF838A410B28}"/>
    <cellStyle name="Normal 4 2 2 3 3 2 3 2 3" xfId="20360" xr:uid="{28A392FA-ACEF-4DC1-B468-3F5DCF60BD21}"/>
    <cellStyle name="Normal 4 2 2 3 3 2 3 2 4" xfId="11919" xr:uid="{1F27731B-BE15-4A57-9DD1-D8A53615E347}"/>
    <cellStyle name="Normal 4 2 2 3 3 2 3 3" xfId="5550" xr:uid="{00000000-0005-0000-0000-00004D120000}"/>
    <cellStyle name="Normal 4 2 2 3 3 2 3 3 2" xfId="22433" xr:uid="{84E0E815-3E8D-41AA-96F0-15DF39B8A44B}"/>
    <cellStyle name="Normal 4 2 2 3 3 2 3 3 3" xfId="13992" xr:uid="{8FC82761-6741-4CDE-9C97-60E7DCB47135}"/>
    <cellStyle name="Normal 4 2 2 3 3 2 3 4" xfId="18215" xr:uid="{90803D3D-2E09-4CB2-9C58-179B9F38F39F}"/>
    <cellStyle name="Normal 4 2 2 3 3 2 3 5" xfId="9774" xr:uid="{8913B92C-5F6B-4E61-897C-E18C7C32D46F}"/>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24991" xr:uid="{976EFD90-B1F1-42FA-B044-B7A1E13FB29A}"/>
    <cellStyle name="Normal 4 2 2 3 3 2 4 2 2 3" xfId="16550" xr:uid="{0187D621-7B71-4EAE-833C-933C875420DF}"/>
    <cellStyle name="Normal 4 2 2 3 3 2 4 2 3" xfId="20773" xr:uid="{AF1B1047-2B60-4976-9477-EE0C53942C1B}"/>
    <cellStyle name="Normal 4 2 2 3 3 2 4 2 4" xfId="12332" xr:uid="{806C2AB9-4507-4199-ACB2-4FE339F9FC9C}"/>
    <cellStyle name="Normal 4 2 2 3 3 2 4 3" xfId="5963" xr:uid="{00000000-0005-0000-0000-000051120000}"/>
    <cellStyle name="Normal 4 2 2 3 3 2 4 3 2" xfId="22846" xr:uid="{E85105CA-2FF6-4C29-BA75-AF1DA46ACBE2}"/>
    <cellStyle name="Normal 4 2 2 3 3 2 4 3 3" xfId="14405" xr:uid="{A1776DF0-23A9-45F3-AFC4-ACA05E08D917}"/>
    <cellStyle name="Normal 4 2 2 3 3 2 4 4" xfId="18628" xr:uid="{AD616519-E4BE-4076-A716-8CB4D89B10F2}"/>
    <cellStyle name="Normal 4 2 2 3 3 2 4 5" xfId="10187" xr:uid="{A9AAB9C2-E2BB-4CD0-9004-4522E2598E85}"/>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25404" xr:uid="{86B2ED0C-E39B-41C0-9242-BC5437DF38B5}"/>
    <cellStyle name="Normal 4 2 2 3 3 2 5 2 2 3" xfId="16963" xr:uid="{E0ADA6F8-C986-4A6B-A84F-B9A9BD51E753}"/>
    <cellStyle name="Normal 4 2 2 3 3 2 5 2 3" xfId="21186" xr:uid="{09DC37CA-E9C8-4242-ADE0-D6EF1AE234F4}"/>
    <cellStyle name="Normal 4 2 2 3 3 2 5 2 4" xfId="12745" xr:uid="{3D5CE219-5100-43A5-91E2-446B324F247E}"/>
    <cellStyle name="Normal 4 2 2 3 3 2 5 3" xfId="6376" xr:uid="{00000000-0005-0000-0000-000055120000}"/>
    <cellStyle name="Normal 4 2 2 3 3 2 5 3 2" xfId="23259" xr:uid="{5A014211-F47F-4B24-9178-72645565A747}"/>
    <cellStyle name="Normal 4 2 2 3 3 2 5 3 3" xfId="14818" xr:uid="{1294723F-7BB2-4782-B52C-5EAD5C8029F2}"/>
    <cellStyle name="Normal 4 2 2 3 3 2 5 4" xfId="19041" xr:uid="{249368A8-D8AA-4774-BD39-1014F9A66583}"/>
    <cellStyle name="Normal 4 2 2 3 3 2 5 5" xfId="10600" xr:uid="{9669B67F-7066-4E79-873E-D58FD5C7AA16}"/>
    <cellStyle name="Normal 4 2 2 3 3 2 6" xfId="2505" xr:uid="{00000000-0005-0000-0000-000056120000}"/>
    <cellStyle name="Normal 4 2 2 3 3 2 6 2" xfId="6789" xr:uid="{00000000-0005-0000-0000-000057120000}"/>
    <cellStyle name="Normal 4 2 2 3 3 2 6 2 2" xfId="23672" xr:uid="{81641A36-5460-44BC-9439-4F7CFE1B2568}"/>
    <cellStyle name="Normal 4 2 2 3 3 2 6 2 3" xfId="15231" xr:uid="{DE3A4FB5-36EC-4B5F-9F6B-3F31260378E9}"/>
    <cellStyle name="Normal 4 2 2 3 3 2 6 3" xfId="19454" xr:uid="{BDF30143-A27E-4EDE-A1D8-8BA82022782E}"/>
    <cellStyle name="Normal 4 2 2 3 3 2 6 4" xfId="11013" xr:uid="{1E921163-9B9B-4E8A-8B26-CAF1D1267229}"/>
    <cellStyle name="Normal 4 2 2 3 3 2 7" xfId="4724" xr:uid="{00000000-0005-0000-0000-000058120000}"/>
    <cellStyle name="Normal 4 2 2 3 3 2 7 2" xfId="21607" xr:uid="{0046ADF6-2906-46A4-B9B1-443D7C6861CB}"/>
    <cellStyle name="Normal 4 2 2 3 3 2 7 3" xfId="13166" xr:uid="{A4607606-885D-4ADD-853D-F6DF6538A712}"/>
    <cellStyle name="Normal 4 2 2 3 3 2 8" xfId="17389" xr:uid="{CE40FDE3-5EC7-40EC-BBDB-70B0CCBAD7F3}"/>
    <cellStyle name="Normal 4 2 2 3 3 2 9" xfId="8948" xr:uid="{D02D663F-0816-4AD6-9CF1-FB5B12121C87}"/>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24164" xr:uid="{DEF7064A-A390-4911-A9D5-0D3DEBF55105}"/>
    <cellStyle name="Normal 4 2 2 3 3 3 2 2 3" xfId="15723" xr:uid="{5F6C6517-A0E0-4222-B862-B1C0F1B267E7}"/>
    <cellStyle name="Normal 4 2 2 3 3 3 2 3" xfId="19946" xr:uid="{0025AB7E-FA13-498D-9089-5A1DBCCF1C89}"/>
    <cellStyle name="Normal 4 2 2 3 3 3 2 4" xfId="11505" xr:uid="{50368067-419A-4824-A226-3DF4B1A6349E}"/>
    <cellStyle name="Normal 4 2 2 3 3 3 3" xfId="5136" xr:uid="{00000000-0005-0000-0000-00005C120000}"/>
    <cellStyle name="Normal 4 2 2 3 3 3 3 2" xfId="22019" xr:uid="{6CF9CB82-9284-4CD6-AA64-9A193F4847D2}"/>
    <cellStyle name="Normal 4 2 2 3 3 3 3 3" xfId="13578" xr:uid="{4BFD59A0-7F0F-4E90-B071-8731FBDD72A4}"/>
    <cellStyle name="Normal 4 2 2 3 3 3 4" xfId="17801" xr:uid="{FA812131-712D-446A-96FF-DB26EDD825AB}"/>
    <cellStyle name="Normal 4 2 2 3 3 3 5" xfId="9360" xr:uid="{318CDED2-BB69-4539-942B-D1A2CD3466C4}"/>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24577" xr:uid="{0BF509A0-F0BE-4B63-813B-DE101FC239B9}"/>
    <cellStyle name="Normal 4 2 2 3 3 4 2 2 3" xfId="16136" xr:uid="{6E3E08A6-8368-4361-BD5C-F00A8DA36B60}"/>
    <cellStyle name="Normal 4 2 2 3 3 4 2 3" xfId="20359" xr:uid="{33528CEE-A913-45EC-B9D4-E3AA2BDBB8C6}"/>
    <cellStyle name="Normal 4 2 2 3 3 4 2 4" xfId="11918" xr:uid="{8F817D81-BC7B-4533-9C3E-B2D61E1FCFEC}"/>
    <cellStyle name="Normal 4 2 2 3 3 4 3" xfId="5549" xr:uid="{00000000-0005-0000-0000-000060120000}"/>
    <cellStyle name="Normal 4 2 2 3 3 4 3 2" xfId="22432" xr:uid="{8724C837-A0B5-42B6-A4B6-89FE96CA5200}"/>
    <cellStyle name="Normal 4 2 2 3 3 4 3 3" xfId="13991" xr:uid="{74C43884-1535-460C-8F1F-4FA286BB8D09}"/>
    <cellStyle name="Normal 4 2 2 3 3 4 4" xfId="18214" xr:uid="{D97DC9F7-230E-4CCF-B546-B8003AF5E113}"/>
    <cellStyle name="Normal 4 2 2 3 3 4 5" xfId="9773" xr:uid="{BD8F8792-1AE1-490D-9CA0-E0B06C488883}"/>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24990" xr:uid="{BF009392-9377-43E5-A829-BCD86E3BE601}"/>
    <cellStyle name="Normal 4 2 2 3 3 5 2 2 3" xfId="16549" xr:uid="{D813697C-7CDC-4AEE-A1B9-CAA3F842047B}"/>
    <cellStyle name="Normal 4 2 2 3 3 5 2 3" xfId="20772" xr:uid="{3A5B8ECD-952F-4922-A7B5-DC42DBFFBC66}"/>
    <cellStyle name="Normal 4 2 2 3 3 5 2 4" xfId="12331" xr:uid="{45DAC5D7-972F-4D7C-853F-54BA4456E5A0}"/>
    <cellStyle name="Normal 4 2 2 3 3 5 3" xfId="5962" xr:uid="{00000000-0005-0000-0000-000064120000}"/>
    <cellStyle name="Normal 4 2 2 3 3 5 3 2" xfId="22845" xr:uid="{6CDBB1EF-2C63-4434-9FE0-F95D9335723A}"/>
    <cellStyle name="Normal 4 2 2 3 3 5 3 3" xfId="14404" xr:uid="{4E950DDE-6190-49C3-B213-60D278F1A035}"/>
    <cellStyle name="Normal 4 2 2 3 3 5 4" xfId="18627" xr:uid="{A9548B66-71EA-4374-97E9-8A3A369AE03D}"/>
    <cellStyle name="Normal 4 2 2 3 3 5 5" xfId="10186" xr:uid="{A207BB23-0687-4C12-9DDF-2064E93EDCCC}"/>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25403" xr:uid="{7B0C25D1-52D7-4EB8-B743-10FAEB9B3341}"/>
    <cellStyle name="Normal 4 2 2 3 3 6 2 2 3" xfId="16962" xr:uid="{5F9F6AB0-47A9-45C7-8FF6-866693487D4E}"/>
    <cellStyle name="Normal 4 2 2 3 3 6 2 3" xfId="21185" xr:uid="{CAB3EEAE-8611-4EB8-B002-E5F265B3BD13}"/>
    <cellStyle name="Normal 4 2 2 3 3 6 2 4" xfId="12744" xr:uid="{AFBCBFC0-F5F3-4D95-87BC-8A4E7B9F29D6}"/>
    <cellStyle name="Normal 4 2 2 3 3 6 3" xfId="6375" xr:uid="{00000000-0005-0000-0000-000068120000}"/>
    <cellStyle name="Normal 4 2 2 3 3 6 3 2" xfId="23258" xr:uid="{E696D6E7-EA04-4504-9991-55F93C5A05FC}"/>
    <cellStyle name="Normal 4 2 2 3 3 6 3 3" xfId="14817" xr:uid="{F5F41E59-135A-452C-AE32-68103F2C768B}"/>
    <cellStyle name="Normal 4 2 2 3 3 6 4" xfId="19040" xr:uid="{BDA1EA66-B78E-4DA0-B561-A37B1106A2DC}"/>
    <cellStyle name="Normal 4 2 2 3 3 6 5" xfId="10599" xr:uid="{82E910AC-09B4-494B-9E82-BC9AAB0C39D3}"/>
    <cellStyle name="Normal 4 2 2 3 3 7" xfId="2504" xr:uid="{00000000-0005-0000-0000-000069120000}"/>
    <cellStyle name="Normal 4 2 2 3 3 7 2" xfId="6788" xr:uid="{00000000-0005-0000-0000-00006A120000}"/>
    <cellStyle name="Normal 4 2 2 3 3 7 2 2" xfId="23671" xr:uid="{86BF07BA-6C57-4B52-8E7F-FE2DE76935B5}"/>
    <cellStyle name="Normal 4 2 2 3 3 7 2 3" xfId="15230" xr:uid="{0099653A-800A-4013-A307-E95AC27B1DF9}"/>
    <cellStyle name="Normal 4 2 2 3 3 7 3" xfId="19453" xr:uid="{F982455A-4B07-42E1-BCE8-5A607AB15FCB}"/>
    <cellStyle name="Normal 4 2 2 3 3 7 4" xfId="11012" xr:uid="{0A4303BB-9C5D-4566-AEE5-C18ECC183355}"/>
    <cellStyle name="Normal 4 2 2 3 3 8" xfId="4723" xr:uid="{00000000-0005-0000-0000-00006B120000}"/>
    <cellStyle name="Normal 4 2 2 3 3 8 2" xfId="21606" xr:uid="{FCD5EC8F-8574-4FB6-81A4-DCE0332CFFD3}"/>
    <cellStyle name="Normal 4 2 2 3 3 8 3" xfId="13165" xr:uid="{8D672AE4-AD3D-4656-8134-5B477EC2E3BD}"/>
    <cellStyle name="Normal 4 2 2 3 3 9" xfId="17388" xr:uid="{9B9B7EB0-A219-4BE5-B741-9AB2DDB2A88A}"/>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24166" xr:uid="{0CCCF9EF-6909-4A0C-B783-7A6CE886628A}"/>
    <cellStyle name="Normal 4 2 2 3 4 2 2 2 3" xfId="15725" xr:uid="{0ABBBAD0-CBA3-4A53-A8C2-7E49286CAFEB}"/>
    <cellStyle name="Normal 4 2 2 3 4 2 2 3" xfId="19948" xr:uid="{79E872AD-4AAA-43FE-BDE2-BA6285B6B8C3}"/>
    <cellStyle name="Normal 4 2 2 3 4 2 2 4" xfId="11507" xr:uid="{8EA08604-002D-4B35-85F8-D288DA00D23D}"/>
    <cellStyle name="Normal 4 2 2 3 4 2 3" xfId="5138" xr:uid="{00000000-0005-0000-0000-000070120000}"/>
    <cellStyle name="Normal 4 2 2 3 4 2 3 2" xfId="22021" xr:uid="{27285CC8-4E31-4BAC-B2F2-1BB6C132E688}"/>
    <cellStyle name="Normal 4 2 2 3 4 2 3 3" xfId="13580" xr:uid="{D5A71FD3-DC79-4F05-A87A-50799D2A5890}"/>
    <cellStyle name="Normal 4 2 2 3 4 2 4" xfId="17803" xr:uid="{96180DF6-0790-4B09-9BF6-1BD57DD34BA5}"/>
    <cellStyle name="Normal 4 2 2 3 4 2 5" xfId="9362" xr:uid="{E8317561-6EDE-4250-94FE-2877406C93B5}"/>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24579" xr:uid="{8D94B0A1-1EA3-4EB7-ADD1-4576717D7042}"/>
    <cellStyle name="Normal 4 2 2 3 4 3 2 2 3" xfId="16138" xr:uid="{EC1F0AC4-198D-433D-8723-E3C20AE24589}"/>
    <cellStyle name="Normal 4 2 2 3 4 3 2 3" xfId="20361" xr:uid="{F30D8377-D8EA-41B3-8BB2-A821D7903C8A}"/>
    <cellStyle name="Normal 4 2 2 3 4 3 2 4" xfId="11920" xr:uid="{EC0E2E81-C223-48B2-A1FF-6664395B99AF}"/>
    <cellStyle name="Normal 4 2 2 3 4 3 3" xfId="5551" xr:uid="{00000000-0005-0000-0000-000074120000}"/>
    <cellStyle name="Normal 4 2 2 3 4 3 3 2" xfId="22434" xr:uid="{E00EF3CD-CD3E-4E7B-8BBB-69B0BFA77EC9}"/>
    <cellStyle name="Normal 4 2 2 3 4 3 3 3" xfId="13993" xr:uid="{15EC9CC0-1942-49E1-8861-E5A7A0225057}"/>
    <cellStyle name="Normal 4 2 2 3 4 3 4" xfId="18216" xr:uid="{7636C4AB-37F5-400D-80E0-D6A82D2410E5}"/>
    <cellStyle name="Normal 4 2 2 3 4 3 5" xfId="9775" xr:uid="{CBE7627F-4E12-4990-93F9-904CCB9FAFC9}"/>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24992" xr:uid="{C39DD1F8-1364-480C-B93E-E643C059C6B3}"/>
    <cellStyle name="Normal 4 2 2 3 4 4 2 2 3" xfId="16551" xr:uid="{BCC3C31F-0811-42D5-9B3D-CE6387D88B1D}"/>
    <cellStyle name="Normal 4 2 2 3 4 4 2 3" xfId="20774" xr:uid="{2CAB9AAC-2FA6-40BE-BFF5-C82B1EDFC34B}"/>
    <cellStyle name="Normal 4 2 2 3 4 4 2 4" xfId="12333" xr:uid="{7004019B-4BC9-4287-A7BB-E6247613A647}"/>
    <cellStyle name="Normal 4 2 2 3 4 4 3" xfId="5964" xr:uid="{00000000-0005-0000-0000-000078120000}"/>
    <cellStyle name="Normal 4 2 2 3 4 4 3 2" xfId="22847" xr:uid="{75CE54A1-5487-48B9-890B-A4F8B02A48E6}"/>
    <cellStyle name="Normal 4 2 2 3 4 4 3 3" xfId="14406" xr:uid="{11FE7BDC-FBEF-4B3A-BF3A-F58213AD5E36}"/>
    <cellStyle name="Normal 4 2 2 3 4 4 4" xfId="18629" xr:uid="{258B3249-AAB8-4D2F-B88A-D54CCBAB0CD7}"/>
    <cellStyle name="Normal 4 2 2 3 4 4 5" xfId="10188" xr:uid="{A47FF678-8D34-43E5-B612-696311B6A5FF}"/>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25405" xr:uid="{C0FBAD7A-F03F-4B78-B732-2135E27DEC1C}"/>
    <cellStyle name="Normal 4 2 2 3 4 5 2 2 3" xfId="16964" xr:uid="{A164D603-2108-4954-9FD6-9DD37092C31D}"/>
    <cellStyle name="Normal 4 2 2 3 4 5 2 3" xfId="21187" xr:uid="{734866D2-BB99-4035-AAAE-78B542305ACA}"/>
    <cellStyle name="Normal 4 2 2 3 4 5 2 4" xfId="12746" xr:uid="{70963133-07F2-4002-B33A-037965A17B3A}"/>
    <cellStyle name="Normal 4 2 2 3 4 5 3" xfId="6377" xr:uid="{00000000-0005-0000-0000-00007C120000}"/>
    <cellStyle name="Normal 4 2 2 3 4 5 3 2" xfId="23260" xr:uid="{B62BF644-B097-4A21-AA52-2008305D8CC2}"/>
    <cellStyle name="Normal 4 2 2 3 4 5 3 3" xfId="14819" xr:uid="{9018871F-7731-4545-A7D2-43128BB9DF27}"/>
    <cellStyle name="Normal 4 2 2 3 4 5 4" xfId="19042" xr:uid="{0E0F288F-7F07-4629-847D-B557DD755414}"/>
    <cellStyle name="Normal 4 2 2 3 4 5 5" xfId="10601" xr:uid="{D1C8CA99-52B9-4453-AD07-6A06B182B476}"/>
    <cellStyle name="Normal 4 2 2 3 4 6" xfId="2506" xr:uid="{00000000-0005-0000-0000-00007D120000}"/>
    <cellStyle name="Normal 4 2 2 3 4 6 2" xfId="6790" xr:uid="{00000000-0005-0000-0000-00007E120000}"/>
    <cellStyle name="Normal 4 2 2 3 4 6 2 2" xfId="23673" xr:uid="{A651A689-5319-4B6F-A0F6-5D1FC865F264}"/>
    <cellStyle name="Normal 4 2 2 3 4 6 2 3" xfId="15232" xr:uid="{D3FF44A3-AC59-4603-9CF0-9A837070745F}"/>
    <cellStyle name="Normal 4 2 2 3 4 6 3" xfId="19455" xr:uid="{C9FA656C-FFA4-42CC-A43F-068C8EC093D8}"/>
    <cellStyle name="Normal 4 2 2 3 4 6 4" xfId="11014" xr:uid="{0D57BC78-9EB0-4F24-A1A9-81736AB5BEA8}"/>
    <cellStyle name="Normal 4 2 2 3 4 7" xfId="4725" xr:uid="{00000000-0005-0000-0000-00007F120000}"/>
    <cellStyle name="Normal 4 2 2 3 4 7 2" xfId="21608" xr:uid="{2B97AEF9-AE5B-490E-AA3C-6DF61A8AB5EE}"/>
    <cellStyle name="Normal 4 2 2 3 4 7 3" xfId="13167" xr:uid="{32E0DF66-62BF-431F-BB51-78F9C8D94C97}"/>
    <cellStyle name="Normal 4 2 2 3 4 8" xfId="17390" xr:uid="{889D9A97-771D-476B-8AEB-B88E5AF350B6}"/>
    <cellStyle name="Normal 4 2 2 3 4 9" xfId="8949" xr:uid="{CFF964C6-1E83-46DF-8B07-FD6FF1E83B30}"/>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24159" xr:uid="{1C3154AF-0AF1-4E94-923A-7845B43B4844}"/>
    <cellStyle name="Normal 4 2 2 3 5 2 2 3" xfId="15718" xr:uid="{C0ABCE40-F3AA-493F-B377-F1F6301FD602}"/>
    <cellStyle name="Normal 4 2 2 3 5 2 3" xfId="19941" xr:uid="{5B40A94A-2729-4DDD-8E07-5E66150AB10E}"/>
    <cellStyle name="Normal 4 2 2 3 5 2 4" xfId="11500" xr:uid="{8F3CFD1F-BC29-435D-BEBF-0F193C7A2920}"/>
    <cellStyle name="Normal 4 2 2 3 5 3" xfId="5131" xr:uid="{00000000-0005-0000-0000-000083120000}"/>
    <cellStyle name="Normal 4 2 2 3 5 3 2" xfId="22014" xr:uid="{A174BADA-C4C2-4DBB-A492-92A53F29CF35}"/>
    <cellStyle name="Normal 4 2 2 3 5 3 3" xfId="13573" xr:uid="{D9D645C6-0FB9-412A-AB96-FC7C000406C3}"/>
    <cellStyle name="Normal 4 2 2 3 5 4" xfId="17796" xr:uid="{969EB45C-2323-446A-BBE9-F5B7A65D3C5B}"/>
    <cellStyle name="Normal 4 2 2 3 5 5" xfId="9355" xr:uid="{BDCE9F91-4411-483D-8D92-7F3E9DBAB658}"/>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24572" xr:uid="{86CF62BF-0629-492F-8C80-61B4CDE1BED9}"/>
    <cellStyle name="Normal 4 2 2 3 6 2 2 3" xfId="16131" xr:uid="{AF584F5B-6516-465F-A2E5-016E2B16A67F}"/>
    <cellStyle name="Normal 4 2 2 3 6 2 3" xfId="20354" xr:uid="{E4FC3C37-7603-4EB1-AAEA-5D79858A4C56}"/>
    <cellStyle name="Normal 4 2 2 3 6 2 4" xfId="11913" xr:uid="{B0568349-7022-40B8-8B1A-4674A74B17E9}"/>
    <cellStyle name="Normal 4 2 2 3 6 3" xfId="5544" xr:uid="{00000000-0005-0000-0000-000087120000}"/>
    <cellStyle name="Normal 4 2 2 3 6 3 2" xfId="22427" xr:uid="{CDE870F5-FAA1-4E14-A957-260919836D6E}"/>
    <cellStyle name="Normal 4 2 2 3 6 3 3" xfId="13986" xr:uid="{51F2ABFA-1946-4B75-A578-20B6B888253A}"/>
    <cellStyle name="Normal 4 2 2 3 6 4" xfId="18209" xr:uid="{7CBB0980-C24C-41CB-97CF-251EED17B5A7}"/>
    <cellStyle name="Normal 4 2 2 3 6 5" xfId="9768" xr:uid="{B9CF547B-0C12-413B-95C9-C8A6835C44E7}"/>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24985" xr:uid="{5D52AAD5-82AB-4D98-B5FC-998514D52939}"/>
    <cellStyle name="Normal 4 2 2 3 7 2 2 3" xfId="16544" xr:uid="{3CCAA16A-B006-4CC1-9B5A-1920E95DC099}"/>
    <cellStyle name="Normal 4 2 2 3 7 2 3" xfId="20767" xr:uid="{7174B076-4AAA-469F-BA38-D6FD69958657}"/>
    <cellStyle name="Normal 4 2 2 3 7 2 4" xfId="12326" xr:uid="{A5C0B5CA-233C-4800-80F9-5D97F8FE66AF}"/>
    <cellStyle name="Normal 4 2 2 3 7 3" xfId="5957" xr:uid="{00000000-0005-0000-0000-00008B120000}"/>
    <cellStyle name="Normal 4 2 2 3 7 3 2" xfId="22840" xr:uid="{F175BA52-EFCE-4350-806B-D4D6A64D1688}"/>
    <cellStyle name="Normal 4 2 2 3 7 3 3" xfId="14399" xr:uid="{A49087EE-7F34-4E36-B550-F8A5ED645FD9}"/>
    <cellStyle name="Normal 4 2 2 3 7 4" xfId="18622" xr:uid="{E438546B-909C-4AA1-86F9-ED042F5C6ED4}"/>
    <cellStyle name="Normal 4 2 2 3 7 5" xfId="10181" xr:uid="{B92965A1-2452-4FDA-9E55-15BAB17C316A}"/>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25398" xr:uid="{79702E37-DB98-4C8D-AF1E-BE84F881807A}"/>
    <cellStyle name="Normal 4 2 2 3 8 2 2 3" xfId="16957" xr:uid="{A591A9D4-60D8-4A93-A3FC-0F16C1DFE8D1}"/>
    <cellStyle name="Normal 4 2 2 3 8 2 3" xfId="21180" xr:uid="{94A20EA8-30DF-4464-8C59-81987C73363D}"/>
    <cellStyle name="Normal 4 2 2 3 8 2 4" xfId="12739" xr:uid="{693A823A-7577-4C58-8287-281FAFF3FD22}"/>
    <cellStyle name="Normal 4 2 2 3 8 3" xfId="6370" xr:uid="{00000000-0005-0000-0000-00008F120000}"/>
    <cellStyle name="Normal 4 2 2 3 8 3 2" xfId="23253" xr:uid="{2811DC39-A059-4CC2-89E0-7D17E8C0B306}"/>
    <cellStyle name="Normal 4 2 2 3 8 3 3" xfId="14812" xr:uid="{4DFDD413-C716-4AFC-8100-9147AFCC2A5E}"/>
    <cellStyle name="Normal 4 2 2 3 8 4" xfId="19035" xr:uid="{7A9BB889-3511-4202-999C-F7A1D82DFE26}"/>
    <cellStyle name="Normal 4 2 2 3 8 5" xfId="10594" xr:uid="{00635345-1B60-4C7D-8F88-5314C3EAC749}"/>
    <cellStyle name="Normal 4 2 2 3 9" xfId="2499" xr:uid="{00000000-0005-0000-0000-000090120000}"/>
    <cellStyle name="Normal 4 2 2 3 9 2" xfId="6783" xr:uid="{00000000-0005-0000-0000-000091120000}"/>
    <cellStyle name="Normal 4 2 2 3 9 2 2" xfId="23666" xr:uid="{6724F5BC-26DC-46DF-AF9F-9BEA1A2612A4}"/>
    <cellStyle name="Normal 4 2 2 3 9 2 3" xfId="15225" xr:uid="{E35DA8F3-F8CD-435D-B7E9-301396CE864E}"/>
    <cellStyle name="Normal 4 2 2 3 9 3" xfId="19448" xr:uid="{FAF9D443-7864-4397-A57E-D348E464A87B}"/>
    <cellStyle name="Normal 4 2 2 3 9 4" xfId="11007" xr:uid="{2A3306D7-73DF-48A8-8BC2-2B4ECC263BB5}"/>
    <cellStyle name="Normal 4 2 2 4" xfId="347" xr:uid="{00000000-0005-0000-0000-000092120000}"/>
    <cellStyle name="Normal 4 2 2 4 10" xfId="17391" xr:uid="{0E7090C7-D92D-4D17-85E8-62D935946FE4}"/>
    <cellStyle name="Normal 4 2 2 4 11" xfId="8950" xr:uid="{2277DF5B-6BB1-447B-95CF-6F2EFD5EF73D}"/>
    <cellStyle name="Normal 4 2 2 4 2" xfId="348" xr:uid="{00000000-0005-0000-0000-000093120000}"/>
    <cellStyle name="Normal 4 2 2 4 2 10" xfId="8951" xr:uid="{CCF51771-54CD-45D1-9640-1B636DF46198}"/>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24169" xr:uid="{A14ECE58-8E66-459D-9701-A67BBCA7A888}"/>
    <cellStyle name="Normal 4 2 2 4 2 2 2 2 2 3" xfId="15728" xr:uid="{4CD5736A-542B-40D5-A29A-4A752D7403AE}"/>
    <cellStyle name="Normal 4 2 2 4 2 2 2 2 3" xfId="19951" xr:uid="{7E8CAE53-0D43-4B9A-AF4C-6E2C0D34BA52}"/>
    <cellStyle name="Normal 4 2 2 4 2 2 2 2 4" xfId="11510" xr:uid="{D3A04859-1A69-438D-A505-95DF7F374220}"/>
    <cellStyle name="Normal 4 2 2 4 2 2 2 3" xfId="5141" xr:uid="{00000000-0005-0000-0000-000098120000}"/>
    <cellStyle name="Normal 4 2 2 4 2 2 2 3 2" xfId="22024" xr:uid="{010C452B-265D-4BA3-872B-3009A7CAEEC2}"/>
    <cellStyle name="Normal 4 2 2 4 2 2 2 3 3" xfId="13583" xr:uid="{415B4C80-F694-4BA1-93C8-EFCCC506D1A1}"/>
    <cellStyle name="Normal 4 2 2 4 2 2 2 4" xfId="17806" xr:uid="{1A03A0F7-DE19-4581-8DB5-05B15C1B76EC}"/>
    <cellStyle name="Normal 4 2 2 4 2 2 2 5" xfId="9365" xr:uid="{F647C37B-701A-4DC0-9408-D4E4A9839BE6}"/>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24582" xr:uid="{FD952A2B-A183-4238-89CC-233CEA9F7478}"/>
    <cellStyle name="Normal 4 2 2 4 2 2 3 2 2 3" xfId="16141" xr:uid="{3B424EA9-FAC6-4478-8CB7-3B02E3B8D062}"/>
    <cellStyle name="Normal 4 2 2 4 2 2 3 2 3" xfId="20364" xr:uid="{8AB0680C-D61D-4155-BC96-1D26B557F4DB}"/>
    <cellStyle name="Normal 4 2 2 4 2 2 3 2 4" xfId="11923" xr:uid="{551CD5F9-7966-4795-BDC9-61D3E2C16D19}"/>
    <cellStyle name="Normal 4 2 2 4 2 2 3 3" xfId="5554" xr:uid="{00000000-0005-0000-0000-00009C120000}"/>
    <cellStyle name="Normal 4 2 2 4 2 2 3 3 2" xfId="22437" xr:uid="{79ED5C5F-7223-4D17-8A13-1B0C02748298}"/>
    <cellStyle name="Normal 4 2 2 4 2 2 3 3 3" xfId="13996" xr:uid="{038EE11E-D85F-427A-9507-7BA7E886E49C}"/>
    <cellStyle name="Normal 4 2 2 4 2 2 3 4" xfId="18219" xr:uid="{C5531EEC-306B-4282-9157-06018FDD017C}"/>
    <cellStyle name="Normal 4 2 2 4 2 2 3 5" xfId="9778" xr:uid="{307C2E67-41D7-42DA-9583-1C1C795F9F61}"/>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24995" xr:uid="{28D2CAA8-DD10-4E0F-9C26-29C702A8B660}"/>
    <cellStyle name="Normal 4 2 2 4 2 2 4 2 2 3" xfId="16554" xr:uid="{7C43D6DD-60FC-4C76-ADE8-38574045E2D1}"/>
    <cellStyle name="Normal 4 2 2 4 2 2 4 2 3" xfId="20777" xr:uid="{6BB04520-BC0C-42D7-8B62-7F6DA5D88376}"/>
    <cellStyle name="Normal 4 2 2 4 2 2 4 2 4" xfId="12336" xr:uid="{ACD95A24-2EB2-4915-9CAB-66213B599800}"/>
    <cellStyle name="Normal 4 2 2 4 2 2 4 3" xfId="5967" xr:uid="{00000000-0005-0000-0000-0000A0120000}"/>
    <cellStyle name="Normal 4 2 2 4 2 2 4 3 2" xfId="22850" xr:uid="{E84A59FE-630C-435E-8FB1-571CAD2FC27F}"/>
    <cellStyle name="Normal 4 2 2 4 2 2 4 3 3" xfId="14409" xr:uid="{3106C279-96DC-43DC-B56E-FAF3715F0AC9}"/>
    <cellStyle name="Normal 4 2 2 4 2 2 4 4" xfId="18632" xr:uid="{D24255AC-2EDE-4EDD-99BB-E710294F611C}"/>
    <cellStyle name="Normal 4 2 2 4 2 2 4 5" xfId="10191" xr:uid="{6E730296-FCBB-46F2-AE72-7FCC773B4EC8}"/>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25408" xr:uid="{233B3656-D1D0-4F54-82B5-CF50664147A6}"/>
    <cellStyle name="Normal 4 2 2 4 2 2 5 2 2 3" xfId="16967" xr:uid="{F2E065B9-EF3B-4A07-8E51-61CBB79EFE30}"/>
    <cellStyle name="Normal 4 2 2 4 2 2 5 2 3" xfId="21190" xr:uid="{7BEBE276-5F32-4471-ACD0-E3440A9FB23F}"/>
    <cellStyle name="Normal 4 2 2 4 2 2 5 2 4" xfId="12749" xr:uid="{C101619D-5CE2-475E-9C79-45C40E18A8D8}"/>
    <cellStyle name="Normal 4 2 2 4 2 2 5 3" xfId="6380" xr:uid="{00000000-0005-0000-0000-0000A4120000}"/>
    <cellStyle name="Normal 4 2 2 4 2 2 5 3 2" xfId="23263" xr:uid="{879ACF49-E8E0-4396-B3A0-8423BA31C9CE}"/>
    <cellStyle name="Normal 4 2 2 4 2 2 5 3 3" xfId="14822" xr:uid="{8CCEEB8C-9222-4592-B0B3-D91A1449D3BF}"/>
    <cellStyle name="Normal 4 2 2 4 2 2 5 4" xfId="19045" xr:uid="{C700CAD5-6079-42A1-A893-B5BC50CFFB9E}"/>
    <cellStyle name="Normal 4 2 2 4 2 2 5 5" xfId="10604" xr:uid="{F665729C-097F-4727-946A-EBDAAF04639F}"/>
    <cellStyle name="Normal 4 2 2 4 2 2 6" xfId="2509" xr:uid="{00000000-0005-0000-0000-0000A5120000}"/>
    <cellStyle name="Normal 4 2 2 4 2 2 6 2" xfId="6793" xr:uid="{00000000-0005-0000-0000-0000A6120000}"/>
    <cellStyle name="Normal 4 2 2 4 2 2 6 2 2" xfId="23676" xr:uid="{9A2AEFC3-B4C0-4A4D-8FDE-FD7173606003}"/>
    <cellStyle name="Normal 4 2 2 4 2 2 6 2 3" xfId="15235" xr:uid="{3D109EA6-4A0F-47A3-BD1E-4E90EFA2ADDB}"/>
    <cellStyle name="Normal 4 2 2 4 2 2 6 3" xfId="19458" xr:uid="{CA7AF425-3B11-4019-BA9D-7565E75AB1AA}"/>
    <cellStyle name="Normal 4 2 2 4 2 2 6 4" xfId="11017" xr:uid="{DB40833D-B262-4920-BF63-7B007F9E23FA}"/>
    <cellStyle name="Normal 4 2 2 4 2 2 7" xfId="4728" xr:uid="{00000000-0005-0000-0000-0000A7120000}"/>
    <cellStyle name="Normal 4 2 2 4 2 2 7 2" xfId="21611" xr:uid="{2EA2D9FF-B1CF-41B5-A4EC-061D1467F1F0}"/>
    <cellStyle name="Normal 4 2 2 4 2 2 7 3" xfId="13170" xr:uid="{1E4D66BA-8D63-40E8-BB6B-727F51D98F09}"/>
    <cellStyle name="Normal 4 2 2 4 2 2 8" xfId="17393" xr:uid="{8D46A85F-9D28-435C-9D4E-AE7C2A0D6D6F}"/>
    <cellStyle name="Normal 4 2 2 4 2 2 9" xfId="8952" xr:uid="{64A9E0E0-ADC5-4E45-A584-FD54B59CF5D4}"/>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24168" xr:uid="{F2627350-0284-418D-B678-37C2B45C91F8}"/>
    <cellStyle name="Normal 4 2 2 4 2 3 2 2 3" xfId="15727" xr:uid="{272A4C39-8934-4825-84CE-C58AFDA9E9A1}"/>
    <cellStyle name="Normal 4 2 2 4 2 3 2 3" xfId="19950" xr:uid="{D4A59CE7-0967-4469-B941-D1810F7F69B5}"/>
    <cellStyle name="Normal 4 2 2 4 2 3 2 4" xfId="11509" xr:uid="{2DEE91C0-CE27-44C5-82DC-A25634E45593}"/>
    <cellStyle name="Normal 4 2 2 4 2 3 3" xfId="5140" xr:uid="{00000000-0005-0000-0000-0000AB120000}"/>
    <cellStyle name="Normal 4 2 2 4 2 3 3 2" xfId="22023" xr:uid="{1C219151-F017-4681-AF9C-7FFB4D64BEA6}"/>
    <cellStyle name="Normal 4 2 2 4 2 3 3 3" xfId="13582" xr:uid="{4085994F-B212-4466-AC33-83FE28351FFD}"/>
    <cellStyle name="Normal 4 2 2 4 2 3 4" xfId="17805" xr:uid="{671A97CE-BBAD-416D-9009-A0FC533F0BF8}"/>
    <cellStyle name="Normal 4 2 2 4 2 3 5" xfId="9364" xr:uid="{6009C530-BEC3-42C1-B6B2-B9664963AAF6}"/>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24581" xr:uid="{B7334543-409A-4DE5-8B35-6B6A659FEAE9}"/>
    <cellStyle name="Normal 4 2 2 4 2 4 2 2 3" xfId="16140" xr:uid="{1CBCA3BD-A03A-4606-8016-A0145D429DFC}"/>
    <cellStyle name="Normal 4 2 2 4 2 4 2 3" xfId="20363" xr:uid="{BB8018E6-D772-47E9-853A-FC03FD00E09B}"/>
    <cellStyle name="Normal 4 2 2 4 2 4 2 4" xfId="11922" xr:uid="{7B8CA11A-FD80-490C-875B-3DF33412FFED}"/>
    <cellStyle name="Normal 4 2 2 4 2 4 3" xfId="5553" xr:uid="{00000000-0005-0000-0000-0000AF120000}"/>
    <cellStyle name="Normal 4 2 2 4 2 4 3 2" xfId="22436" xr:uid="{C742E719-1C5A-4A4A-85FD-E190A4693803}"/>
    <cellStyle name="Normal 4 2 2 4 2 4 3 3" xfId="13995" xr:uid="{C0D9B1C5-1723-413A-8FD9-D7344D384AEB}"/>
    <cellStyle name="Normal 4 2 2 4 2 4 4" xfId="18218" xr:uid="{CB4631DB-20BB-41F7-8A53-442C11DD66D0}"/>
    <cellStyle name="Normal 4 2 2 4 2 4 5" xfId="9777" xr:uid="{20C43EBB-ABDE-4F12-8AC5-5118A0CFF6AE}"/>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24994" xr:uid="{4BA09498-1F00-4B3A-8CEE-93EA7B0CB613}"/>
    <cellStyle name="Normal 4 2 2 4 2 5 2 2 3" xfId="16553" xr:uid="{A2F87658-B546-4746-9932-C873A26762D9}"/>
    <cellStyle name="Normal 4 2 2 4 2 5 2 3" xfId="20776" xr:uid="{74D8EB9E-FB6A-48D9-AC9C-B37619D02378}"/>
    <cellStyle name="Normal 4 2 2 4 2 5 2 4" xfId="12335" xr:uid="{F46CDFE8-E6F7-4A21-B885-DB620C804F0E}"/>
    <cellStyle name="Normal 4 2 2 4 2 5 3" xfId="5966" xr:uid="{00000000-0005-0000-0000-0000B3120000}"/>
    <cellStyle name="Normal 4 2 2 4 2 5 3 2" xfId="22849" xr:uid="{4A666B6A-A581-4DB1-B80E-08720743C9DF}"/>
    <cellStyle name="Normal 4 2 2 4 2 5 3 3" xfId="14408" xr:uid="{62891BE7-E180-4932-9434-5165FDC3E6DF}"/>
    <cellStyle name="Normal 4 2 2 4 2 5 4" xfId="18631" xr:uid="{3C6BF458-BF35-46CE-B94E-78B24AD77A77}"/>
    <cellStyle name="Normal 4 2 2 4 2 5 5" xfId="10190" xr:uid="{5D09B313-4DAA-46BB-ADC6-F256157BB39F}"/>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25407" xr:uid="{E54B27B3-95AC-4487-BFC4-345FBE23FD67}"/>
    <cellStyle name="Normal 4 2 2 4 2 6 2 2 3" xfId="16966" xr:uid="{6FCFC2AB-E295-4989-ABC5-250A2AC35D60}"/>
    <cellStyle name="Normal 4 2 2 4 2 6 2 3" xfId="21189" xr:uid="{B7127313-FB96-46E8-B915-F7EE9ABA6863}"/>
    <cellStyle name="Normal 4 2 2 4 2 6 2 4" xfId="12748" xr:uid="{FC2D9126-F8D6-4B8A-B6AA-15A0735DE73B}"/>
    <cellStyle name="Normal 4 2 2 4 2 6 3" xfId="6379" xr:uid="{00000000-0005-0000-0000-0000B7120000}"/>
    <cellStyle name="Normal 4 2 2 4 2 6 3 2" xfId="23262" xr:uid="{5A5D27D9-22D2-412C-8282-725485C0054D}"/>
    <cellStyle name="Normal 4 2 2 4 2 6 3 3" xfId="14821" xr:uid="{8FBA0587-A1CB-439B-907F-9EC2EC711F55}"/>
    <cellStyle name="Normal 4 2 2 4 2 6 4" xfId="19044" xr:uid="{7235EC3C-F7BB-45BD-93C4-00AA29D41400}"/>
    <cellStyle name="Normal 4 2 2 4 2 6 5" xfId="10603" xr:uid="{0A09ADD1-E5D4-4E85-BAF7-38C0A0600899}"/>
    <cellStyle name="Normal 4 2 2 4 2 7" xfId="2508" xr:uid="{00000000-0005-0000-0000-0000B8120000}"/>
    <cellStyle name="Normal 4 2 2 4 2 7 2" xfId="6792" xr:uid="{00000000-0005-0000-0000-0000B9120000}"/>
    <cellStyle name="Normal 4 2 2 4 2 7 2 2" xfId="23675" xr:uid="{15372939-2CA7-4782-B724-E21A9D9CA28D}"/>
    <cellStyle name="Normal 4 2 2 4 2 7 2 3" xfId="15234" xr:uid="{F4D79862-CDA3-40F0-BDEF-4CA59F19404C}"/>
    <cellStyle name="Normal 4 2 2 4 2 7 3" xfId="19457" xr:uid="{B7249AD4-7035-42A9-ACD8-96C4CC26C73F}"/>
    <cellStyle name="Normal 4 2 2 4 2 7 4" xfId="11016" xr:uid="{5C753735-D3B4-4415-8A2D-95847CF8BD81}"/>
    <cellStyle name="Normal 4 2 2 4 2 8" xfId="4727" xr:uid="{00000000-0005-0000-0000-0000BA120000}"/>
    <cellStyle name="Normal 4 2 2 4 2 8 2" xfId="21610" xr:uid="{BA2FCB74-3E2E-4C35-AE0D-64ABC6016648}"/>
    <cellStyle name="Normal 4 2 2 4 2 8 3" xfId="13169" xr:uid="{93085B4B-25B9-4329-845B-348D0167E1C2}"/>
    <cellStyle name="Normal 4 2 2 4 2 9" xfId="17392" xr:uid="{A6A0B870-62EF-47A4-9A8D-1E009CA8F3A6}"/>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24170" xr:uid="{F8F475E5-00F9-46E1-9A6A-713C137DD386}"/>
    <cellStyle name="Normal 4 2 2 4 3 2 2 2 3" xfId="15729" xr:uid="{2BF863C8-DC9B-46BB-9883-D78C4DFC117F}"/>
    <cellStyle name="Normal 4 2 2 4 3 2 2 3" xfId="19952" xr:uid="{73BC5393-A770-4C87-A2C6-5A314BCC0399}"/>
    <cellStyle name="Normal 4 2 2 4 3 2 2 4" xfId="11511" xr:uid="{93A837AF-C92C-42F0-ADB9-B913AABF989C}"/>
    <cellStyle name="Normal 4 2 2 4 3 2 3" xfId="5142" xr:uid="{00000000-0005-0000-0000-0000BF120000}"/>
    <cellStyle name="Normal 4 2 2 4 3 2 3 2" xfId="22025" xr:uid="{157E0AFA-8FFD-4E56-BE00-0877A1E8C681}"/>
    <cellStyle name="Normal 4 2 2 4 3 2 3 3" xfId="13584" xr:uid="{B08693BE-7283-47E5-9E5B-6D091FCE2A11}"/>
    <cellStyle name="Normal 4 2 2 4 3 2 4" xfId="17807" xr:uid="{0CEDB569-F37D-4733-8D2C-AC67695EA6FE}"/>
    <cellStyle name="Normal 4 2 2 4 3 2 5" xfId="9366" xr:uid="{18096CE0-D35E-4B5C-98CE-DA8FCE8C34A6}"/>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24583" xr:uid="{80C4043D-9AC4-4170-81C1-6ABC4278F2E8}"/>
    <cellStyle name="Normal 4 2 2 4 3 3 2 2 3" xfId="16142" xr:uid="{E1D91CC9-A7E8-4E32-A0DE-AC9FD0B8B579}"/>
    <cellStyle name="Normal 4 2 2 4 3 3 2 3" xfId="20365" xr:uid="{24534CC9-E55F-4779-9C1E-38560394B890}"/>
    <cellStyle name="Normal 4 2 2 4 3 3 2 4" xfId="11924" xr:uid="{033391A5-C153-42D6-A74B-E47814DEA0A7}"/>
    <cellStyle name="Normal 4 2 2 4 3 3 3" xfId="5555" xr:uid="{00000000-0005-0000-0000-0000C3120000}"/>
    <cellStyle name="Normal 4 2 2 4 3 3 3 2" xfId="22438" xr:uid="{815A1B67-268B-4AD3-AF82-4FF5DFE61F3E}"/>
    <cellStyle name="Normal 4 2 2 4 3 3 3 3" xfId="13997" xr:uid="{BCA72D47-0EAE-470C-9C2E-E97129680232}"/>
    <cellStyle name="Normal 4 2 2 4 3 3 4" xfId="18220" xr:uid="{796B4B32-912A-4969-BAF4-5575A802CEEB}"/>
    <cellStyle name="Normal 4 2 2 4 3 3 5" xfId="9779" xr:uid="{41EB00FD-BBCD-414E-B0E8-55361DE6D803}"/>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24996" xr:uid="{06F9FBC5-8824-48B1-A680-F661795ECDC3}"/>
    <cellStyle name="Normal 4 2 2 4 3 4 2 2 3" xfId="16555" xr:uid="{A0914C2E-42F7-48B5-8981-DCDAC1F377F7}"/>
    <cellStyle name="Normal 4 2 2 4 3 4 2 3" xfId="20778" xr:uid="{B8034898-6213-4E41-B0FC-E77C4BA28D31}"/>
    <cellStyle name="Normal 4 2 2 4 3 4 2 4" xfId="12337" xr:uid="{E81A7869-23A8-48FB-B958-2963B68EE8EB}"/>
    <cellStyle name="Normal 4 2 2 4 3 4 3" xfId="5968" xr:uid="{00000000-0005-0000-0000-0000C7120000}"/>
    <cellStyle name="Normal 4 2 2 4 3 4 3 2" xfId="22851" xr:uid="{3E45A0F3-2D69-4C48-A3F2-11F191844733}"/>
    <cellStyle name="Normal 4 2 2 4 3 4 3 3" xfId="14410" xr:uid="{90616FC8-0DA3-4B0C-BD07-94C8D83A1986}"/>
    <cellStyle name="Normal 4 2 2 4 3 4 4" xfId="18633" xr:uid="{01379A30-A5CD-4F37-B00D-5F1BC93AB4AF}"/>
    <cellStyle name="Normal 4 2 2 4 3 4 5" xfId="10192" xr:uid="{C743F3E5-4AC5-428C-A63A-DE2AD189830E}"/>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25409" xr:uid="{5F071D1F-13C2-42AB-B6B9-453AAE00A3CF}"/>
    <cellStyle name="Normal 4 2 2 4 3 5 2 2 3" xfId="16968" xr:uid="{B0E84606-4E67-4CA0-992F-E6CC016197E1}"/>
    <cellStyle name="Normal 4 2 2 4 3 5 2 3" xfId="21191" xr:uid="{C8804525-8DF8-433C-B424-42D4421A4CCD}"/>
    <cellStyle name="Normal 4 2 2 4 3 5 2 4" xfId="12750" xr:uid="{92A758DF-5550-4044-84DD-6F74EB55BE6B}"/>
    <cellStyle name="Normal 4 2 2 4 3 5 3" xfId="6381" xr:uid="{00000000-0005-0000-0000-0000CB120000}"/>
    <cellStyle name="Normal 4 2 2 4 3 5 3 2" xfId="23264" xr:uid="{ED33342F-4EC7-4A02-8CE6-F7587EDEC273}"/>
    <cellStyle name="Normal 4 2 2 4 3 5 3 3" xfId="14823" xr:uid="{09D6ABCF-366D-40EA-8976-ACD022385B2E}"/>
    <cellStyle name="Normal 4 2 2 4 3 5 4" xfId="19046" xr:uid="{0FC5E919-57F3-49E5-B58B-D59B911D6DA3}"/>
    <cellStyle name="Normal 4 2 2 4 3 5 5" xfId="10605" xr:uid="{354DFF9A-8BBA-4073-A7BA-FB9E029B49AF}"/>
    <cellStyle name="Normal 4 2 2 4 3 6" xfId="2510" xr:uid="{00000000-0005-0000-0000-0000CC120000}"/>
    <cellStyle name="Normal 4 2 2 4 3 6 2" xfId="6794" xr:uid="{00000000-0005-0000-0000-0000CD120000}"/>
    <cellStyle name="Normal 4 2 2 4 3 6 2 2" xfId="23677" xr:uid="{6E6E4EE9-317B-4885-9D64-EC9E8C64F684}"/>
    <cellStyle name="Normal 4 2 2 4 3 6 2 3" xfId="15236" xr:uid="{4C26EBFB-40F0-46F4-97B4-40DA3CA03025}"/>
    <cellStyle name="Normal 4 2 2 4 3 6 3" xfId="19459" xr:uid="{EBA96427-E5BE-4976-90A8-45161DA1C4D5}"/>
    <cellStyle name="Normal 4 2 2 4 3 6 4" xfId="11018" xr:uid="{330967E5-657B-4810-9DC5-4191124C81AD}"/>
    <cellStyle name="Normal 4 2 2 4 3 7" xfId="4729" xr:uid="{00000000-0005-0000-0000-0000CE120000}"/>
    <cellStyle name="Normal 4 2 2 4 3 7 2" xfId="21612" xr:uid="{AAD36E39-99B1-490F-8989-18999608FA3C}"/>
    <cellStyle name="Normal 4 2 2 4 3 7 3" xfId="13171" xr:uid="{146043E7-42AF-4BDD-A21B-0C987A780057}"/>
    <cellStyle name="Normal 4 2 2 4 3 8" xfId="17394" xr:uid="{0B55DECF-A914-4C06-B7B3-3F0D7EAB92D8}"/>
    <cellStyle name="Normal 4 2 2 4 3 9" xfId="8953" xr:uid="{ED364EAF-B5FA-4266-8658-CD4C7D6D6AD6}"/>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24167" xr:uid="{B09B7BC1-256E-448E-9449-750817F9B7C6}"/>
    <cellStyle name="Normal 4 2 2 4 4 2 2 3" xfId="15726" xr:uid="{9AC91910-AB50-4D94-82F2-F23494853B7A}"/>
    <cellStyle name="Normal 4 2 2 4 4 2 3" xfId="19949" xr:uid="{0A14C752-D609-4A9A-9E15-BD012F1A2D7D}"/>
    <cellStyle name="Normal 4 2 2 4 4 2 4" xfId="11508" xr:uid="{E571487A-6016-4724-923C-B7C0963163A0}"/>
    <cellStyle name="Normal 4 2 2 4 4 3" xfId="5139" xr:uid="{00000000-0005-0000-0000-0000D2120000}"/>
    <cellStyle name="Normal 4 2 2 4 4 3 2" xfId="22022" xr:uid="{7870F954-D24A-4B20-8525-0D048169167C}"/>
    <cellStyle name="Normal 4 2 2 4 4 3 3" xfId="13581" xr:uid="{A309553E-00F4-4B71-9940-478AD9A76F17}"/>
    <cellStyle name="Normal 4 2 2 4 4 4" xfId="17804" xr:uid="{9FA77FA6-A767-459F-B0BC-D347FABEF4B5}"/>
    <cellStyle name="Normal 4 2 2 4 4 5" xfId="9363" xr:uid="{4B6EEED7-4212-467B-B964-C534A87D4390}"/>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24580" xr:uid="{4620BBB1-A3B8-4735-904D-51A1BC8BD582}"/>
    <cellStyle name="Normal 4 2 2 4 5 2 2 3" xfId="16139" xr:uid="{947A4DD9-ED06-47D7-9A63-03BF837E21E8}"/>
    <cellStyle name="Normal 4 2 2 4 5 2 3" xfId="20362" xr:uid="{E8CA822D-4A89-48FF-B7FC-0BD11B203980}"/>
    <cellStyle name="Normal 4 2 2 4 5 2 4" xfId="11921" xr:uid="{E7BFF3C5-FB04-46D2-8AC7-DA1997E1DB5B}"/>
    <cellStyle name="Normal 4 2 2 4 5 3" xfId="5552" xr:uid="{00000000-0005-0000-0000-0000D6120000}"/>
    <cellStyle name="Normal 4 2 2 4 5 3 2" xfId="22435" xr:uid="{E1EB2BBC-9008-4F0F-A83A-E14A52A5986D}"/>
    <cellStyle name="Normal 4 2 2 4 5 3 3" xfId="13994" xr:uid="{BC74EB76-F4A5-436F-B77D-9B55A3B7ED0E}"/>
    <cellStyle name="Normal 4 2 2 4 5 4" xfId="18217" xr:uid="{5C9E867A-0C2B-4DE2-A0C0-39C77FE08F18}"/>
    <cellStyle name="Normal 4 2 2 4 5 5" xfId="9776" xr:uid="{A7CFB479-6BB6-4049-B9EB-15C8D810F755}"/>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24993" xr:uid="{7CD85BAB-A12D-4F28-81BA-C537533DE260}"/>
    <cellStyle name="Normal 4 2 2 4 6 2 2 3" xfId="16552" xr:uid="{DD4A4BEB-D27E-44B9-9B2A-87AA1C3D9B79}"/>
    <cellStyle name="Normal 4 2 2 4 6 2 3" xfId="20775" xr:uid="{646FBDA7-F078-4CA4-AB8E-87F7F23651D1}"/>
    <cellStyle name="Normal 4 2 2 4 6 2 4" xfId="12334" xr:uid="{257F7380-975D-4CB7-A096-4F569026C13E}"/>
    <cellStyle name="Normal 4 2 2 4 6 3" xfId="5965" xr:uid="{00000000-0005-0000-0000-0000DA120000}"/>
    <cellStyle name="Normal 4 2 2 4 6 3 2" xfId="22848" xr:uid="{16FB577D-21C8-410F-B7CE-7454C25A101C}"/>
    <cellStyle name="Normal 4 2 2 4 6 3 3" xfId="14407" xr:uid="{C4A073FA-CB80-4B32-AF84-13C0B877E8BB}"/>
    <cellStyle name="Normal 4 2 2 4 6 4" xfId="18630" xr:uid="{F06A1CB8-901D-4EBE-8F54-CF7464326A0F}"/>
    <cellStyle name="Normal 4 2 2 4 6 5" xfId="10189" xr:uid="{CFD0ABB7-735B-4955-8359-34ED78D43B0B}"/>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25406" xr:uid="{43EF56C9-E194-4117-ADEA-6890093A0104}"/>
    <cellStyle name="Normal 4 2 2 4 7 2 2 3" xfId="16965" xr:uid="{575B2696-C2B9-46BB-AAEC-4896EF607859}"/>
    <cellStyle name="Normal 4 2 2 4 7 2 3" xfId="21188" xr:uid="{0782409C-0BDF-4D70-8AB3-1EEEB55C6EA8}"/>
    <cellStyle name="Normal 4 2 2 4 7 2 4" xfId="12747" xr:uid="{4744FF4F-0D08-494B-B4E1-FFD437FBE177}"/>
    <cellStyle name="Normal 4 2 2 4 7 3" xfId="6378" xr:uid="{00000000-0005-0000-0000-0000DE120000}"/>
    <cellStyle name="Normal 4 2 2 4 7 3 2" xfId="23261" xr:uid="{DE605444-CC78-4213-9CC9-C83F3FAED788}"/>
    <cellStyle name="Normal 4 2 2 4 7 3 3" xfId="14820" xr:uid="{C67DDECC-AA06-457C-B5D0-E2C430393E0D}"/>
    <cellStyle name="Normal 4 2 2 4 7 4" xfId="19043" xr:uid="{F85AD246-9DC7-48EE-99DB-774090D5BFD6}"/>
    <cellStyle name="Normal 4 2 2 4 7 5" xfId="10602" xr:uid="{0466D5DF-9AF4-441A-98FF-E6FCA27E3AC3}"/>
    <cellStyle name="Normal 4 2 2 4 8" xfId="2507" xr:uid="{00000000-0005-0000-0000-0000DF120000}"/>
    <cellStyle name="Normal 4 2 2 4 8 2" xfId="6791" xr:uid="{00000000-0005-0000-0000-0000E0120000}"/>
    <cellStyle name="Normal 4 2 2 4 8 2 2" xfId="23674" xr:uid="{3D875462-18C9-4568-A337-E4804DA69C52}"/>
    <cellStyle name="Normal 4 2 2 4 8 2 3" xfId="15233" xr:uid="{DD76C1FF-55DA-4A58-9F8B-2B9C867D6375}"/>
    <cellStyle name="Normal 4 2 2 4 8 3" xfId="19456" xr:uid="{9A520A19-F06A-4D8E-900B-75B650FDB8B2}"/>
    <cellStyle name="Normal 4 2 2 4 8 4" xfId="11015" xr:uid="{6FFF650D-68AC-469F-85C6-04C789210C84}"/>
    <cellStyle name="Normal 4 2 2 4 9" xfId="4726" xr:uid="{00000000-0005-0000-0000-0000E1120000}"/>
    <cellStyle name="Normal 4 2 2 4 9 2" xfId="21609" xr:uid="{6491A1AA-4451-4E63-A9B9-D842D2BC997E}"/>
    <cellStyle name="Normal 4 2 2 4 9 3" xfId="13168" xr:uid="{D90BE7DD-1849-4FA6-AFAE-F0B3F61698A3}"/>
    <cellStyle name="Normal 4 2 2 5" xfId="351" xr:uid="{00000000-0005-0000-0000-0000E2120000}"/>
    <cellStyle name="Normal 4 2 2 5 10" xfId="8954" xr:uid="{6826E4A6-921E-4483-A615-97A4CAC3C2D6}"/>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24172" xr:uid="{53403152-7824-45E8-8F09-9707467C5C49}"/>
    <cellStyle name="Normal 4 2 2 5 2 2 2 2 3" xfId="15731" xr:uid="{B46F2003-ED3D-4791-8264-D912C0CBE35D}"/>
    <cellStyle name="Normal 4 2 2 5 2 2 2 3" xfId="19954" xr:uid="{C40DF7DD-9CBA-4483-98FD-EA2ECE18D22A}"/>
    <cellStyle name="Normal 4 2 2 5 2 2 2 4" xfId="11513" xr:uid="{020D7DDC-3255-47F0-B543-0E353C708519}"/>
    <cellStyle name="Normal 4 2 2 5 2 2 3" xfId="5144" xr:uid="{00000000-0005-0000-0000-0000E7120000}"/>
    <cellStyle name="Normal 4 2 2 5 2 2 3 2" xfId="22027" xr:uid="{2074E28F-58B3-46C2-982D-DFF99BE27029}"/>
    <cellStyle name="Normal 4 2 2 5 2 2 3 3" xfId="13586" xr:uid="{E68350B7-53F4-4F6A-967D-8C3F93B48F9B}"/>
    <cellStyle name="Normal 4 2 2 5 2 2 4" xfId="17809" xr:uid="{E8C831D3-A4C9-49A6-AC0C-FC7A22EA0471}"/>
    <cellStyle name="Normal 4 2 2 5 2 2 5" xfId="9368" xr:uid="{D6268C44-FA12-47A3-80FA-285B44C8BF7F}"/>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24585" xr:uid="{4563A655-29E4-4244-81A1-D094D607D87A}"/>
    <cellStyle name="Normal 4 2 2 5 2 3 2 2 3" xfId="16144" xr:uid="{BB9413A4-EC07-4EC1-A3B2-620D111C032F}"/>
    <cellStyle name="Normal 4 2 2 5 2 3 2 3" xfId="20367" xr:uid="{4FE9CD2A-17A8-4FDA-9AA4-E4FBDF7A505E}"/>
    <cellStyle name="Normal 4 2 2 5 2 3 2 4" xfId="11926" xr:uid="{232C1840-1D7C-42BD-A0F1-347F96ED44EC}"/>
    <cellStyle name="Normal 4 2 2 5 2 3 3" xfId="5557" xr:uid="{00000000-0005-0000-0000-0000EB120000}"/>
    <cellStyle name="Normal 4 2 2 5 2 3 3 2" xfId="22440" xr:uid="{7DD937A4-E1C3-442A-9C0F-61E509D1ED42}"/>
    <cellStyle name="Normal 4 2 2 5 2 3 3 3" xfId="13999" xr:uid="{1425B786-831A-4024-AF57-BE1C3F9CAB15}"/>
    <cellStyle name="Normal 4 2 2 5 2 3 4" xfId="18222" xr:uid="{81A4627E-FFED-42EE-A86A-3DF86F8D5A8E}"/>
    <cellStyle name="Normal 4 2 2 5 2 3 5" xfId="9781" xr:uid="{776CDFBD-0CA9-40D4-89B4-1444A9956AA6}"/>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24998" xr:uid="{3D844D7A-7FF4-43A9-86D3-8F8BAA457005}"/>
    <cellStyle name="Normal 4 2 2 5 2 4 2 2 3" xfId="16557" xr:uid="{4B631113-46CB-4865-92AC-189654317FE6}"/>
    <cellStyle name="Normal 4 2 2 5 2 4 2 3" xfId="20780" xr:uid="{5EB24DBD-CE01-44FD-A4AE-850776354E94}"/>
    <cellStyle name="Normal 4 2 2 5 2 4 2 4" xfId="12339" xr:uid="{ED3E08AB-2F66-4B1F-9185-3D5F46BF71E3}"/>
    <cellStyle name="Normal 4 2 2 5 2 4 3" xfId="5970" xr:uid="{00000000-0005-0000-0000-0000EF120000}"/>
    <cellStyle name="Normal 4 2 2 5 2 4 3 2" xfId="22853" xr:uid="{DD89494D-6E87-400C-BBAF-B68616DAE630}"/>
    <cellStyle name="Normal 4 2 2 5 2 4 3 3" xfId="14412" xr:uid="{B6304FD8-09A3-4B22-8A84-9E193D05A205}"/>
    <cellStyle name="Normal 4 2 2 5 2 4 4" xfId="18635" xr:uid="{82173077-86B1-4FF6-B288-6A91F093FA9B}"/>
    <cellStyle name="Normal 4 2 2 5 2 4 5" xfId="10194" xr:uid="{8EC962BA-AD83-44F5-AB8E-A4A74149967C}"/>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25411" xr:uid="{A10802A3-1D78-4D8E-81C0-0EE6AAE586A7}"/>
    <cellStyle name="Normal 4 2 2 5 2 5 2 2 3" xfId="16970" xr:uid="{E068B46F-1ED8-4210-A6B1-D948FBE37DC5}"/>
    <cellStyle name="Normal 4 2 2 5 2 5 2 3" xfId="21193" xr:uid="{24AB0435-715A-4AAC-BE72-325CA642A3E3}"/>
    <cellStyle name="Normal 4 2 2 5 2 5 2 4" xfId="12752" xr:uid="{26BBF825-BB91-46F4-87A2-64D88A007B9B}"/>
    <cellStyle name="Normal 4 2 2 5 2 5 3" xfId="6383" xr:uid="{00000000-0005-0000-0000-0000F3120000}"/>
    <cellStyle name="Normal 4 2 2 5 2 5 3 2" xfId="23266" xr:uid="{821BBCFC-9A74-4B4D-BEE4-A131BB499899}"/>
    <cellStyle name="Normal 4 2 2 5 2 5 3 3" xfId="14825" xr:uid="{8ADF3CCB-414B-4AF8-BF89-625D1530C3F5}"/>
    <cellStyle name="Normal 4 2 2 5 2 5 4" xfId="19048" xr:uid="{D0B3CA90-1EB4-4BBA-82A0-C6F7FD814B2E}"/>
    <cellStyle name="Normal 4 2 2 5 2 5 5" xfId="10607" xr:uid="{DA103918-99AA-4FDD-8603-A4F09D0CEA8D}"/>
    <cellStyle name="Normal 4 2 2 5 2 6" xfId="2512" xr:uid="{00000000-0005-0000-0000-0000F4120000}"/>
    <cellStyle name="Normal 4 2 2 5 2 6 2" xfId="6796" xr:uid="{00000000-0005-0000-0000-0000F5120000}"/>
    <cellStyle name="Normal 4 2 2 5 2 6 2 2" xfId="23679" xr:uid="{9EB3C4D9-14BC-4152-9A9E-184194FB7F53}"/>
    <cellStyle name="Normal 4 2 2 5 2 6 2 3" xfId="15238" xr:uid="{77C689E3-DF22-43D6-BFF2-7B61F850E76D}"/>
    <cellStyle name="Normal 4 2 2 5 2 6 3" xfId="19461" xr:uid="{4B5CC343-0739-4054-9344-854E17656101}"/>
    <cellStyle name="Normal 4 2 2 5 2 6 4" xfId="11020" xr:uid="{714AE704-3CBF-4334-B04E-DA332787462C}"/>
    <cellStyle name="Normal 4 2 2 5 2 7" xfId="4731" xr:uid="{00000000-0005-0000-0000-0000F6120000}"/>
    <cellStyle name="Normal 4 2 2 5 2 7 2" xfId="21614" xr:uid="{98861FAF-9E12-4B3C-979F-BE2271420E17}"/>
    <cellStyle name="Normal 4 2 2 5 2 7 3" xfId="13173" xr:uid="{22027C2F-D9ED-4627-917F-D9F767E6F4A4}"/>
    <cellStyle name="Normal 4 2 2 5 2 8" xfId="17396" xr:uid="{27F78D8C-C15C-4E15-BC27-236B151F1A99}"/>
    <cellStyle name="Normal 4 2 2 5 2 9" xfId="8955" xr:uid="{2A49D923-1EA3-4CD8-BB0A-7D707B3E35D5}"/>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24171" xr:uid="{C7A82DAD-8AD4-47C5-ACEA-6D27CC908EC3}"/>
    <cellStyle name="Normal 4 2 2 5 3 2 2 3" xfId="15730" xr:uid="{9C0B0A3E-51A7-4A6A-942D-9A01BD0EB25F}"/>
    <cellStyle name="Normal 4 2 2 5 3 2 3" xfId="19953" xr:uid="{A1F8BB88-0D32-4386-95A2-3A6DD4031E86}"/>
    <cellStyle name="Normal 4 2 2 5 3 2 4" xfId="11512" xr:uid="{9299C810-16E7-4C8E-A510-A34184BAB29B}"/>
    <cellStyle name="Normal 4 2 2 5 3 3" xfId="5143" xr:uid="{00000000-0005-0000-0000-0000FA120000}"/>
    <cellStyle name="Normal 4 2 2 5 3 3 2" xfId="22026" xr:uid="{261E12C4-1DCE-4E2D-AD1E-B5FCF4E96364}"/>
    <cellStyle name="Normal 4 2 2 5 3 3 3" xfId="13585" xr:uid="{B4C7818C-4290-4CE9-90BD-FD864E7A49C5}"/>
    <cellStyle name="Normal 4 2 2 5 3 4" xfId="17808" xr:uid="{7FE8AE0E-2FC1-483F-A8E8-FCC34C091296}"/>
    <cellStyle name="Normal 4 2 2 5 3 5" xfId="9367" xr:uid="{C871AF55-0114-4A10-A909-97F50139BA31}"/>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24584" xr:uid="{C5A038E7-4F27-490C-9870-5FA5EB42645F}"/>
    <cellStyle name="Normal 4 2 2 5 4 2 2 3" xfId="16143" xr:uid="{6D2A93C8-AF9E-41E3-AE79-75FDA2D2E7CA}"/>
    <cellStyle name="Normal 4 2 2 5 4 2 3" xfId="20366" xr:uid="{D9697522-794D-4642-B5C2-1BAE10BF13C8}"/>
    <cellStyle name="Normal 4 2 2 5 4 2 4" xfId="11925" xr:uid="{D3471B39-6E4C-4D21-A2CD-325F29C4CE5A}"/>
    <cellStyle name="Normal 4 2 2 5 4 3" xfId="5556" xr:uid="{00000000-0005-0000-0000-0000FE120000}"/>
    <cellStyle name="Normal 4 2 2 5 4 3 2" xfId="22439" xr:uid="{6CE5403B-95EB-41B7-9D33-944D473E95E7}"/>
    <cellStyle name="Normal 4 2 2 5 4 3 3" xfId="13998" xr:uid="{39198A0A-7C12-4477-872B-8D083D792D6C}"/>
    <cellStyle name="Normal 4 2 2 5 4 4" xfId="18221" xr:uid="{25DB12B9-3CD9-4C1C-8E20-2F660572B52B}"/>
    <cellStyle name="Normal 4 2 2 5 4 5" xfId="9780" xr:uid="{3515DCD9-BDFD-4D76-915A-85A95BB8EC76}"/>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24997" xr:uid="{84E2B833-B44F-428A-B842-339957D5D8A3}"/>
    <cellStyle name="Normal 4 2 2 5 5 2 2 3" xfId="16556" xr:uid="{321C4928-CE1D-4375-A0F5-495BCBD33A8A}"/>
    <cellStyle name="Normal 4 2 2 5 5 2 3" xfId="20779" xr:uid="{7D668A5D-01A2-486D-A55E-DC2A4AB52CB7}"/>
    <cellStyle name="Normal 4 2 2 5 5 2 4" xfId="12338" xr:uid="{ED9AA7F4-E789-44ED-B27A-E0C7AA5E1C63}"/>
    <cellStyle name="Normal 4 2 2 5 5 3" xfId="5969" xr:uid="{00000000-0005-0000-0000-000002130000}"/>
    <cellStyle name="Normal 4 2 2 5 5 3 2" xfId="22852" xr:uid="{006ACF45-7C0A-4D1F-A859-2E928B057C16}"/>
    <cellStyle name="Normal 4 2 2 5 5 3 3" xfId="14411" xr:uid="{CA22B501-6138-415F-9C22-12E24C9BCE2E}"/>
    <cellStyle name="Normal 4 2 2 5 5 4" xfId="18634" xr:uid="{851105D7-3BAD-4BDE-AD58-83228A3CBC09}"/>
    <cellStyle name="Normal 4 2 2 5 5 5" xfId="10193" xr:uid="{10FA3501-D3DF-46C0-AE6F-E452E77095F6}"/>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25410" xr:uid="{4872B93B-3344-40B0-9225-19A3C8BDB109}"/>
    <cellStyle name="Normal 4 2 2 5 6 2 2 3" xfId="16969" xr:uid="{D14C672D-F588-48A5-A29F-A3DE5E894B80}"/>
    <cellStyle name="Normal 4 2 2 5 6 2 3" xfId="21192" xr:uid="{CA1CF2E8-6F20-43F8-84E3-98767D3330FA}"/>
    <cellStyle name="Normal 4 2 2 5 6 2 4" xfId="12751" xr:uid="{4CCF84B5-67D3-4F6D-9FAC-E23CAAF516DB}"/>
    <cellStyle name="Normal 4 2 2 5 6 3" xfId="6382" xr:uid="{00000000-0005-0000-0000-000006130000}"/>
    <cellStyle name="Normal 4 2 2 5 6 3 2" xfId="23265" xr:uid="{49FD1641-600D-4377-97B8-D4B3868CA328}"/>
    <cellStyle name="Normal 4 2 2 5 6 3 3" xfId="14824" xr:uid="{0395830C-A5E7-4F31-9992-15614F48A2DA}"/>
    <cellStyle name="Normal 4 2 2 5 6 4" xfId="19047" xr:uid="{99A5B613-3FA0-42EF-AD31-6F3FCA22AD54}"/>
    <cellStyle name="Normal 4 2 2 5 6 5" xfId="10606" xr:uid="{C0FB4D98-DCDC-4C91-906C-8C61E00E420C}"/>
    <cellStyle name="Normal 4 2 2 5 7" xfId="2511" xr:uid="{00000000-0005-0000-0000-000007130000}"/>
    <cellStyle name="Normal 4 2 2 5 7 2" xfId="6795" xr:uid="{00000000-0005-0000-0000-000008130000}"/>
    <cellStyle name="Normal 4 2 2 5 7 2 2" xfId="23678" xr:uid="{24D480F9-F444-4EFC-86B0-E50844A41AEB}"/>
    <cellStyle name="Normal 4 2 2 5 7 2 3" xfId="15237" xr:uid="{83305C7C-611C-4B6C-8102-45AF37A38BB5}"/>
    <cellStyle name="Normal 4 2 2 5 7 3" xfId="19460" xr:uid="{F0C829B1-D77B-48D4-8194-B19594C25178}"/>
    <cellStyle name="Normal 4 2 2 5 7 4" xfId="11019" xr:uid="{7000D26E-EE4C-4258-9269-38203416008B}"/>
    <cellStyle name="Normal 4 2 2 5 8" xfId="4730" xr:uid="{00000000-0005-0000-0000-000009130000}"/>
    <cellStyle name="Normal 4 2 2 5 8 2" xfId="21613" xr:uid="{65E440E1-39B7-4E25-932B-74FD8DB94194}"/>
    <cellStyle name="Normal 4 2 2 5 8 3" xfId="13172" xr:uid="{E5AC9F29-CF0B-4BA7-B18A-D820B2420B68}"/>
    <cellStyle name="Normal 4 2 2 5 9" xfId="17395" xr:uid="{6A5E32B4-E286-4E11-A8C8-ADA44B43F007}"/>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24173" xr:uid="{81492330-9F41-4BA2-8C7A-7929EBA7E3B5}"/>
    <cellStyle name="Normal 4 2 2 6 2 2 2 3" xfId="15732" xr:uid="{6C69CFF5-3A2A-4561-8DBE-4F645AB0153E}"/>
    <cellStyle name="Normal 4 2 2 6 2 2 3" xfId="19955" xr:uid="{0B976ACB-A471-495E-A7C9-9C5921A4CDFE}"/>
    <cellStyle name="Normal 4 2 2 6 2 2 4" xfId="11514" xr:uid="{149B64D9-A6D0-4651-B93A-6FC1FFBF9092}"/>
    <cellStyle name="Normal 4 2 2 6 2 3" xfId="5145" xr:uid="{00000000-0005-0000-0000-00000E130000}"/>
    <cellStyle name="Normal 4 2 2 6 2 3 2" xfId="22028" xr:uid="{58DD4BBC-3771-4502-B798-AD080C02A973}"/>
    <cellStyle name="Normal 4 2 2 6 2 3 3" xfId="13587" xr:uid="{BB1E824B-62A0-4FA5-9CB8-797CB8052392}"/>
    <cellStyle name="Normal 4 2 2 6 2 4" xfId="17810" xr:uid="{9380B66B-64A1-49F9-B521-33A8EEA7EC42}"/>
    <cellStyle name="Normal 4 2 2 6 2 5" xfId="9369" xr:uid="{EDE07BE2-8C5F-4891-98C7-4DA6C1A987DE}"/>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24586" xr:uid="{431E6064-36B1-4CB9-980F-7DCA90336399}"/>
    <cellStyle name="Normal 4 2 2 6 3 2 2 3" xfId="16145" xr:uid="{AECCA557-7F27-4E67-B4F8-46C7914177E6}"/>
    <cellStyle name="Normal 4 2 2 6 3 2 3" xfId="20368" xr:uid="{E5120F61-5B9F-41C1-884A-F6C7678B4AB4}"/>
    <cellStyle name="Normal 4 2 2 6 3 2 4" xfId="11927" xr:uid="{A7341330-9137-4F47-B1E1-2F94D31075AD}"/>
    <cellStyle name="Normal 4 2 2 6 3 3" xfId="5558" xr:uid="{00000000-0005-0000-0000-000012130000}"/>
    <cellStyle name="Normal 4 2 2 6 3 3 2" xfId="22441" xr:uid="{3A933200-16AB-4374-9B28-9AD37B35A2F2}"/>
    <cellStyle name="Normal 4 2 2 6 3 3 3" xfId="14000" xr:uid="{0FF1A71D-226C-424E-AEA7-C1D092EE851F}"/>
    <cellStyle name="Normal 4 2 2 6 3 4" xfId="18223" xr:uid="{106CDDDA-E929-4F82-8463-95839C7A6D28}"/>
    <cellStyle name="Normal 4 2 2 6 3 5" xfId="9782" xr:uid="{BD455C0C-2A03-4A95-ABB6-DA49677C0118}"/>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24999" xr:uid="{EA382886-78BB-4A3F-A935-75DE44D1F1DA}"/>
    <cellStyle name="Normal 4 2 2 6 4 2 2 3" xfId="16558" xr:uid="{1A12DBEC-B3DA-423B-AF09-06043F89EBFB}"/>
    <cellStyle name="Normal 4 2 2 6 4 2 3" xfId="20781" xr:uid="{D20E338B-BF99-40F6-A387-4F006A91BEBE}"/>
    <cellStyle name="Normal 4 2 2 6 4 2 4" xfId="12340" xr:uid="{7281E3B5-569A-4FFC-B2C0-B00CA77FD2DA}"/>
    <cellStyle name="Normal 4 2 2 6 4 3" xfId="5971" xr:uid="{00000000-0005-0000-0000-000016130000}"/>
    <cellStyle name="Normal 4 2 2 6 4 3 2" xfId="22854" xr:uid="{71E367FB-CDBE-47C3-A6FC-DB1074638F21}"/>
    <cellStyle name="Normal 4 2 2 6 4 3 3" xfId="14413" xr:uid="{56C086F9-79AA-4EA2-92CE-FFA1EF60AE94}"/>
    <cellStyle name="Normal 4 2 2 6 4 4" xfId="18636" xr:uid="{A6A0800D-D669-43FC-9DCB-6A9FE215B7CD}"/>
    <cellStyle name="Normal 4 2 2 6 4 5" xfId="10195" xr:uid="{152DF37C-A070-4235-AAD1-B3616CBAAC66}"/>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25412" xr:uid="{6A49E4F8-A87C-4B0C-A67A-2FBB477D41DC}"/>
    <cellStyle name="Normal 4 2 2 6 5 2 2 3" xfId="16971" xr:uid="{F6456D54-2E38-4423-8C86-528BF6349130}"/>
    <cellStyle name="Normal 4 2 2 6 5 2 3" xfId="21194" xr:uid="{E332D926-B0FF-4A01-9808-FEA5271F0CC5}"/>
    <cellStyle name="Normal 4 2 2 6 5 2 4" xfId="12753" xr:uid="{7BA7A49D-0B89-4FD5-A3FC-C48F69EE3581}"/>
    <cellStyle name="Normal 4 2 2 6 5 3" xfId="6384" xr:uid="{00000000-0005-0000-0000-00001A130000}"/>
    <cellStyle name="Normal 4 2 2 6 5 3 2" xfId="23267" xr:uid="{DB73CC14-1FB7-4E9D-9E38-7FE400F98F61}"/>
    <cellStyle name="Normal 4 2 2 6 5 3 3" xfId="14826" xr:uid="{498A5E2C-BDB9-4171-85F3-24D2B33D6CCE}"/>
    <cellStyle name="Normal 4 2 2 6 5 4" xfId="19049" xr:uid="{A18B874A-D5DD-44D1-897A-449583C8F6C6}"/>
    <cellStyle name="Normal 4 2 2 6 5 5" xfId="10608" xr:uid="{704C85B5-D014-4082-A2C9-7B5BF57FABF7}"/>
    <cellStyle name="Normal 4 2 2 6 6" xfId="2513" xr:uid="{00000000-0005-0000-0000-00001B130000}"/>
    <cellStyle name="Normal 4 2 2 6 6 2" xfId="6797" xr:uid="{00000000-0005-0000-0000-00001C130000}"/>
    <cellStyle name="Normal 4 2 2 6 6 2 2" xfId="23680" xr:uid="{40C32A17-0FA1-4B7B-99F1-0D530C93844D}"/>
    <cellStyle name="Normal 4 2 2 6 6 2 3" xfId="15239" xr:uid="{7482B04D-B67F-46EA-8377-21F07DB170DE}"/>
    <cellStyle name="Normal 4 2 2 6 6 3" xfId="19462" xr:uid="{EE2CF4B4-2004-4E13-B253-5AB922BF5CCF}"/>
    <cellStyle name="Normal 4 2 2 6 6 4" xfId="11021" xr:uid="{37B6B517-7984-4695-9550-06773AEEF735}"/>
    <cellStyle name="Normal 4 2 2 6 7" xfId="4732" xr:uid="{00000000-0005-0000-0000-00001D130000}"/>
    <cellStyle name="Normal 4 2 2 6 7 2" xfId="21615" xr:uid="{44B32A19-6FB4-4FE9-9DA9-0D529F58A537}"/>
    <cellStyle name="Normal 4 2 2 6 7 3" xfId="13174" xr:uid="{92B76742-439F-4FA3-ABD0-83A72CACC082}"/>
    <cellStyle name="Normal 4 2 2 6 8" xfId="17397" xr:uid="{8F41BA34-7A07-44AB-9583-76BCCAFEC39F}"/>
    <cellStyle name="Normal 4 2 2 6 9" xfId="8956" xr:uid="{05BC53EA-58D5-4CA7-9179-099A4FDB78C5}"/>
    <cellStyle name="Normal 4 2 2 7" xfId="815" xr:uid="{00000000-0005-0000-0000-00001E130000}"/>
    <cellStyle name="Normal 4 2 2 7 2" xfId="3052" xr:uid="{00000000-0005-0000-0000-00001F130000}"/>
    <cellStyle name="Normal 4 2 2 7 2 2" xfId="7275" xr:uid="{00000000-0005-0000-0000-000020130000}"/>
    <cellStyle name="Normal 4 2 2 7 2 2 2" xfId="24158" xr:uid="{FB552349-A71E-488E-9268-A5E27882D9E4}"/>
    <cellStyle name="Normal 4 2 2 7 2 2 3" xfId="15717" xr:uid="{3592875E-C19E-4129-A479-B2C32EDD9EF5}"/>
    <cellStyle name="Normal 4 2 2 7 2 3" xfId="19940" xr:uid="{11F14D68-462A-4AEB-9B6E-EC5F294231AD}"/>
    <cellStyle name="Normal 4 2 2 7 2 4" xfId="11499" xr:uid="{4C4997B1-1323-4800-B057-1AEF95120946}"/>
    <cellStyle name="Normal 4 2 2 7 3" xfId="5130" xr:uid="{00000000-0005-0000-0000-000021130000}"/>
    <cellStyle name="Normal 4 2 2 7 3 2" xfId="22013" xr:uid="{7D6DD13C-9B12-43AB-A473-C66E18922A92}"/>
    <cellStyle name="Normal 4 2 2 7 3 3" xfId="13572" xr:uid="{C6B29777-608E-4AB4-BC61-786EE41BDF5B}"/>
    <cellStyle name="Normal 4 2 2 7 4" xfId="17795" xr:uid="{D914AAB1-B668-4EE3-BD10-AAD53FEF5C7F}"/>
    <cellStyle name="Normal 4 2 2 7 5" xfId="9354" xr:uid="{AD00A02A-9F0A-471F-A0E7-0C2453CAF83C}"/>
    <cellStyle name="Normal 4 2 2 8" xfId="1235" xr:uid="{00000000-0005-0000-0000-000022130000}"/>
    <cellStyle name="Normal 4 2 2 8 2" xfId="3465" xr:uid="{00000000-0005-0000-0000-000023130000}"/>
    <cellStyle name="Normal 4 2 2 8 2 2" xfId="7688" xr:uid="{00000000-0005-0000-0000-000024130000}"/>
    <cellStyle name="Normal 4 2 2 8 2 2 2" xfId="24571" xr:uid="{6D0B087A-C002-4FB0-828A-E14B223ABD26}"/>
    <cellStyle name="Normal 4 2 2 8 2 2 3" xfId="16130" xr:uid="{89C7664D-38FE-4903-83FE-A4BEFCE795D3}"/>
    <cellStyle name="Normal 4 2 2 8 2 3" xfId="20353" xr:uid="{0D87A9EF-8EDB-4E88-A163-1F77CA03FB5D}"/>
    <cellStyle name="Normal 4 2 2 8 2 4" xfId="11912" xr:uid="{598FB830-0486-4393-9593-1A9F19A226AE}"/>
    <cellStyle name="Normal 4 2 2 8 3" xfId="5543" xr:uid="{00000000-0005-0000-0000-000025130000}"/>
    <cellStyle name="Normal 4 2 2 8 3 2" xfId="22426" xr:uid="{4F76C977-9CA6-4CD9-93F9-3F30F24825D1}"/>
    <cellStyle name="Normal 4 2 2 8 3 3" xfId="13985" xr:uid="{03D1CBB7-C560-46DA-A473-92D2B1E57EDD}"/>
    <cellStyle name="Normal 4 2 2 8 4" xfId="18208" xr:uid="{D757534B-C1E2-4301-9EAC-3DBC091A43D2}"/>
    <cellStyle name="Normal 4 2 2 8 5" xfId="9767" xr:uid="{4BFC3F28-5A8C-4AB3-9E9D-8DF578F460E2}"/>
    <cellStyle name="Normal 4 2 2 9" xfId="1648" xr:uid="{00000000-0005-0000-0000-000026130000}"/>
    <cellStyle name="Normal 4 2 2 9 2" xfId="3878" xr:uid="{00000000-0005-0000-0000-000027130000}"/>
    <cellStyle name="Normal 4 2 2 9 2 2" xfId="8101" xr:uid="{00000000-0005-0000-0000-000028130000}"/>
    <cellStyle name="Normal 4 2 2 9 2 2 2" xfId="24984" xr:uid="{9B6221A8-673C-4013-A4CF-E27291622EEB}"/>
    <cellStyle name="Normal 4 2 2 9 2 2 3" xfId="16543" xr:uid="{3A429D47-415B-4009-BB1B-1331EAA6DFA8}"/>
    <cellStyle name="Normal 4 2 2 9 2 3" xfId="20766" xr:uid="{FC8282AE-7F30-4302-9C45-8259640C27F5}"/>
    <cellStyle name="Normal 4 2 2 9 2 4" xfId="12325" xr:uid="{BD163064-8B53-498F-A89C-12A7561416A7}"/>
    <cellStyle name="Normal 4 2 2 9 3" xfId="5956" xr:uid="{00000000-0005-0000-0000-000029130000}"/>
    <cellStyle name="Normal 4 2 2 9 3 2" xfId="22839" xr:uid="{7F266B86-EACF-4AB4-92FD-F21B63F65EDC}"/>
    <cellStyle name="Normal 4 2 2 9 3 3" xfId="14398" xr:uid="{12AA8E3A-98F1-4FE1-B231-E8C026251958}"/>
    <cellStyle name="Normal 4 2 2 9 4" xfId="18621" xr:uid="{ABDFD519-11EE-4C36-B8FF-B95C9C9FB835}"/>
    <cellStyle name="Normal 4 2 2 9 5" xfId="10180" xr:uid="{529DA01A-C4AB-4C38-B36C-289D55B0CFBE}"/>
    <cellStyle name="Normal 4 2 3" xfId="354" xr:uid="{00000000-0005-0000-0000-00002A130000}"/>
    <cellStyle name="Normal 4 2 4" xfId="355" xr:uid="{00000000-0005-0000-0000-00002B130000}"/>
    <cellStyle name="Normal 4 2 4 10" xfId="4733" xr:uid="{00000000-0005-0000-0000-00002C130000}"/>
    <cellStyle name="Normal 4 2 4 10 2" xfId="21616" xr:uid="{B293EA76-C000-4862-A0D5-7C2E1A166068}"/>
    <cellStyle name="Normal 4 2 4 10 3" xfId="13175" xr:uid="{20840B68-4110-4B72-BE7C-F09FC3B5A3D6}"/>
    <cellStyle name="Normal 4 2 4 11" xfId="17398" xr:uid="{188D6EA4-1547-4AD1-BFDD-F34A55197A49}"/>
    <cellStyle name="Normal 4 2 4 12" xfId="8957" xr:uid="{38331E07-DD28-49DE-9C26-D13923059EC0}"/>
    <cellStyle name="Normal 4 2 4 2" xfId="356" xr:uid="{00000000-0005-0000-0000-00002D130000}"/>
    <cellStyle name="Normal 4 2 4 2 10" xfId="17399" xr:uid="{293FB919-45F6-4D54-AF4D-7F3C3508F350}"/>
    <cellStyle name="Normal 4 2 4 2 11" xfId="8958" xr:uid="{D3D9EEA4-63D4-44B4-9C51-5B14033A3FC7}"/>
    <cellStyle name="Normal 4 2 4 2 2" xfId="357" xr:uid="{00000000-0005-0000-0000-00002E130000}"/>
    <cellStyle name="Normal 4 2 4 2 2 10" xfId="8959" xr:uid="{CD88D7BC-43A9-4900-A10B-E3B13DE9A8A1}"/>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24177" xr:uid="{21D11A82-A52B-45AF-94EE-FC810146F890}"/>
    <cellStyle name="Normal 4 2 4 2 2 2 2 2 2 3" xfId="15736" xr:uid="{D10BB9D3-896B-4C6D-8818-32B30F73F2DC}"/>
    <cellStyle name="Normal 4 2 4 2 2 2 2 2 3" xfId="19959" xr:uid="{C2298E59-1426-4AF0-B008-1C5C26DAF1B8}"/>
    <cellStyle name="Normal 4 2 4 2 2 2 2 2 4" xfId="11518" xr:uid="{19A43912-2DD0-4CDB-8D8C-AD5880B3491E}"/>
    <cellStyle name="Normal 4 2 4 2 2 2 2 3" xfId="5149" xr:uid="{00000000-0005-0000-0000-000033130000}"/>
    <cellStyle name="Normal 4 2 4 2 2 2 2 3 2" xfId="22032" xr:uid="{ED984355-0A23-448C-AF2F-68E9337BF701}"/>
    <cellStyle name="Normal 4 2 4 2 2 2 2 3 3" xfId="13591" xr:uid="{BCA51C14-D418-49E6-B673-ECB9299B83F3}"/>
    <cellStyle name="Normal 4 2 4 2 2 2 2 4" xfId="17814" xr:uid="{BB64F140-7B0C-4110-8743-09D9147E17EF}"/>
    <cellStyle name="Normal 4 2 4 2 2 2 2 5" xfId="9373" xr:uid="{9E1163BF-ED84-434A-A1C2-8F94E62C8104}"/>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24590" xr:uid="{5F45B092-1064-4A34-B425-84E92146E454}"/>
    <cellStyle name="Normal 4 2 4 2 2 2 3 2 2 3" xfId="16149" xr:uid="{DA4551B6-BEFD-439E-AFF6-D679C2295F89}"/>
    <cellStyle name="Normal 4 2 4 2 2 2 3 2 3" xfId="20372" xr:uid="{49FC7D5A-877E-49FB-BD30-2CB12BA7EFA3}"/>
    <cellStyle name="Normal 4 2 4 2 2 2 3 2 4" xfId="11931" xr:uid="{8F31DFC8-D279-475A-9CA6-8683597C97B9}"/>
    <cellStyle name="Normal 4 2 4 2 2 2 3 3" xfId="5562" xr:uid="{00000000-0005-0000-0000-000037130000}"/>
    <cellStyle name="Normal 4 2 4 2 2 2 3 3 2" xfId="22445" xr:uid="{8158186C-FEB2-45E0-9941-9F4F72FC94E1}"/>
    <cellStyle name="Normal 4 2 4 2 2 2 3 3 3" xfId="14004" xr:uid="{B19D115D-C360-4840-9FBC-51FE82C7C50F}"/>
    <cellStyle name="Normal 4 2 4 2 2 2 3 4" xfId="18227" xr:uid="{45A57D87-3D6F-4C8D-B9C2-446A64C41EE3}"/>
    <cellStyle name="Normal 4 2 4 2 2 2 3 5" xfId="9786" xr:uid="{01EB51B6-9BDF-4E28-949F-EAA7018DA061}"/>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25003" xr:uid="{D12F8573-D4C7-492B-BEBD-F323636E281E}"/>
    <cellStyle name="Normal 4 2 4 2 2 2 4 2 2 3" xfId="16562" xr:uid="{C0E5642B-2FB1-42EF-9E9B-84BB7C7FBCCC}"/>
    <cellStyle name="Normal 4 2 4 2 2 2 4 2 3" xfId="20785" xr:uid="{D5DC14F6-D1A8-4A76-8F8E-772769DAB8B7}"/>
    <cellStyle name="Normal 4 2 4 2 2 2 4 2 4" xfId="12344" xr:uid="{810CBD2D-5BF9-432D-B8CC-DEB777E4DF6F}"/>
    <cellStyle name="Normal 4 2 4 2 2 2 4 3" xfId="5975" xr:uid="{00000000-0005-0000-0000-00003B130000}"/>
    <cellStyle name="Normal 4 2 4 2 2 2 4 3 2" xfId="22858" xr:uid="{7160ECD3-8CFD-4E9A-8196-80E546478930}"/>
    <cellStyle name="Normal 4 2 4 2 2 2 4 3 3" xfId="14417" xr:uid="{4E519CE4-67EA-4B7B-9392-5A5520B4477E}"/>
    <cellStyle name="Normal 4 2 4 2 2 2 4 4" xfId="18640" xr:uid="{07E2B288-F913-4F0D-8475-171AE6B54FB8}"/>
    <cellStyle name="Normal 4 2 4 2 2 2 4 5" xfId="10199" xr:uid="{8632D2B2-9D2C-4FFE-ABAD-9B4940EE41E8}"/>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25416" xr:uid="{41EFE54F-AE7E-4D44-92D3-6553AFDFA0B9}"/>
    <cellStyle name="Normal 4 2 4 2 2 2 5 2 2 3" xfId="16975" xr:uid="{D2562B99-FD69-4750-BBD7-9CF78BD26C4B}"/>
    <cellStyle name="Normal 4 2 4 2 2 2 5 2 3" xfId="21198" xr:uid="{916C715D-F1C8-4526-B327-35E7EF5383A3}"/>
    <cellStyle name="Normal 4 2 4 2 2 2 5 2 4" xfId="12757" xr:uid="{22609480-6686-4683-8E8E-BD3D4A0A4FF6}"/>
    <cellStyle name="Normal 4 2 4 2 2 2 5 3" xfId="6388" xr:uid="{00000000-0005-0000-0000-00003F130000}"/>
    <cellStyle name="Normal 4 2 4 2 2 2 5 3 2" xfId="23271" xr:uid="{B6AD25C5-34DA-4622-A2BA-FA66CDA43B5B}"/>
    <cellStyle name="Normal 4 2 4 2 2 2 5 3 3" xfId="14830" xr:uid="{4532E7FA-179C-430A-B5D9-E95341C4EFFD}"/>
    <cellStyle name="Normal 4 2 4 2 2 2 5 4" xfId="19053" xr:uid="{A6935D5E-4BA3-4A1F-9E4F-7644514FE149}"/>
    <cellStyle name="Normal 4 2 4 2 2 2 5 5" xfId="10612" xr:uid="{C95B386D-D22C-4CB4-9D0B-7C0B3EB76DDE}"/>
    <cellStyle name="Normal 4 2 4 2 2 2 6" xfId="2517" xr:uid="{00000000-0005-0000-0000-000040130000}"/>
    <cellStyle name="Normal 4 2 4 2 2 2 6 2" xfId="6801" xr:uid="{00000000-0005-0000-0000-000041130000}"/>
    <cellStyle name="Normal 4 2 4 2 2 2 6 2 2" xfId="23684" xr:uid="{DDD377FD-6D24-435E-A66D-0E5F2C502728}"/>
    <cellStyle name="Normal 4 2 4 2 2 2 6 2 3" xfId="15243" xr:uid="{F685D777-7E4E-465B-9D60-051C34C87CBD}"/>
    <cellStyle name="Normal 4 2 4 2 2 2 6 3" xfId="19466" xr:uid="{474DFE1E-9E6C-4186-A398-2C5F6BDDBEBE}"/>
    <cellStyle name="Normal 4 2 4 2 2 2 6 4" xfId="11025" xr:uid="{5A061B84-A32A-4197-A2E7-4A450D57DFFC}"/>
    <cellStyle name="Normal 4 2 4 2 2 2 7" xfId="4736" xr:uid="{00000000-0005-0000-0000-000042130000}"/>
    <cellStyle name="Normal 4 2 4 2 2 2 7 2" xfId="21619" xr:uid="{F5D8FD7D-CDAB-4D17-8C4A-3EB41BA15F8C}"/>
    <cellStyle name="Normal 4 2 4 2 2 2 7 3" xfId="13178" xr:uid="{822F005F-81D0-42DB-91C2-062B856A9607}"/>
    <cellStyle name="Normal 4 2 4 2 2 2 8" xfId="17401" xr:uid="{6439A916-CD7D-47F0-9EBB-2CE6653F56A1}"/>
    <cellStyle name="Normal 4 2 4 2 2 2 9" xfId="8960" xr:uid="{D9CD7266-1561-422D-A3FB-7CE0A7DCDC74}"/>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24176" xr:uid="{92A2EFBF-E155-4C66-AC5C-17320712C3F8}"/>
    <cellStyle name="Normal 4 2 4 2 2 3 2 2 3" xfId="15735" xr:uid="{D1CCBCB0-F932-4A29-9D8E-D6B71F2E27BF}"/>
    <cellStyle name="Normal 4 2 4 2 2 3 2 3" xfId="19958" xr:uid="{1623EAEA-5417-41A7-BA2F-0591B235B224}"/>
    <cellStyle name="Normal 4 2 4 2 2 3 2 4" xfId="11517" xr:uid="{149CE9B7-D10A-4F11-AE6E-5A0FCF64AD6F}"/>
    <cellStyle name="Normal 4 2 4 2 2 3 3" xfId="5148" xr:uid="{00000000-0005-0000-0000-000046130000}"/>
    <cellStyle name="Normal 4 2 4 2 2 3 3 2" xfId="22031" xr:uid="{878EAADB-0C3A-454B-851E-AAD98073A588}"/>
    <cellStyle name="Normal 4 2 4 2 2 3 3 3" xfId="13590" xr:uid="{59AE8E94-3347-4141-A903-DACAA2BF5B3E}"/>
    <cellStyle name="Normal 4 2 4 2 2 3 4" xfId="17813" xr:uid="{AA413D69-8D3A-4898-95EE-6EB93067C0E4}"/>
    <cellStyle name="Normal 4 2 4 2 2 3 5" xfId="9372" xr:uid="{25C5208C-5011-4236-ABB0-B438EF2A625D}"/>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24589" xr:uid="{19AD4663-9E93-4CAB-A24E-4CD092836208}"/>
    <cellStyle name="Normal 4 2 4 2 2 4 2 2 3" xfId="16148" xr:uid="{BBC5A968-607E-45FB-AE5B-C2055A08F58E}"/>
    <cellStyle name="Normal 4 2 4 2 2 4 2 3" xfId="20371" xr:uid="{4BCBBA18-D18F-495B-94E5-C36A029C0743}"/>
    <cellStyle name="Normal 4 2 4 2 2 4 2 4" xfId="11930" xr:uid="{7798A7B6-0610-45B2-AED1-9F786ADC7776}"/>
    <cellStyle name="Normal 4 2 4 2 2 4 3" xfId="5561" xr:uid="{00000000-0005-0000-0000-00004A130000}"/>
    <cellStyle name="Normal 4 2 4 2 2 4 3 2" xfId="22444" xr:uid="{8F37153D-C92E-4427-9C9F-EB70F6B3E739}"/>
    <cellStyle name="Normal 4 2 4 2 2 4 3 3" xfId="14003" xr:uid="{30B2FFEA-E574-45AC-8308-21BD709D6EB9}"/>
    <cellStyle name="Normal 4 2 4 2 2 4 4" xfId="18226" xr:uid="{FFA7EFCA-D703-491E-8BCC-DC794A24E990}"/>
    <cellStyle name="Normal 4 2 4 2 2 4 5" xfId="9785" xr:uid="{9A682D6A-4AEA-44C2-B24D-B725ECA0E87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25002" xr:uid="{53D91F8F-ABAF-4ACF-B4F0-F8FF27204BCE}"/>
    <cellStyle name="Normal 4 2 4 2 2 5 2 2 3" xfId="16561" xr:uid="{4BFD7D45-4CD4-4486-8C25-7995CB9A4CAE}"/>
    <cellStyle name="Normal 4 2 4 2 2 5 2 3" xfId="20784" xr:uid="{D4921468-494F-4969-A6C1-3E620F1860A8}"/>
    <cellStyle name="Normal 4 2 4 2 2 5 2 4" xfId="12343" xr:uid="{573AA66B-17B1-451E-9C58-582DC828FCB0}"/>
    <cellStyle name="Normal 4 2 4 2 2 5 3" xfId="5974" xr:uid="{00000000-0005-0000-0000-00004E130000}"/>
    <cellStyle name="Normal 4 2 4 2 2 5 3 2" xfId="22857" xr:uid="{FF784394-B195-4760-985E-E0EB7C9D57FC}"/>
    <cellStyle name="Normal 4 2 4 2 2 5 3 3" xfId="14416" xr:uid="{73DFF038-9CF5-46DD-8FCB-097304AFBC3A}"/>
    <cellStyle name="Normal 4 2 4 2 2 5 4" xfId="18639" xr:uid="{AF1F5FCC-AB81-43E6-9E02-2AAAB648F4B5}"/>
    <cellStyle name="Normal 4 2 4 2 2 5 5" xfId="10198" xr:uid="{115AFC11-9B0B-407D-8BCC-FA62676AE06E}"/>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25415" xr:uid="{5393F03A-85BD-45F8-961F-857D374D9F9E}"/>
    <cellStyle name="Normal 4 2 4 2 2 6 2 2 3" xfId="16974" xr:uid="{1AD7F9C6-D542-42A2-A0E3-1BBE73DA4D01}"/>
    <cellStyle name="Normal 4 2 4 2 2 6 2 3" xfId="21197" xr:uid="{85625AE4-AC5B-415E-B518-DB9B4B233B98}"/>
    <cellStyle name="Normal 4 2 4 2 2 6 2 4" xfId="12756" xr:uid="{2F1D5191-4B1C-4A24-88A9-91A7344F875C}"/>
    <cellStyle name="Normal 4 2 4 2 2 6 3" xfId="6387" xr:uid="{00000000-0005-0000-0000-000052130000}"/>
    <cellStyle name="Normal 4 2 4 2 2 6 3 2" xfId="23270" xr:uid="{63F80AE9-88E6-4284-BFE2-8871BF61DE4D}"/>
    <cellStyle name="Normal 4 2 4 2 2 6 3 3" xfId="14829" xr:uid="{FE872DA3-B2D4-4A84-98EC-2F62F80B6D47}"/>
    <cellStyle name="Normal 4 2 4 2 2 6 4" xfId="19052" xr:uid="{4BBD2936-6F49-4294-821B-4263005F96ED}"/>
    <cellStyle name="Normal 4 2 4 2 2 6 5" xfId="10611" xr:uid="{1584D4DB-2CF3-42AA-A566-EE983D227770}"/>
    <cellStyle name="Normal 4 2 4 2 2 7" xfId="2516" xr:uid="{00000000-0005-0000-0000-000053130000}"/>
    <cellStyle name="Normal 4 2 4 2 2 7 2" xfId="6800" xr:uid="{00000000-0005-0000-0000-000054130000}"/>
    <cellStyle name="Normal 4 2 4 2 2 7 2 2" xfId="23683" xr:uid="{9913063D-1567-46BB-B1DF-68B8656828D1}"/>
    <cellStyle name="Normal 4 2 4 2 2 7 2 3" xfId="15242" xr:uid="{BF04E86C-8CB4-49AB-83B9-350519A7213E}"/>
    <cellStyle name="Normal 4 2 4 2 2 7 3" xfId="19465" xr:uid="{BE608F3E-B985-4363-B3AE-48A5D7F46567}"/>
    <cellStyle name="Normal 4 2 4 2 2 7 4" xfId="11024" xr:uid="{6D0C61AB-8881-4230-807B-C8257514D07E}"/>
    <cellStyle name="Normal 4 2 4 2 2 8" xfId="4735" xr:uid="{00000000-0005-0000-0000-000055130000}"/>
    <cellStyle name="Normal 4 2 4 2 2 8 2" xfId="21618" xr:uid="{896C5CF2-0177-42D7-BEC4-700D0A4D61E5}"/>
    <cellStyle name="Normal 4 2 4 2 2 8 3" xfId="13177" xr:uid="{97A4A92A-95E9-41F8-86B3-81B435B90805}"/>
    <cellStyle name="Normal 4 2 4 2 2 9" xfId="17400" xr:uid="{DB1C9EC0-F3D4-4656-9882-6C33065DE817}"/>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24178" xr:uid="{45FFBA7A-E800-4AAB-929B-D2B7F61B538F}"/>
    <cellStyle name="Normal 4 2 4 2 3 2 2 2 3" xfId="15737" xr:uid="{F23E7D0F-9006-43B9-AC1E-4FF2E54C8BBD}"/>
    <cellStyle name="Normal 4 2 4 2 3 2 2 3" xfId="19960" xr:uid="{01A02B34-C8E3-4B7C-A728-51333744F407}"/>
    <cellStyle name="Normal 4 2 4 2 3 2 2 4" xfId="11519" xr:uid="{87C5F5A1-22D9-432D-B29B-ECB04DA00A4E}"/>
    <cellStyle name="Normal 4 2 4 2 3 2 3" xfId="5150" xr:uid="{00000000-0005-0000-0000-00005A130000}"/>
    <cellStyle name="Normal 4 2 4 2 3 2 3 2" xfId="22033" xr:uid="{7D87C133-E051-4749-85FF-FAFE0FB06056}"/>
    <cellStyle name="Normal 4 2 4 2 3 2 3 3" xfId="13592" xr:uid="{DE975B23-600C-43A1-85CA-1675A26C3EBA}"/>
    <cellStyle name="Normal 4 2 4 2 3 2 4" xfId="17815" xr:uid="{694691EF-2FC6-4063-ABD5-5604C4A19D4E}"/>
    <cellStyle name="Normal 4 2 4 2 3 2 5" xfId="9374" xr:uid="{C1364F49-95C0-44C2-A9AD-9A2E191A6E8E}"/>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24591" xr:uid="{0BC4EEC3-F093-438C-84A8-84840DBD7EB6}"/>
    <cellStyle name="Normal 4 2 4 2 3 3 2 2 3" xfId="16150" xr:uid="{1103A9F2-7048-4F0F-A680-11B1D4020F21}"/>
    <cellStyle name="Normal 4 2 4 2 3 3 2 3" xfId="20373" xr:uid="{3410F5D5-AC78-48F6-BCE4-0286E2E59C5B}"/>
    <cellStyle name="Normal 4 2 4 2 3 3 2 4" xfId="11932" xr:uid="{1CA43289-39BC-4EF8-B7F4-C1F10520EDE5}"/>
    <cellStyle name="Normal 4 2 4 2 3 3 3" xfId="5563" xr:uid="{00000000-0005-0000-0000-00005E130000}"/>
    <cellStyle name="Normal 4 2 4 2 3 3 3 2" xfId="22446" xr:uid="{C3C4D0D2-A9A3-4D70-A45B-D0598B6985FF}"/>
    <cellStyle name="Normal 4 2 4 2 3 3 3 3" xfId="14005" xr:uid="{722ACB9E-0A76-461C-B326-7A1EFA7A2EDD}"/>
    <cellStyle name="Normal 4 2 4 2 3 3 4" xfId="18228" xr:uid="{BBAD7418-8D07-463C-9C0E-D0657CE60FF5}"/>
    <cellStyle name="Normal 4 2 4 2 3 3 5" xfId="9787" xr:uid="{0B5AC0C8-67D1-4C27-B064-39A66F31CB7E}"/>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25004" xr:uid="{9CFA632A-6F3D-4C4F-9C1A-5E4C7AB9AB52}"/>
    <cellStyle name="Normal 4 2 4 2 3 4 2 2 3" xfId="16563" xr:uid="{07CA5CA9-FBA2-4750-BB05-A9D9B0040AC0}"/>
    <cellStyle name="Normal 4 2 4 2 3 4 2 3" xfId="20786" xr:uid="{AC43C0DC-45B7-4960-8A78-57DA9295CB74}"/>
    <cellStyle name="Normal 4 2 4 2 3 4 2 4" xfId="12345" xr:uid="{4C310AFC-0814-455A-AAD9-A5231305323C}"/>
    <cellStyle name="Normal 4 2 4 2 3 4 3" xfId="5976" xr:uid="{00000000-0005-0000-0000-000062130000}"/>
    <cellStyle name="Normal 4 2 4 2 3 4 3 2" xfId="22859" xr:uid="{28754E49-0A8F-491F-B5E4-59EF277F3095}"/>
    <cellStyle name="Normal 4 2 4 2 3 4 3 3" xfId="14418" xr:uid="{995CE6CD-92E0-44E6-8F5D-7769D02E4A8B}"/>
    <cellStyle name="Normal 4 2 4 2 3 4 4" xfId="18641" xr:uid="{283A43E1-4F17-4037-8915-00FC59E62546}"/>
    <cellStyle name="Normal 4 2 4 2 3 4 5" xfId="10200" xr:uid="{DC0AEF30-BD7B-407F-BEA3-D439DBE421D1}"/>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25417" xr:uid="{7E4592E7-3796-4088-B689-A46FFBC7FA98}"/>
    <cellStyle name="Normal 4 2 4 2 3 5 2 2 3" xfId="16976" xr:uid="{004F4F60-6279-4C87-89D0-C39203241DEA}"/>
    <cellStyle name="Normal 4 2 4 2 3 5 2 3" xfId="21199" xr:uid="{9AABE7EB-CC3A-4ACE-97E0-4F80C54687D0}"/>
    <cellStyle name="Normal 4 2 4 2 3 5 2 4" xfId="12758" xr:uid="{F2612D81-D78C-43D9-8F52-FC870466FA1E}"/>
    <cellStyle name="Normal 4 2 4 2 3 5 3" xfId="6389" xr:uid="{00000000-0005-0000-0000-000066130000}"/>
    <cellStyle name="Normal 4 2 4 2 3 5 3 2" xfId="23272" xr:uid="{BDB50A1B-997C-4418-AE30-EEA5A629A037}"/>
    <cellStyle name="Normal 4 2 4 2 3 5 3 3" xfId="14831" xr:uid="{26923A96-E5C3-4F75-8D31-FE51774E3660}"/>
    <cellStyle name="Normal 4 2 4 2 3 5 4" xfId="19054" xr:uid="{7EFC523B-B724-4C26-8E5D-8B0B35C57BB0}"/>
    <cellStyle name="Normal 4 2 4 2 3 5 5" xfId="10613" xr:uid="{4032359D-B88F-4AF9-96F3-FDD8F7896366}"/>
    <cellStyle name="Normal 4 2 4 2 3 6" xfId="2518" xr:uid="{00000000-0005-0000-0000-000067130000}"/>
    <cellStyle name="Normal 4 2 4 2 3 6 2" xfId="6802" xr:uid="{00000000-0005-0000-0000-000068130000}"/>
    <cellStyle name="Normal 4 2 4 2 3 6 2 2" xfId="23685" xr:uid="{6BED7DC9-740A-4D84-8689-479135E996F2}"/>
    <cellStyle name="Normal 4 2 4 2 3 6 2 3" xfId="15244" xr:uid="{EE073FC2-046D-4D52-A9A3-1D9EC78F1ADC}"/>
    <cellStyle name="Normal 4 2 4 2 3 6 3" xfId="19467" xr:uid="{FB4419D6-2D45-47EA-BB54-41F3447E2164}"/>
    <cellStyle name="Normal 4 2 4 2 3 6 4" xfId="11026" xr:uid="{9CE7E1F4-1E9B-40D9-8B00-B682A8E58C62}"/>
    <cellStyle name="Normal 4 2 4 2 3 7" xfId="4737" xr:uid="{00000000-0005-0000-0000-000069130000}"/>
    <cellStyle name="Normal 4 2 4 2 3 7 2" xfId="21620" xr:uid="{F4C3B85E-FDC9-4EFA-8E1F-DE2E61E09DFF}"/>
    <cellStyle name="Normal 4 2 4 2 3 7 3" xfId="13179" xr:uid="{57A716EF-6CAC-4B16-A421-4792A3F83757}"/>
    <cellStyle name="Normal 4 2 4 2 3 8" xfId="17402" xr:uid="{1956C118-9796-466E-BB3E-132B00854CC5}"/>
    <cellStyle name="Normal 4 2 4 2 3 9" xfId="8961" xr:uid="{BB53E018-BC36-4722-ACD3-BAF163AA8E2E}"/>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24175" xr:uid="{9E27EA50-9C30-47A8-9AF4-AA4CB1FEEB56}"/>
    <cellStyle name="Normal 4 2 4 2 4 2 2 3" xfId="15734" xr:uid="{5D9133B5-1B52-42CD-9E93-186379FE2C35}"/>
    <cellStyle name="Normal 4 2 4 2 4 2 3" xfId="19957" xr:uid="{0644E0EC-7F63-4A10-9E5D-3B85B49E4DFC}"/>
    <cellStyle name="Normal 4 2 4 2 4 2 4" xfId="11516" xr:uid="{793FF4E8-27D0-4C57-B4B8-CA207FD8EDC9}"/>
    <cellStyle name="Normal 4 2 4 2 4 3" xfId="5147" xr:uid="{00000000-0005-0000-0000-00006D130000}"/>
    <cellStyle name="Normal 4 2 4 2 4 3 2" xfId="22030" xr:uid="{21468D02-9DF4-4348-B7DC-6BBB2FE0EE36}"/>
    <cellStyle name="Normal 4 2 4 2 4 3 3" xfId="13589" xr:uid="{0041BD1C-F1DC-4233-A56B-E5C09226167C}"/>
    <cellStyle name="Normal 4 2 4 2 4 4" xfId="17812" xr:uid="{B2D2B5EB-6681-469D-937F-8E3BA26095C8}"/>
    <cellStyle name="Normal 4 2 4 2 4 5" xfId="9371" xr:uid="{7F9702CC-E31B-4479-BC10-A9CA3A87E630}"/>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24588" xr:uid="{A326A66B-D264-4881-BECC-55517EA1D004}"/>
    <cellStyle name="Normal 4 2 4 2 5 2 2 3" xfId="16147" xr:uid="{BAC997BE-7B32-4492-9F66-4DCB75C7FC94}"/>
    <cellStyle name="Normal 4 2 4 2 5 2 3" xfId="20370" xr:uid="{A094150D-325E-4477-A312-CD1D51010EA2}"/>
    <cellStyle name="Normal 4 2 4 2 5 2 4" xfId="11929" xr:uid="{C94CDF83-70EB-4D94-A704-A49DEC12BB61}"/>
    <cellStyle name="Normal 4 2 4 2 5 3" xfId="5560" xr:uid="{00000000-0005-0000-0000-000071130000}"/>
    <cellStyle name="Normal 4 2 4 2 5 3 2" xfId="22443" xr:uid="{6C537E8C-A21E-4A73-B8CE-6EDDC3CCC556}"/>
    <cellStyle name="Normal 4 2 4 2 5 3 3" xfId="14002" xr:uid="{7769DB87-8D83-41A7-A61F-9346936CDF8E}"/>
    <cellStyle name="Normal 4 2 4 2 5 4" xfId="18225" xr:uid="{5743BD59-14D1-46BE-8482-FC1DE8BB83D5}"/>
    <cellStyle name="Normal 4 2 4 2 5 5" xfId="9784" xr:uid="{7B0B52D4-8C57-4BC0-B887-76E9262826DC}"/>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25001" xr:uid="{4020B948-A2E3-4AE6-86A3-EA1AAB72A6F9}"/>
    <cellStyle name="Normal 4 2 4 2 6 2 2 3" xfId="16560" xr:uid="{708F72F0-28B2-4FC6-BD2E-62C8665A03E3}"/>
    <cellStyle name="Normal 4 2 4 2 6 2 3" xfId="20783" xr:uid="{E289ED6D-F1F5-4EDE-8B1D-3ACB6F4058D9}"/>
    <cellStyle name="Normal 4 2 4 2 6 2 4" xfId="12342" xr:uid="{7F2AF1CB-A0CC-4DD0-ABC2-FC319A98099A}"/>
    <cellStyle name="Normal 4 2 4 2 6 3" xfId="5973" xr:uid="{00000000-0005-0000-0000-000075130000}"/>
    <cellStyle name="Normal 4 2 4 2 6 3 2" xfId="22856" xr:uid="{D57D615C-1EFD-48EC-B8F5-A38E948F068D}"/>
    <cellStyle name="Normal 4 2 4 2 6 3 3" xfId="14415" xr:uid="{9FFF97D8-90B8-4425-B3D5-B0E6664C3A3E}"/>
    <cellStyle name="Normal 4 2 4 2 6 4" xfId="18638" xr:uid="{631600F8-5771-41DD-B930-ADD5EE8AFBB7}"/>
    <cellStyle name="Normal 4 2 4 2 6 5" xfId="10197" xr:uid="{D6CF087F-33B7-43C1-845F-5D1AD2213F4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25414" xr:uid="{AE357989-9BD8-409B-ACA1-1213D54725A4}"/>
    <cellStyle name="Normal 4 2 4 2 7 2 2 3" xfId="16973" xr:uid="{8E834B8E-42EF-4E01-97C2-BF5EE300983B}"/>
    <cellStyle name="Normal 4 2 4 2 7 2 3" xfId="21196" xr:uid="{9BD96C41-FF3F-4A99-90C5-566A45C51DFD}"/>
    <cellStyle name="Normal 4 2 4 2 7 2 4" xfId="12755" xr:uid="{9BB9A1FD-6E50-496E-9961-109015A2F00C}"/>
    <cellStyle name="Normal 4 2 4 2 7 3" xfId="6386" xr:uid="{00000000-0005-0000-0000-000079130000}"/>
    <cellStyle name="Normal 4 2 4 2 7 3 2" xfId="23269" xr:uid="{53F23E6A-DFC8-4350-B2F0-0CB16B2E1A0E}"/>
    <cellStyle name="Normal 4 2 4 2 7 3 3" xfId="14828" xr:uid="{6E3FAC3B-05DF-4EE5-AE1C-941E6EDCB093}"/>
    <cellStyle name="Normal 4 2 4 2 7 4" xfId="19051" xr:uid="{392C8F0F-4A0E-4571-88C8-AB4A19297916}"/>
    <cellStyle name="Normal 4 2 4 2 7 5" xfId="10610" xr:uid="{F44456F8-4684-4135-A96B-53D7F84E913A}"/>
    <cellStyle name="Normal 4 2 4 2 8" xfId="2515" xr:uid="{00000000-0005-0000-0000-00007A130000}"/>
    <cellStyle name="Normal 4 2 4 2 8 2" xfId="6799" xr:uid="{00000000-0005-0000-0000-00007B130000}"/>
    <cellStyle name="Normal 4 2 4 2 8 2 2" xfId="23682" xr:uid="{CE5D064A-FD9F-48B3-BF8D-D8EE2E1B5F3E}"/>
    <cellStyle name="Normal 4 2 4 2 8 2 3" xfId="15241" xr:uid="{C3017129-19A2-4726-9B51-1B40651F01EA}"/>
    <cellStyle name="Normal 4 2 4 2 8 3" xfId="19464" xr:uid="{2593FA48-6A3B-44D6-84A9-56C3379E1BAB}"/>
    <cellStyle name="Normal 4 2 4 2 8 4" xfId="11023" xr:uid="{C72B34C3-368D-4189-B55A-FAECC297BA5D}"/>
    <cellStyle name="Normal 4 2 4 2 9" xfId="4734" xr:uid="{00000000-0005-0000-0000-00007C130000}"/>
    <cellStyle name="Normal 4 2 4 2 9 2" xfId="21617" xr:uid="{7E2859B5-53A5-42C1-A75A-9039B3370AA2}"/>
    <cellStyle name="Normal 4 2 4 2 9 3" xfId="13176" xr:uid="{EFE3253B-4B78-4A95-8933-005D56744FAE}"/>
    <cellStyle name="Normal 4 2 4 3" xfId="360" xr:uid="{00000000-0005-0000-0000-00007D130000}"/>
    <cellStyle name="Normal 4 2 4 3 10" xfId="8962" xr:uid="{B3E7A085-A99C-451C-BE39-C5B45CFCF3E5}"/>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24180" xr:uid="{F34069A1-8F83-45C7-94B1-72FD392EA73D}"/>
    <cellStyle name="Normal 4 2 4 3 2 2 2 2 3" xfId="15739" xr:uid="{4A91A95B-51FD-4D84-84C2-BFFAE8D1F9E9}"/>
    <cellStyle name="Normal 4 2 4 3 2 2 2 3" xfId="19962" xr:uid="{06699A1B-59B3-4881-928C-0F91A47EE1F6}"/>
    <cellStyle name="Normal 4 2 4 3 2 2 2 4" xfId="11521" xr:uid="{25A29C96-6751-4313-BEA9-6D197A777C41}"/>
    <cellStyle name="Normal 4 2 4 3 2 2 3" xfId="5152" xr:uid="{00000000-0005-0000-0000-000082130000}"/>
    <cellStyle name="Normal 4 2 4 3 2 2 3 2" xfId="22035" xr:uid="{A7C62A6D-4D28-4CF1-8577-B1F76994DAE9}"/>
    <cellStyle name="Normal 4 2 4 3 2 2 3 3" xfId="13594" xr:uid="{306D52CB-9B73-4A35-84BB-331E78A082C5}"/>
    <cellStyle name="Normal 4 2 4 3 2 2 4" xfId="17817" xr:uid="{3643B056-299A-4FB8-B07A-886DF5EF0D24}"/>
    <cellStyle name="Normal 4 2 4 3 2 2 5" xfId="9376" xr:uid="{B46BF9BD-D541-4174-B125-F9DD27CBB23F}"/>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24593" xr:uid="{F527F7B3-0C8A-4944-B3A8-EF575178A1F0}"/>
    <cellStyle name="Normal 4 2 4 3 2 3 2 2 3" xfId="16152" xr:uid="{0A4A040D-5E29-47F8-AD2D-7CB46769896F}"/>
    <cellStyle name="Normal 4 2 4 3 2 3 2 3" xfId="20375" xr:uid="{1CF5EB79-DB04-409C-98B2-D52264C21FED}"/>
    <cellStyle name="Normal 4 2 4 3 2 3 2 4" xfId="11934" xr:uid="{E0BEDB8F-DA0F-4716-8FCC-609CCA39690C}"/>
    <cellStyle name="Normal 4 2 4 3 2 3 3" xfId="5565" xr:uid="{00000000-0005-0000-0000-000086130000}"/>
    <cellStyle name="Normal 4 2 4 3 2 3 3 2" xfId="22448" xr:uid="{95DDB4CB-747A-4874-877F-10CD1D846699}"/>
    <cellStyle name="Normal 4 2 4 3 2 3 3 3" xfId="14007" xr:uid="{73E6ED21-D8C0-4D24-B6F7-F65EE928E3D2}"/>
    <cellStyle name="Normal 4 2 4 3 2 3 4" xfId="18230" xr:uid="{37656CA0-2DA2-4A98-AA22-DA7C3B0D2AD2}"/>
    <cellStyle name="Normal 4 2 4 3 2 3 5" xfId="9789" xr:uid="{56D31DCD-353D-41EF-974B-BE0B97768A2F}"/>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25006" xr:uid="{13729B69-4089-465D-AE3B-87CB93F4E07B}"/>
    <cellStyle name="Normal 4 2 4 3 2 4 2 2 3" xfId="16565" xr:uid="{B32E6948-A2DB-4632-BC4F-65C4C30B9775}"/>
    <cellStyle name="Normal 4 2 4 3 2 4 2 3" xfId="20788" xr:uid="{47B207B2-F73B-44D8-8ADD-FC5741E8DDB8}"/>
    <cellStyle name="Normal 4 2 4 3 2 4 2 4" xfId="12347" xr:uid="{D0E001A4-E5D9-4F33-A18D-5C1945A291ED}"/>
    <cellStyle name="Normal 4 2 4 3 2 4 3" xfId="5978" xr:uid="{00000000-0005-0000-0000-00008A130000}"/>
    <cellStyle name="Normal 4 2 4 3 2 4 3 2" xfId="22861" xr:uid="{71E65EA6-2FE7-451E-A167-34B444293ADF}"/>
    <cellStyle name="Normal 4 2 4 3 2 4 3 3" xfId="14420" xr:uid="{7F95B902-2D22-45FE-B828-064829F88235}"/>
    <cellStyle name="Normal 4 2 4 3 2 4 4" xfId="18643" xr:uid="{9790506A-D101-456C-A768-71D7A2AAC73E}"/>
    <cellStyle name="Normal 4 2 4 3 2 4 5" xfId="10202" xr:uid="{7F31F206-1295-4CE4-923E-83AB8627B568}"/>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25419" xr:uid="{BFBBB80C-9552-4767-8397-D652048F93DC}"/>
    <cellStyle name="Normal 4 2 4 3 2 5 2 2 3" xfId="16978" xr:uid="{92E3DE25-C31B-4D42-AA86-9DF140B8AB8C}"/>
    <cellStyle name="Normal 4 2 4 3 2 5 2 3" xfId="21201" xr:uid="{E49BB028-16F6-4A7B-8471-86D707304A5A}"/>
    <cellStyle name="Normal 4 2 4 3 2 5 2 4" xfId="12760" xr:uid="{3F719F1C-8788-4DAF-B042-9E807729DBC6}"/>
    <cellStyle name="Normal 4 2 4 3 2 5 3" xfId="6391" xr:uid="{00000000-0005-0000-0000-00008E130000}"/>
    <cellStyle name="Normal 4 2 4 3 2 5 3 2" xfId="23274" xr:uid="{A7074048-F926-4671-86A4-343A8D7EDF16}"/>
    <cellStyle name="Normal 4 2 4 3 2 5 3 3" xfId="14833" xr:uid="{44370F16-7DB0-45C0-A5F8-0B35D6393275}"/>
    <cellStyle name="Normal 4 2 4 3 2 5 4" xfId="19056" xr:uid="{4917AD85-0F70-4765-A802-136366CB84E9}"/>
    <cellStyle name="Normal 4 2 4 3 2 5 5" xfId="10615" xr:uid="{EA990823-53F1-4F66-80C2-938817D7E19B}"/>
    <cellStyle name="Normal 4 2 4 3 2 6" xfId="2520" xr:uid="{00000000-0005-0000-0000-00008F130000}"/>
    <cellStyle name="Normal 4 2 4 3 2 6 2" xfId="6804" xr:uid="{00000000-0005-0000-0000-000090130000}"/>
    <cellStyle name="Normal 4 2 4 3 2 6 2 2" xfId="23687" xr:uid="{15B01B8A-BA80-4CA8-966E-961AC8124E36}"/>
    <cellStyle name="Normal 4 2 4 3 2 6 2 3" xfId="15246" xr:uid="{398EF17E-4445-437F-9883-9A1001DCA1DE}"/>
    <cellStyle name="Normal 4 2 4 3 2 6 3" xfId="19469" xr:uid="{D7C85098-AD8B-4C7A-B9CB-D9B3EC5878A9}"/>
    <cellStyle name="Normal 4 2 4 3 2 6 4" xfId="11028" xr:uid="{6DC11874-7B50-4083-B0DB-7F7A48AC4514}"/>
    <cellStyle name="Normal 4 2 4 3 2 7" xfId="4739" xr:uid="{00000000-0005-0000-0000-000091130000}"/>
    <cellStyle name="Normal 4 2 4 3 2 7 2" xfId="21622" xr:uid="{4D9F40F8-ABCF-41D7-A380-394942C40AF0}"/>
    <cellStyle name="Normal 4 2 4 3 2 7 3" xfId="13181" xr:uid="{8ADDE53F-890B-4629-A83D-5FFAED8ED09A}"/>
    <cellStyle name="Normal 4 2 4 3 2 8" xfId="17404" xr:uid="{3CEE69D8-7BE9-4909-A027-0B6819885DEE}"/>
    <cellStyle name="Normal 4 2 4 3 2 9" xfId="8963" xr:uid="{B6BFBC58-E322-4634-A734-4F3190413F9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24179" xr:uid="{AB63323C-5999-4631-B6C6-32E9B568EAE0}"/>
    <cellStyle name="Normal 4 2 4 3 3 2 2 3" xfId="15738" xr:uid="{69F76D5A-8FC8-4D7F-9B38-557EF25276D5}"/>
    <cellStyle name="Normal 4 2 4 3 3 2 3" xfId="19961" xr:uid="{FB439525-84BB-4856-9483-7C2E656F6553}"/>
    <cellStyle name="Normal 4 2 4 3 3 2 4" xfId="11520" xr:uid="{80690101-5FEF-415A-94AB-0FD25100FCC3}"/>
    <cellStyle name="Normal 4 2 4 3 3 3" xfId="5151" xr:uid="{00000000-0005-0000-0000-000095130000}"/>
    <cellStyle name="Normal 4 2 4 3 3 3 2" xfId="22034" xr:uid="{597ED34A-C767-4618-AD15-1F3E3222FDB6}"/>
    <cellStyle name="Normal 4 2 4 3 3 3 3" xfId="13593" xr:uid="{CC897564-24F1-4CC9-B172-ACEC2EE6DB57}"/>
    <cellStyle name="Normal 4 2 4 3 3 4" xfId="17816" xr:uid="{02007C85-154A-441B-A1A1-2F0B7C56F87A}"/>
    <cellStyle name="Normal 4 2 4 3 3 5" xfId="9375" xr:uid="{77E18A7B-6E7D-463C-8225-AC53D1F6C230}"/>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24592" xr:uid="{D3818057-EAA1-4DA5-8AF4-591316F57C44}"/>
    <cellStyle name="Normal 4 2 4 3 4 2 2 3" xfId="16151" xr:uid="{CB8B1E45-B873-4ED9-9990-AD89A3902A99}"/>
    <cellStyle name="Normal 4 2 4 3 4 2 3" xfId="20374" xr:uid="{17BBA029-A96E-48BD-9B8D-07AD9941418C}"/>
    <cellStyle name="Normal 4 2 4 3 4 2 4" xfId="11933" xr:uid="{662BFE49-52A1-4E19-90E0-68ACD0C931D1}"/>
    <cellStyle name="Normal 4 2 4 3 4 3" xfId="5564" xr:uid="{00000000-0005-0000-0000-000099130000}"/>
    <cellStyle name="Normal 4 2 4 3 4 3 2" xfId="22447" xr:uid="{31A0A2CF-ED81-4B70-8D28-F70852020BCB}"/>
    <cellStyle name="Normal 4 2 4 3 4 3 3" xfId="14006" xr:uid="{82FC94DB-ACA5-4AFF-B589-748A47937A4A}"/>
    <cellStyle name="Normal 4 2 4 3 4 4" xfId="18229" xr:uid="{7930A0BE-E61C-4EA0-B732-EEC3C6D20C26}"/>
    <cellStyle name="Normal 4 2 4 3 4 5" xfId="9788" xr:uid="{14A7DD99-AE4B-44DC-8A0E-20E0BDE08523}"/>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25005" xr:uid="{70B3F257-9541-480D-B98B-1DA10ADC2A63}"/>
    <cellStyle name="Normal 4 2 4 3 5 2 2 3" xfId="16564" xr:uid="{6C07D7DE-811B-4BF4-B518-D0B684DA1E77}"/>
    <cellStyle name="Normal 4 2 4 3 5 2 3" xfId="20787" xr:uid="{236777AC-CE47-454C-8135-271831BD2E7C}"/>
    <cellStyle name="Normal 4 2 4 3 5 2 4" xfId="12346" xr:uid="{C52F55B1-F86B-4FCD-B718-964B2F6CDB75}"/>
    <cellStyle name="Normal 4 2 4 3 5 3" xfId="5977" xr:uid="{00000000-0005-0000-0000-00009D130000}"/>
    <cellStyle name="Normal 4 2 4 3 5 3 2" xfId="22860" xr:uid="{ED6D337D-B2E9-4482-87CA-AFF6373CBC2D}"/>
    <cellStyle name="Normal 4 2 4 3 5 3 3" xfId="14419" xr:uid="{EA367F92-86C1-4D8A-A288-D24519CA3C8E}"/>
    <cellStyle name="Normal 4 2 4 3 5 4" xfId="18642" xr:uid="{F86FD008-EF6E-4B76-901F-20715EB382AE}"/>
    <cellStyle name="Normal 4 2 4 3 5 5" xfId="10201" xr:uid="{C11DB817-37D7-4BD2-9547-6CF61E629D2B}"/>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25418" xr:uid="{6906AF6C-49AC-455A-B9BD-826AAD9C4F26}"/>
    <cellStyle name="Normal 4 2 4 3 6 2 2 3" xfId="16977" xr:uid="{B992D5E6-80AE-4041-AB39-970B7D06E7B2}"/>
    <cellStyle name="Normal 4 2 4 3 6 2 3" xfId="21200" xr:uid="{1A8E478F-8461-4A48-9A95-F85F2CE4E908}"/>
    <cellStyle name="Normal 4 2 4 3 6 2 4" xfId="12759" xr:uid="{6C73BF5F-8038-4920-B6F1-C5A4EC4D514B}"/>
    <cellStyle name="Normal 4 2 4 3 6 3" xfId="6390" xr:uid="{00000000-0005-0000-0000-0000A1130000}"/>
    <cellStyle name="Normal 4 2 4 3 6 3 2" xfId="23273" xr:uid="{35357596-0D84-4D9C-83E4-402B8F949D55}"/>
    <cellStyle name="Normal 4 2 4 3 6 3 3" xfId="14832" xr:uid="{E3F6E22F-864B-4701-AEB2-BADCB9F4F7BC}"/>
    <cellStyle name="Normal 4 2 4 3 6 4" xfId="19055" xr:uid="{705E4814-5E7C-4F90-AA3E-02F79A1DF8A1}"/>
    <cellStyle name="Normal 4 2 4 3 6 5" xfId="10614" xr:uid="{8CF33E14-B01B-4435-B3D0-4824A82EDABC}"/>
    <cellStyle name="Normal 4 2 4 3 7" xfId="2519" xr:uid="{00000000-0005-0000-0000-0000A2130000}"/>
    <cellStyle name="Normal 4 2 4 3 7 2" xfId="6803" xr:uid="{00000000-0005-0000-0000-0000A3130000}"/>
    <cellStyle name="Normal 4 2 4 3 7 2 2" xfId="23686" xr:uid="{62145B19-5DF5-4646-B583-5552679F69BF}"/>
    <cellStyle name="Normal 4 2 4 3 7 2 3" xfId="15245" xr:uid="{8CD9DC59-92C4-4DF2-9F49-EA386C656D5D}"/>
    <cellStyle name="Normal 4 2 4 3 7 3" xfId="19468" xr:uid="{F584F27D-444B-401F-B1C8-C331AD5C0361}"/>
    <cellStyle name="Normal 4 2 4 3 7 4" xfId="11027" xr:uid="{5DD49CD5-90B0-4DB7-925A-71B6C12D5C65}"/>
    <cellStyle name="Normal 4 2 4 3 8" xfId="4738" xr:uid="{00000000-0005-0000-0000-0000A4130000}"/>
    <cellStyle name="Normal 4 2 4 3 8 2" xfId="21621" xr:uid="{CBF49B10-6855-483E-B53E-C29E9EBBE58B}"/>
    <cellStyle name="Normal 4 2 4 3 8 3" xfId="13180" xr:uid="{301FBE21-D249-47B4-B209-3D7D61DF768B}"/>
    <cellStyle name="Normal 4 2 4 3 9" xfId="17403" xr:uid="{022D5997-173C-4AE8-9ED1-842772A30312}"/>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24181" xr:uid="{600D814A-30C7-4925-8425-F56C137D2665}"/>
    <cellStyle name="Normal 4 2 4 4 2 2 2 3" xfId="15740" xr:uid="{4EB1D6A1-CCD8-431F-989F-2CA5CBBC461F}"/>
    <cellStyle name="Normal 4 2 4 4 2 2 3" xfId="19963" xr:uid="{084DFE8B-748E-4F4D-86EA-372E945A1220}"/>
    <cellStyle name="Normal 4 2 4 4 2 2 4" xfId="11522" xr:uid="{F7CF2E48-F2E4-4BA0-AF96-6730D69A93CD}"/>
    <cellStyle name="Normal 4 2 4 4 2 3" xfId="5153" xr:uid="{00000000-0005-0000-0000-0000A9130000}"/>
    <cellStyle name="Normal 4 2 4 4 2 3 2" xfId="22036" xr:uid="{150AC80B-0EC2-4AC1-B68E-26896E37918E}"/>
    <cellStyle name="Normal 4 2 4 4 2 3 3" xfId="13595" xr:uid="{51F457DF-1F18-4958-8F08-334BD05B3ECF}"/>
    <cellStyle name="Normal 4 2 4 4 2 4" xfId="17818" xr:uid="{49782550-9FA0-4952-AA70-5E092ACF82B7}"/>
    <cellStyle name="Normal 4 2 4 4 2 5" xfId="9377" xr:uid="{53E797AE-5076-45A0-A830-89C24A3D8E8A}"/>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24594" xr:uid="{5F7FE056-E9E5-42ED-8113-1402C07EDCE3}"/>
    <cellStyle name="Normal 4 2 4 4 3 2 2 3" xfId="16153" xr:uid="{05F26987-AFF4-459D-8B4E-A4A5957A6F75}"/>
    <cellStyle name="Normal 4 2 4 4 3 2 3" xfId="20376" xr:uid="{2D07AE97-B1A8-4AB7-B7D9-B6C527BDC265}"/>
    <cellStyle name="Normal 4 2 4 4 3 2 4" xfId="11935" xr:uid="{80A25B54-6340-4F50-98CD-EB8D18D6C670}"/>
    <cellStyle name="Normal 4 2 4 4 3 3" xfId="5566" xr:uid="{00000000-0005-0000-0000-0000AD130000}"/>
    <cellStyle name="Normal 4 2 4 4 3 3 2" xfId="22449" xr:uid="{B4080B80-1DB3-485A-BD2B-AD0487A05FAC}"/>
    <cellStyle name="Normal 4 2 4 4 3 3 3" xfId="14008" xr:uid="{7B92FB1E-258F-449C-BB99-6AF3B934AAD4}"/>
    <cellStyle name="Normal 4 2 4 4 3 4" xfId="18231" xr:uid="{22636E0E-9456-4BF7-8B9A-A1DFAF5B4CB0}"/>
    <cellStyle name="Normal 4 2 4 4 3 5" xfId="9790" xr:uid="{53657765-520B-4F34-9B7B-EDECB4DC0043}"/>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25007" xr:uid="{B9B8F1AA-9975-4A64-B246-A0B5301B8F1D}"/>
    <cellStyle name="Normal 4 2 4 4 4 2 2 3" xfId="16566" xr:uid="{CB89C1C9-140A-425B-BA73-4E77587DDA41}"/>
    <cellStyle name="Normal 4 2 4 4 4 2 3" xfId="20789" xr:uid="{766198D7-7CB5-4816-BE4E-3B685C58530E}"/>
    <cellStyle name="Normal 4 2 4 4 4 2 4" xfId="12348" xr:uid="{49FDA764-5D90-4083-BC40-A6C08584AED7}"/>
    <cellStyle name="Normal 4 2 4 4 4 3" xfId="5979" xr:uid="{00000000-0005-0000-0000-0000B1130000}"/>
    <cellStyle name="Normal 4 2 4 4 4 3 2" xfId="22862" xr:uid="{6EF3A97A-13EC-4EF0-A196-EAC09092B6F1}"/>
    <cellStyle name="Normal 4 2 4 4 4 3 3" xfId="14421" xr:uid="{A3EA68F8-F1F5-4B1A-8C3F-22280E2A49B3}"/>
    <cellStyle name="Normal 4 2 4 4 4 4" xfId="18644" xr:uid="{20EC1F01-26D8-4018-871C-C0905336755A}"/>
    <cellStyle name="Normal 4 2 4 4 4 5" xfId="10203" xr:uid="{108EBF59-A9C8-427F-8045-C81206CF3E64}"/>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25420" xr:uid="{FD70100F-C6D9-457D-9634-CD541F0E1070}"/>
    <cellStyle name="Normal 4 2 4 4 5 2 2 3" xfId="16979" xr:uid="{40A24EF1-E9DB-4506-AED1-4AD8AE3F0097}"/>
    <cellStyle name="Normal 4 2 4 4 5 2 3" xfId="21202" xr:uid="{99C774F8-B865-444C-BB34-BFD30D92E102}"/>
    <cellStyle name="Normal 4 2 4 4 5 2 4" xfId="12761" xr:uid="{A44D3829-1690-4358-A45A-E41527C60941}"/>
    <cellStyle name="Normal 4 2 4 4 5 3" xfId="6392" xr:uid="{00000000-0005-0000-0000-0000B5130000}"/>
    <cellStyle name="Normal 4 2 4 4 5 3 2" xfId="23275" xr:uid="{01095E42-045C-4B50-BC75-7F9ECD7C7C94}"/>
    <cellStyle name="Normal 4 2 4 4 5 3 3" xfId="14834" xr:uid="{393CC7F7-7354-40CF-B4E2-9ABDABFEB046}"/>
    <cellStyle name="Normal 4 2 4 4 5 4" xfId="19057" xr:uid="{AE36826F-5889-48D5-8C67-C7B945C85CA9}"/>
    <cellStyle name="Normal 4 2 4 4 5 5" xfId="10616" xr:uid="{FD796013-EE17-4743-924C-3B9A6D973874}"/>
    <cellStyle name="Normal 4 2 4 4 6" xfId="2521" xr:uid="{00000000-0005-0000-0000-0000B6130000}"/>
    <cellStyle name="Normal 4 2 4 4 6 2" xfId="6805" xr:uid="{00000000-0005-0000-0000-0000B7130000}"/>
    <cellStyle name="Normal 4 2 4 4 6 2 2" xfId="23688" xr:uid="{A8269ADA-FA88-4C1B-BE76-4454D491F43B}"/>
    <cellStyle name="Normal 4 2 4 4 6 2 3" xfId="15247" xr:uid="{13B11972-384F-480E-91BF-8A044012D2EC}"/>
    <cellStyle name="Normal 4 2 4 4 6 3" xfId="19470" xr:uid="{BFFFE0EC-DA91-4BD6-AD7C-B72E2750DD94}"/>
    <cellStyle name="Normal 4 2 4 4 6 4" xfId="11029" xr:uid="{F3324CF0-6289-4240-9BCE-D446AFF836EB}"/>
    <cellStyle name="Normal 4 2 4 4 7" xfId="4740" xr:uid="{00000000-0005-0000-0000-0000B8130000}"/>
    <cellStyle name="Normal 4 2 4 4 7 2" xfId="21623" xr:uid="{5B6E28A2-DBE5-4680-8484-DFBC8AD02298}"/>
    <cellStyle name="Normal 4 2 4 4 7 3" xfId="13182" xr:uid="{4725D56F-1E9C-45A0-BD8C-EB43E3E44950}"/>
    <cellStyle name="Normal 4 2 4 4 8" xfId="17405" xr:uid="{F5BA8D22-D41F-4013-A0B9-39798094B813}"/>
    <cellStyle name="Normal 4 2 4 4 9" xfId="8964" xr:uid="{E653A291-E493-4190-8847-2B7613D2B530}"/>
    <cellStyle name="Normal 4 2 4 5" xfId="831" xr:uid="{00000000-0005-0000-0000-0000B9130000}"/>
    <cellStyle name="Normal 4 2 4 5 2" xfId="3068" xr:uid="{00000000-0005-0000-0000-0000BA130000}"/>
    <cellStyle name="Normal 4 2 4 5 2 2" xfId="7291" xr:uid="{00000000-0005-0000-0000-0000BB130000}"/>
    <cellStyle name="Normal 4 2 4 5 2 2 2" xfId="24174" xr:uid="{D21F2BB1-6F5E-4758-9C9D-C04D8C58F073}"/>
    <cellStyle name="Normal 4 2 4 5 2 2 3" xfId="15733" xr:uid="{310259DE-8CA0-4572-95AF-BF1EA0E0E90A}"/>
    <cellStyle name="Normal 4 2 4 5 2 3" xfId="19956" xr:uid="{83D08168-5CC8-4C83-B5E8-690C80542AAF}"/>
    <cellStyle name="Normal 4 2 4 5 2 4" xfId="11515" xr:uid="{036659B9-6DCA-4B4A-9FE5-24DD84E60FB0}"/>
    <cellStyle name="Normal 4 2 4 5 3" xfId="5146" xr:uid="{00000000-0005-0000-0000-0000BC130000}"/>
    <cellStyle name="Normal 4 2 4 5 3 2" xfId="22029" xr:uid="{6DD9C694-1B8A-49D6-BC06-24E3A1AE3C9E}"/>
    <cellStyle name="Normal 4 2 4 5 3 3" xfId="13588" xr:uid="{009F6470-997B-42C2-A667-D3FF2C5B9C89}"/>
    <cellStyle name="Normal 4 2 4 5 4" xfId="17811" xr:uid="{C2BBABAB-EEA3-4996-BB40-21AE3F68CFFC}"/>
    <cellStyle name="Normal 4 2 4 5 5" xfId="9370" xr:uid="{16A3A4EA-BB0F-47E3-A6E8-E45E37452A4C}"/>
    <cellStyle name="Normal 4 2 4 6" xfId="1251" xr:uid="{00000000-0005-0000-0000-0000BD130000}"/>
    <cellStyle name="Normal 4 2 4 6 2" xfId="3481" xr:uid="{00000000-0005-0000-0000-0000BE130000}"/>
    <cellStyle name="Normal 4 2 4 6 2 2" xfId="7704" xr:uid="{00000000-0005-0000-0000-0000BF130000}"/>
    <cellStyle name="Normal 4 2 4 6 2 2 2" xfId="24587" xr:uid="{335C039D-3E1E-4016-86E4-F7118381D98C}"/>
    <cellStyle name="Normal 4 2 4 6 2 2 3" xfId="16146" xr:uid="{1674D6A9-A296-4F26-B706-05E6814D93AA}"/>
    <cellStyle name="Normal 4 2 4 6 2 3" xfId="20369" xr:uid="{2BCB1F33-C0E8-427F-A13A-F6BAADC79DCC}"/>
    <cellStyle name="Normal 4 2 4 6 2 4" xfId="11928" xr:uid="{9F0030F4-2517-4E6F-9B28-46AD0F0C52F0}"/>
    <cellStyle name="Normal 4 2 4 6 3" xfId="5559" xr:uid="{00000000-0005-0000-0000-0000C0130000}"/>
    <cellStyle name="Normal 4 2 4 6 3 2" xfId="22442" xr:uid="{FFA72085-52FA-4427-A9B1-DFC8B478D8DE}"/>
    <cellStyle name="Normal 4 2 4 6 3 3" xfId="14001" xr:uid="{EF3CE871-01D9-461F-8F20-C00E97336A78}"/>
    <cellStyle name="Normal 4 2 4 6 4" xfId="18224" xr:uid="{D296617A-C8C3-4324-8AE6-8832DEE344DF}"/>
    <cellStyle name="Normal 4 2 4 6 5" xfId="9783" xr:uid="{C9E65A7D-4626-4C01-A0EB-FF1AEBA2CA0A}"/>
    <cellStyle name="Normal 4 2 4 7" xfId="1664" xr:uid="{00000000-0005-0000-0000-0000C1130000}"/>
    <cellStyle name="Normal 4 2 4 7 2" xfId="3894" xr:uid="{00000000-0005-0000-0000-0000C2130000}"/>
    <cellStyle name="Normal 4 2 4 7 2 2" xfId="8117" xr:uid="{00000000-0005-0000-0000-0000C3130000}"/>
    <cellStyle name="Normal 4 2 4 7 2 2 2" xfId="25000" xr:uid="{241E33F9-CCFA-4B41-99B6-C1BD14774139}"/>
    <cellStyle name="Normal 4 2 4 7 2 2 3" xfId="16559" xr:uid="{CC32499B-F121-4F98-B55C-DF360A33AECF}"/>
    <cellStyle name="Normal 4 2 4 7 2 3" xfId="20782" xr:uid="{16DCB2D0-64A6-47CA-95DD-D8259AE50669}"/>
    <cellStyle name="Normal 4 2 4 7 2 4" xfId="12341" xr:uid="{757E77FA-1F0E-437F-ACEB-FC91B7CE1496}"/>
    <cellStyle name="Normal 4 2 4 7 3" xfId="5972" xr:uid="{00000000-0005-0000-0000-0000C4130000}"/>
    <cellStyle name="Normal 4 2 4 7 3 2" xfId="22855" xr:uid="{B2079DB4-C320-494B-9236-23AAF2EDDB0C}"/>
    <cellStyle name="Normal 4 2 4 7 3 3" xfId="14414" xr:uid="{7DE1FD74-BAD9-48E3-836B-5EF6E8260E1E}"/>
    <cellStyle name="Normal 4 2 4 7 4" xfId="18637" xr:uid="{1CF4DF38-EDCF-4988-B22F-225730399CD2}"/>
    <cellStyle name="Normal 4 2 4 7 5" xfId="10196" xr:uid="{739DFA33-9E70-4558-930F-7B49D3043BAF}"/>
    <cellStyle name="Normal 4 2 4 8" xfId="2078" xr:uid="{00000000-0005-0000-0000-0000C5130000}"/>
    <cellStyle name="Normal 4 2 4 8 2" xfId="4307" xr:uid="{00000000-0005-0000-0000-0000C6130000}"/>
    <cellStyle name="Normal 4 2 4 8 2 2" xfId="8530" xr:uid="{00000000-0005-0000-0000-0000C7130000}"/>
    <cellStyle name="Normal 4 2 4 8 2 2 2" xfId="25413" xr:uid="{A8BC0750-6C69-44B8-948B-71430A027721}"/>
    <cellStyle name="Normal 4 2 4 8 2 2 3" xfId="16972" xr:uid="{6A645555-87A6-40E6-88FB-AF42CE42EE9A}"/>
    <cellStyle name="Normal 4 2 4 8 2 3" xfId="21195" xr:uid="{D3122EE3-B914-495E-8329-59AEAE3CF345}"/>
    <cellStyle name="Normal 4 2 4 8 2 4" xfId="12754" xr:uid="{CDF0955B-62A8-4055-B745-0AD9F211A944}"/>
    <cellStyle name="Normal 4 2 4 8 3" xfId="6385" xr:uid="{00000000-0005-0000-0000-0000C8130000}"/>
    <cellStyle name="Normal 4 2 4 8 3 2" xfId="23268" xr:uid="{5F1F7C3A-3863-4448-ADD9-8DB435A2650D}"/>
    <cellStyle name="Normal 4 2 4 8 3 3" xfId="14827" xr:uid="{5E344A27-B871-4C57-93F8-814A294D38B8}"/>
    <cellStyle name="Normal 4 2 4 8 4" xfId="19050" xr:uid="{6347822F-4C09-4AA8-9CD7-E857B2C78C5F}"/>
    <cellStyle name="Normal 4 2 4 8 5" xfId="10609" xr:uid="{7D10F9CB-D64C-44CA-9095-6A1057C46CC4}"/>
    <cellStyle name="Normal 4 2 4 9" xfId="2514" xr:uid="{00000000-0005-0000-0000-0000C9130000}"/>
    <cellStyle name="Normal 4 2 4 9 2" xfId="6798" xr:uid="{00000000-0005-0000-0000-0000CA130000}"/>
    <cellStyle name="Normal 4 2 4 9 2 2" xfId="23681" xr:uid="{51A0F0D0-225B-4658-AFE4-FC8C42DA8739}"/>
    <cellStyle name="Normal 4 2 4 9 2 3" xfId="15240" xr:uid="{61D9E369-1038-490A-8032-65DCC4ABB13A}"/>
    <cellStyle name="Normal 4 2 4 9 3" xfId="19463" xr:uid="{517C7E72-B07C-4B00-8D8B-B8DD19A9A95C}"/>
    <cellStyle name="Normal 4 2 4 9 4" xfId="11022" xr:uid="{A180A358-1D2D-4553-AB00-8FBAE3F7F9B9}"/>
    <cellStyle name="Normal 4 2 5" xfId="363" xr:uid="{00000000-0005-0000-0000-0000CB130000}"/>
    <cellStyle name="Normal 4 2 5 10" xfId="8965" xr:uid="{61EED566-C2A2-4813-9E6B-B6BBA67A05A1}"/>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24183" xr:uid="{A129D03F-F061-455A-84C4-12E59895F81C}"/>
    <cellStyle name="Normal 4 2 5 2 2 2 2 3" xfId="15742" xr:uid="{503E3A1A-796E-40C5-A3CC-34211353B5FC}"/>
    <cellStyle name="Normal 4 2 5 2 2 2 3" xfId="19965" xr:uid="{843FAC4C-66FE-4EEE-B3A6-7C45A908E7F0}"/>
    <cellStyle name="Normal 4 2 5 2 2 2 4" xfId="11524" xr:uid="{E5765FF8-9AD1-47AB-A09A-46A1D4255963}"/>
    <cellStyle name="Normal 4 2 5 2 2 3" xfId="5155" xr:uid="{00000000-0005-0000-0000-0000D0130000}"/>
    <cellStyle name="Normal 4 2 5 2 2 3 2" xfId="22038" xr:uid="{17245D28-2367-42AD-9ACF-928E48D878A0}"/>
    <cellStyle name="Normal 4 2 5 2 2 3 3" xfId="13597" xr:uid="{5DDFDE98-60EF-4E55-B8E5-8BEF9F7AF446}"/>
    <cellStyle name="Normal 4 2 5 2 2 4" xfId="17820" xr:uid="{210626E4-B24F-4819-9456-E523769E8202}"/>
    <cellStyle name="Normal 4 2 5 2 2 5" xfId="9379" xr:uid="{EE359E20-B311-4256-A6D2-91B8E99F8D16}"/>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24596" xr:uid="{8DAFA04A-5555-4D81-911C-D71B398FD39F}"/>
    <cellStyle name="Normal 4 2 5 2 3 2 2 3" xfId="16155" xr:uid="{217685C8-3A8F-4F99-A213-60EBD80F87F6}"/>
    <cellStyle name="Normal 4 2 5 2 3 2 3" xfId="20378" xr:uid="{B475F56D-3624-491A-B0ED-96CBC8C56BBA}"/>
    <cellStyle name="Normal 4 2 5 2 3 2 4" xfId="11937" xr:uid="{E638C9BD-FE59-4167-B8AB-FC417E14068B}"/>
    <cellStyle name="Normal 4 2 5 2 3 3" xfId="5568" xr:uid="{00000000-0005-0000-0000-0000D4130000}"/>
    <cellStyle name="Normal 4 2 5 2 3 3 2" xfId="22451" xr:uid="{ABC8B8C7-0B44-4604-A631-708BD5EC036C}"/>
    <cellStyle name="Normal 4 2 5 2 3 3 3" xfId="14010" xr:uid="{6409F3FE-1C0F-48F4-B4CB-585B6045CC8A}"/>
    <cellStyle name="Normal 4 2 5 2 3 4" xfId="18233" xr:uid="{A1206BFF-65D3-4F04-AB3E-0EAEE601E587}"/>
    <cellStyle name="Normal 4 2 5 2 3 5" xfId="9792" xr:uid="{48E36FA2-D6D4-40BE-A3E9-982726B9F94D}"/>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25009" xr:uid="{313FADDC-3A37-40E7-ADB7-32830168E3D3}"/>
    <cellStyle name="Normal 4 2 5 2 4 2 2 3" xfId="16568" xr:uid="{FA946CBE-5032-4B50-B6B8-2A672A581252}"/>
    <cellStyle name="Normal 4 2 5 2 4 2 3" xfId="20791" xr:uid="{5BE5CAEC-E1DD-4360-B303-49AA1DEDB5C2}"/>
    <cellStyle name="Normal 4 2 5 2 4 2 4" xfId="12350" xr:uid="{BCE5136D-68F6-4FC6-9B7F-DB62055B5DB4}"/>
    <cellStyle name="Normal 4 2 5 2 4 3" xfId="5981" xr:uid="{00000000-0005-0000-0000-0000D8130000}"/>
    <cellStyle name="Normal 4 2 5 2 4 3 2" xfId="22864" xr:uid="{D33F5534-BC86-4B14-A5B0-4E5C1E185D72}"/>
    <cellStyle name="Normal 4 2 5 2 4 3 3" xfId="14423" xr:uid="{482D12D7-32AA-4662-A3E1-04EF6BCA0F9B}"/>
    <cellStyle name="Normal 4 2 5 2 4 4" xfId="18646" xr:uid="{8FFF9E41-9DB3-48DD-9FA0-EF19FD836DB0}"/>
    <cellStyle name="Normal 4 2 5 2 4 5" xfId="10205" xr:uid="{1122B445-B1EE-4EAF-BEEF-8434DEA66510}"/>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25422" xr:uid="{4EEDD17F-4DB9-49AC-82DD-BA5DFFCC107B}"/>
    <cellStyle name="Normal 4 2 5 2 5 2 2 3" xfId="16981" xr:uid="{9DC1A5DE-2895-4205-8B2E-AEBD51C860A9}"/>
    <cellStyle name="Normal 4 2 5 2 5 2 3" xfId="21204" xr:uid="{97485AF0-DCE3-4D06-8E65-23A554F59E27}"/>
    <cellStyle name="Normal 4 2 5 2 5 2 4" xfId="12763" xr:uid="{A548316C-7EC9-47E7-9EC3-157805E7D6D4}"/>
    <cellStyle name="Normal 4 2 5 2 5 3" xfId="6394" xr:uid="{00000000-0005-0000-0000-0000DC130000}"/>
    <cellStyle name="Normal 4 2 5 2 5 3 2" xfId="23277" xr:uid="{08A530DD-AD1E-495B-B8B8-EB66D33425A1}"/>
    <cellStyle name="Normal 4 2 5 2 5 3 3" xfId="14836" xr:uid="{EE41E781-B7DB-4E85-9E5E-ACEA0E878A75}"/>
    <cellStyle name="Normal 4 2 5 2 5 4" xfId="19059" xr:uid="{B164F078-D025-4C5F-B02D-C6D20130B8DE}"/>
    <cellStyle name="Normal 4 2 5 2 5 5" xfId="10618" xr:uid="{58215F8C-5728-41B1-B98E-8F3063BB8B34}"/>
    <cellStyle name="Normal 4 2 5 2 6" xfId="2523" xr:uid="{00000000-0005-0000-0000-0000DD130000}"/>
    <cellStyle name="Normal 4 2 5 2 6 2" xfId="6807" xr:uid="{00000000-0005-0000-0000-0000DE130000}"/>
    <cellStyle name="Normal 4 2 5 2 6 2 2" xfId="23690" xr:uid="{485B6BFC-ED72-4869-92AA-560A62FD728D}"/>
    <cellStyle name="Normal 4 2 5 2 6 2 3" xfId="15249" xr:uid="{9D1C77DD-F9D5-42E0-AE04-C93DE034F8C1}"/>
    <cellStyle name="Normal 4 2 5 2 6 3" xfId="19472" xr:uid="{F38B095F-2159-408C-8D49-BAB5E0A9F64F}"/>
    <cellStyle name="Normal 4 2 5 2 6 4" xfId="11031" xr:uid="{AA4686A5-CA55-48E3-8F4A-8227C73E4914}"/>
    <cellStyle name="Normal 4 2 5 2 7" xfId="4742" xr:uid="{00000000-0005-0000-0000-0000DF130000}"/>
    <cellStyle name="Normal 4 2 5 2 7 2" xfId="21625" xr:uid="{0E461454-D399-4D09-827D-98CCB6A3C987}"/>
    <cellStyle name="Normal 4 2 5 2 7 3" xfId="13184" xr:uid="{CCF368B1-E089-44F2-8349-30D5E597688D}"/>
    <cellStyle name="Normal 4 2 5 2 8" xfId="17407" xr:uid="{0421E0F9-30EB-4D8A-9AA3-EA147E75EBAD}"/>
    <cellStyle name="Normal 4 2 5 2 9" xfId="8966" xr:uid="{A9C4FC1D-D744-4063-B326-22B6A810D4AD}"/>
    <cellStyle name="Normal 4 2 5 3" xfId="839" xr:uid="{00000000-0005-0000-0000-0000E0130000}"/>
    <cellStyle name="Normal 4 2 5 3 2" xfId="3076" xr:uid="{00000000-0005-0000-0000-0000E1130000}"/>
    <cellStyle name="Normal 4 2 5 3 2 2" xfId="7299" xr:uid="{00000000-0005-0000-0000-0000E2130000}"/>
    <cellStyle name="Normal 4 2 5 3 2 2 2" xfId="24182" xr:uid="{D0F01957-F11D-4A4D-86BD-5299C617D7B6}"/>
    <cellStyle name="Normal 4 2 5 3 2 2 3" xfId="15741" xr:uid="{21256837-A4C7-45A9-915E-0BEC0CF4362D}"/>
    <cellStyle name="Normal 4 2 5 3 2 3" xfId="19964" xr:uid="{0AC05F9F-C4F4-41F2-AB81-2F58C7928D15}"/>
    <cellStyle name="Normal 4 2 5 3 2 4" xfId="11523" xr:uid="{978B6269-EB2F-475A-9D54-A921BA6B5A11}"/>
    <cellStyle name="Normal 4 2 5 3 3" xfId="5154" xr:uid="{00000000-0005-0000-0000-0000E3130000}"/>
    <cellStyle name="Normal 4 2 5 3 3 2" xfId="22037" xr:uid="{D8DE3AD8-B87E-4CB3-ACC3-6397D0C0280E}"/>
    <cellStyle name="Normal 4 2 5 3 3 3" xfId="13596" xr:uid="{A059ADFA-EBB4-4566-964C-0E325D1757CC}"/>
    <cellStyle name="Normal 4 2 5 3 4" xfId="17819" xr:uid="{C1327BB2-1B66-4C44-9074-935B8E2115C5}"/>
    <cellStyle name="Normal 4 2 5 3 5" xfId="9378" xr:uid="{00044C75-C33C-49EB-A236-771A77CE2800}"/>
    <cellStyle name="Normal 4 2 5 4" xfId="1259" xr:uid="{00000000-0005-0000-0000-0000E4130000}"/>
    <cellStyle name="Normal 4 2 5 4 2" xfId="3489" xr:uid="{00000000-0005-0000-0000-0000E5130000}"/>
    <cellStyle name="Normal 4 2 5 4 2 2" xfId="7712" xr:uid="{00000000-0005-0000-0000-0000E6130000}"/>
    <cellStyle name="Normal 4 2 5 4 2 2 2" xfId="24595" xr:uid="{565A17B0-411D-4841-AD86-FC36B69F51FD}"/>
    <cellStyle name="Normal 4 2 5 4 2 2 3" xfId="16154" xr:uid="{55427D84-2B31-40EF-B2E4-359CE0C71801}"/>
    <cellStyle name="Normal 4 2 5 4 2 3" xfId="20377" xr:uid="{6880C5D9-2AC1-4178-A330-E7232698B2CF}"/>
    <cellStyle name="Normal 4 2 5 4 2 4" xfId="11936" xr:uid="{D207A057-5BCF-4BDE-AABF-C23BC2886E21}"/>
    <cellStyle name="Normal 4 2 5 4 3" xfId="5567" xr:uid="{00000000-0005-0000-0000-0000E7130000}"/>
    <cellStyle name="Normal 4 2 5 4 3 2" xfId="22450" xr:uid="{542E8022-5081-4998-B2B0-B789C03E7E3A}"/>
    <cellStyle name="Normal 4 2 5 4 3 3" xfId="14009" xr:uid="{C9F55510-D4A7-4747-B0C9-CD280264AB29}"/>
    <cellStyle name="Normal 4 2 5 4 4" xfId="18232" xr:uid="{4B4CD3D1-864A-4DD4-A5F1-5A703C7ACDFE}"/>
    <cellStyle name="Normal 4 2 5 4 5" xfId="9791" xr:uid="{FC748884-C7A3-4B1B-8618-CD74352CD8F1}"/>
    <cellStyle name="Normal 4 2 5 5" xfId="1672" xr:uid="{00000000-0005-0000-0000-0000E8130000}"/>
    <cellStyle name="Normal 4 2 5 5 2" xfId="3902" xr:uid="{00000000-0005-0000-0000-0000E9130000}"/>
    <cellStyle name="Normal 4 2 5 5 2 2" xfId="8125" xr:uid="{00000000-0005-0000-0000-0000EA130000}"/>
    <cellStyle name="Normal 4 2 5 5 2 2 2" xfId="25008" xr:uid="{4A2E0D76-A547-4F00-91A6-FBB2DD7A46AD}"/>
    <cellStyle name="Normal 4 2 5 5 2 2 3" xfId="16567" xr:uid="{C9A04823-94BF-4C2B-91D3-1ED7F77A460B}"/>
    <cellStyle name="Normal 4 2 5 5 2 3" xfId="20790" xr:uid="{FE5205F6-C1FC-488C-8F35-FD5624B9D252}"/>
    <cellStyle name="Normal 4 2 5 5 2 4" xfId="12349" xr:uid="{04DF729B-7B88-4BCB-AA2E-C8F35D84671B}"/>
    <cellStyle name="Normal 4 2 5 5 3" xfId="5980" xr:uid="{00000000-0005-0000-0000-0000EB130000}"/>
    <cellStyle name="Normal 4 2 5 5 3 2" xfId="22863" xr:uid="{D8132BF3-D33F-4A1A-9BFA-DCA0BA9FB010}"/>
    <cellStyle name="Normal 4 2 5 5 3 3" xfId="14422" xr:uid="{37ECDF6D-4F66-47D2-9945-A13577B9B6AF}"/>
    <cellStyle name="Normal 4 2 5 5 4" xfId="18645" xr:uid="{42465D8D-1F79-488F-BD88-42FC0575CD85}"/>
    <cellStyle name="Normal 4 2 5 5 5" xfId="10204" xr:uid="{56534C40-DBC1-4F10-8B7B-41EB003B571A}"/>
    <cellStyle name="Normal 4 2 5 6" xfId="2086" xr:uid="{00000000-0005-0000-0000-0000EC130000}"/>
    <cellStyle name="Normal 4 2 5 6 2" xfId="4315" xr:uid="{00000000-0005-0000-0000-0000ED130000}"/>
    <cellStyle name="Normal 4 2 5 6 2 2" xfId="8538" xr:uid="{00000000-0005-0000-0000-0000EE130000}"/>
    <cellStyle name="Normal 4 2 5 6 2 2 2" xfId="25421" xr:uid="{618D19E3-0248-438F-A3E0-2597CF593243}"/>
    <cellStyle name="Normal 4 2 5 6 2 2 3" xfId="16980" xr:uid="{C7C000BD-C422-40F2-8CEE-F45A9964F8E6}"/>
    <cellStyle name="Normal 4 2 5 6 2 3" xfId="21203" xr:uid="{8C8D9E0C-8A80-4ABF-BC3A-EBCF0DF38392}"/>
    <cellStyle name="Normal 4 2 5 6 2 4" xfId="12762" xr:uid="{B1720553-F964-4F0A-8AD2-D94EEEF42887}"/>
    <cellStyle name="Normal 4 2 5 6 3" xfId="6393" xr:uid="{00000000-0005-0000-0000-0000EF130000}"/>
    <cellStyle name="Normal 4 2 5 6 3 2" xfId="23276" xr:uid="{E96787B5-E68E-4ED0-AF45-20E455BA7ABF}"/>
    <cellStyle name="Normal 4 2 5 6 3 3" xfId="14835" xr:uid="{B7D981B1-1BD9-48E6-886B-7C8378F920AF}"/>
    <cellStyle name="Normal 4 2 5 6 4" xfId="19058" xr:uid="{034AF1FE-C7AB-44B9-8302-7100F7D92374}"/>
    <cellStyle name="Normal 4 2 5 6 5" xfId="10617" xr:uid="{6F3DF87E-1212-4BB0-BF31-CC98D1D4CD05}"/>
    <cellStyle name="Normal 4 2 5 7" xfId="2522" xr:uid="{00000000-0005-0000-0000-0000F0130000}"/>
    <cellStyle name="Normal 4 2 5 7 2" xfId="6806" xr:uid="{00000000-0005-0000-0000-0000F1130000}"/>
    <cellStyle name="Normal 4 2 5 7 2 2" xfId="23689" xr:uid="{83C921BF-9A89-44AA-845B-6265BC36CB5E}"/>
    <cellStyle name="Normal 4 2 5 7 2 3" xfId="15248" xr:uid="{DCDE4C4B-2031-437E-B8D0-F42A550CBA53}"/>
    <cellStyle name="Normal 4 2 5 7 3" xfId="19471" xr:uid="{C6F2B719-A3F8-49A7-969C-CC27721ED8C6}"/>
    <cellStyle name="Normal 4 2 5 7 4" xfId="11030" xr:uid="{E5714CD8-0653-4C4C-8BC6-1CB85FBC021B}"/>
    <cellStyle name="Normal 4 2 5 8" xfId="4741" xr:uid="{00000000-0005-0000-0000-0000F2130000}"/>
    <cellStyle name="Normal 4 2 5 8 2" xfId="21624" xr:uid="{2AD35287-A5B5-48ED-ABF0-BA978ABBB901}"/>
    <cellStyle name="Normal 4 2 5 8 3" xfId="13183" xr:uid="{B5654174-07B7-45A9-A42F-E0898D1C824B}"/>
    <cellStyle name="Normal 4 2 5 9" xfId="17406" xr:uid="{DF3598EF-4A86-4862-BCB2-6D4616B5B728}"/>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24184" xr:uid="{1BCF6E99-247C-4001-BCA6-AEF147523EF3}"/>
    <cellStyle name="Normal 4 2 6 2 2 2 3" xfId="15743" xr:uid="{8DCAA219-A5C4-4A64-9034-D722236603A2}"/>
    <cellStyle name="Normal 4 2 6 2 2 3" xfId="19966" xr:uid="{34092BB7-8318-4EFB-86B2-AFE17DD5DA43}"/>
    <cellStyle name="Normal 4 2 6 2 2 4" xfId="11525" xr:uid="{28488561-C07A-4FD5-80C6-B2AAB3E7DD40}"/>
    <cellStyle name="Normal 4 2 6 2 3" xfId="5156" xr:uid="{00000000-0005-0000-0000-0000F7130000}"/>
    <cellStyle name="Normal 4 2 6 2 3 2" xfId="22039" xr:uid="{9F441FE8-953F-48DA-9E5F-BD5EB8331274}"/>
    <cellStyle name="Normal 4 2 6 2 3 3" xfId="13598" xr:uid="{28BF3DC6-7CE6-4C6E-9BA3-0C3B58BBC3FB}"/>
    <cellStyle name="Normal 4 2 6 2 4" xfId="17821" xr:uid="{F15E8566-653B-4161-BF42-DCE09BE779B8}"/>
    <cellStyle name="Normal 4 2 6 2 5" xfId="9380" xr:uid="{284882C5-B14A-46DE-8B5D-C12A9633B874}"/>
    <cellStyle name="Normal 4 2 6 3" xfId="1261" xr:uid="{00000000-0005-0000-0000-0000F8130000}"/>
    <cellStyle name="Normal 4 2 6 3 2" xfId="3491" xr:uid="{00000000-0005-0000-0000-0000F9130000}"/>
    <cellStyle name="Normal 4 2 6 3 2 2" xfId="7714" xr:uid="{00000000-0005-0000-0000-0000FA130000}"/>
    <cellStyle name="Normal 4 2 6 3 2 2 2" xfId="24597" xr:uid="{6B6FF381-A35E-4D51-B1D5-50469C346E5F}"/>
    <cellStyle name="Normal 4 2 6 3 2 2 3" xfId="16156" xr:uid="{B4B8AF5D-25EA-4D6E-B575-519848B8F5AF}"/>
    <cellStyle name="Normal 4 2 6 3 2 3" xfId="20379" xr:uid="{918741A7-BBF4-4147-8FB9-5CB48C312450}"/>
    <cellStyle name="Normal 4 2 6 3 2 4" xfId="11938" xr:uid="{ED1B9757-7EFA-4AEF-BE10-BC8142FFD6F9}"/>
    <cellStyle name="Normal 4 2 6 3 3" xfId="5569" xr:uid="{00000000-0005-0000-0000-0000FB130000}"/>
    <cellStyle name="Normal 4 2 6 3 3 2" xfId="22452" xr:uid="{2E9A3532-7F9E-4D99-8ACA-90EC7DA42A64}"/>
    <cellStyle name="Normal 4 2 6 3 3 3" xfId="14011" xr:uid="{E1EE6317-A998-4E2C-BCBA-DD0E63EE53E0}"/>
    <cellStyle name="Normal 4 2 6 3 4" xfId="18234" xr:uid="{129B447F-0BE3-43C2-B76E-32E5A6E771CC}"/>
    <cellStyle name="Normal 4 2 6 3 5" xfId="9793" xr:uid="{4255D5FB-7C5A-46E2-83B8-C4CAB45CF6C2}"/>
    <cellStyle name="Normal 4 2 6 4" xfId="1674" xr:uid="{00000000-0005-0000-0000-0000FC130000}"/>
    <cellStyle name="Normal 4 2 6 4 2" xfId="3904" xr:uid="{00000000-0005-0000-0000-0000FD130000}"/>
    <cellStyle name="Normal 4 2 6 4 2 2" xfId="8127" xr:uid="{00000000-0005-0000-0000-0000FE130000}"/>
    <cellStyle name="Normal 4 2 6 4 2 2 2" xfId="25010" xr:uid="{CB7EF934-E760-4EDE-BC41-CA17C2C39FA2}"/>
    <cellStyle name="Normal 4 2 6 4 2 2 3" xfId="16569" xr:uid="{04154B3A-E631-413A-BBC8-B74C50006832}"/>
    <cellStyle name="Normal 4 2 6 4 2 3" xfId="20792" xr:uid="{FDEAFAF5-7F02-4F47-AE7B-F5ED5E93155A}"/>
    <cellStyle name="Normal 4 2 6 4 2 4" xfId="12351" xr:uid="{9ACC3F4F-F06F-4758-8C8D-C580301D6441}"/>
    <cellStyle name="Normal 4 2 6 4 3" xfId="5982" xr:uid="{00000000-0005-0000-0000-0000FF130000}"/>
    <cellStyle name="Normal 4 2 6 4 3 2" xfId="22865" xr:uid="{07E413ED-39D1-42F5-8E60-CC34510710E8}"/>
    <cellStyle name="Normal 4 2 6 4 3 3" xfId="14424" xr:uid="{65B59702-E85D-49BA-A671-FAFAF73275E5}"/>
    <cellStyle name="Normal 4 2 6 4 4" xfId="18647" xr:uid="{8E65E6F2-61E7-4CD9-8E7E-706CF32F7A99}"/>
    <cellStyle name="Normal 4 2 6 4 5" xfId="10206" xr:uid="{A328824B-384B-4C10-8533-04AB1B0DB007}"/>
    <cellStyle name="Normal 4 2 6 5" xfId="2088" xr:uid="{00000000-0005-0000-0000-000000140000}"/>
    <cellStyle name="Normal 4 2 6 5 2" xfId="4317" xr:uid="{00000000-0005-0000-0000-000001140000}"/>
    <cellStyle name="Normal 4 2 6 5 2 2" xfId="8540" xr:uid="{00000000-0005-0000-0000-000002140000}"/>
    <cellStyle name="Normal 4 2 6 5 2 2 2" xfId="25423" xr:uid="{336C4415-1612-4A5A-917A-39FA5BE4FFE4}"/>
    <cellStyle name="Normal 4 2 6 5 2 2 3" xfId="16982" xr:uid="{5FA2CE09-C6FA-4043-B90D-51D8684CBB5D}"/>
    <cellStyle name="Normal 4 2 6 5 2 3" xfId="21205" xr:uid="{AFCF80F3-D4E6-462B-BD23-943CE692EC3D}"/>
    <cellStyle name="Normal 4 2 6 5 2 4" xfId="12764" xr:uid="{F15D6C6B-5274-4AA1-AFE2-C639202E9BCA}"/>
    <cellStyle name="Normal 4 2 6 5 3" xfId="6395" xr:uid="{00000000-0005-0000-0000-000003140000}"/>
    <cellStyle name="Normal 4 2 6 5 3 2" xfId="23278" xr:uid="{4AF9ABDB-5339-433B-A3D3-C2A4ECFCB1B1}"/>
    <cellStyle name="Normal 4 2 6 5 3 3" xfId="14837" xr:uid="{9F177883-CD75-4723-BB0A-2BB4DF777DBA}"/>
    <cellStyle name="Normal 4 2 6 5 4" xfId="19060" xr:uid="{1E8C45D9-DD8A-4655-AC88-81BEE0E55FAE}"/>
    <cellStyle name="Normal 4 2 6 5 5" xfId="10619" xr:uid="{7507E9DD-674B-4FDD-8C89-2D889F21DFE4}"/>
    <cellStyle name="Normal 4 2 6 6" xfId="2524" xr:uid="{00000000-0005-0000-0000-000004140000}"/>
    <cellStyle name="Normal 4 2 6 6 2" xfId="6808" xr:uid="{00000000-0005-0000-0000-000005140000}"/>
    <cellStyle name="Normal 4 2 6 6 2 2" xfId="23691" xr:uid="{82D0AA64-B968-45B6-A938-6E2E9100531B}"/>
    <cellStyle name="Normal 4 2 6 6 2 3" xfId="15250" xr:uid="{72AA55B3-F2C9-44E6-9D84-A44AD45AA53D}"/>
    <cellStyle name="Normal 4 2 6 6 3" xfId="19473" xr:uid="{06689248-8D8B-4954-9872-ACD3D5EA25FD}"/>
    <cellStyle name="Normal 4 2 6 6 4" xfId="11032" xr:uid="{CC45C440-FCD0-4B4A-B064-5F491B70A1BF}"/>
    <cellStyle name="Normal 4 2 6 7" xfId="4743" xr:uid="{00000000-0005-0000-0000-000006140000}"/>
    <cellStyle name="Normal 4 2 6 7 2" xfId="21626" xr:uid="{7E52A089-2E07-453B-90F6-97BDCB3463B4}"/>
    <cellStyle name="Normal 4 2 6 7 3" xfId="13185" xr:uid="{C5463632-2886-438C-BFBF-8048A3393A84}"/>
    <cellStyle name="Normal 4 2 6 8" xfId="17408" xr:uid="{EA8BAB02-0E2C-4C06-8A92-E41A6E4C588A}"/>
    <cellStyle name="Normal 4 2 6 9" xfId="8967" xr:uid="{D8318727-ED81-4F10-8D1C-5199DA0532D3}"/>
    <cellStyle name="Normal 4 3" xfId="366" xr:uid="{00000000-0005-0000-0000-000007140000}"/>
    <cellStyle name="Normal 4 3 10" xfId="17409" xr:uid="{5B27E981-852E-4B5C-AE4D-5AC6BC2D4FD6}"/>
    <cellStyle name="Normal 4 3 11" xfId="8968" xr:uid="{43F08F5D-E57E-4B87-A8DE-35101BCA0E49}"/>
    <cellStyle name="Normal 4 3 2" xfId="367" xr:uid="{00000000-0005-0000-0000-000008140000}"/>
    <cellStyle name="Normal 4 3 2 2" xfId="368" xr:uid="{00000000-0005-0000-0000-000009140000}"/>
    <cellStyle name="Normal 4 3 2 2 2" xfId="369" xr:uid="{00000000-0005-0000-0000-00000A140000}"/>
    <cellStyle name="Normal 4 3 2 2 2 10" xfId="17410" xr:uid="{95EA170E-A4FD-417C-B55B-6589D8125B26}"/>
    <cellStyle name="Normal 4 3 2 2 2 11" xfId="8969" xr:uid="{75AF5A73-1E7D-48FD-A239-4D036ADC597F}"/>
    <cellStyle name="Normal 4 3 2 2 2 2" xfId="370" xr:uid="{00000000-0005-0000-0000-00000B140000}"/>
    <cellStyle name="Normal 4 3 2 2 2 2 10" xfId="8970" xr:uid="{244D1BA7-EB47-49DF-BB76-9BABCFF575D6}"/>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24188" xr:uid="{FD5D42FA-DC89-409B-A256-F2719F255D4D}"/>
    <cellStyle name="Normal 4 3 2 2 2 2 2 2 2 2 3" xfId="15747" xr:uid="{8F8FB3C6-7DA2-4B05-9319-78E4AB3D8DDB}"/>
    <cellStyle name="Normal 4 3 2 2 2 2 2 2 2 3" xfId="19970" xr:uid="{7F4BB5B6-41C2-436C-91AB-0E242B687F31}"/>
    <cellStyle name="Normal 4 3 2 2 2 2 2 2 2 4" xfId="11529" xr:uid="{DF13EB1B-6997-451D-A802-ED279C252396}"/>
    <cellStyle name="Normal 4 3 2 2 2 2 2 2 3" xfId="5160" xr:uid="{00000000-0005-0000-0000-000010140000}"/>
    <cellStyle name="Normal 4 3 2 2 2 2 2 2 3 2" xfId="22043" xr:uid="{83007953-5D9D-467F-8D6C-51F333EE3074}"/>
    <cellStyle name="Normal 4 3 2 2 2 2 2 2 3 3" xfId="13602" xr:uid="{E6A1C478-8B64-4DE3-81B9-88D261645709}"/>
    <cellStyle name="Normal 4 3 2 2 2 2 2 2 4" xfId="17825" xr:uid="{E3F09231-F880-43DA-8ED6-9A6754B5C8C0}"/>
    <cellStyle name="Normal 4 3 2 2 2 2 2 2 5" xfId="9384" xr:uid="{8C268BFF-5A59-4833-8298-61380C807484}"/>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24601" xr:uid="{20CB4F5F-7CE4-49B6-88F2-737A5C2427C9}"/>
    <cellStyle name="Normal 4 3 2 2 2 2 2 3 2 2 3" xfId="16160" xr:uid="{4329C5DC-ADA1-4659-AB6A-BF6D0484346C}"/>
    <cellStyle name="Normal 4 3 2 2 2 2 2 3 2 3" xfId="20383" xr:uid="{80044E46-4870-4E5D-8FCA-718F93102422}"/>
    <cellStyle name="Normal 4 3 2 2 2 2 2 3 2 4" xfId="11942" xr:uid="{C143DF60-B10D-4123-8CBA-2E969CA27907}"/>
    <cellStyle name="Normal 4 3 2 2 2 2 2 3 3" xfId="5573" xr:uid="{00000000-0005-0000-0000-000014140000}"/>
    <cellStyle name="Normal 4 3 2 2 2 2 2 3 3 2" xfId="22456" xr:uid="{AABA1C56-BFF5-4C0A-9DED-6C2EC851D6BC}"/>
    <cellStyle name="Normal 4 3 2 2 2 2 2 3 3 3" xfId="14015" xr:uid="{C162F710-6811-4C48-B5A6-6DD93C707C33}"/>
    <cellStyle name="Normal 4 3 2 2 2 2 2 3 4" xfId="18238" xr:uid="{07BACC53-EE7D-4866-9C57-A73B9D2477E2}"/>
    <cellStyle name="Normal 4 3 2 2 2 2 2 3 5" xfId="9797" xr:uid="{EE7D50CF-EFAD-477B-BEC4-C84CE8A75754}"/>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25014" xr:uid="{B66E5646-85CE-4ED4-8E66-D096027C3A54}"/>
    <cellStyle name="Normal 4 3 2 2 2 2 2 4 2 2 3" xfId="16573" xr:uid="{414FA16A-6B5A-4E48-92AF-BC6D014474F8}"/>
    <cellStyle name="Normal 4 3 2 2 2 2 2 4 2 3" xfId="20796" xr:uid="{BDB35B83-932A-4BC7-877C-F1C384EE3910}"/>
    <cellStyle name="Normal 4 3 2 2 2 2 2 4 2 4" xfId="12355" xr:uid="{7415F2A7-D2C7-42F2-AF60-964A48BA3366}"/>
    <cellStyle name="Normal 4 3 2 2 2 2 2 4 3" xfId="5986" xr:uid="{00000000-0005-0000-0000-000018140000}"/>
    <cellStyle name="Normal 4 3 2 2 2 2 2 4 3 2" xfId="22869" xr:uid="{A455120E-3919-4CC7-A92B-D66CBF7898C7}"/>
    <cellStyle name="Normal 4 3 2 2 2 2 2 4 3 3" xfId="14428" xr:uid="{EECABB3B-CCF4-4461-81DE-8F55609588B1}"/>
    <cellStyle name="Normal 4 3 2 2 2 2 2 4 4" xfId="18651" xr:uid="{DDF60142-D891-4154-BA71-9498DE8CB363}"/>
    <cellStyle name="Normal 4 3 2 2 2 2 2 4 5" xfId="10210" xr:uid="{6BBC542D-4817-4DFF-8C5D-7ED32AAC3E78}"/>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25427" xr:uid="{B37BE600-DB17-4933-A063-96692DF039AB}"/>
    <cellStyle name="Normal 4 3 2 2 2 2 2 5 2 2 3" xfId="16986" xr:uid="{E20FFC2F-BC02-4CEF-9ED1-CB2DB1EA2270}"/>
    <cellStyle name="Normal 4 3 2 2 2 2 2 5 2 3" xfId="21209" xr:uid="{3F4D1758-285D-470D-9098-5772FEFC41CD}"/>
    <cellStyle name="Normal 4 3 2 2 2 2 2 5 2 4" xfId="12768" xr:uid="{B4C1DB88-CEBD-4871-B178-FA90E0B0F80A}"/>
    <cellStyle name="Normal 4 3 2 2 2 2 2 5 3" xfId="6399" xr:uid="{00000000-0005-0000-0000-00001C140000}"/>
    <cellStyle name="Normal 4 3 2 2 2 2 2 5 3 2" xfId="23282" xr:uid="{4334E258-8A49-466E-A171-EE1B5E4C707B}"/>
    <cellStyle name="Normal 4 3 2 2 2 2 2 5 3 3" xfId="14841" xr:uid="{8476DDEF-6529-43E2-9A68-669C8FC2AEB1}"/>
    <cellStyle name="Normal 4 3 2 2 2 2 2 5 4" xfId="19064" xr:uid="{9C96D57C-6983-4841-A55D-EA163CB2153A}"/>
    <cellStyle name="Normal 4 3 2 2 2 2 2 5 5" xfId="10623" xr:uid="{D1290BF4-ED7F-43B6-8DDC-8BBA81178304}"/>
    <cellStyle name="Normal 4 3 2 2 2 2 2 6" xfId="2528" xr:uid="{00000000-0005-0000-0000-00001D140000}"/>
    <cellStyle name="Normal 4 3 2 2 2 2 2 6 2" xfId="6812" xr:uid="{00000000-0005-0000-0000-00001E140000}"/>
    <cellStyle name="Normal 4 3 2 2 2 2 2 6 2 2" xfId="23695" xr:uid="{4BE897DD-E1AD-44C7-A910-2B08C4FD9E42}"/>
    <cellStyle name="Normal 4 3 2 2 2 2 2 6 2 3" xfId="15254" xr:uid="{2E7D58A3-6CAF-4974-8493-59ADEFA72851}"/>
    <cellStyle name="Normal 4 3 2 2 2 2 2 6 3" xfId="19477" xr:uid="{D35306F4-F4A0-477B-9B40-98A99FB74BBC}"/>
    <cellStyle name="Normal 4 3 2 2 2 2 2 6 4" xfId="11036" xr:uid="{F20F096A-8C89-49CC-8ACB-0EF39BA0DD4A}"/>
    <cellStyle name="Normal 4 3 2 2 2 2 2 7" xfId="4747" xr:uid="{00000000-0005-0000-0000-00001F140000}"/>
    <cellStyle name="Normal 4 3 2 2 2 2 2 7 2" xfId="21630" xr:uid="{7FAF1A20-9F8B-46B8-97CB-3E4A2C495D94}"/>
    <cellStyle name="Normal 4 3 2 2 2 2 2 7 3" xfId="13189" xr:uid="{5903A416-B8F5-456C-BF20-06AACDC04C81}"/>
    <cellStyle name="Normal 4 3 2 2 2 2 2 8" xfId="17412" xr:uid="{DB219FC5-3242-4063-B3CA-790D25BF9DD0}"/>
    <cellStyle name="Normal 4 3 2 2 2 2 2 9" xfId="8971" xr:uid="{3861ABE9-EB5A-4853-9C62-DEF6FDDEF785}"/>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24187" xr:uid="{06ADE6F8-7DA0-4CA4-A844-0BA499266D79}"/>
    <cellStyle name="Normal 4 3 2 2 2 2 3 2 2 3" xfId="15746" xr:uid="{CA75BB06-13E4-4B10-BC77-8CDE7FC8A380}"/>
    <cellStyle name="Normal 4 3 2 2 2 2 3 2 3" xfId="19969" xr:uid="{E7AB5C7F-3031-479E-9FEC-60FC10414AE8}"/>
    <cellStyle name="Normal 4 3 2 2 2 2 3 2 4" xfId="11528" xr:uid="{8BAEDC25-D801-4CD2-A6AA-5EEDF9DDE0E8}"/>
    <cellStyle name="Normal 4 3 2 2 2 2 3 3" xfId="5159" xr:uid="{00000000-0005-0000-0000-000023140000}"/>
    <cellStyle name="Normal 4 3 2 2 2 2 3 3 2" xfId="22042" xr:uid="{556261FD-D1EC-459D-BD35-87714E00315A}"/>
    <cellStyle name="Normal 4 3 2 2 2 2 3 3 3" xfId="13601" xr:uid="{505333A3-2230-485A-A49A-6C9700B4BA87}"/>
    <cellStyle name="Normal 4 3 2 2 2 2 3 4" xfId="17824" xr:uid="{305526AD-07FD-4440-A608-907E87066E17}"/>
    <cellStyle name="Normal 4 3 2 2 2 2 3 5" xfId="9383" xr:uid="{40D3C6C9-7EFF-400F-AA54-9C855168DA1D}"/>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24600" xr:uid="{71E828CD-15AC-488C-A9EA-7AB3D92C8B39}"/>
    <cellStyle name="Normal 4 3 2 2 2 2 4 2 2 3" xfId="16159" xr:uid="{77503D0A-1992-478A-8194-C482CC4B4CF6}"/>
    <cellStyle name="Normal 4 3 2 2 2 2 4 2 3" xfId="20382" xr:uid="{B4850188-DC8C-45C2-9424-D57AC5315137}"/>
    <cellStyle name="Normal 4 3 2 2 2 2 4 2 4" xfId="11941" xr:uid="{C7B8142F-85F9-44B7-83E4-CD8640417383}"/>
    <cellStyle name="Normal 4 3 2 2 2 2 4 3" xfId="5572" xr:uid="{00000000-0005-0000-0000-000027140000}"/>
    <cellStyle name="Normal 4 3 2 2 2 2 4 3 2" xfId="22455" xr:uid="{6C8F0E84-1282-4921-AFC2-662D8519CEF3}"/>
    <cellStyle name="Normal 4 3 2 2 2 2 4 3 3" xfId="14014" xr:uid="{F767F9A5-9EB7-4C00-BCDF-444A38D59243}"/>
    <cellStyle name="Normal 4 3 2 2 2 2 4 4" xfId="18237" xr:uid="{49EBF7D8-1913-4081-B7B4-74214316542A}"/>
    <cellStyle name="Normal 4 3 2 2 2 2 4 5" xfId="9796" xr:uid="{BBC0C4BD-CDE6-4DCE-A413-B51B9F8D1DBF}"/>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25013" xr:uid="{15187A0E-CF9B-490D-ACEC-A47CD2189D8F}"/>
    <cellStyle name="Normal 4 3 2 2 2 2 5 2 2 3" xfId="16572" xr:uid="{BB9E7999-0777-404B-B88A-9690C61306B8}"/>
    <cellStyle name="Normal 4 3 2 2 2 2 5 2 3" xfId="20795" xr:uid="{4F54CEC3-3BF3-47CA-A87B-E06B923E0C87}"/>
    <cellStyle name="Normal 4 3 2 2 2 2 5 2 4" xfId="12354" xr:uid="{7585F6D5-EE42-45EA-ABA9-94597DC2E158}"/>
    <cellStyle name="Normal 4 3 2 2 2 2 5 3" xfId="5985" xr:uid="{00000000-0005-0000-0000-00002B140000}"/>
    <cellStyle name="Normal 4 3 2 2 2 2 5 3 2" xfId="22868" xr:uid="{6CDEBEAA-BCB5-4D80-9205-2D10DC0C523F}"/>
    <cellStyle name="Normal 4 3 2 2 2 2 5 3 3" xfId="14427" xr:uid="{6E3754A5-BF6A-49BA-9414-47940A762A9D}"/>
    <cellStyle name="Normal 4 3 2 2 2 2 5 4" xfId="18650" xr:uid="{89647AA2-8AE1-4BFF-9113-E948CE9AFB66}"/>
    <cellStyle name="Normal 4 3 2 2 2 2 5 5" xfId="10209" xr:uid="{0D20DB7E-FF6C-4076-8ECE-8717AB2DA8FF}"/>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25426" xr:uid="{93C7543E-2F07-46CD-9ACF-D18C416858C7}"/>
    <cellStyle name="Normal 4 3 2 2 2 2 6 2 2 3" xfId="16985" xr:uid="{E88B2947-F123-4B43-AEB8-38041D00A2C7}"/>
    <cellStyle name="Normal 4 3 2 2 2 2 6 2 3" xfId="21208" xr:uid="{78851CC9-F7BE-4203-9E74-D17D10C0F264}"/>
    <cellStyle name="Normal 4 3 2 2 2 2 6 2 4" xfId="12767" xr:uid="{B071A3E2-9D50-43E6-B2B6-E876B88AB1E4}"/>
    <cellStyle name="Normal 4 3 2 2 2 2 6 3" xfId="6398" xr:uid="{00000000-0005-0000-0000-00002F140000}"/>
    <cellStyle name="Normal 4 3 2 2 2 2 6 3 2" xfId="23281" xr:uid="{E459EA38-6688-415A-B642-788C9419A447}"/>
    <cellStyle name="Normal 4 3 2 2 2 2 6 3 3" xfId="14840" xr:uid="{135696D2-1506-4903-8274-D1167F1C9B04}"/>
    <cellStyle name="Normal 4 3 2 2 2 2 6 4" xfId="19063" xr:uid="{A1919977-A133-4B3E-AFE6-74262C061F2B}"/>
    <cellStyle name="Normal 4 3 2 2 2 2 6 5" xfId="10622" xr:uid="{3D599760-C20F-498E-9B5E-11E5FC38144D}"/>
    <cellStyle name="Normal 4 3 2 2 2 2 7" xfId="2527" xr:uid="{00000000-0005-0000-0000-000030140000}"/>
    <cellStyle name="Normal 4 3 2 2 2 2 7 2" xfId="6811" xr:uid="{00000000-0005-0000-0000-000031140000}"/>
    <cellStyle name="Normal 4 3 2 2 2 2 7 2 2" xfId="23694" xr:uid="{4EB61202-67DF-4789-AFE2-47E7A027B75A}"/>
    <cellStyle name="Normal 4 3 2 2 2 2 7 2 3" xfId="15253" xr:uid="{5AABB502-CF7D-48A6-8E74-0D7DC0D09683}"/>
    <cellStyle name="Normal 4 3 2 2 2 2 7 3" xfId="19476" xr:uid="{6A9969AA-1BB2-40AF-BBB6-F0E6B8B4F89B}"/>
    <cellStyle name="Normal 4 3 2 2 2 2 7 4" xfId="11035" xr:uid="{67451C77-9E57-4E3E-9C4C-11BB4DE4C7A0}"/>
    <cellStyle name="Normal 4 3 2 2 2 2 8" xfId="4746" xr:uid="{00000000-0005-0000-0000-000032140000}"/>
    <cellStyle name="Normal 4 3 2 2 2 2 8 2" xfId="21629" xr:uid="{6B29E9EE-FDA3-420F-9637-D1E22411949F}"/>
    <cellStyle name="Normal 4 3 2 2 2 2 8 3" xfId="13188" xr:uid="{D425719B-4D3E-452D-8414-F85ED0C319AA}"/>
    <cellStyle name="Normal 4 3 2 2 2 2 9" xfId="17411" xr:uid="{89D0B615-A55C-459F-BE20-7C4C805A3FE5}"/>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24189" xr:uid="{9BC89B8C-E031-468E-9CE3-54DD14072547}"/>
    <cellStyle name="Normal 4 3 2 2 2 3 2 2 2 3" xfId="15748" xr:uid="{A04E92E4-985C-4EAD-B9CE-D98F32CEB0B1}"/>
    <cellStyle name="Normal 4 3 2 2 2 3 2 2 3" xfId="19971" xr:uid="{6DCD9D49-917F-41D4-A60F-40C88D2E6542}"/>
    <cellStyle name="Normal 4 3 2 2 2 3 2 2 4" xfId="11530" xr:uid="{2CB772E9-9D16-4DCB-9D70-5568BAE10642}"/>
    <cellStyle name="Normal 4 3 2 2 2 3 2 3" xfId="5161" xr:uid="{00000000-0005-0000-0000-000037140000}"/>
    <cellStyle name="Normal 4 3 2 2 2 3 2 3 2" xfId="22044" xr:uid="{2A070EC0-E082-434D-A419-1FA1CC6E8D57}"/>
    <cellStyle name="Normal 4 3 2 2 2 3 2 3 3" xfId="13603" xr:uid="{426DBAE3-541A-414F-BEB6-1139C826E7C7}"/>
    <cellStyle name="Normal 4 3 2 2 2 3 2 4" xfId="17826" xr:uid="{DB7C3958-5748-4414-A982-ED7D0E04B432}"/>
    <cellStyle name="Normal 4 3 2 2 2 3 2 5" xfId="9385" xr:uid="{F2A9CB17-BFDF-45FA-AC4C-7E33D24290C6}"/>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24602" xr:uid="{2EE7A12E-DC17-4159-A511-298F8CE94FA9}"/>
    <cellStyle name="Normal 4 3 2 2 2 3 3 2 2 3" xfId="16161" xr:uid="{F12D8C5A-7440-4CDF-A8A1-E436425CC888}"/>
    <cellStyle name="Normal 4 3 2 2 2 3 3 2 3" xfId="20384" xr:uid="{53132B12-C448-4FE3-B314-7DE27FF90AAF}"/>
    <cellStyle name="Normal 4 3 2 2 2 3 3 2 4" xfId="11943" xr:uid="{AB3E2F4F-5D72-4BF3-B9E6-1AC57EFF4EBE}"/>
    <cellStyle name="Normal 4 3 2 2 2 3 3 3" xfId="5574" xr:uid="{00000000-0005-0000-0000-00003B140000}"/>
    <cellStyle name="Normal 4 3 2 2 2 3 3 3 2" xfId="22457" xr:uid="{55F7B74D-F228-4433-8A98-74BCCDFCEE1D}"/>
    <cellStyle name="Normal 4 3 2 2 2 3 3 3 3" xfId="14016" xr:uid="{C40B6591-B399-4F6B-9AEE-F5F033007277}"/>
    <cellStyle name="Normal 4 3 2 2 2 3 3 4" xfId="18239" xr:uid="{C64ACB5A-924F-4660-9C3F-D5F3620764E4}"/>
    <cellStyle name="Normal 4 3 2 2 2 3 3 5" xfId="9798" xr:uid="{3507FB14-4722-4D97-A63C-03C0C9A87106}"/>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25015" xr:uid="{1138792D-4FB1-4007-A8B2-28ECC312F9A9}"/>
    <cellStyle name="Normal 4 3 2 2 2 3 4 2 2 3" xfId="16574" xr:uid="{EB1B6618-BE49-4B72-A9A3-1ACAA29C1906}"/>
    <cellStyle name="Normal 4 3 2 2 2 3 4 2 3" xfId="20797" xr:uid="{0373B4FC-AFA9-4C53-8E64-8314E69821A9}"/>
    <cellStyle name="Normal 4 3 2 2 2 3 4 2 4" xfId="12356" xr:uid="{149ACC97-2930-4C50-A1C6-65CDF1FAD0C1}"/>
    <cellStyle name="Normal 4 3 2 2 2 3 4 3" xfId="5987" xr:uid="{00000000-0005-0000-0000-00003F140000}"/>
    <cellStyle name="Normal 4 3 2 2 2 3 4 3 2" xfId="22870" xr:uid="{EB02CFB4-0986-4D0F-9409-DC18CEA6828A}"/>
    <cellStyle name="Normal 4 3 2 2 2 3 4 3 3" xfId="14429" xr:uid="{0B941CD1-4B59-4CA7-AF07-03180141EDB2}"/>
    <cellStyle name="Normal 4 3 2 2 2 3 4 4" xfId="18652" xr:uid="{CDE74895-F230-4EA9-903C-8821C2FB75D8}"/>
    <cellStyle name="Normal 4 3 2 2 2 3 4 5" xfId="10211" xr:uid="{AFBDFE0F-DAC3-4782-A91C-A3649D3C96BF}"/>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25428" xr:uid="{0E8023A6-7C81-4698-BAED-773B5FE56CEB}"/>
    <cellStyle name="Normal 4 3 2 2 2 3 5 2 2 3" xfId="16987" xr:uid="{D9F69061-A9FC-49F7-846E-999EA8E3E045}"/>
    <cellStyle name="Normal 4 3 2 2 2 3 5 2 3" xfId="21210" xr:uid="{CEA51367-B02A-4A68-9707-926B4BCE369E}"/>
    <cellStyle name="Normal 4 3 2 2 2 3 5 2 4" xfId="12769" xr:uid="{B9FC2EA1-75DE-4E5B-ABDA-724AE02AA719}"/>
    <cellStyle name="Normal 4 3 2 2 2 3 5 3" xfId="6400" xr:uid="{00000000-0005-0000-0000-000043140000}"/>
    <cellStyle name="Normal 4 3 2 2 2 3 5 3 2" xfId="23283" xr:uid="{A6EACE8C-3537-466F-935F-2C941F280985}"/>
    <cellStyle name="Normal 4 3 2 2 2 3 5 3 3" xfId="14842" xr:uid="{085E897E-09D4-4131-991C-A710C0009488}"/>
    <cellStyle name="Normal 4 3 2 2 2 3 5 4" xfId="19065" xr:uid="{C51355A2-E006-433F-B4FB-4AC02020C156}"/>
    <cellStyle name="Normal 4 3 2 2 2 3 5 5" xfId="10624" xr:uid="{B80CA549-2DAD-404A-83CF-54CDE97161D5}"/>
    <cellStyle name="Normal 4 3 2 2 2 3 6" xfId="2529" xr:uid="{00000000-0005-0000-0000-000044140000}"/>
    <cellStyle name="Normal 4 3 2 2 2 3 6 2" xfId="6813" xr:uid="{00000000-0005-0000-0000-000045140000}"/>
    <cellStyle name="Normal 4 3 2 2 2 3 6 2 2" xfId="23696" xr:uid="{B548B675-6A4E-455D-95A0-7F27E5DE2EDB}"/>
    <cellStyle name="Normal 4 3 2 2 2 3 6 2 3" xfId="15255" xr:uid="{D9FA201E-0D16-4262-955F-1FF54431879B}"/>
    <cellStyle name="Normal 4 3 2 2 2 3 6 3" xfId="19478" xr:uid="{3E88C04F-D2B7-4BD3-B3AE-A0CDEEFA3E1A}"/>
    <cellStyle name="Normal 4 3 2 2 2 3 6 4" xfId="11037" xr:uid="{C7562CD7-81B4-438D-9165-BB365957391B}"/>
    <cellStyle name="Normal 4 3 2 2 2 3 7" xfId="4748" xr:uid="{00000000-0005-0000-0000-000046140000}"/>
    <cellStyle name="Normal 4 3 2 2 2 3 7 2" xfId="21631" xr:uid="{A8A75E94-F912-4981-A48A-293293AD7374}"/>
    <cellStyle name="Normal 4 3 2 2 2 3 7 3" xfId="13190" xr:uid="{60B00F0A-95CF-4EF1-A661-DE7089E1EF64}"/>
    <cellStyle name="Normal 4 3 2 2 2 3 8" xfId="17413" xr:uid="{FE9A106F-3BB3-47AA-996F-12D028CFF192}"/>
    <cellStyle name="Normal 4 3 2 2 2 3 9" xfId="8972" xr:uid="{4EF93790-4CE5-4F31-9498-E88D046A042D}"/>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24186" xr:uid="{84D1A329-28C8-4E0B-A7E4-4CDF36F1FFF5}"/>
    <cellStyle name="Normal 4 3 2 2 2 4 2 2 3" xfId="15745" xr:uid="{7455449B-8704-41C4-8B6F-3858DF5234FB}"/>
    <cellStyle name="Normal 4 3 2 2 2 4 2 3" xfId="19968" xr:uid="{68519A80-B9BB-4F47-A1C5-5EE1ACA6796C}"/>
    <cellStyle name="Normal 4 3 2 2 2 4 2 4" xfId="11527" xr:uid="{28B6C778-9DD8-4308-88C3-803357444E07}"/>
    <cellStyle name="Normal 4 3 2 2 2 4 3" xfId="5158" xr:uid="{00000000-0005-0000-0000-00004A140000}"/>
    <cellStyle name="Normal 4 3 2 2 2 4 3 2" xfId="22041" xr:uid="{9FD59305-91F2-4C28-8310-867E02A6D583}"/>
    <cellStyle name="Normal 4 3 2 2 2 4 3 3" xfId="13600" xr:uid="{1DB9557F-8FF3-4B45-BCFE-28C75E529BAA}"/>
    <cellStyle name="Normal 4 3 2 2 2 4 4" xfId="17823" xr:uid="{27D380CB-664E-412B-B51C-C41389EF0E48}"/>
    <cellStyle name="Normal 4 3 2 2 2 4 5" xfId="9382" xr:uid="{BA767C2F-686C-43CF-959A-37715B2FE21C}"/>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24599" xr:uid="{7706D5DE-11CA-4E98-B7EE-D941DBE27884}"/>
    <cellStyle name="Normal 4 3 2 2 2 5 2 2 3" xfId="16158" xr:uid="{6A42081E-254A-4D56-BB94-F25FF3005F8A}"/>
    <cellStyle name="Normal 4 3 2 2 2 5 2 3" xfId="20381" xr:uid="{A22E7055-2F7F-4C1C-B434-A1B710B3F224}"/>
    <cellStyle name="Normal 4 3 2 2 2 5 2 4" xfId="11940" xr:uid="{829295B0-85B6-4647-86B2-BAF0A514AB62}"/>
    <cellStyle name="Normal 4 3 2 2 2 5 3" xfId="5571" xr:uid="{00000000-0005-0000-0000-00004E140000}"/>
    <cellStyle name="Normal 4 3 2 2 2 5 3 2" xfId="22454" xr:uid="{569C7CA9-0BD2-4D24-A83A-58DF28D10394}"/>
    <cellStyle name="Normal 4 3 2 2 2 5 3 3" xfId="14013" xr:uid="{C34C7A0A-425D-47F2-9932-890E6358458B}"/>
    <cellStyle name="Normal 4 3 2 2 2 5 4" xfId="18236" xr:uid="{C6EADF6F-1E1D-4C8D-A2E8-B60639568664}"/>
    <cellStyle name="Normal 4 3 2 2 2 5 5" xfId="9795" xr:uid="{09F70B25-4778-4673-AFC8-C0C83ADFD51E}"/>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25012" xr:uid="{263B3D3C-BF8A-4482-A0D9-51CE37091D92}"/>
    <cellStyle name="Normal 4 3 2 2 2 6 2 2 3" xfId="16571" xr:uid="{D4285128-6A15-4EE2-A7E8-4B0E3A166061}"/>
    <cellStyle name="Normal 4 3 2 2 2 6 2 3" xfId="20794" xr:uid="{250F12D1-ACFB-4822-B851-0B8B7BD4D1AF}"/>
    <cellStyle name="Normal 4 3 2 2 2 6 2 4" xfId="12353" xr:uid="{A2889264-390B-48E1-85A2-134DC93B1B5E}"/>
    <cellStyle name="Normal 4 3 2 2 2 6 3" xfId="5984" xr:uid="{00000000-0005-0000-0000-000052140000}"/>
    <cellStyle name="Normal 4 3 2 2 2 6 3 2" xfId="22867" xr:uid="{591CA2B8-ED5D-484C-B877-BF8CABDCE690}"/>
    <cellStyle name="Normal 4 3 2 2 2 6 3 3" xfId="14426" xr:uid="{116625DF-64CE-40CC-8F1E-1A4B76B3DC8F}"/>
    <cellStyle name="Normal 4 3 2 2 2 6 4" xfId="18649" xr:uid="{26F8A9BF-DF06-4D81-AEBC-5167698AA575}"/>
    <cellStyle name="Normal 4 3 2 2 2 6 5" xfId="10208" xr:uid="{0A975ED6-8B4E-4BD6-AEA0-653258056C87}"/>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25425" xr:uid="{A7F9EFE6-F3AA-44DC-B2C0-8EE68F19CD37}"/>
    <cellStyle name="Normal 4 3 2 2 2 7 2 2 3" xfId="16984" xr:uid="{3F95F27D-A292-4891-BFBD-3F3733FD8311}"/>
    <cellStyle name="Normal 4 3 2 2 2 7 2 3" xfId="21207" xr:uid="{4209AF75-5D9D-4DEC-AC5B-7D5558612AB6}"/>
    <cellStyle name="Normal 4 3 2 2 2 7 2 4" xfId="12766" xr:uid="{4EB058B2-8D03-4F65-8468-63907E20178D}"/>
    <cellStyle name="Normal 4 3 2 2 2 7 3" xfId="6397" xr:uid="{00000000-0005-0000-0000-000056140000}"/>
    <cellStyle name="Normal 4 3 2 2 2 7 3 2" xfId="23280" xr:uid="{4CDD2D34-8DFE-4FD4-8831-52F21054237B}"/>
    <cellStyle name="Normal 4 3 2 2 2 7 3 3" xfId="14839" xr:uid="{381FACB1-55F2-4AC0-9A68-B611EB2E47C0}"/>
    <cellStyle name="Normal 4 3 2 2 2 7 4" xfId="19062" xr:uid="{BC84A146-3B3F-4745-BB5C-CCF05DE87BD9}"/>
    <cellStyle name="Normal 4 3 2 2 2 7 5" xfId="10621" xr:uid="{9E76D98F-615C-459E-9293-8C779B66D341}"/>
    <cellStyle name="Normal 4 3 2 2 2 8" xfId="2526" xr:uid="{00000000-0005-0000-0000-000057140000}"/>
    <cellStyle name="Normal 4 3 2 2 2 8 2" xfId="6810" xr:uid="{00000000-0005-0000-0000-000058140000}"/>
    <cellStyle name="Normal 4 3 2 2 2 8 2 2" xfId="23693" xr:uid="{565B486C-BC2A-4E9D-B534-9E3C44FA49DF}"/>
    <cellStyle name="Normal 4 3 2 2 2 8 2 3" xfId="15252" xr:uid="{E9913AC3-4A7C-42E2-A8E7-E528C854BBB6}"/>
    <cellStyle name="Normal 4 3 2 2 2 8 3" xfId="19475" xr:uid="{D6782DAE-0ACE-4B59-9EBB-2714CAD74F8B}"/>
    <cellStyle name="Normal 4 3 2 2 2 8 4" xfId="11034" xr:uid="{319C3B38-FC50-4E38-A7A5-978114C92EC1}"/>
    <cellStyle name="Normal 4 3 2 2 2 9" xfId="4745" xr:uid="{00000000-0005-0000-0000-000059140000}"/>
    <cellStyle name="Normal 4 3 2 2 2 9 2" xfId="21628" xr:uid="{F582FAE7-D8FF-428E-827E-7A2D4345F6FD}"/>
    <cellStyle name="Normal 4 3 2 2 2 9 3" xfId="13187" xr:uid="{C134E117-D9AD-4ED6-8475-07DBC92D14D4}"/>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17414" xr:uid="{AF8655CB-A60A-44FC-9D49-91EEF002F1C2}"/>
    <cellStyle name="Normal 4 3 3 11" xfId="8973" xr:uid="{060DA80F-28A1-4C66-89E9-53BDA1FA3AAA}"/>
    <cellStyle name="Normal 4 3 3 2" xfId="375" xr:uid="{00000000-0005-0000-0000-00005E140000}"/>
    <cellStyle name="Normal 4 3 3 2 10" xfId="8974" xr:uid="{7BAD6A96-64E5-4062-9758-C0C77CF0EAD2}"/>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24192" xr:uid="{AC462791-447D-4AEB-912F-A3509D5AC339}"/>
    <cellStyle name="Normal 4 3 3 2 2 2 2 2 3" xfId="15751" xr:uid="{020C5E70-9396-46D0-8BA1-EEB3497AEC26}"/>
    <cellStyle name="Normal 4 3 3 2 2 2 2 3" xfId="19974" xr:uid="{B2ED3182-CFAC-4E3C-B7A2-2D7CA78E6CFF}"/>
    <cellStyle name="Normal 4 3 3 2 2 2 2 4" xfId="11533" xr:uid="{ABA3E3CA-58D9-40FB-8822-6D853CBE7B89}"/>
    <cellStyle name="Normal 4 3 3 2 2 2 3" xfId="5164" xr:uid="{00000000-0005-0000-0000-000063140000}"/>
    <cellStyle name="Normal 4 3 3 2 2 2 3 2" xfId="22047" xr:uid="{F9500FAF-EC4C-4861-AC07-40B973F138AD}"/>
    <cellStyle name="Normal 4 3 3 2 2 2 3 3" xfId="13606" xr:uid="{AB717333-6CA7-424D-B900-EEF8A2CDB98C}"/>
    <cellStyle name="Normal 4 3 3 2 2 2 4" xfId="17829" xr:uid="{396F377D-239A-466E-9DC5-96F0B17A13DE}"/>
    <cellStyle name="Normal 4 3 3 2 2 2 5" xfId="9388" xr:uid="{99F01E71-6B94-45CF-8D95-F0B48E6F6FA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24605" xr:uid="{3A422FB9-4A08-435F-A83A-4C5C851A4FE9}"/>
    <cellStyle name="Normal 4 3 3 2 2 3 2 2 3" xfId="16164" xr:uid="{6C3811E5-D1AF-488C-91AB-0EB7528CCE09}"/>
    <cellStyle name="Normal 4 3 3 2 2 3 2 3" xfId="20387" xr:uid="{BFC79575-8BAC-4F6C-86FC-AF90CE40FB0A}"/>
    <cellStyle name="Normal 4 3 3 2 2 3 2 4" xfId="11946" xr:uid="{9C1AAEA0-D82A-4943-8FDC-AC7AF7B2797B}"/>
    <cellStyle name="Normal 4 3 3 2 2 3 3" xfId="5577" xr:uid="{00000000-0005-0000-0000-000067140000}"/>
    <cellStyle name="Normal 4 3 3 2 2 3 3 2" xfId="22460" xr:uid="{4CC69B65-899F-4355-850A-3A21EE5CB8CD}"/>
    <cellStyle name="Normal 4 3 3 2 2 3 3 3" xfId="14019" xr:uid="{3205E238-8ED8-4CFF-B653-CA069B4C5997}"/>
    <cellStyle name="Normal 4 3 3 2 2 3 4" xfId="18242" xr:uid="{697DE719-C7C9-40EE-9737-8DCFED9789D7}"/>
    <cellStyle name="Normal 4 3 3 2 2 3 5" xfId="9801" xr:uid="{0C2CF300-1C22-4BAE-9FB2-B4AE64222D3F}"/>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25018" xr:uid="{63B65B58-E2D5-4F66-B3C2-60C0119560FD}"/>
    <cellStyle name="Normal 4 3 3 2 2 4 2 2 3" xfId="16577" xr:uid="{06BABE23-2EA1-4669-BBE1-91C1E529D7A8}"/>
    <cellStyle name="Normal 4 3 3 2 2 4 2 3" xfId="20800" xr:uid="{89170A15-A775-402B-AA3E-AD65A30BE535}"/>
    <cellStyle name="Normal 4 3 3 2 2 4 2 4" xfId="12359" xr:uid="{3B5DFD42-0236-4747-9B61-4D16C9F1C748}"/>
    <cellStyle name="Normal 4 3 3 2 2 4 3" xfId="5990" xr:uid="{00000000-0005-0000-0000-00006B140000}"/>
    <cellStyle name="Normal 4 3 3 2 2 4 3 2" xfId="22873" xr:uid="{7DA9F892-28A3-4328-A2DF-65C86C580C19}"/>
    <cellStyle name="Normal 4 3 3 2 2 4 3 3" xfId="14432" xr:uid="{AA98B030-3000-4633-A34C-C6C75A9CFC69}"/>
    <cellStyle name="Normal 4 3 3 2 2 4 4" xfId="18655" xr:uid="{5EEBE0C5-DCF3-4714-8330-40AEF402B7FA}"/>
    <cellStyle name="Normal 4 3 3 2 2 4 5" xfId="10214" xr:uid="{86BE8290-BE80-4CE2-8CAB-1FD421CCB773}"/>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25431" xr:uid="{C2748623-862E-4F23-AFE3-B2DD5B78E4C8}"/>
    <cellStyle name="Normal 4 3 3 2 2 5 2 2 3" xfId="16990" xr:uid="{7693C4E8-622B-4B55-9B97-EE3FC0D2A1F6}"/>
    <cellStyle name="Normal 4 3 3 2 2 5 2 3" xfId="21213" xr:uid="{9D025F8E-4083-469E-B2B0-EC926DFA229A}"/>
    <cellStyle name="Normal 4 3 3 2 2 5 2 4" xfId="12772" xr:uid="{91D5EA51-799C-4B34-97F6-7EFC2982A200}"/>
    <cellStyle name="Normal 4 3 3 2 2 5 3" xfId="6403" xr:uid="{00000000-0005-0000-0000-00006F140000}"/>
    <cellStyle name="Normal 4 3 3 2 2 5 3 2" xfId="23286" xr:uid="{2B6CF7B8-2009-45C4-A32E-D30DD54A6C36}"/>
    <cellStyle name="Normal 4 3 3 2 2 5 3 3" xfId="14845" xr:uid="{E2B48541-A21C-489B-8C90-AB475FA88E04}"/>
    <cellStyle name="Normal 4 3 3 2 2 5 4" xfId="19068" xr:uid="{8833542C-8D1C-4FD4-AD3D-D42D8743DB1F}"/>
    <cellStyle name="Normal 4 3 3 2 2 5 5" xfId="10627" xr:uid="{FF6C6BBE-07A4-4634-9B46-555F8F618D18}"/>
    <cellStyle name="Normal 4 3 3 2 2 6" xfId="2532" xr:uid="{00000000-0005-0000-0000-000070140000}"/>
    <cellStyle name="Normal 4 3 3 2 2 6 2" xfId="6816" xr:uid="{00000000-0005-0000-0000-000071140000}"/>
    <cellStyle name="Normal 4 3 3 2 2 6 2 2" xfId="23699" xr:uid="{DB87669D-CE1A-4CE7-91E0-7FD7376085F9}"/>
    <cellStyle name="Normal 4 3 3 2 2 6 2 3" xfId="15258" xr:uid="{C28BF402-5A4C-4D76-8015-C2393BBDB2F1}"/>
    <cellStyle name="Normal 4 3 3 2 2 6 3" xfId="19481" xr:uid="{32CAAE81-678C-4916-890C-0C7EB3033E45}"/>
    <cellStyle name="Normal 4 3 3 2 2 6 4" xfId="11040" xr:uid="{4B468C2E-BAFE-4BD1-AB9D-5D2384BA2B58}"/>
    <cellStyle name="Normal 4 3 3 2 2 7" xfId="4751" xr:uid="{00000000-0005-0000-0000-000072140000}"/>
    <cellStyle name="Normal 4 3 3 2 2 7 2" xfId="21634" xr:uid="{DA96B82A-D43E-4E2A-B35D-AF871580F035}"/>
    <cellStyle name="Normal 4 3 3 2 2 7 3" xfId="13193" xr:uid="{EC81E5C2-758E-4FBA-BDA5-F3A766810709}"/>
    <cellStyle name="Normal 4 3 3 2 2 8" xfId="17416" xr:uid="{CD0F07BC-8FDA-462E-B698-31C0DBD7F525}"/>
    <cellStyle name="Normal 4 3 3 2 2 9" xfId="8975" xr:uid="{4886748B-46A9-4FCB-8140-AB985B339D2F}"/>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24191" xr:uid="{FCAF36E9-3B69-42F2-AE1B-3E8E608AEC26}"/>
    <cellStyle name="Normal 4 3 3 2 3 2 2 3" xfId="15750" xr:uid="{D66EDBDA-0EEA-4DC3-B5E2-C596D0B6C3B6}"/>
    <cellStyle name="Normal 4 3 3 2 3 2 3" xfId="19973" xr:uid="{37265B35-4D08-4780-BC8D-D59B5CAB3AD4}"/>
    <cellStyle name="Normal 4 3 3 2 3 2 4" xfId="11532" xr:uid="{A3B6397D-64D2-4FED-9C71-967E945D2E89}"/>
    <cellStyle name="Normal 4 3 3 2 3 3" xfId="5163" xr:uid="{00000000-0005-0000-0000-000076140000}"/>
    <cellStyle name="Normal 4 3 3 2 3 3 2" xfId="22046" xr:uid="{7338AB7D-6057-40A5-9CFC-B47904DC9BE5}"/>
    <cellStyle name="Normal 4 3 3 2 3 3 3" xfId="13605" xr:uid="{13AF7852-4913-4D43-863A-1BB5B6D94482}"/>
    <cellStyle name="Normal 4 3 3 2 3 4" xfId="17828" xr:uid="{AED39451-2F5A-4558-90AE-6F6661856925}"/>
    <cellStyle name="Normal 4 3 3 2 3 5" xfId="9387" xr:uid="{04B4B02A-3848-42C8-B96A-AF93EF148269}"/>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24604" xr:uid="{8B5E3123-D3B6-4621-8778-99EF29F4E10A}"/>
    <cellStyle name="Normal 4 3 3 2 4 2 2 3" xfId="16163" xr:uid="{7B0BA3B5-B973-42DE-AD9D-0E72677A19E3}"/>
    <cellStyle name="Normal 4 3 3 2 4 2 3" xfId="20386" xr:uid="{96F69154-7186-4789-A916-317DF63B04F6}"/>
    <cellStyle name="Normal 4 3 3 2 4 2 4" xfId="11945" xr:uid="{E855DF37-2486-47C1-A09F-0FC211D97249}"/>
    <cellStyle name="Normal 4 3 3 2 4 3" xfId="5576" xr:uid="{00000000-0005-0000-0000-00007A140000}"/>
    <cellStyle name="Normal 4 3 3 2 4 3 2" xfId="22459" xr:uid="{251EED5F-D8C7-4A90-8217-C28E5B6665B6}"/>
    <cellStyle name="Normal 4 3 3 2 4 3 3" xfId="14018" xr:uid="{D5C3E8F2-ECCA-43D0-AD4A-8B5B1AAB8C1F}"/>
    <cellStyle name="Normal 4 3 3 2 4 4" xfId="18241" xr:uid="{578B6B2E-E9C5-4723-B95A-3512F105B3BD}"/>
    <cellStyle name="Normal 4 3 3 2 4 5" xfId="9800" xr:uid="{37BFEAB6-2844-49C5-9FFA-492C63D0688F}"/>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25017" xr:uid="{57DE8D0B-83A8-4F6B-9657-6AB010DBB23C}"/>
    <cellStyle name="Normal 4 3 3 2 5 2 2 3" xfId="16576" xr:uid="{3D44CC93-26EC-419E-9E5A-E6FDF370C167}"/>
    <cellStyle name="Normal 4 3 3 2 5 2 3" xfId="20799" xr:uid="{776910B0-613E-40B3-8473-84407277F0C4}"/>
    <cellStyle name="Normal 4 3 3 2 5 2 4" xfId="12358" xr:uid="{F60B59C5-931C-4AA2-AA4B-F79A50D44B18}"/>
    <cellStyle name="Normal 4 3 3 2 5 3" xfId="5989" xr:uid="{00000000-0005-0000-0000-00007E140000}"/>
    <cellStyle name="Normal 4 3 3 2 5 3 2" xfId="22872" xr:uid="{48F36F08-0AC2-4762-943E-BA7FCF6C95F7}"/>
    <cellStyle name="Normal 4 3 3 2 5 3 3" xfId="14431" xr:uid="{BA7E744A-6D91-416E-9F03-52830FF7DCAB}"/>
    <cellStyle name="Normal 4 3 3 2 5 4" xfId="18654" xr:uid="{2540EC74-45D3-4E95-8538-6DC661947C32}"/>
    <cellStyle name="Normal 4 3 3 2 5 5" xfId="10213" xr:uid="{8D269C3F-DBF8-48C2-BCEC-4FC6F04F9D37}"/>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25430" xr:uid="{F504DBB5-5F3E-4891-A164-D2143CA1C452}"/>
    <cellStyle name="Normal 4 3 3 2 6 2 2 3" xfId="16989" xr:uid="{29D16A45-1862-47FC-886F-FFEBDCE542B7}"/>
    <cellStyle name="Normal 4 3 3 2 6 2 3" xfId="21212" xr:uid="{FAB366DF-FBD3-485E-A921-28B51D9C2584}"/>
    <cellStyle name="Normal 4 3 3 2 6 2 4" xfId="12771" xr:uid="{F2F8CAC7-C931-438E-9A4D-482EAEAA53C2}"/>
    <cellStyle name="Normal 4 3 3 2 6 3" xfId="6402" xr:uid="{00000000-0005-0000-0000-000082140000}"/>
    <cellStyle name="Normal 4 3 3 2 6 3 2" xfId="23285" xr:uid="{AD9A91D4-16A5-4204-B5AB-048A0BB16911}"/>
    <cellStyle name="Normal 4 3 3 2 6 3 3" xfId="14844" xr:uid="{9E9814AB-007F-4E1A-9396-8396A66BE152}"/>
    <cellStyle name="Normal 4 3 3 2 6 4" xfId="19067" xr:uid="{41BEF76D-E027-452D-988F-691410C1335C}"/>
    <cellStyle name="Normal 4 3 3 2 6 5" xfId="10626" xr:uid="{B1DE0912-3FCA-419E-A496-C4FA861B6160}"/>
    <cellStyle name="Normal 4 3 3 2 7" xfId="2531" xr:uid="{00000000-0005-0000-0000-000083140000}"/>
    <cellStyle name="Normal 4 3 3 2 7 2" xfId="6815" xr:uid="{00000000-0005-0000-0000-000084140000}"/>
    <cellStyle name="Normal 4 3 3 2 7 2 2" xfId="23698" xr:uid="{20193281-61F0-4A6D-9886-B4449A2D3980}"/>
    <cellStyle name="Normal 4 3 3 2 7 2 3" xfId="15257" xr:uid="{93DDBF8E-1F3D-4B09-A0D3-EB3ABA4C08CA}"/>
    <cellStyle name="Normal 4 3 3 2 7 3" xfId="19480" xr:uid="{560DD08C-6F5E-4541-8490-438252F57BFB}"/>
    <cellStyle name="Normal 4 3 3 2 7 4" xfId="11039" xr:uid="{471A6B20-A6D8-474F-9F1E-E9E5110A73FA}"/>
    <cellStyle name="Normal 4 3 3 2 8" xfId="4750" xr:uid="{00000000-0005-0000-0000-000085140000}"/>
    <cellStyle name="Normal 4 3 3 2 8 2" xfId="21633" xr:uid="{0885A453-59ED-407D-857B-AA0587E517CD}"/>
    <cellStyle name="Normal 4 3 3 2 8 3" xfId="13192" xr:uid="{F064CC26-AD2E-433D-B57C-5CFA6F5F98BE}"/>
    <cellStyle name="Normal 4 3 3 2 9" xfId="17415" xr:uid="{A28A22A9-9375-4191-A513-F1D8770BF10B}"/>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24193" xr:uid="{5F5FC3A9-3F13-4530-877B-23B1F7459242}"/>
    <cellStyle name="Normal 4 3 3 3 2 2 2 3" xfId="15752" xr:uid="{5E951ECD-D9A7-4C54-AAD4-6E39F976C229}"/>
    <cellStyle name="Normal 4 3 3 3 2 2 3" xfId="19975" xr:uid="{DE5AAB60-1C1C-4D70-99BC-2CD366956DA9}"/>
    <cellStyle name="Normal 4 3 3 3 2 2 4" xfId="11534" xr:uid="{408C0529-C069-4CEB-A23E-54622FE53BD3}"/>
    <cellStyle name="Normal 4 3 3 3 2 3" xfId="5165" xr:uid="{00000000-0005-0000-0000-00008A140000}"/>
    <cellStyle name="Normal 4 3 3 3 2 3 2" xfId="22048" xr:uid="{F9F4CAAB-3608-4958-8822-F2748B93DF33}"/>
    <cellStyle name="Normal 4 3 3 3 2 3 3" xfId="13607" xr:uid="{F016578D-4526-403F-B4A7-871321B034CD}"/>
    <cellStyle name="Normal 4 3 3 3 2 4" xfId="17830" xr:uid="{D225FEBC-19AE-4A9C-A507-8EFC6C54D7CA}"/>
    <cellStyle name="Normal 4 3 3 3 2 5" xfId="9389" xr:uid="{DE2D1682-86C8-407B-90C1-3D16D4410BE3}"/>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24606" xr:uid="{AC4C2639-0BB4-4A7B-AB96-00203420362E}"/>
    <cellStyle name="Normal 4 3 3 3 3 2 2 3" xfId="16165" xr:uid="{67195EEA-EC9C-42F5-9F55-322FD395B808}"/>
    <cellStyle name="Normal 4 3 3 3 3 2 3" xfId="20388" xr:uid="{2FCE1DA4-69C4-49B8-B956-1CEAA0DED6F5}"/>
    <cellStyle name="Normal 4 3 3 3 3 2 4" xfId="11947" xr:uid="{41550F08-CFCF-425B-9825-AD0B200B55F0}"/>
    <cellStyle name="Normal 4 3 3 3 3 3" xfId="5578" xr:uid="{00000000-0005-0000-0000-00008E140000}"/>
    <cellStyle name="Normal 4 3 3 3 3 3 2" xfId="22461" xr:uid="{DDA0C236-5504-48A2-A296-34614D00101F}"/>
    <cellStyle name="Normal 4 3 3 3 3 3 3" xfId="14020" xr:uid="{F5FBA19E-A97F-46B8-AE09-2AC5F4565147}"/>
    <cellStyle name="Normal 4 3 3 3 3 4" xfId="18243" xr:uid="{22F922D0-E6EB-433E-AB83-FB4C4124B66E}"/>
    <cellStyle name="Normal 4 3 3 3 3 5" xfId="9802" xr:uid="{A225DB40-938D-4177-9988-6D901FD4AC08}"/>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25019" xr:uid="{ED18E9D5-37FC-4A7E-8398-002E669AF440}"/>
    <cellStyle name="Normal 4 3 3 3 4 2 2 3" xfId="16578" xr:uid="{79F1C3D4-7492-4600-8673-D3817C1DDC91}"/>
    <cellStyle name="Normal 4 3 3 3 4 2 3" xfId="20801" xr:uid="{219744A0-5B2F-47B7-B147-25EED7B8440D}"/>
    <cellStyle name="Normal 4 3 3 3 4 2 4" xfId="12360" xr:uid="{2E9D7558-535E-4603-87CB-64ED6DAC735E}"/>
    <cellStyle name="Normal 4 3 3 3 4 3" xfId="5991" xr:uid="{00000000-0005-0000-0000-000092140000}"/>
    <cellStyle name="Normal 4 3 3 3 4 3 2" xfId="22874" xr:uid="{6D22527E-A4EF-49F5-B87B-13F6D4B1C143}"/>
    <cellStyle name="Normal 4 3 3 3 4 3 3" xfId="14433" xr:uid="{D461FEF7-CD3F-46E6-9563-481F5E138C7F}"/>
    <cellStyle name="Normal 4 3 3 3 4 4" xfId="18656" xr:uid="{799DA352-A867-42B2-8D52-2FCC0DED043E}"/>
    <cellStyle name="Normal 4 3 3 3 4 5" xfId="10215" xr:uid="{D33254B8-4FA3-4E8C-86CF-1EB9DC0A4718}"/>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25432" xr:uid="{460955D3-F424-430C-B05C-ABACED0C87A1}"/>
    <cellStyle name="Normal 4 3 3 3 5 2 2 3" xfId="16991" xr:uid="{E47B7A60-B3CC-4E36-A2DA-1ECF91930BDE}"/>
    <cellStyle name="Normal 4 3 3 3 5 2 3" xfId="21214" xr:uid="{6344F734-314F-4638-9191-68296CD5C941}"/>
    <cellStyle name="Normal 4 3 3 3 5 2 4" xfId="12773" xr:uid="{DC1C8018-C490-46EC-817F-20CE64896339}"/>
    <cellStyle name="Normal 4 3 3 3 5 3" xfId="6404" xr:uid="{00000000-0005-0000-0000-000096140000}"/>
    <cellStyle name="Normal 4 3 3 3 5 3 2" xfId="23287" xr:uid="{0E903BB1-EEF3-494B-8605-E15C7DC503D1}"/>
    <cellStyle name="Normal 4 3 3 3 5 3 3" xfId="14846" xr:uid="{880578DE-75B9-439B-BEFC-FD74D481D30B}"/>
    <cellStyle name="Normal 4 3 3 3 5 4" xfId="19069" xr:uid="{C6F2495F-15E5-475B-97C7-BE149A547199}"/>
    <cellStyle name="Normal 4 3 3 3 5 5" xfId="10628" xr:uid="{C2B6B423-23D9-4D1E-93ED-ED3BD33D7BC8}"/>
    <cellStyle name="Normal 4 3 3 3 6" xfId="2533" xr:uid="{00000000-0005-0000-0000-000097140000}"/>
    <cellStyle name="Normal 4 3 3 3 6 2" xfId="6817" xr:uid="{00000000-0005-0000-0000-000098140000}"/>
    <cellStyle name="Normal 4 3 3 3 6 2 2" xfId="23700" xr:uid="{92B9A782-3870-49E4-B108-6B333C77DC25}"/>
    <cellStyle name="Normal 4 3 3 3 6 2 3" xfId="15259" xr:uid="{CA720479-A895-47EB-98F8-536D5FF9A63F}"/>
    <cellStyle name="Normal 4 3 3 3 6 3" xfId="19482" xr:uid="{5D4C6AE2-C5DE-4FDB-8B03-622453F8045A}"/>
    <cellStyle name="Normal 4 3 3 3 6 4" xfId="11041" xr:uid="{210734BD-23E7-43A5-9CAB-7206172FF5D7}"/>
    <cellStyle name="Normal 4 3 3 3 7" xfId="4752" xr:uid="{00000000-0005-0000-0000-000099140000}"/>
    <cellStyle name="Normal 4 3 3 3 7 2" xfId="21635" xr:uid="{5DD634AC-A500-444E-9D66-C554B79F7959}"/>
    <cellStyle name="Normal 4 3 3 3 7 3" xfId="13194" xr:uid="{83BC1361-B2CA-4F28-AF63-8C8BDCD73D76}"/>
    <cellStyle name="Normal 4 3 3 3 8" xfId="17417" xr:uid="{ED308972-E010-4130-B1A7-59E9E9008BFD}"/>
    <cellStyle name="Normal 4 3 3 3 9" xfId="8976" xr:uid="{162B0746-329C-40E0-9F59-D4FF4DFFDF0F}"/>
    <cellStyle name="Normal 4 3 3 4" xfId="849" xr:uid="{00000000-0005-0000-0000-00009A140000}"/>
    <cellStyle name="Normal 4 3 3 4 2" xfId="3084" xr:uid="{00000000-0005-0000-0000-00009B140000}"/>
    <cellStyle name="Normal 4 3 3 4 2 2" xfId="7307" xr:uid="{00000000-0005-0000-0000-00009C140000}"/>
    <cellStyle name="Normal 4 3 3 4 2 2 2" xfId="24190" xr:uid="{56589030-A52D-4859-8C74-1601C2F2737F}"/>
    <cellStyle name="Normal 4 3 3 4 2 2 3" xfId="15749" xr:uid="{14BB00E6-E173-4750-8D54-F146048FD9B4}"/>
    <cellStyle name="Normal 4 3 3 4 2 3" xfId="19972" xr:uid="{E2BC461C-6A4B-4531-9FC8-91F13DD485F6}"/>
    <cellStyle name="Normal 4 3 3 4 2 4" xfId="11531" xr:uid="{25AE32EF-7FE1-452D-937A-D981AA8ACEFF}"/>
    <cellStyle name="Normal 4 3 3 4 3" xfId="5162" xr:uid="{00000000-0005-0000-0000-00009D140000}"/>
    <cellStyle name="Normal 4 3 3 4 3 2" xfId="22045" xr:uid="{0EAE4235-FE1C-4AD2-81C7-60CA0FD99E40}"/>
    <cellStyle name="Normal 4 3 3 4 3 3" xfId="13604" xr:uid="{CCE20DE4-F421-4FD0-9748-9F4CDAF7C111}"/>
    <cellStyle name="Normal 4 3 3 4 4" xfId="17827" xr:uid="{BEF8EDC4-6A93-4C79-B711-5ECE77FF97AC}"/>
    <cellStyle name="Normal 4 3 3 4 5" xfId="9386" xr:uid="{5E3B73A5-9C61-40AA-9C2E-D693245631BD}"/>
    <cellStyle name="Normal 4 3 3 5" xfId="1267" xr:uid="{00000000-0005-0000-0000-00009E140000}"/>
    <cellStyle name="Normal 4 3 3 5 2" xfId="3497" xr:uid="{00000000-0005-0000-0000-00009F140000}"/>
    <cellStyle name="Normal 4 3 3 5 2 2" xfId="7720" xr:uid="{00000000-0005-0000-0000-0000A0140000}"/>
    <cellStyle name="Normal 4 3 3 5 2 2 2" xfId="24603" xr:uid="{0FBE02E4-FF0E-4CBF-8A7F-125686814593}"/>
    <cellStyle name="Normal 4 3 3 5 2 2 3" xfId="16162" xr:uid="{3AC91C45-2772-4251-A26C-06EC570ACFDA}"/>
    <cellStyle name="Normal 4 3 3 5 2 3" xfId="20385" xr:uid="{E3B96558-BE26-4768-8FAD-934867206C6F}"/>
    <cellStyle name="Normal 4 3 3 5 2 4" xfId="11944" xr:uid="{A0C3797E-173A-42B6-A99C-B998C1A02E7C}"/>
    <cellStyle name="Normal 4 3 3 5 3" xfId="5575" xr:uid="{00000000-0005-0000-0000-0000A1140000}"/>
    <cellStyle name="Normal 4 3 3 5 3 2" xfId="22458" xr:uid="{916F214D-9298-4327-8C23-3D588680BE27}"/>
    <cellStyle name="Normal 4 3 3 5 3 3" xfId="14017" xr:uid="{D610552A-0F76-4231-9E41-887AF9C9CA83}"/>
    <cellStyle name="Normal 4 3 3 5 4" xfId="18240" xr:uid="{889D59D7-EBE7-4FDF-BC4D-A8CF04D86306}"/>
    <cellStyle name="Normal 4 3 3 5 5" xfId="9799" xr:uid="{205A1DA7-C69F-4488-A249-BF5EC530165B}"/>
    <cellStyle name="Normal 4 3 3 6" xfId="1680" xr:uid="{00000000-0005-0000-0000-0000A2140000}"/>
    <cellStyle name="Normal 4 3 3 6 2" xfId="3910" xr:uid="{00000000-0005-0000-0000-0000A3140000}"/>
    <cellStyle name="Normal 4 3 3 6 2 2" xfId="8133" xr:uid="{00000000-0005-0000-0000-0000A4140000}"/>
    <cellStyle name="Normal 4 3 3 6 2 2 2" xfId="25016" xr:uid="{2DF781B4-1778-4651-B53E-6D92D7834D40}"/>
    <cellStyle name="Normal 4 3 3 6 2 2 3" xfId="16575" xr:uid="{3585C51C-A7A3-456A-868E-CDB0AA305CDF}"/>
    <cellStyle name="Normal 4 3 3 6 2 3" xfId="20798" xr:uid="{178CA631-39D1-4F3E-974E-C19E38BA4BCF}"/>
    <cellStyle name="Normal 4 3 3 6 2 4" xfId="12357" xr:uid="{8AE8EAC6-0E1D-4E39-81E1-8C02753FFEB4}"/>
    <cellStyle name="Normal 4 3 3 6 3" xfId="5988" xr:uid="{00000000-0005-0000-0000-0000A5140000}"/>
    <cellStyle name="Normal 4 3 3 6 3 2" xfId="22871" xr:uid="{9A020D4B-1691-46E8-908A-9F58850E19FC}"/>
    <cellStyle name="Normal 4 3 3 6 3 3" xfId="14430" xr:uid="{CC127A3A-8106-4BEC-9D85-3A4EF095449C}"/>
    <cellStyle name="Normal 4 3 3 6 4" xfId="18653" xr:uid="{AFD0B740-630C-46BE-B2C5-FC97A589CCC9}"/>
    <cellStyle name="Normal 4 3 3 6 5" xfId="10212" xr:uid="{41839914-8182-428E-9C29-9E4B41DAA692}"/>
    <cellStyle name="Normal 4 3 3 7" xfId="2094" xr:uid="{00000000-0005-0000-0000-0000A6140000}"/>
    <cellStyle name="Normal 4 3 3 7 2" xfId="4323" xr:uid="{00000000-0005-0000-0000-0000A7140000}"/>
    <cellStyle name="Normal 4 3 3 7 2 2" xfId="8546" xr:uid="{00000000-0005-0000-0000-0000A8140000}"/>
    <cellStyle name="Normal 4 3 3 7 2 2 2" xfId="25429" xr:uid="{51028485-523C-4FA7-90DF-ADD80CBD7EB9}"/>
    <cellStyle name="Normal 4 3 3 7 2 2 3" xfId="16988" xr:uid="{9AF98946-A4E0-47D9-8AB9-F4EDB2A642CF}"/>
    <cellStyle name="Normal 4 3 3 7 2 3" xfId="21211" xr:uid="{84F2D231-EB0D-43A7-8109-7FAD296CEAA4}"/>
    <cellStyle name="Normal 4 3 3 7 2 4" xfId="12770" xr:uid="{6B0F0972-4406-4EC7-8A21-D8B66BAA3488}"/>
    <cellStyle name="Normal 4 3 3 7 3" xfId="6401" xr:uid="{00000000-0005-0000-0000-0000A9140000}"/>
    <cellStyle name="Normal 4 3 3 7 3 2" xfId="23284" xr:uid="{58B0DF77-E494-43F6-B834-6BC77AF8D666}"/>
    <cellStyle name="Normal 4 3 3 7 3 3" xfId="14843" xr:uid="{A475615C-DA74-4FB2-B288-E0F9BE8A6736}"/>
    <cellStyle name="Normal 4 3 3 7 4" xfId="19066" xr:uid="{1ECBEAF5-A424-421D-9229-B48D0A5CE02D}"/>
    <cellStyle name="Normal 4 3 3 7 5" xfId="10625" xr:uid="{4D5FA6F4-1CAA-495D-9CB8-53C8E9F3ECF9}"/>
    <cellStyle name="Normal 4 3 3 8" xfId="2530" xr:uid="{00000000-0005-0000-0000-0000AA140000}"/>
    <cellStyle name="Normal 4 3 3 8 2" xfId="6814" xr:uid="{00000000-0005-0000-0000-0000AB140000}"/>
    <cellStyle name="Normal 4 3 3 8 2 2" xfId="23697" xr:uid="{F4761F16-FA0F-4A48-8350-20E4B2E00147}"/>
    <cellStyle name="Normal 4 3 3 8 2 3" xfId="15256" xr:uid="{C2465347-43DB-4E2C-9704-D74FB95330BD}"/>
    <cellStyle name="Normal 4 3 3 8 3" xfId="19479" xr:uid="{E5498EF6-DAC9-401C-A72C-7DACFAF234C9}"/>
    <cellStyle name="Normal 4 3 3 8 4" xfId="11038" xr:uid="{5F362857-84D6-49D6-8058-C176B82CAADE}"/>
    <cellStyle name="Normal 4 3 3 9" xfId="4749" xr:uid="{00000000-0005-0000-0000-0000AC140000}"/>
    <cellStyle name="Normal 4 3 3 9 2" xfId="21632" xr:uid="{91BE7E7A-8DF3-4602-B494-50BC9FA0D392}"/>
    <cellStyle name="Normal 4 3 3 9 3" xfId="13191" xr:uid="{9DC66239-EB41-4BF4-880F-2C9A8D726A36}"/>
    <cellStyle name="Normal 4 3 4" xfId="842" xr:uid="{00000000-0005-0000-0000-0000AD140000}"/>
    <cellStyle name="Normal 4 3 4 2" xfId="3079" xr:uid="{00000000-0005-0000-0000-0000AE140000}"/>
    <cellStyle name="Normal 4 3 4 2 2" xfId="7302" xr:uid="{00000000-0005-0000-0000-0000AF140000}"/>
    <cellStyle name="Normal 4 3 4 2 2 2" xfId="24185" xr:uid="{3EDDAF02-A591-43B0-9CE7-5CA8ADC70AA7}"/>
    <cellStyle name="Normal 4 3 4 2 2 3" xfId="15744" xr:uid="{59A76368-A71C-4E32-BCCF-9BF857C22259}"/>
    <cellStyle name="Normal 4 3 4 2 3" xfId="19967" xr:uid="{BCCEBBDF-514E-4462-A6E8-9EBCE9939CB4}"/>
    <cellStyle name="Normal 4 3 4 2 4" xfId="11526" xr:uid="{A232824E-2023-4156-BF50-3E29BA430BBD}"/>
    <cellStyle name="Normal 4 3 4 3" xfId="5157" xr:uid="{00000000-0005-0000-0000-0000B0140000}"/>
    <cellStyle name="Normal 4 3 4 3 2" xfId="22040" xr:uid="{AE612B97-4FA1-409A-BE91-2E503435FFA5}"/>
    <cellStyle name="Normal 4 3 4 3 3" xfId="13599" xr:uid="{965E7CFB-0792-42EE-8C00-3A06EBE3B7DB}"/>
    <cellStyle name="Normal 4 3 4 4" xfId="17822" xr:uid="{35E71FC9-12C0-4191-A575-13AFAB84D2C7}"/>
    <cellStyle name="Normal 4 3 4 5" xfId="9381" xr:uid="{4560B63B-F005-4B46-AAF9-1E2D55725775}"/>
    <cellStyle name="Normal 4 3 5" xfId="1262" xr:uid="{00000000-0005-0000-0000-0000B1140000}"/>
    <cellStyle name="Normal 4 3 5 2" xfId="3492" xr:uid="{00000000-0005-0000-0000-0000B2140000}"/>
    <cellStyle name="Normal 4 3 5 2 2" xfId="7715" xr:uid="{00000000-0005-0000-0000-0000B3140000}"/>
    <cellStyle name="Normal 4 3 5 2 2 2" xfId="24598" xr:uid="{6DC246E7-7270-4F6B-B936-3A6715283967}"/>
    <cellStyle name="Normal 4 3 5 2 2 3" xfId="16157" xr:uid="{21C4202F-F886-4B85-83B6-7C5F5658BB96}"/>
    <cellStyle name="Normal 4 3 5 2 3" xfId="20380" xr:uid="{7823FC65-735D-4B78-BA64-764E8DBEFE78}"/>
    <cellStyle name="Normal 4 3 5 2 4" xfId="11939" xr:uid="{02691D46-2B4E-4418-95F1-33E4AC666919}"/>
    <cellStyle name="Normal 4 3 5 3" xfId="5570" xr:uid="{00000000-0005-0000-0000-0000B4140000}"/>
    <cellStyle name="Normal 4 3 5 3 2" xfId="22453" xr:uid="{FC1EAD28-06D4-4EF7-9593-8F43E38AE43C}"/>
    <cellStyle name="Normal 4 3 5 3 3" xfId="14012" xr:uid="{2F76C67A-F69F-48DB-A54B-B6537C9271D8}"/>
    <cellStyle name="Normal 4 3 5 4" xfId="18235" xr:uid="{3D5FB39D-D3FB-4108-87A7-C4211B280BAE}"/>
    <cellStyle name="Normal 4 3 5 5" xfId="9794" xr:uid="{9768C885-A3E7-4091-9F7D-28B699762376}"/>
    <cellStyle name="Normal 4 3 6" xfId="1675" xr:uid="{00000000-0005-0000-0000-0000B5140000}"/>
    <cellStyle name="Normal 4 3 6 2" xfId="3905" xr:uid="{00000000-0005-0000-0000-0000B6140000}"/>
    <cellStyle name="Normal 4 3 6 2 2" xfId="8128" xr:uid="{00000000-0005-0000-0000-0000B7140000}"/>
    <cellStyle name="Normal 4 3 6 2 2 2" xfId="25011" xr:uid="{0953D9AF-E46A-4156-8EBA-B79AFA3E1425}"/>
    <cellStyle name="Normal 4 3 6 2 2 3" xfId="16570" xr:uid="{1981385C-99FD-48B9-AEB8-AA19FE6418C8}"/>
    <cellStyle name="Normal 4 3 6 2 3" xfId="20793" xr:uid="{8743922A-115C-4BD8-AE10-5CD132F669D0}"/>
    <cellStyle name="Normal 4 3 6 2 4" xfId="12352" xr:uid="{D52C3A6B-A911-4758-90F7-F07CA06A7114}"/>
    <cellStyle name="Normal 4 3 6 3" xfId="5983" xr:uid="{00000000-0005-0000-0000-0000B8140000}"/>
    <cellStyle name="Normal 4 3 6 3 2" xfId="22866" xr:uid="{19AEDE60-FCB4-49B4-8AD5-D42FD2D8ACC0}"/>
    <cellStyle name="Normal 4 3 6 3 3" xfId="14425" xr:uid="{061203BF-9168-4ED0-A0B0-E0D5899B060D}"/>
    <cellStyle name="Normal 4 3 6 4" xfId="18648" xr:uid="{2193BD17-8D60-4F2D-844F-F3B237E8FCE4}"/>
    <cellStyle name="Normal 4 3 6 5" xfId="10207" xr:uid="{0E44F68F-452A-4B6F-B5F3-F990F5019E15}"/>
    <cellStyle name="Normal 4 3 7" xfId="2089" xr:uid="{00000000-0005-0000-0000-0000B9140000}"/>
    <cellStyle name="Normal 4 3 7 2" xfId="4318" xr:uid="{00000000-0005-0000-0000-0000BA140000}"/>
    <cellStyle name="Normal 4 3 7 2 2" xfId="8541" xr:uid="{00000000-0005-0000-0000-0000BB140000}"/>
    <cellStyle name="Normal 4 3 7 2 2 2" xfId="25424" xr:uid="{D3E00838-393A-41B2-8A4B-C1D57438EA25}"/>
    <cellStyle name="Normal 4 3 7 2 2 3" xfId="16983" xr:uid="{1595024D-8682-4002-AE31-11F8E7F70155}"/>
    <cellStyle name="Normal 4 3 7 2 3" xfId="21206" xr:uid="{C71910C8-646F-497E-B83E-D41A2758A5BD}"/>
    <cellStyle name="Normal 4 3 7 2 4" xfId="12765" xr:uid="{815284A4-2613-49F4-92F4-147C5BBFBE7E}"/>
    <cellStyle name="Normal 4 3 7 3" xfId="6396" xr:uid="{00000000-0005-0000-0000-0000BC140000}"/>
    <cellStyle name="Normal 4 3 7 3 2" xfId="23279" xr:uid="{6FDBF62D-56E8-4A97-AA7C-2D2F43378038}"/>
    <cellStyle name="Normal 4 3 7 3 3" xfId="14838" xr:uid="{3E6019E9-8020-4ACC-84E0-0B8DB9B9603B}"/>
    <cellStyle name="Normal 4 3 7 4" xfId="19061" xr:uid="{C45C552A-DC8C-4EA0-AF77-37EA4F99C465}"/>
    <cellStyle name="Normal 4 3 7 5" xfId="10620" xr:uid="{845C8E25-080F-4A68-A65F-E7E2078868FD}"/>
    <cellStyle name="Normal 4 3 8" xfId="2525" xr:uid="{00000000-0005-0000-0000-0000BD140000}"/>
    <cellStyle name="Normal 4 3 8 2" xfId="6809" xr:uid="{00000000-0005-0000-0000-0000BE140000}"/>
    <cellStyle name="Normal 4 3 8 2 2" xfId="23692" xr:uid="{67698435-BC52-4A75-A273-0F7AD650BCDC}"/>
    <cellStyle name="Normal 4 3 8 2 3" xfId="15251" xr:uid="{9BFE2791-414E-4F5C-A8F6-E3DE3F908808}"/>
    <cellStyle name="Normal 4 3 8 3" xfId="19474" xr:uid="{4B07D8A9-F543-44AD-B5F4-AB7B11A520C0}"/>
    <cellStyle name="Normal 4 3 8 4" xfId="11033" xr:uid="{67AAC923-0ED1-4BA5-A748-23C99488FF23}"/>
    <cellStyle name="Normal 4 3 9" xfId="4744" xr:uid="{00000000-0005-0000-0000-0000BF140000}"/>
    <cellStyle name="Normal 4 3 9 2" xfId="21627" xr:uid="{0D9FBDD4-498F-4E06-8FF4-FA19F7F5DF8D}"/>
    <cellStyle name="Normal 4 3 9 3" xfId="13186" xr:uid="{495E3CAF-0A90-4686-8D39-A16C8D8702BF}"/>
    <cellStyle name="Normal 4 4" xfId="378" xr:uid="{00000000-0005-0000-0000-0000C0140000}"/>
    <cellStyle name="Normal 4 4 10" xfId="2534" xr:uid="{00000000-0005-0000-0000-0000C1140000}"/>
    <cellStyle name="Normal 4 4 10 2" xfId="6818" xr:uid="{00000000-0005-0000-0000-0000C2140000}"/>
    <cellStyle name="Normal 4 4 10 2 2" xfId="23701" xr:uid="{8796916E-79F9-42E8-B820-2B3CFA1D4A35}"/>
    <cellStyle name="Normal 4 4 10 2 3" xfId="15260" xr:uid="{EA1954CA-A2A4-43F6-BE11-EB7BAC29B4E0}"/>
    <cellStyle name="Normal 4 4 10 3" xfId="19483" xr:uid="{077FA0ED-80FD-4A95-A85C-873E06F381C0}"/>
    <cellStyle name="Normal 4 4 10 4" xfId="11042" xr:uid="{C208A78F-66C8-468D-BA04-39549CEA9CE6}"/>
    <cellStyle name="Normal 4 4 11" xfId="4753" xr:uid="{00000000-0005-0000-0000-0000C3140000}"/>
    <cellStyle name="Normal 4 4 11 2" xfId="21636" xr:uid="{05B879DD-B8CA-4D31-9942-20F46C85AD3B}"/>
    <cellStyle name="Normal 4 4 11 3" xfId="13195" xr:uid="{2517B328-2755-4E86-9E4E-5619485E5054}"/>
    <cellStyle name="Normal 4 4 12" xfId="17418" xr:uid="{C324BFAE-F310-498D-860D-13A935F4BE3E}"/>
    <cellStyle name="Normal 4 4 13" xfId="8977" xr:uid="{E718D596-E028-4F11-AC37-36B14333CE7F}"/>
    <cellStyle name="Normal 4 4 2" xfId="379" xr:uid="{00000000-0005-0000-0000-0000C4140000}"/>
    <cellStyle name="Normal 4 4 2 10" xfId="4754" xr:uid="{00000000-0005-0000-0000-0000C5140000}"/>
    <cellStyle name="Normal 4 4 2 10 2" xfId="21637" xr:uid="{9BB364C7-AF70-4A96-9134-CA10937783A6}"/>
    <cellStyle name="Normal 4 4 2 10 3" xfId="13196" xr:uid="{F939CE46-1D36-46BA-A2D6-0B4DB40B57AD}"/>
    <cellStyle name="Normal 4 4 2 11" xfId="17419" xr:uid="{598465AA-ACEF-4DE5-9D38-9E9F5EA1C931}"/>
    <cellStyle name="Normal 4 4 2 12" xfId="8978" xr:uid="{D3F9C645-9FEA-45D6-8933-23A122B5C3EB}"/>
    <cellStyle name="Normal 4 4 2 2" xfId="380" xr:uid="{00000000-0005-0000-0000-0000C6140000}"/>
    <cellStyle name="Normal 4 4 2 2 10" xfId="17420" xr:uid="{D2287092-901D-4320-9F87-33190A5341EE}"/>
    <cellStyle name="Normal 4 4 2 2 11" xfId="8979" xr:uid="{4FF65CF5-B2C2-4517-B973-344ED0EFBA48}"/>
    <cellStyle name="Normal 4 4 2 2 2" xfId="381" xr:uid="{00000000-0005-0000-0000-0000C7140000}"/>
    <cellStyle name="Normal 4 4 2 2 2 10" xfId="8980" xr:uid="{7F45C20F-CB2F-417E-AF8A-3D195A97123D}"/>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24198" xr:uid="{0B9BB7FF-706D-4624-95D0-2B52C5BE7925}"/>
    <cellStyle name="Normal 4 4 2 2 2 2 2 2 2 3" xfId="15757" xr:uid="{03D910DC-0B44-46E3-8E3A-49ED9755D6F9}"/>
    <cellStyle name="Normal 4 4 2 2 2 2 2 2 3" xfId="19980" xr:uid="{7981791D-30DF-4097-8431-8AF61CB015C6}"/>
    <cellStyle name="Normal 4 4 2 2 2 2 2 2 4" xfId="11539" xr:uid="{135F3665-27A4-4E93-AAA7-42C0EA61AEB0}"/>
    <cellStyle name="Normal 4 4 2 2 2 2 2 3" xfId="5170" xr:uid="{00000000-0005-0000-0000-0000CC140000}"/>
    <cellStyle name="Normal 4 4 2 2 2 2 2 3 2" xfId="22053" xr:uid="{E62861BA-B894-457E-A3BE-86FCE75446DE}"/>
    <cellStyle name="Normal 4 4 2 2 2 2 2 3 3" xfId="13612" xr:uid="{E59A7716-421D-44AB-AC66-AF17E9011646}"/>
    <cellStyle name="Normal 4 4 2 2 2 2 2 4" xfId="17835" xr:uid="{67F01945-B307-4AFE-8AA8-3073DD7A6F2F}"/>
    <cellStyle name="Normal 4 4 2 2 2 2 2 5" xfId="9394" xr:uid="{8C3C11AE-DFE7-44B4-8769-A581AA465D15}"/>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24611" xr:uid="{71C5F579-63C5-435A-86A8-C57C1A526D14}"/>
    <cellStyle name="Normal 4 4 2 2 2 2 3 2 2 3" xfId="16170" xr:uid="{6236C3D7-C132-439B-AA09-EE0CC88A6565}"/>
    <cellStyle name="Normal 4 4 2 2 2 2 3 2 3" xfId="20393" xr:uid="{9CC7F0C1-9310-4679-A82C-8615A36E2485}"/>
    <cellStyle name="Normal 4 4 2 2 2 2 3 2 4" xfId="11952" xr:uid="{C92BE270-9892-419E-9D33-B3897078C66F}"/>
    <cellStyle name="Normal 4 4 2 2 2 2 3 3" xfId="5583" xr:uid="{00000000-0005-0000-0000-0000D0140000}"/>
    <cellStyle name="Normal 4 4 2 2 2 2 3 3 2" xfId="22466" xr:uid="{31071494-8FAE-4E8B-BBEA-E1485D8AEF42}"/>
    <cellStyle name="Normal 4 4 2 2 2 2 3 3 3" xfId="14025" xr:uid="{6C8ED734-B90A-49A1-93B0-944D8C4651D3}"/>
    <cellStyle name="Normal 4 4 2 2 2 2 3 4" xfId="18248" xr:uid="{8F572043-FDEF-4452-B50D-F4FFB4A15575}"/>
    <cellStyle name="Normal 4 4 2 2 2 2 3 5" xfId="9807" xr:uid="{2E2C3A8A-965F-4D4D-94C0-732487470F0F}"/>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25024" xr:uid="{C711F79B-158E-497F-AF02-706505BA4592}"/>
    <cellStyle name="Normal 4 4 2 2 2 2 4 2 2 3" xfId="16583" xr:uid="{5F8CD4CD-5A0E-4859-9FEC-FCB376BA7E1C}"/>
    <cellStyle name="Normal 4 4 2 2 2 2 4 2 3" xfId="20806" xr:uid="{9B0F8874-5A7B-45EE-AC91-C38A4C29E835}"/>
    <cellStyle name="Normal 4 4 2 2 2 2 4 2 4" xfId="12365" xr:uid="{16B636FC-8A6F-4550-B918-ADBE0BD0CBFA}"/>
    <cellStyle name="Normal 4 4 2 2 2 2 4 3" xfId="5996" xr:uid="{00000000-0005-0000-0000-0000D4140000}"/>
    <cellStyle name="Normal 4 4 2 2 2 2 4 3 2" xfId="22879" xr:uid="{38102CE7-6A9E-4982-8644-D397ABFF7F55}"/>
    <cellStyle name="Normal 4 4 2 2 2 2 4 3 3" xfId="14438" xr:uid="{A7D77E68-193C-4885-B840-65E7F3535B59}"/>
    <cellStyle name="Normal 4 4 2 2 2 2 4 4" xfId="18661" xr:uid="{B959A02F-CB62-4AD3-A236-1F794E5F2BE7}"/>
    <cellStyle name="Normal 4 4 2 2 2 2 4 5" xfId="10220" xr:uid="{A600AA38-F1D8-4A22-BC7B-087F391784FD}"/>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25437" xr:uid="{0D62042D-2CA2-49F6-9E04-40F751E91360}"/>
    <cellStyle name="Normal 4 4 2 2 2 2 5 2 2 3" xfId="16996" xr:uid="{60F6C653-DBAE-48FB-A27B-540427D2FAA1}"/>
    <cellStyle name="Normal 4 4 2 2 2 2 5 2 3" xfId="21219" xr:uid="{F019FD77-A2A5-4B31-B3BC-81F940EEC81B}"/>
    <cellStyle name="Normal 4 4 2 2 2 2 5 2 4" xfId="12778" xr:uid="{B2413F98-3EEF-4E46-B91A-E904FF8CCA8C}"/>
    <cellStyle name="Normal 4 4 2 2 2 2 5 3" xfId="6409" xr:uid="{00000000-0005-0000-0000-0000D8140000}"/>
    <cellStyle name="Normal 4 4 2 2 2 2 5 3 2" xfId="23292" xr:uid="{59CF0337-CA6C-47B6-BECA-B636515D48E5}"/>
    <cellStyle name="Normal 4 4 2 2 2 2 5 3 3" xfId="14851" xr:uid="{705EA217-F7D9-43C3-B6DD-6D751E16436D}"/>
    <cellStyle name="Normal 4 4 2 2 2 2 5 4" xfId="19074" xr:uid="{97BB9982-CD90-462E-A934-E077FA221210}"/>
    <cellStyle name="Normal 4 4 2 2 2 2 5 5" xfId="10633" xr:uid="{9F87A0C2-427A-47C4-81A1-0AE73384CCBB}"/>
    <cellStyle name="Normal 4 4 2 2 2 2 6" xfId="2538" xr:uid="{00000000-0005-0000-0000-0000D9140000}"/>
    <cellStyle name="Normal 4 4 2 2 2 2 6 2" xfId="6822" xr:uid="{00000000-0005-0000-0000-0000DA140000}"/>
    <cellStyle name="Normal 4 4 2 2 2 2 6 2 2" xfId="23705" xr:uid="{65B26C95-6F3F-43CD-9CFE-C5EC745E8115}"/>
    <cellStyle name="Normal 4 4 2 2 2 2 6 2 3" xfId="15264" xr:uid="{F13B5061-53DE-467C-8261-FBC5E4515191}"/>
    <cellStyle name="Normal 4 4 2 2 2 2 6 3" xfId="19487" xr:uid="{2984BEBB-3582-4B38-A167-54FA1EEA046F}"/>
    <cellStyle name="Normal 4 4 2 2 2 2 6 4" xfId="11046" xr:uid="{5C0662D8-920E-499A-B815-B576666F9435}"/>
    <cellStyle name="Normal 4 4 2 2 2 2 7" xfId="4757" xr:uid="{00000000-0005-0000-0000-0000DB140000}"/>
    <cellStyle name="Normal 4 4 2 2 2 2 7 2" xfId="21640" xr:uid="{64788204-AE6A-4463-A864-26E51EDD8997}"/>
    <cellStyle name="Normal 4 4 2 2 2 2 7 3" xfId="13199" xr:uid="{D569B15D-6FE1-43CF-A7B5-2C9D0BBF7F1F}"/>
    <cellStyle name="Normal 4 4 2 2 2 2 8" xfId="17422" xr:uid="{BCC68343-8E93-436B-A6DD-848D79DCB6B9}"/>
    <cellStyle name="Normal 4 4 2 2 2 2 9" xfId="8981" xr:uid="{08981BC8-BDC4-46F7-9955-EE42770AEC3C}"/>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24197" xr:uid="{125CE38B-FD23-4A02-9634-019DB4771254}"/>
    <cellStyle name="Normal 4 4 2 2 2 3 2 2 3" xfId="15756" xr:uid="{99A00DBB-420E-4CBA-B500-17B01FAB591F}"/>
    <cellStyle name="Normal 4 4 2 2 2 3 2 3" xfId="19979" xr:uid="{4ECF7C8F-BF82-4A15-9F43-510D2AF189F3}"/>
    <cellStyle name="Normal 4 4 2 2 2 3 2 4" xfId="11538" xr:uid="{98E18747-37B5-4F3E-8B3C-6AA95E747A24}"/>
    <cellStyle name="Normal 4 4 2 2 2 3 3" xfId="5169" xr:uid="{00000000-0005-0000-0000-0000DF140000}"/>
    <cellStyle name="Normal 4 4 2 2 2 3 3 2" xfId="22052" xr:uid="{B903485F-241A-4AD1-A0A6-3F44F51F80C2}"/>
    <cellStyle name="Normal 4 4 2 2 2 3 3 3" xfId="13611" xr:uid="{D75B8E00-E489-4283-AC11-2ED2B5E2D6CB}"/>
    <cellStyle name="Normal 4 4 2 2 2 3 4" xfId="17834" xr:uid="{CC117C51-87D1-4C64-87C3-069DA1C7EBFB}"/>
    <cellStyle name="Normal 4 4 2 2 2 3 5" xfId="9393" xr:uid="{167941AB-7D22-4A47-94FD-8F5A85F11A26}"/>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24610" xr:uid="{599EE3EF-E9C4-4EC8-A7B2-52E0526CCC48}"/>
    <cellStyle name="Normal 4 4 2 2 2 4 2 2 3" xfId="16169" xr:uid="{18EF4544-7AAF-4744-BEDE-131F29325F36}"/>
    <cellStyle name="Normal 4 4 2 2 2 4 2 3" xfId="20392" xr:uid="{B4C4EB99-D22E-44F1-A73A-7ED7245B7EAA}"/>
    <cellStyle name="Normal 4 4 2 2 2 4 2 4" xfId="11951" xr:uid="{F9C7B581-08FA-49DA-A5F1-3A69524835FC}"/>
    <cellStyle name="Normal 4 4 2 2 2 4 3" xfId="5582" xr:uid="{00000000-0005-0000-0000-0000E3140000}"/>
    <cellStyle name="Normal 4 4 2 2 2 4 3 2" xfId="22465" xr:uid="{026CB601-F8DC-4AF8-880B-F784E300778F}"/>
    <cellStyle name="Normal 4 4 2 2 2 4 3 3" xfId="14024" xr:uid="{769EB4DD-33F0-4B29-8F83-71EA99F394BD}"/>
    <cellStyle name="Normal 4 4 2 2 2 4 4" xfId="18247" xr:uid="{43D3CDB3-5A86-4815-BF31-9D47F26C71AF}"/>
    <cellStyle name="Normal 4 4 2 2 2 4 5" xfId="9806" xr:uid="{5805639B-5F3B-47BD-A091-9ED6BEEB9518}"/>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25023" xr:uid="{11178FD2-328A-4748-8570-9DF0802BCE16}"/>
    <cellStyle name="Normal 4 4 2 2 2 5 2 2 3" xfId="16582" xr:uid="{1980A2A7-0151-4900-9A4A-DD74AB12E493}"/>
    <cellStyle name="Normal 4 4 2 2 2 5 2 3" xfId="20805" xr:uid="{66F8854A-57F5-4A05-ABBB-2B679164EDE7}"/>
    <cellStyle name="Normal 4 4 2 2 2 5 2 4" xfId="12364" xr:uid="{6FD9EAAF-5161-475C-83A4-82C63B643C0D}"/>
    <cellStyle name="Normal 4 4 2 2 2 5 3" xfId="5995" xr:uid="{00000000-0005-0000-0000-0000E7140000}"/>
    <cellStyle name="Normal 4 4 2 2 2 5 3 2" xfId="22878" xr:uid="{F8F9172A-397F-41EA-AF2C-7C6B29F20445}"/>
    <cellStyle name="Normal 4 4 2 2 2 5 3 3" xfId="14437" xr:uid="{A94E64BD-E7FA-4F71-9CFC-C847D7B07026}"/>
    <cellStyle name="Normal 4 4 2 2 2 5 4" xfId="18660" xr:uid="{FB1593B8-8545-4F1C-A89D-8A69E4AD1657}"/>
    <cellStyle name="Normal 4 4 2 2 2 5 5" xfId="10219" xr:uid="{708E6C77-60E8-4595-A8FE-E38F2B656032}"/>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25436" xr:uid="{6D7E34B7-2D97-4B79-A22B-71B696F33A81}"/>
    <cellStyle name="Normal 4 4 2 2 2 6 2 2 3" xfId="16995" xr:uid="{A9A85319-8005-4FE8-BDEB-209907DA4913}"/>
    <cellStyle name="Normal 4 4 2 2 2 6 2 3" xfId="21218" xr:uid="{4DA1E22B-0670-43CE-A540-89110A4766F9}"/>
    <cellStyle name="Normal 4 4 2 2 2 6 2 4" xfId="12777" xr:uid="{49DF43E1-C9E4-44A1-8754-AF96DB8F4E06}"/>
    <cellStyle name="Normal 4 4 2 2 2 6 3" xfId="6408" xr:uid="{00000000-0005-0000-0000-0000EB140000}"/>
    <cellStyle name="Normal 4 4 2 2 2 6 3 2" xfId="23291" xr:uid="{2E15F692-EC4B-44DF-BAE4-82A718627D7E}"/>
    <cellStyle name="Normal 4 4 2 2 2 6 3 3" xfId="14850" xr:uid="{A3938C39-F9CA-44CD-9EC5-2E585C3CD842}"/>
    <cellStyle name="Normal 4 4 2 2 2 6 4" xfId="19073" xr:uid="{AD03EDB6-C9F9-4770-AC3C-4849D3CBDB1C}"/>
    <cellStyle name="Normal 4 4 2 2 2 6 5" xfId="10632" xr:uid="{6E3C3C9D-7335-4024-9222-6D28F18D00F2}"/>
    <cellStyle name="Normal 4 4 2 2 2 7" xfId="2537" xr:uid="{00000000-0005-0000-0000-0000EC140000}"/>
    <cellStyle name="Normal 4 4 2 2 2 7 2" xfId="6821" xr:uid="{00000000-0005-0000-0000-0000ED140000}"/>
    <cellStyle name="Normal 4 4 2 2 2 7 2 2" xfId="23704" xr:uid="{64CA7CE9-0930-42BF-9C7F-40436151F124}"/>
    <cellStyle name="Normal 4 4 2 2 2 7 2 3" xfId="15263" xr:uid="{12C85296-96D0-4258-97BF-A92A9119C43B}"/>
    <cellStyle name="Normal 4 4 2 2 2 7 3" xfId="19486" xr:uid="{3DBF78D5-8A8A-4411-9B8D-107AB9CC14F8}"/>
    <cellStyle name="Normal 4 4 2 2 2 7 4" xfId="11045" xr:uid="{9C085BEE-515A-46BF-9053-C55040AD01DE}"/>
    <cellStyle name="Normal 4 4 2 2 2 8" xfId="4756" xr:uid="{00000000-0005-0000-0000-0000EE140000}"/>
    <cellStyle name="Normal 4 4 2 2 2 8 2" xfId="21639" xr:uid="{A3D0A250-3C4C-4842-8FB2-D3E3F5E654AD}"/>
    <cellStyle name="Normal 4 4 2 2 2 8 3" xfId="13198" xr:uid="{5E31E07D-B06A-48E8-B304-60C7D461EEAF}"/>
    <cellStyle name="Normal 4 4 2 2 2 9" xfId="17421" xr:uid="{BEED0AE6-872E-4A6A-8396-F11FB3CAC998}"/>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24199" xr:uid="{AB6CE74B-42CB-4036-9ABF-DB51AAF2CD87}"/>
    <cellStyle name="Normal 4 4 2 2 3 2 2 2 3" xfId="15758" xr:uid="{60E0E01C-AD1A-4018-91F9-201E9019A9F7}"/>
    <cellStyle name="Normal 4 4 2 2 3 2 2 3" xfId="19981" xr:uid="{9500E3E6-58F1-4028-8030-E0E83AEBA544}"/>
    <cellStyle name="Normal 4 4 2 2 3 2 2 4" xfId="11540" xr:uid="{F113F3CD-2AF7-42E3-987F-3F71CAC1228C}"/>
    <cellStyle name="Normal 4 4 2 2 3 2 3" xfId="5171" xr:uid="{00000000-0005-0000-0000-0000F3140000}"/>
    <cellStyle name="Normal 4 4 2 2 3 2 3 2" xfId="22054" xr:uid="{F073CFB7-F3D5-4059-BB95-F6B7EC900255}"/>
    <cellStyle name="Normal 4 4 2 2 3 2 3 3" xfId="13613" xr:uid="{467CD625-A8BE-4814-9261-82BDBFA9590E}"/>
    <cellStyle name="Normal 4 4 2 2 3 2 4" xfId="17836" xr:uid="{E43A0E29-5B62-4358-8B98-9B393D58847F}"/>
    <cellStyle name="Normal 4 4 2 2 3 2 5" xfId="9395" xr:uid="{76345F6C-4255-4920-A655-35A81FEDA2E6}"/>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24612" xr:uid="{FD11A3A1-94B2-4083-98D0-0DBB794B7355}"/>
    <cellStyle name="Normal 4 4 2 2 3 3 2 2 3" xfId="16171" xr:uid="{1CF8A72F-108D-4F9A-B331-7C014096FE37}"/>
    <cellStyle name="Normal 4 4 2 2 3 3 2 3" xfId="20394" xr:uid="{37466B52-CD03-4473-BABF-7E559EA545C0}"/>
    <cellStyle name="Normal 4 4 2 2 3 3 2 4" xfId="11953" xr:uid="{FF993DCB-3049-4F38-B698-3732DC4B59CC}"/>
    <cellStyle name="Normal 4 4 2 2 3 3 3" xfId="5584" xr:uid="{00000000-0005-0000-0000-0000F7140000}"/>
    <cellStyle name="Normal 4 4 2 2 3 3 3 2" xfId="22467" xr:uid="{BA88FE4F-6E3D-4740-ABA1-4960ADC18FD9}"/>
    <cellStyle name="Normal 4 4 2 2 3 3 3 3" xfId="14026" xr:uid="{57813DE6-B57D-4500-AA23-E2CE51EC231B}"/>
    <cellStyle name="Normal 4 4 2 2 3 3 4" xfId="18249" xr:uid="{B1A4486F-C47B-42FA-8E16-A577FA38510A}"/>
    <cellStyle name="Normal 4 4 2 2 3 3 5" xfId="9808" xr:uid="{B39D7605-82FB-4522-966E-CCFD76B1DBD8}"/>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25025" xr:uid="{E79F830B-33FB-4D6E-A0BE-CD2683794651}"/>
    <cellStyle name="Normal 4 4 2 2 3 4 2 2 3" xfId="16584" xr:uid="{1DD96B10-0E3E-453C-BEDA-BDA9C1ADD8CA}"/>
    <cellStyle name="Normal 4 4 2 2 3 4 2 3" xfId="20807" xr:uid="{3A676B9F-604F-4602-A801-D725FE6A32B5}"/>
    <cellStyle name="Normal 4 4 2 2 3 4 2 4" xfId="12366" xr:uid="{60A18425-1CF5-47B3-94AC-7112687ABEEF}"/>
    <cellStyle name="Normal 4 4 2 2 3 4 3" xfId="5997" xr:uid="{00000000-0005-0000-0000-0000FB140000}"/>
    <cellStyle name="Normal 4 4 2 2 3 4 3 2" xfId="22880" xr:uid="{EB500B74-16C8-4879-A404-89BC62273A3C}"/>
    <cellStyle name="Normal 4 4 2 2 3 4 3 3" xfId="14439" xr:uid="{8BD181EF-D106-4BAA-8BB5-47FE369640CD}"/>
    <cellStyle name="Normal 4 4 2 2 3 4 4" xfId="18662" xr:uid="{F9C3185C-FFEA-4927-9166-1FDFA6D1827E}"/>
    <cellStyle name="Normal 4 4 2 2 3 4 5" xfId="10221" xr:uid="{E0C75DEC-8286-43F4-AE0A-BB93A6A8E966}"/>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25438" xr:uid="{399B2DDE-BADF-4808-9407-336E30633AF8}"/>
    <cellStyle name="Normal 4 4 2 2 3 5 2 2 3" xfId="16997" xr:uid="{A48C7684-CB5D-4008-AE32-14386BC47709}"/>
    <cellStyle name="Normal 4 4 2 2 3 5 2 3" xfId="21220" xr:uid="{429D1C2C-EA47-4AFF-8E3B-DC0CFB047377}"/>
    <cellStyle name="Normal 4 4 2 2 3 5 2 4" xfId="12779" xr:uid="{207FEE9F-D38B-4B5E-92FF-A88A6AEB2A62}"/>
    <cellStyle name="Normal 4 4 2 2 3 5 3" xfId="6410" xr:uid="{00000000-0005-0000-0000-0000FF140000}"/>
    <cellStyle name="Normal 4 4 2 2 3 5 3 2" xfId="23293" xr:uid="{97F9D50A-0470-4E35-B9EE-4B465F310F22}"/>
    <cellStyle name="Normal 4 4 2 2 3 5 3 3" xfId="14852" xr:uid="{35FA4B92-168E-4964-BDAF-5303F4F08B5E}"/>
    <cellStyle name="Normal 4 4 2 2 3 5 4" xfId="19075" xr:uid="{669F72D2-2318-4905-994F-89C1C05F8FE2}"/>
    <cellStyle name="Normal 4 4 2 2 3 5 5" xfId="10634" xr:uid="{2DA1A76A-C7E6-422E-AB61-4138E4C01051}"/>
    <cellStyle name="Normal 4 4 2 2 3 6" xfId="2539" xr:uid="{00000000-0005-0000-0000-000000150000}"/>
    <cellStyle name="Normal 4 4 2 2 3 6 2" xfId="6823" xr:uid="{00000000-0005-0000-0000-000001150000}"/>
    <cellStyle name="Normal 4 4 2 2 3 6 2 2" xfId="23706" xr:uid="{B373F417-A4B6-4E9C-A6A5-1B27583B1D16}"/>
    <cellStyle name="Normal 4 4 2 2 3 6 2 3" xfId="15265" xr:uid="{EB4A04B0-98FD-48C8-849C-B93A817BAC8E}"/>
    <cellStyle name="Normal 4 4 2 2 3 6 3" xfId="19488" xr:uid="{F63EB7CC-7BD1-4672-8BB1-5AFD254258AA}"/>
    <cellStyle name="Normal 4 4 2 2 3 6 4" xfId="11047" xr:uid="{95B27736-8BE4-4C2C-9CAE-2DBEE73F0D1D}"/>
    <cellStyle name="Normal 4 4 2 2 3 7" xfId="4758" xr:uid="{00000000-0005-0000-0000-000002150000}"/>
    <cellStyle name="Normal 4 4 2 2 3 7 2" xfId="21641" xr:uid="{3E64C61D-B91E-497B-B753-3031F020D576}"/>
    <cellStyle name="Normal 4 4 2 2 3 7 3" xfId="13200" xr:uid="{A86C9DAC-6D7E-4823-A710-248859F3DD08}"/>
    <cellStyle name="Normal 4 4 2 2 3 8" xfId="17423" xr:uid="{AA37C020-A6D7-4025-BDDE-513154071D3E}"/>
    <cellStyle name="Normal 4 4 2 2 3 9" xfId="8982" xr:uid="{D5327330-A489-4D25-8CF9-048253345DC7}"/>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24196" xr:uid="{C4B5F25F-2B58-45EC-B7EB-4436634B46FE}"/>
    <cellStyle name="Normal 4 4 2 2 4 2 2 3" xfId="15755" xr:uid="{F3FF0F28-6B08-494F-992A-C99BCC26C441}"/>
    <cellStyle name="Normal 4 4 2 2 4 2 3" xfId="19978" xr:uid="{40543499-3001-4FFF-8025-D5106DD65E89}"/>
    <cellStyle name="Normal 4 4 2 2 4 2 4" xfId="11537" xr:uid="{18335D59-6691-46FE-89F2-171376E43015}"/>
    <cellStyle name="Normal 4 4 2 2 4 3" xfId="5168" xr:uid="{00000000-0005-0000-0000-000006150000}"/>
    <cellStyle name="Normal 4 4 2 2 4 3 2" xfId="22051" xr:uid="{2453CA3A-130A-4DD6-93FC-BF76D1AED657}"/>
    <cellStyle name="Normal 4 4 2 2 4 3 3" xfId="13610" xr:uid="{BD70E3E0-FC49-46B1-915E-D7CCF5F4742E}"/>
    <cellStyle name="Normal 4 4 2 2 4 4" xfId="17833" xr:uid="{B3B08196-44A8-4C7F-A1D8-72B10D6D2BD8}"/>
    <cellStyle name="Normal 4 4 2 2 4 5" xfId="9392" xr:uid="{BDFC72E9-50F4-48E8-9B59-83D4653B1E06}"/>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24609" xr:uid="{185EA4A2-C326-4C90-88FE-851AB832FD29}"/>
    <cellStyle name="Normal 4 4 2 2 5 2 2 3" xfId="16168" xr:uid="{4E702E40-ED41-4426-8675-3B7E4FA787EA}"/>
    <cellStyle name="Normal 4 4 2 2 5 2 3" xfId="20391" xr:uid="{C880DBB4-8CDF-4C89-8729-F6777617F39F}"/>
    <cellStyle name="Normal 4 4 2 2 5 2 4" xfId="11950" xr:uid="{FADAF44B-E754-4BAD-AEA3-73F217969DB2}"/>
    <cellStyle name="Normal 4 4 2 2 5 3" xfId="5581" xr:uid="{00000000-0005-0000-0000-00000A150000}"/>
    <cellStyle name="Normal 4 4 2 2 5 3 2" xfId="22464" xr:uid="{A1C54F73-9FA4-4393-9718-0EA58210C7A1}"/>
    <cellStyle name="Normal 4 4 2 2 5 3 3" xfId="14023" xr:uid="{632BE7C2-F624-41F6-A7A5-62A1915C48E7}"/>
    <cellStyle name="Normal 4 4 2 2 5 4" xfId="18246" xr:uid="{0C68783D-849B-4AFC-900F-D8FD8439A8FC}"/>
    <cellStyle name="Normal 4 4 2 2 5 5" xfId="9805" xr:uid="{778A9AAA-F7E3-4107-8104-67AFBDFB32D1}"/>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25022" xr:uid="{D00BFE94-EBF7-42FA-847E-4E6EA87554FE}"/>
    <cellStyle name="Normal 4 4 2 2 6 2 2 3" xfId="16581" xr:uid="{8F7A79BD-9BEE-42F5-BA71-885BD464F9C9}"/>
    <cellStyle name="Normal 4 4 2 2 6 2 3" xfId="20804" xr:uid="{B6C1E48C-1FA8-40FD-8FFD-86B13EA4DB6D}"/>
    <cellStyle name="Normal 4 4 2 2 6 2 4" xfId="12363" xr:uid="{0F8116D0-CBDC-4F26-9895-0A2E3C6B69D2}"/>
    <cellStyle name="Normal 4 4 2 2 6 3" xfId="5994" xr:uid="{00000000-0005-0000-0000-00000E150000}"/>
    <cellStyle name="Normal 4 4 2 2 6 3 2" xfId="22877" xr:uid="{199DAFCD-D4F9-4168-AF74-BC40511B261B}"/>
    <cellStyle name="Normal 4 4 2 2 6 3 3" xfId="14436" xr:uid="{99C36C53-3AA5-42C4-95E6-6567C2D046F9}"/>
    <cellStyle name="Normal 4 4 2 2 6 4" xfId="18659" xr:uid="{F3B60127-152A-499F-A773-58AB048D410B}"/>
    <cellStyle name="Normal 4 4 2 2 6 5" xfId="10218" xr:uid="{CAFF32F9-7DEC-48EF-92DB-B0A5299A481C}"/>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25435" xr:uid="{B947D1AA-50B9-4DA6-B9B4-1DA01107FB2D}"/>
    <cellStyle name="Normal 4 4 2 2 7 2 2 3" xfId="16994" xr:uid="{DF4E390A-AB2F-48E9-AB75-D18C47B25EEF}"/>
    <cellStyle name="Normal 4 4 2 2 7 2 3" xfId="21217" xr:uid="{E81637A7-0E06-4A64-A391-832D88D7F617}"/>
    <cellStyle name="Normal 4 4 2 2 7 2 4" xfId="12776" xr:uid="{36A1DB86-2D4F-48E3-AE1A-77BACA5A6F50}"/>
    <cellStyle name="Normal 4 4 2 2 7 3" xfId="6407" xr:uid="{00000000-0005-0000-0000-000012150000}"/>
    <cellStyle name="Normal 4 4 2 2 7 3 2" xfId="23290" xr:uid="{0A78FACC-F6D9-43C5-B988-BF590F78100A}"/>
    <cellStyle name="Normal 4 4 2 2 7 3 3" xfId="14849" xr:uid="{423C0B4C-9AF9-4006-B6E8-AB167ABB71E4}"/>
    <cellStyle name="Normal 4 4 2 2 7 4" xfId="19072" xr:uid="{A20E63FB-DBEA-4C4B-9FC1-C36ECD486016}"/>
    <cellStyle name="Normal 4 4 2 2 7 5" xfId="10631" xr:uid="{0876FA1E-EBBC-488B-B308-FCF876E8581F}"/>
    <cellStyle name="Normal 4 4 2 2 8" xfId="2536" xr:uid="{00000000-0005-0000-0000-000013150000}"/>
    <cellStyle name="Normal 4 4 2 2 8 2" xfId="6820" xr:uid="{00000000-0005-0000-0000-000014150000}"/>
    <cellStyle name="Normal 4 4 2 2 8 2 2" xfId="23703" xr:uid="{49A39F35-E318-4844-8442-D6D9B23A40BD}"/>
    <cellStyle name="Normal 4 4 2 2 8 2 3" xfId="15262" xr:uid="{2B977844-51B2-43B6-87AF-D3FC11BAA459}"/>
    <cellStyle name="Normal 4 4 2 2 8 3" xfId="19485" xr:uid="{0E721114-B362-4654-88CA-7A99D98D2995}"/>
    <cellStyle name="Normal 4 4 2 2 8 4" xfId="11044" xr:uid="{0F600269-CEA4-43D9-A5C9-91ED5B51CE91}"/>
    <cellStyle name="Normal 4 4 2 2 9" xfId="4755" xr:uid="{00000000-0005-0000-0000-000015150000}"/>
    <cellStyle name="Normal 4 4 2 2 9 2" xfId="21638" xr:uid="{937255D8-72B2-4CE2-8E85-9B66C8C1F274}"/>
    <cellStyle name="Normal 4 4 2 2 9 3" xfId="13197" xr:uid="{9F6B113E-FF33-4CE6-B26E-FC61ED00E0F0}"/>
    <cellStyle name="Normal 4 4 2 3" xfId="384" xr:uid="{00000000-0005-0000-0000-000016150000}"/>
    <cellStyle name="Normal 4 4 2 3 10" xfId="8983" xr:uid="{76792CBD-54F5-494E-9883-BB6E1A37D636}"/>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24201" xr:uid="{2CC5D602-8683-4AB3-A8FE-BBE91F2E7DF5}"/>
    <cellStyle name="Normal 4 4 2 3 2 2 2 2 3" xfId="15760" xr:uid="{2712EF7A-C0E2-40FB-9894-B88D222F8621}"/>
    <cellStyle name="Normal 4 4 2 3 2 2 2 3" xfId="19983" xr:uid="{AA0722C9-65C5-4014-9BAC-B60A88DB6F02}"/>
    <cellStyle name="Normal 4 4 2 3 2 2 2 4" xfId="11542" xr:uid="{73E5CF9B-1D50-4293-AFAA-E3FCD757084C}"/>
    <cellStyle name="Normal 4 4 2 3 2 2 3" xfId="5173" xr:uid="{00000000-0005-0000-0000-00001B150000}"/>
    <cellStyle name="Normal 4 4 2 3 2 2 3 2" xfId="22056" xr:uid="{C6857935-5729-4145-9086-B568D659DF24}"/>
    <cellStyle name="Normal 4 4 2 3 2 2 3 3" xfId="13615" xr:uid="{D3466071-7301-49C5-A13A-316DD9CA7250}"/>
    <cellStyle name="Normal 4 4 2 3 2 2 4" xfId="17838" xr:uid="{775668B1-00C3-4952-B4CD-EC32D0E5310A}"/>
    <cellStyle name="Normal 4 4 2 3 2 2 5" xfId="9397" xr:uid="{618803FA-D77D-4EA7-9599-C9C375D648BA}"/>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24614" xr:uid="{8D5F8ABB-714E-4998-A3A1-0802B462B45C}"/>
    <cellStyle name="Normal 4 4 2 3 2 3 2 2 3" xfId="16173" xr:uid="{0045C489-0EB9-4DAB-BC6D-E0F51C44886A}"/>
    <cellStyle name="Normal 4 4 2 3 2 3 2 3" xfId="20396" xr:uid="{47595E83-1C5E-4591-8056-E53797DEAA8D}"/>
    <cellStyle name="Normal 4 4 2 3 2 3 2 4" xfId="11955" xr:uid="{59D84149-A13C-44EC-BCCE-645303DF9449}"/>
    <cellStyle name="Normal 4 4 2 3 2 3 3" xfId="5586" xr:uid="{00000000-0005-0000-0000-00001F150000}"/>
    <cellStyle name="Normal 4 4 2 3 2 3 3 2" xfId="22469" xr:uid="{A61B98E9-B5D9-4FDF-8BDA-F92F521A65B6}"/>
    <cellStyle name="Normal 4 4 2 3 2 3 3 3" xfId="14028" xr:uid="{9780C3B3-4F5C-4A0D-8E3A-EDC1C0311880}"/>
    <cellStyle name="Normal 4 4 2 3 2 3 4" xfId="18251" xr:uid="{1F3E78AB-94F7-43F7-9D44-DEC83AD19885}"/>
    <cellStyle name="Normal 4 4 2 3 2 3 5" xfId="9810" xr:uid="{FBC1551B-12EB-4095-B819-78D11923E70E}"/>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25027" xr:uid="{6EE8E0BC-BBC5-4722-AA6D-E8EEC2693DE4}"/>
    <cellStyle name="Normal 4 4 2 3 2 4 2 2 3" xfId="16586" xr:uid="{E0FEE172-FD7C-4424-A580-D37644FD5BEF}"/>
    <cellStyle name="Normal 4 4 2 3 2 4 2 3" xfId="20809" xr:uid="{BF9B0F63-BE46-4DE7-A78D-479166C6D371}"/>
    <cellStyle name="Normal 4 4 2 3 2 4 2 4" xfId="12368" xr:uid="{4C71B49A-D7C1-47B6-86F8-5D2CD5B8D50C}"/>
    <cellStyle name="Normal 4 4 2 3 2 4 3" xfId="5999" xr:uid="{00000000-0005-0000-0000-000023150000}"/>
    <cellStyle name="Normal 4 4 2 3 2 4 3 2" xfId="22882" xr:uid="{38BE6121-8FB0-41A3-970A-39465983CCDF}"/>
    <cellStyle name="Normal 4 4 2 3 2 4 3 3" xfId="14441" xr:uid="{17E8B2C7-DC35-4791-9BD7-A7B8F32E85AE}"/>
    <cellStyle name="Normal 4 4 2 3 2 4 4" xfId="18664" xr:uid="{10BA4015-753C-4FE6-9CDF-727596DC70F7}"/>
    <cellStyle name="Normal 4 4 2 3 2 4 5" xfId="10223" xr:uid="{E2DA0669-0679-4627-AF7F-EEDAFC620557}"/>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25440" xr:uid="{E128AE06-5101-4A0F-B871-E0A3A63A6836}"/>
    <cellStyle name="Normal 4 4 2 3 2 5 2 2 3" xfId="16999" xr:uid="{9CE29F55-7CD4-4648-A1EF-232552E3A0FF}"/>
    <cellStyle name="Normal 4 4 2 3 2 5 2 3" xfId="21222" xr:uid="{2BFF38C9-EA1B-4DD3-A6E2-71C482ACF0EA}"/>
    <cellStyle name="Normal 4 4 2 3 2 5 2 4" xfId="12781" xr:uid="{749FC26F-898E-4ADE-8A50-2F82899AA0E0}"/>
    <cellStyle name="Normal 4 4 2 3 2 5 3" xfId="6412" xr:uid="{00000000-0005-0000-0000-000027150000}"/>
    <cellStyle name="Normal 4 4 2 3 2 5 3 2" xfId="23295" xr:uid="{832AB912-6660-48CA-AFC4-A1A67FE72ADD}"/>
    <cellStyle name="Normal 4 4 2 3 2 5 3 3" xfId="14854" xr:uid="{78267D5D-56EA-436B-BB5D-B53B396DDB82}"/>
    <cellStyle name="Normal 4 4 2 3 2 5 4" xfId="19077" xr:uid="{AA9A329D-805E-4B63-BABA-821F9FEE77D7}"/>
    <cellStyle name="Normal 4 4 2 3 2 5 5" xfId="10636" xr:uid="{4197DDD2-C833-488D-B62A-8526F6D686CA}"/>
    <cellStyle name="Normal 4 4 2 3 2 6" xfId="2541" xr:uid="{00000000-0005-0000-0000-000028150000}"/>
    <cellStyle name="Normal 4 4 2 3 2 6 2" xfId="6825" xr:uid="{00000000-0005-0000-0000-000029150000}"/>
    <cellStyle name="Normal 4 4 2 3 2 6 2 2" xfId="23708" xr:uid="{F15465BF-A5BF-4939-BF3D-C15F50EE4DB4}"/>
    <cellStyle name="Normal 4 4 2 3 2 6 2 3" xfId="15267" xr:uid="{1FF05074-6E02-482D-BEDD-2217410F7422}"/>
    <cellStyle name="Normal 4 4 2 3 2 6 3" xfId="19490" xr:uid="{49F2171D-27F1-4CDA-AA56-588C7CDA6643}"/>
    <cellStyle name="Normal 4 4 2 3 2 6 4" xfId="11049" xr:uid="{CC1EA3D9-4B68-4DEE-AA9B-A7B9665E9C2A}"/>
    <cellStyle name="Normal 4 4 2 3 2 7" xfId="4760" xr:uid="{00000000-0005-0000-0000-00002A150000}"/>
    <cellStyle name="Normal 4 4 2 3 2 7 2" xfId="21643" xr:uid="{8654B9FC-5AE3-4C27-B34A-A9965020F209}"/>
    <cellStyle name="Normal 4 4 2 3 2 7 3" xfId="13202" xr:uid="{6DCC6329-2799-405E-BCB7-481EEF62E1DC}"/>
    <cellStyle name="Normal 4 4 2 3 2 8" xfId="17425" xr:uid="{59CCCD47-0876-4190-8607-BA8776209D7B}"/>
    <cellStyle name="Normal 4 4 2 3 2 9" xfId="8984" xr:uid="{2B724B32-00A0-41DE-B643-6BA45701642A}"/>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24200" xr:uid="{AC53A25A-5713-4623-9A6C-2F96F9263B6C}"/>
    <cellStyle name="Normal 4 4 2 3 3 2 2 3" xfId="15759" xr:uid="{884DCDDE-6F2D-47B5-A4AE-B6CA5ECB38F4}"/>
    <cellStyle name="Normal 4 4 2 3 3 2 3" xfId="19982" xr:uid="{6FF7CD46-8C94-4668-9101-40F6138E2FC6}"/>
    <cellStyle name="Normal 4 4 2 3 3 2 4" xfId="11541" xr:uid="{79823E2A-25E5-4BC4-9198-3DB2FA17D52A}"/>
    <cellStyle name="Normal 4 4 2 3 3 3" xfId="5172" xr:uid="{00000000-0005-0000-0000-00002E150000}"/>
    <cellStyle name="Normal 4 4 2 3 3 3 2" xfId="22055" xr:uid="{565594E0-3C3D-4179-9D46-82734F8DDC1B}"/>
    <cellStyle name="Normal 4 4 2 3 3 3 3" xfId="13614" xr:uid="{5CEBC76D-8EE7-42F9-9CB2-6F7E81F8AFC6}"/>
    <cellStyle name="Normal 4 4 2 3 3 4" xfId="17837" xr:uid="{6DD1E7CB-32B4-4415-B880-E6618C21DA9B}"/>
    <cellStyle name="Normal 4 4 2 3 3 5" xfId="9396" xr:uid="{39063BAA-53FB-4172-9D74-23CAA2192C2E}"/>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24613" xr:uid="{331CC20E-4C19-4510-9FF1-7715AD2B662C}"/>
    <cellStyle name="Normal 4 4 2 3 4 2 2 3" xfId="16172" xr:uid="{2410C980-507E-44FB-B1C5-190884F672AB}"/>
    <cellStyle name="Normal 4 4 2 3 4 2 3" xfId="20395" xr:uid="{8C5C51BA-489A-4585-A66A-A2B865C00776}"/>
    <cellStyle name="Normal 4 4 2 3 4 2 4" xfId="11954" xr:uid="{38AA874C-B6E9-4830-B11C-7DC70A9BECD8}"/>
    <cellStyle name="Normal 4 4 2 3 4 3" xfId="5585" xr:uid="{00000000-0005-0000-0000-000032150000}"/>
    <cellStyle name="Normal 4 4 2 3 4 3 2" xfId="22468" xr:uid="{B4D681DB-CF2A-4267-BF04-9978110AEE03}"/>
    <cellStyle name="Normal 4 4 2 3 4 3 3" xfId="14027" xr:uid="{ED96B376-360C-4668-98C2-2437F532C15A}"/>
    <cellStyle name="Normal 4 4 2 3 4 4" xfId="18250" xr:uid="{67D842BD-D984-4D65-9779-BECEF08DF577}"/>
    <cellStyle name="Normal 4 4 2 3 4 5" xfId="9809" xr:uid="{F1088A75-ECC9-438E-BBF9-0CC4B58640B8}"/>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25026" xr:uid="{242B609C-B581-4AB6-A348-7B0BE2CFD5EF}"/>
    <cellStyle name="Normal 4 4 2 3 5 2 2 3" xfId="16585" xr:uid="{F43C0D22-617E-4C92-AB8B-1F82A6B98867}"/>
    <cellStyle name="Normal 4 4 2 3 5 2 3" xfId="20808" xr:uid="{C2EE57BA-9C34-4433-9649-FCE260E5FF6F}"/>
    <cellStyle name="Normal 4 4 2 3 5 2 4" xfId="12367" xr:uid="{895E0153-FB36-4D77-82F9-A1ACF8DD9F3F}"/>
    <cellStyle name="Normal 4 4 2 3 5 3" xfId="5998" xr:uid="{00000000-0005-0000-0000-000036150000}"/>
    <cellStyle name="Normal 4 4 2 3 5 3 2" xfId="22881" xr:uid="{F743507D-3324-4CB5-8B41-430BF28420CA}"/>
    <cellStyle name="Normal 4 4 2 3 5 3 3" xfId="14440" xr:uid="{4D8CF840-FAE0-4F36-8A78-80BD6EF0CECF}"/>
    <cellStyle name="Normal 4 4 2 3 5 4" xfId="18663" xr:uid="{4B0BA899-7216-4E28-B784-2450AD38B049}"/>
    <cellStyle name="Normal 4 4 2 3 5 5" xfId="10222" xr:uid="{AD754B83-2648-4C7D-A344-B1EC6BEACA08}"/>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25439" xr:uid="{6D768F5A-7C31-4171-BEA9-ED9E53EC4C1A}"/>
    <cellStyle name="Normal 4 4 2 3 6 2 2 3" xfId="16998" xr:uid="{8F496237-F79B-4958-8ED0-CCDE1EF2E045}"/>
    <cellStyle name="Normal 4 4 2 3 6 2 3" xfId="21221" xr:uid="{47F4A226-2424-48F9-AA4B-60EAE99E5CA9}"/>
    <cellStyle name="Normal 4 4 2 3 6 2 4" xfId="12780" xr:uid="{10DBCA4B-C6A2-423A-8EF0-34F9E9172AC9}"/>
    <cellStyle name="Normal 4 4 2 3 6 3" xfId="6411" xr:uid="{00000000-0005-0000-0000-00003A150000}"/>
    <cellStyle name="Normal 4 4 2 3 6 3 2" xfId="23294" xr:uid="{79C7823B-C2D9-459C-AA69-FED4DB63A8D5}"/>
    <cellStyle name="Normal 4 4 2 3 6 3 3" xfId="14853" xr:uid="{C1086143-0417-4A90-86EA-20BC0EAE6A6C}"/>
    <cellStyle name="Normal 4 4 2 3 6 4" xfId="19076" xr:uid="{32F68AE2-62A9-4581-AF08-63BE2ECB215A}"/>
    <cellStyle name="Normal 4 4 2 3 6 5" xfId="10635" xr:uid="{6EFF978E-EE7E-4847-94EB-19092693E99C}"/>
    <cellStyle name="Normal 4 4 2 3 7" xfId="2540" xr:uid="{00000000-0005-0000-0000-00003B150000}"/>
    <cellStyle name="Normal 4 4 2 3 7 2" xfId="6824" xr:uid="{00000000-0005-0000-0000-00003C150000}"/>
    <cellStyle name="Normal 4 4 2 3 7 2 2" xfId="23707" xr:uid="{7075397A-9702-4940-A1DF-CC796DEBFB20}"/>
    <cellStyle name="Normal 4 4 2 3 7 2 3" xfId="15266" xr:uid="{764A3B37-B711-49AC-BD92-FEFD048B3763}"/>
    <cellStyle name="Normal 4 4 2 3 7 3" xfId="19489" xr:uid="{079E87AB-E7EB-41CB-99DD-1E16CBC03047}"/>
    <cellStyle name="Normal 4 4 2 3 7 4" xfId="11048" xr:uid="{24999ADD-7106-4263-BAAC-003C8352A2CA}"/>
    <cellStyle name="Normal 4 4 2 3 8" xfId="4759" xr:uid="{00000000-0005-0000-0000-00003D150000}"/>
    <cellStyle name="Normal 4 4 2 3 8 2" xfId="21642" xr:uid="{779DDBE1-13AD-4E91-9EA7-912769A024E2}"/>
    <cellStyle name="Normal 4 4 2 3 8 3" xfId="13201" xr:uid="{1D53C0B8-A5EC-401A-B9E4-E9F2C0390248}"/>
    <cellStyle name="Normal 4 4 2 3 9" xfId="17424" xr:uid="{19068B70-E59A-48BB-95D3-7DD25EA50277}"/>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24202" xr:uid="{10E3E972-5403-4ADE-B1B9-0F95803743CA}"/>
    <cellStyle name="Normal 4 4 2 4 2 2 2 3" xfId="15761" xr:uid="{713BC46C-E270-4B17-A915-889A7F618CF3}"/>
    <cellStyle name="Normal 4 4 2 4 2 2 3" xfId="19984" xr:uid="{D9C6244E-94E9-42F2-B673-E0983DF44C3C}"/>
    <cellStyle name="Normal 4 4 2 4 2 2 4" xfId="11543" xr:uid="{1A6047D0-15A5-409E-9D02-9DC96F63F13D}"/>
    <cellStyle name="Normal 4 4 2 4 2 3" xfId="5174" xr:uid="{00000000-0005-0000-0000-000042150000}"/>
    <cellStyle name="Normal 4 4 2 4 2 3 2" xfId="22057" xr:uid="{B62F65FE-1EA3-4E20-9285-15DE6776EBFF}"/>
    <cellStyle name="Normal 4 4 2 4 2 3 3" xfId="13616" xr:uid="{38C40A5B-79A4-46B5-B5B0-1689CA725BCC}"/>
    <cellStyle name="Normal 4 4 2 4 2 4" xfId="17839" xr:uid="{05BAD0DC-8193-4317-9AEC-F870C4AB551D}"/>
    <cellStyle name="Normal 4 4 2 4 2 5" xfId="9398" xr:uid="{7B65FA54-D570-4B72-87BB-90CC343995D1}"/>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24615" xr:uid="{C73E0CC7-0D15-4E77-BB21-03BA404F1BD9}"/>
    <cellStyle name="Normal 4 4 2 4 3 2 2 3" xfId="16174" xr:uid="{8766DD8B-53F4-486E-B665-7B4AB195A115}"/>
    <cellStyle name="Normal 4 4 2 4 3 2 3" xfId="20397" xr:uid="{F41F93B3-7F7E-4736-8E55-B0CFE008F875}"/>
    <cellStyle name="Normal 4 4 2 4 3 2 4" xfId="11956" xr:uid="{8B820C9B-5CBB-4B2A-8D26-422B1529716D}"/>
    <cellStyle name="Normal 4 4 2 4 3 3" xfId="5587" xr:uid="{00000000-0005-0000-0000-000046150000}"/>
    <cellStyle name="Normal 4 4 2 4 3 3 2" xfId="22470" xr:uid="{31F4515F-405C-4D93-8960-CCCB23753D8D}"/>
    <cellStyle name="Normal 4 4 2 4 3 3 3" xfId="14029" xr:uid="{D73CC3D6-6EC4-4F8D-A696-27FBF16E4976}"/>
    <cellStyle name="Normal 4 4 2 4 3 4" xfId="18252" xr:uid="{355CEF26-E5E7-426B-8152-7EFFABAF1653}"/>
    <cellStyle name="Normal 4 4 2 4 3 5" xfId="9811" xr:uid="{3FFE6DB2-1F45-4DB2-A7E5-08F6479A8D64}"/>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25028" xr:uid="{F0EE78AC-9C94-47E0-A4D5-C8336D3BC035}"/>
    <cellStyle name="Normal 4 4 2 4 4 2 2 3" xfId="16587" xr:uid="{D3D077F6-8470-41AC-8847-A1C1ADD89596}"/>
    <cellStyle name="Normal 4 4 2 4 4 2 3" xfId="20810" xr:uid="{D800F70B-57F4-4B2A-B118-9D2938E57F47}"/>
    <cellStyle name="Normal 4 4 2 4 4 2 4" xfId="12369" xr:uid="{3D62C755-EC14-45C9-A05A-612755BF8477}"/>
    <cellStyle name="Normal 4 4 2 4 4 3" xfId="6000" xr:uid="{00000000-0005-0000-0000-00004A150000}"/>
    <cellStyle name="Normal 4 4 2 4 4 3 2" xfId="22883" xr:uid="{881EEB80-E4AF-4CCA-B087-065FD3008452}"/>
    <cellStyle name="Normal 4 4 2 4 4 3 3" xfId="14442" xr:uid="{20868E54-4556-4770-BA6F-E2FC0193C98E}"/>
    <cellStyle name="Normal 4 4 2 4 4 4" xfId="18665" xr:uid="{49B92112-DB6B-4091-8A6A-92F29E30EF4A}"/>
    <cellStyle name="Normal 4 4 2 4 4 5" xfId="10224" xr:uid="{428A40F3-5B6D-466F-B9E1-B329505DD896}"/>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25441" xr:uid="{83F98885-1510-4850-A25B-1D46A1034876}"/>
    <cellStyle name="Normal 4 4 2 4 5 2 2 3" xfId="17000" xr:uid="{BC17677E-0861-42F5-A3BF-D1BDE18A96DD}"/>
    <cellStyle name="Normal 4 4 2 4 5 2 3" xfId="21223" xr:uid="{856BB2AF-F154-4669-90E1-5C8E35D7F338}"/>
    <cellStyle name="Normal 4 4 2 4 5 2 4" xfId="12782" xr:uid="{DAFAAC78-5AEC-46D1-8EFB-CA35E18E5A6C}"/>
    <cellStyle name="Normal 4 4 2 4 5 3" xfId="6413" xr:uid="{00000000-0005-0000-0000-00004E150000}"/>
    <cellStyle name="Normal 4 4 2 4 5 3 2" xfId="23296" xr:uid="{030BBA8A-079D-47D5-8C41-34746C961A58}"/>
    <cellStyle name="Normal 4 4 2 4 5 3 3" xfId="14855" xr:uid="{134DBC4D-4A1A-445F-9C1E-D3E6CF1332D7}"/>
    <cellStyle name="Normal 4 4 2 4 5 4" xfId="19078" xr:uid="{12672CB8-FD22-40D1-8892-F26027607F33}"/>
    <cellStyle name="Normal 4 4 2 4 5 5" xfId="10637" xr:uid="{F208F353-43B1-4CF4-9F40-04DFE0CAF989}"/>
    <cellStyle name="Normal 4 4 2 4 6" xfId="2542" xr:uid="{00000000-0005-0000-0000-00004F150000}"/>
    <cellStyle name="Normal 4 4 2 4 6 2" xfId="6826" xr:uid="{00000000-0005-0000-0000-000050150000}"/>
    <cellStyle name="Normal 4 4 2 4 6 2 2" xfId="23709" xr:uid="{4A6242D2-EE8E-44BE-AA76-01599DCEBDB4}"/>
    <cellStyle name="Normal 4 4 2 4 6 2 3" xfId="15268" xr:uid="{6BF1F274-D60E-437F-9B6D-424E699A3F1B}"/>
    <cellStyle name="Normal 4 4 2 4 6 3" xfId="19491" xr:uid="{A11D1363-9C70-47EC-BA22-55EC99234F06}"/>
    <cellStyle name="Normal 4 4 2 4 6 4" xfId="11050" xr:uid="{866B5B78-5226-4E4A-9487-358BBFFB68A2}"/>
    <cellStyle name="Normal 4 4 2 4 7" xfId="4761" xr:uid="{00000000-0005-0000-0000-000051150000}"/>
    <cellStyle name="Normal 4 4 2 4 7 2" xfId="21644" xr:uid="{455D51A2-6AA0-4884-8CE5-4E0A493F596A}"/>
    <cellStyle name="Normal 4 4 2 4 7 3" xfId="13203" xr:uid="{6016E083-1E0A-4828-A669-90B1CE41CFE8}"/>
    <cellStyle name="Normal 4 4 2 4 8" xfId="17426" xr:uid="{BFCC7CCE-8A89-4BE6-B859-10D6B8FA0E19}"/>
    <cellStyle name="Normal 4 4 2 4 9" xfId="8985" xr:uid="{010CA81D-7B0E-4C0B-8449-216F42783097}"/>
    <cellStyle name="Normal 4 4 2 5" xfId="854" xr:uid="{00000000-0005-0000-0000-000052150000}"/>
    <cellStyle name="Normal 4 4 2 5 2" xfId="3089" xr:uid="{00000000-0005-0000-0000-000053150000}"/>
    <cellStyle name="Normal 4 4 2 5 2 2" xfId="7312" xr:uid="{00000000-0005-0000-0000-000054150000}"/>
    <cellStyle name="Normal 4 4 2 5 2 2 2" xfId="24195" xr:uid="{423CEC8B-2969-44E2-96A8-D265EBFF25E3}"/>
    <cellStyle name="Normal 4 4 2 5 2 2 3" xfId="15754" xr:uid="{1CBE735F-001E-4CE6-B3FC-C988ABDDC9A5}"/>
    <cellStyle name="Normal 4 4 2 5 2 3" xfId="19977" xr:uid="{67AE0DE0-CD20-4B6C-A8CD-28A444892389}"/>
    <cellStyle name="Normal 4 4 2 5 2 4" xfId="11536" xr:uid="{62AD4894-B780-4DCE-906C-0E624C800BB6}"/>
    <cellStyle name="Normal 4 4 2 5 3" xfId="5167" xr:uid="{00000000-0005-0000-0000-000055150000}"/>
    <cellStyle name="Normal 4 4 2 5 3 2" xfId="22050" xr:uid="{CBCC7B9C-62D4-4FD5-82AD-177B29CA91D9}"/>
    <cellStyle name="Normal 4 4 2 5 3 3" xfId="13609" xr:uid="{C22A781B-B22D-47E4-832F-F11FF99EB309}"/>
    <cellStyle name="Normal 4 4 2 5 4" xfId="17832" xr:uid="{BBF547D7-6439-4083-88FF-8B4E0A2BD24D}"/>
    <cellStyle name="Normal 4 4 2 5 5" xfId="9391" xr:uid="{DBFFE3D7-E8BC-48F6-ABA1-F33A31DBC9F3}"/>
    <cellStyle name="Normal 4 4 2 6" xfId="1272" xr:uid="{00000000-0005-0000-0000-000056150000}"/>
    <cellStyle name="Normal 4 4 2 6 2" xfId="3502" xr:uid="{00000000-0005-0000-0000-000057150000}"/>
    <cellStyle name="Normal 4 4 2 6 2 2" xfId="7725" xr:uid="{00000000-0005-0000-0000-000058150000}"/>
    <cellStyle name="Normal 4 4 2 6 2 2 2" xfId="24608" xr:uid="{7DD6F597-3A83-41F6-8145-D85FDF79745E}"/>
    <cellStyle name="Normal 4 4 2 6 2 2 3" xfId="16167" xr:uid="{F6AB78A1-08DF-4F66-ACBE-DF846D8CE257}"/>
    <cellStyle name="Normal 4 4 2 6 2 3" xfId="20390" xr:uid="{1200BA74-D456-498E-9C8A-7F6ACF4B9927}"/>
    <cellStyle name="Normal 4 4 2 6 2 4" xfId="11949" xr:uid="{4CA44971-E7E1-45E5-B260-80EEBE932D2F}"/>
    <cellStyle name="Normal 4 4 2 6 3" xfId="5580" xr:uid="{00000000-0005-0000-0000-000059150000}"/>
    <cellStyle name="Normal 4 4 2 6 3 2" xfId="22463" xr:uid="{A6C510CA-101A-45FD-8295-25B649A0FBC5}"/>
    <cellStyle name="Normal 4 4 2 6 3 3" xfId="14022" xr:uid="{08822B95-4ED2-4232-BBCB-E24559D69D30}"/>
    <cellStyle name="Normal 4 4 2 6 4" xfId="18245" xr:uid="{AABB506B-2F5D-4549-ADEB-DCC05ED40A3E}"/>
    <cellStyle name="Normal 4 4 2 6 5" xfId="9804" xr:uid="{841AAE34-7E83-4B33-A320-65861D331FCA}"/>
    <cellStyle name="Normal 4 4 2 7" xfId="1685" xr:uid="{00000000-0005-0000-0000-00005A150000}"/>
    <cellStyle name="Normal 4 4 2 7 2" xfId="3915" xr:uid="{00000000-0005-0000-0000-00005B150000}"/>
    <cellStyle name="Normal 4 4 2 7 2 2" xfId="8138" xr:uid="{00000000-0005-0000-0000-00005C150000}"/>
    <cellStyle name="Normal 4 4 2 7 2 2 2" xfId="25021" xr:uid="{38D5783A-D54A-4C6D-895C-19F429D261CF}"/>
    <cellStyle name="Normal 4 4 2 7 2 2 3" xfId="16580" xr:uid="{385D1FD6-8CEC-4752-8E68-20AE829F4BD2}"/>
    <cellStyle name="Normal 4 4 2 7 2 3" xfId="20803" xr:uid="{F02F7ABB-EE0C-43D0-BF6A-F3D3CE439343}"/>
    <cellStyle name="Normal 4 4 2 7 2 4" xfId="12362" xr:uid="{8B3EB676-5DA8-4F4A-B9C1-05B81825AD5B}"/>
    <cellStyle name="Normal 4 4 2 7 3" xfId="5993" xr:uid="{00000000-0005-0000-0000-00005D150000}"/>
    <cellStyle name="Normal 4 4 2 7 3 2" xfId="22876" xr:uid="{70F29B93-BA05-4013-B1FA-BB65DC180DF6}"/>
    <cellStyle name="Normal 4 4 2 7 3 3" xfId="14435" xr:uid="{29D7B6AE-1F86-4636-9EF6-0279497920C1}"/>
    <cellStyle name="Normal 4 4 2 7 4" xfId="18658" xr:uid="{8C2EF1E1-5E76-4ABE-9F28-623D44260D44}"/>
    <cellStyle name="Normal 4 4 2 7 5" xfId="10217" xr:uid="{F05C2EF2-464B-4B20-BA54-24FBF28DE219}"/>
    <cellStyle name="Normal 4 4 2 8" xfId="2099" xr:uid="{00000000-0005-0000-0000-00005E150000}"/>
    <cellStyle name="Normal 4 4 2 8 2" xfId="4328" xr:uid="{00000000-0005-0000-0000-00005F150000}"/>
    <cellStyle name="Normal 4 4 2 8 2 2" xfId="8551" xr:uid="{00000000-0005-0000-0000-000060150000}"/>
    <cellStyle name="Normal 4 4 2 8 2 2 2" xfId="25434" xr:uid="{ED2CFAB9-998F-4F31-B841-B3EA7213218A}"/>
    <cellStyle name="Normal 4 4 2 8 2 2 3" xfId="16993" xr:uid="{531BBD91-0E29-4B8F-AE61-58A903AE19E4}"/>
    <cellStyle name="Normal 4 4 2 8 2 3" xfId="21216" xr:uid="{45364BA5-6140-4FE3-824C-4C0FBE85864E}"/>
    <cellStyle name="Normal 4 4 2 8 2 4" xfId="12775" xr:uid="{A804F2B6-7357-4990-944A-8FE0B3AC0427}"/>
    <cellStyle name="Normal 4 4 2 8 3" xfId="6406" xr:uid="{00000000-0005-0000-0000-000061150000}"/>
    <cellStyle name="Normal 4 4 2 8 3 2" xfId="23289" xr:uid="{94EC73CC-A978-4B98-B292-134B3994FAAE}"/>
    <cellStyle name="Normal 4 4 2 8 3 3" xfId="14848" xr:uid="{0202928E-35E5-4351-B24C-5219BC1F51AA}"/>
    <cellStyle name="Normal 4 4 2 8 4" xfId="19071" xr:uid="{C10A80CF-6741-4FBB-A893-9B4CA2A732FC}"/>
    <cellStyle name="Normal 4 4 2 8 5" xfId="10630" xr:uid="{D5108E25-52C5-43F4-BCDA-983F3DB32E7E}"/>
    <cellStyle name="Normal 4 4 2 9" xfId="2535" xr:uid="{00000000-0005-0000-0000-000062150000}"/>
    <cellStyle name="Normal 4 4 2 9 2" xfId="6819" xr:uid="{00000000-0005-0000-0000-000063150000}"/>
    <cellStyle name="Normal 4 4 2 9 2 2" xfId="23702" xr:uid="{B8851354-63E9-4A6A-8487-B9555CDFE7E5}"/>
    <cellStyle name="Normal 4 4 2 9 2 3" xfId="15261" xr:uid="{292BF23E-3D0C-4FF8-AD20-A098E6A65096}"/>
    <cellStyle name="Normal 4 4 2 9 3" xfId="19484" xr:uid="{70D8ED37-2813-42FE-8DDC-3CA343CC7C9D}"/>
    <cellStyle name="Normal 4 4 2 9 4" xfId="11043" xr:uid="{9C200BD6-201E-4243-AD1D-685512C9C6DE}"/>
    <cellStyle name="Normal 4 4 3" xfId="387" xr:uid="{00000000-0005-0000-0000-000064150000}"/>
    <cellStyle name="Normal 4 4 3 10" xfId="17427" xr:uid="{017CE253-7F76-454C-BFD0-3CED3251DA5C}"/>
    <cellStyle name="Normal 4 4 3 11" xfId="8986" xr:uid="{393AB27B-245D-4B1E-8DAD-C6E61FDE28E0}"/>
    <cellStyle name="Normal 4 4 3 2" xfId="388" xr:uid="{00000000-0005-0000-0000-000065150000}"/>
    <cellStyle name="Normal 4 4 3 2 10" xfId="8987" xr:uid="{54309352-BD61-497B-A76A-728CEB92646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24205" xr:uid="{6010F6E0-F585-47D8-ACE4-CB2053E86282}"/>
    <cellStyle name="Normal 4 4 3 2 2 2 2 2 3" xfId="15764" xr:uid="{32913578-A1C7-42F3-9296-C96D2EDE7578}"/>
    <cellStyle name="Normal 4 4 3 2 2 2 2 3" xfId="19987" xr:uid="{235C3A9B-1AC7-4471-BD3A-0BD0A7998CB4}"/>
    <cellStyle name="Normal 4 4 3 2 2 2 2 4" xfId="11546" xr:uid="{B58F5FE0-DE3F-4EAC-8D27-B4C5012F8C8A}"/>
    <cellStyle name="Normal 4 4 3 2 2 2 3" xfId="5177" xr:uid="{00000000-0005-0000-0000-00006A150000}"/>
    <cellStyle name="Normal 4 4 3 2 2 2 3 2" xfId="22060" xr:uid="{5A0AE375-41F4-4A5E-A9CB-15332EFD642B}"/>
    <cellStyle name="Normal 4 4 3 2 2 2 3 3" xfId="13619" xr:uid="{9BB744DE-F0E4-4E90-B83A-8310601BA0F0}"/>
    <cellStyle name="Normal 4 4 3 2 2 2 4" xfId="17842" xr:uid="{084018FE-57CE-411A-9172-89B3BCCA224F}"/>
    <cellStyle name="Normal 4 4 3 2 2 2 5" xfId="9401" xr:uid="{4612303B-112B-4D18-9E7F-3ADA91091C11}"/>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24618" xr:uid="{4DBEF033-F430-405D-8E5C-99267216F0AB}"/>
    <cellStyle name="Normal 4 4 3 2 2 3 2 2 3" xfId="16177" xr:uid="{EFE56979-D21E-4244-9D0E-DCF8DF95D38C}"/>
    <cellStyle name="Normal 4 4 3 2 2 3 2 3" xfId="20400" xr:uid="{29CC4269-1CE5-4701-8A8D-9B60EE4E7658}"/>
    <cellStyle name="Normal 4 4 3 2 2 3 2 4" xfId="11959" xr:uid="{1E7CF494-ABEB-46B9-8E2C-71603C343AC3}"/>
    <cellStyle name="Normal 4 4 3 2 2 3 3" xfId="5590" xr:uid="{00000000-0005-0000-0000-00006E150000}"/>
    <cellStyle name="Normal 4 4 3 2 2 3 3 2" xfId="22473" xr:uid="{C8715213-4316-4E71-AD75-D479FCE60ADE}"/>
    <cellStyle name="Normal 4 4 3 2 2 3 3 3" xfId="14032" xr:uid="{D04E790D-E002-4BC3-B74F-78D604E0E4B0}"/>
    <cellStyle name="Normal 4 4 3 2 2 3 4" xfId="18255" xr:uid="{3F47A199-F936-44C6-9786-12659977221F}"/>
    <cellStyle name="Normal 4 4 3 2 2 3 5" xfId="9814" xr:uid="{5FFD9F6E-BC60-4C02-A7BF-E31D528D1C96}"/>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25031" xr:uid="{3F6E2FD0-2FF3-48BA-8CDB-95D4CB41E7EE}"/>
    <cellStyle name="Normal 4 4 3 2 2 4 2 2 3" xfId="16590" xr:uid="{E3D5DF01-7055-43B2-864A-B25BA1118D20}"/>
    <cellStyle name="Normal 4 4 3 2 2 4 2 3" xfId="20813" xr:uid="{046BBAB3-D8ED-400D-9CCA-6824831B5001}"/>
    <cellStyle name="Normal 4 4 3 2 2 4 2 4" xfId="12372" xr:uid="{1041DE2B-9EA1-4192-9461-D88A6110BD85}"/>
    <cellStyle name="Normal 4 4 3 2 2 4 3" xfId="6003" xr:uid="{00000000-0005-0000-0000-000072150000}"/>
    <cellStyle name="Normal 4 4 3 2 2 4 3 2" xfId="22886" xr:uid="{0A211A35-3BE2-490A-8C75-460B531791CE}"/>
    <cellStyle name="Normal 4 4 3 2 2 4 3 3" xfId="14445" xr:uid="{F31C836D-5A1D-47B2-B003-EFD23DEFF21C}"/>
    <cellStyle name="Normal 4 4 3 2 2 4 4" xfId="18668" xr:uid="{248E5742-B5CA-4C84-B95B-9AC92403C952}"/>
    <cellStyle name="Normal 4 4 3 2 2 4 5" xfId="10227" xr:uid="{F189AC1F-4B31-42F8-91B4-66EEC0C61A89}"/>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25444" xr:uid="{8329EC18-038C-4D3B-9867-D76EC0B38A3D}"/>
    <cellStyle name="Normal 4 4 3 2 2 5 2 2 3" xfId="17003" xr:uid="{EE634122-7ACB-4B3A-9121-131217BE6F00}"/>
    <cellStyle name="Normal 4 4 3 2 2 5 2 3" xfId="21226" xr:uid="{BB5FC1C8-D9CB-49F7-88AA-2781800AC21C}"/>
    <cellStyle name="Normal 4 4 3 2 2 5 2 4" xfId="12785" xr:uid="{9751AFE3-4346-4242-B1B8-BBE0396A3D1B}"/>
    <cellStyle name="Normal 4 4 3 2 2 5 3" xfId="6416" xr:uid="{00000000-0005-0000-0000-000076150000}"/>
    <cellStyle name="Normal 4 4 3 2 2 5 3 2" xfId="23299" xr:uid="{D97B72A1-F7E9-4C5E-8270-EB860740B004}"/>
    <cellStyle name="Normal 4 4 3 2 2 5 3 3" xfId="14858" xr:uid="{38B325C9-A19F-4D76-8340-4AD0349F59D6}"/>
    <cellStyle name="Normal 4 4 3 2 2 5 4" xfId="19081" xr:uid="{4DF8BE73-DB33-4ECE-98C7-DD53875AA219}"/>
    <cellStyle name="Normal 4 4 3 2 2 5 5" xfId="10640" xr:uid="{EB8A84E8-E38D-4419-BE85-531B7969DF37}"/>
    <cellStyle name="Normal 4 4 3 2 2 6" xfId="2545" xr:uid="{00000000-0005-0000-0000-000077150000}"/>
    <cellStyle name="Normal 4 4 3 2 2 6 2" xfId="6829" xr:uid="{00000000-0005-0000-0000-000078150000}"/>
    <cellStyle name="Normal 4 4 3 2 2 6 2 2" xfId="23712" xr:uid="{7CB36E0D-3BE8-42BD-B504-56840E016F0A}"/>
    <cellStyle name="Normal 4 4 3 2 2 6 2 3" xfId="15271" xr:uid="{8ED4B89E-8A98-4172-9298-31B43B222289}"/>
    <cellStyle name="Normal 4 4 3 2 2 6 3" xfId="19494" xr:uid="{43CF6EB1-2545-495A-A23E-338F8DD690D5}"/>
    <cellStyle name="Normal 4 4 3 2 2 6 4" xfId="11053" xr:uid="{F7CA6613-55F1-4699-9484-F66E62359175}"/>
    <cellStyle name="Normal 4 4 3 2 2 7" xfId="4764" xr:uid="{00000000-0005-0000-0000-000079150000}"/>
    <cellStyle name="Normal 4 4 3 2 2 7 2" xfId="21647" xr:uid="{22E74A3B-4E85-4482-9105-C55C23A697F9}"/>
    <cellStyle name="Normal 4 4 3 2 2 7 3" xfId="13206" xr:uid="{CD3E0B1C-C691-48EB-8B7D-C572A96518C2}"/>
    <cellStyle name="Normal 4 4 3 2 2 8" xfId="17429" xr:uid="{FC673658-018E-40CD-B597-2B0397C39B5D}"/>
    <cellStyle name="Normal 4 4 3 2 2 9" xfId="8988" xr:uid="{5AD5AFC1-78ED-472F-86CE-FE6CF35917A0}"/>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24204" xr:uid="{F9406988-150C-4DC3-A46E-6D0078A41D34}"/>
    <cellStyle name="Normal 4 4 3 2 3 2 2 3" xfId="15763" xr:uid="{C2EA8F80-9B78-4386-B924-8FD21780E119}"/>
    <cellStyle name="Normal 4 4 3 2 3 2 3" xfId="19986" xr:uid="{BF102FE1-815F-43C8-ACC5-1BA2A6C139F2}"/>
    <cellStyle name="Normal 4 4 3 2 3 2 4" xfId="11545" xr:uid="{86C0540E-A90B-4FB6-BB84-9729F5703A17}"/>
    <cellStyle name="Normal 4 4 3 2 3 3" xfId="5176" xr:uid="{00000000-0005-0000-0000-00007D150000}"/>
    <cellStyle name="Normal 4 4 3 2 3 3 2" xfId="22059" xr:uid="{532B53B0-4069-434B-9726-59CA645ADBA7}"/>
    <cellStyle name="Normal 4 4 3 2 3 3 3" xfId="13618" xr:uid="{B9D18634-2E20-49E6-8E58-340127122FED}"/>
    <cellStyle name="Normal 4 4 3 2 3 4" xfId="17841" xr:uid="{4B262262-2B64-4B98-9FC8-0FB2FD008849}"/>
    <cellStyle name="Normal 4 4 3 2 3 5" xfId="9400" xr:uid="{DFCA48A5-B043-4D0B-A665-99F3F23EC962}"/>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24617" xr:uid="{33B33630-AFA2-4580-A4CA-83C3E4396D8B}"/>
    <cellStyle name="Normal 4 4 3 2 4 2 2 3" xfId="16176" xr:uid="{5B6B926D-E815-4940-944E-337AD6ED1F33}"/>
    <cellStyle name="Normal 4 4 3 2 4 2 3" xfId="20399" xr:uid="{F83AEAB0-98E5-427A-BBE5-B938A34DD233}"/>
    <cellStyle name="Normal 4 4 3 2 4 2 4" xfId="11958" xr:uid="{28596E18-3471-428E-888A-8074BE214144}"/>
    <cellStyle name="Normal 4 4 3 2 4 3" xfId="5589" xr:uid="{00000000-0005-0000-0000-000081150000}"/>
    <cellStyle name="Normal 4 4 3 2 4 3 2" xfId="22472" xr:uid="{DD189828-0616-4496-A14E-A40D855371FA}"/>
    <cellStyle name="Normal 4 4 3 2 4 3 3" xfId="14031" xr:uid="{9DD4D544-7C77-44A8-9893-9AFC01805006}"/>
    <cellStyle name="Normal 4 4 3 2 4 4" xfId="18254" xr:uid="{8B54AB23-C4D9-40F0-BEDC-633AD894FF83}"/>
    <cellStyle name="Normal 4 4 3 2 4 5" xfId="9813" xr:uid="{E548570F-67EE-4E32-882A-8B073872CDFD}"/>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25030" xr:uid="{F248B33C-5327-42C9-927A-BF657719E275}"/>
    <cellStyle name="Normal 4 4 3 2 5 2 2 3" xfId="16589" xr:uid="{3A83741A-CD60-407D-A03F-0FB565DCCFF6}"/>
    <cellStyle name="Normal 4 4 3 2 5 2 3" xfId="20812" xr:uid="{C6C1338A-7574-4A34-AC05-679D94BBD3AA}"/>
    <cellStyle name="Normal 4 4 3 2 5 2 4" xfId="12371" xr:uid="{8F09E3E0-3EDB-42BE-9762-1FE73F3E7644}"/>
    <cellStyle name="Normal 4 4 3 2 5 3" xfId="6002" xr:uid="{00000000-0005-0000-0000-000085150000}"/>
    <cellStyle name="Normal 4 4 3 2 5 3 2" xfId="22885" xr:uid="{234394A8-FB64-4344-B071-7585DEF9E3DA}"/>
    <cellStyle name="Normal 4 4 3 2 5 3 3" xfId="14444" xr:uid="{046D0DB8-0CDA-4FC9-81FF-9C4820F5CCE4}"/>
    <cellStyle name="Normal 4 4 3 2 5 4" xfId="18667" xr:uid="{B245DAC6-58E9-4B00-A853-294DE00A120B}"/>
    <cellStyle name="Normal 4 4 3 2 5 5" xfId="10226" xr:uid="{E3FC1831-7EB7-4D1E-BC98-07C2552E7844}"/>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25443" xr:uid="{1ADC0016-79B6-4119-A3E6-F37D51604303}"/>
    <cellStyle name="Normal 4 4 3 2 6 2 2 3" xfId="17002" xr:uid="{78F49197-C093-499C-852D-7197ACE07569}"/>
    <cellStyle name="Normal 4 4 3 2 6 2 3" xfId="21225" xr:uid="{09D50F59-1942-44CD-A5A4-0EC612BB2C2F}"/>
    <cellStyle name="Normal 4 4 3 2 6 2 4" xfId="12784" xr:uid="{010C8846-1A83-4EA6-BE9C-00C83EAA40AA}"/>
    <cellStyle name="Normal 4 4 3 2 6 3" xfId="6415" xr:uid="{00000000-0005-0000-0000-000089150000}"/>
    <cellStyle name="Normal 4 4 3 2 6 3 2" xfId="23298" xr:uid="{7C4B724E-3012-43D3-8B32-E346B1A559F8}"/>
    <cellStyle name="Normal 4 4 3 2 6 3 3" xfId="14857" xr:uid="{5F9850D1-F50D-4EB6-9F8C-B980F15C0C92}"/>
    <cellStyle name="Normal 4 4 3 2 6 4" xfId="19080" xr:uid="{F2966BD3-3951-404F-B88C-39E02837D52B}"/>
    <cellStyle name="Normal 4 4 3 2 6 5" xfId="10639" xr:uid="{374239B4-5474-45A1-8939-3710C7FC18F0}"/>
    <cellStyle name="Normal 4 4 3 2 7" xfId="2544" xr:uid="{00000000-0005-0000-0000-00008A150000}"/>
    <cellStyle name="Normal 4 4 3 2 7 2" xfId="6828" xr:uid="{00000000-0005-0000-0000-00008B150000}"/>
    <cellStyle name="Normal 4 4 3 2 7 2 2" xfId="23711" xr:uid="{8FCF3075-EB14-44B5-BDAA-31F2C694D2AE}"/>
    <cellStyle name="Normal 4 4 3 2 7 2 3" xfId="15270" xr:uid="{0EB4E611-143B-4817-AD18-14E2A4D29870}"/>
    <cellStyle name="Normal 4 4 3 2 7 3" xfId="19493" xr:uid="{B4DDDBFE-8D03-4181-BAF9-0F103D7F0B54}"/>
    <cellStyle name="Normal 4 4 3 2 7 4" xfId="11052" xr:uid="{AA5DD641-28E3-4BC1-9333-59E99F63F206}"/>
    <cellStyle name="Normal 4 4 3 2 8" xfId="4763" xr:uid="{00000000-0005-0000-0000-00008C150000}"/>
    <cellStyle name="Normal 4 4 3 2 8 2" xfId="21646" xr:uid="{EF16BFB4-D221-4E56-8CB1-AC27B27FBAA7}"/>
    <cellStyle name="Normal 4 4 3 2 8 3" xfId="13205" xr:uid="{DC79BB35-78AD-4CDB-93C3-0C095EAB114B}"/>
    <cellStyle name="Normal 4 4 3 2 9" xfId="17428" xr:uid="{4C92E046-3523-4EE5-82D0-C5D46FCCEAF3}"/>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24206" xr:uid="{44551375-7398-48EE-A7EB-5AE394A48874}"/>
    <cellStyle name="Normal 4 4 3 3 2 2 2 3" xfId="15765" xr:uid="{34A2E5EB-5F4D-495A-8982-46C142ED90DD}"/>
    <cellStyle name="Normal 4 4 3 3 2 2 3" xfId="19988" xr:uid="{14B5DC09-2044-4A13-B06D-88F551420FA4}"/>
    <cellStyle name="Normal 4 4 3 3 2 2 4" xfId="11547" xr:uid="{9E1943D0-F475-48AA-B7B2-2447240E88CB}"/>
    <cellStyle name="Normal 4 4 3 3 2 3" xfId="5178" xr:uid="{00000000-0005-0000-0000-000091150000}"/>
    <cellStyle name="Normal 4 4 3 3 2 3 2" xfId="22061" xr:uid="{758FC7B8-9555-4013-AEDF-E8D77DCBD8D2}"/>
    <cellStyle name="Normal 4 4 3 3 2 3 3" xfId="13620" xr:uid="{E56C6290-E317-44E8-B9AD-0DE869E4679C}"/>
    <cellStyle name="Normal 4 4 3 3 2 4" xfId="17843" xr:uid="{8DA810D5-3F3B-48B2-9B31-F29D35E7C35E}"/>
    <cellStyle name="Normal 4 4 3 3 2 5" xfId="9402" xr:uid="{16AA3CE8-83A4-45A5-8D96-1B84883AA623}"/>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24619" xr:uid="{447A036C-4FD9-4704-A51A-A501BCB63727}"/>
    <cellStyle name="Normal 4 4 3 3 3 2 2 3" xfId="16178" xr:uid="{66BC7930-C3F0-404D-A77A-10D18167350B}"/>
    <cellStyle name="Normal 4 4 3 3 3 2 3" xfId="20401" xr:uid="{3C41B3FC-F7A0-4DFF-84B9-70237080466D}"/>
    <cellStyle name="Normal 4 4 3 3 3 2 4" xfId="11960" xr:uid="{24299066-D87E-43AE-AD63-A7AEE8C2EDD5}"/>
    <cellStyle name="Normal 4 4 3 3 3 3" xfId="5591" xr:uid="{00000000-0005-0000-0000-000095150000}"/>
    <cellStyle name="Normal 4 4 3 3 3 3 2" xfId="22474" xr:uid="{E9607B92-AF82-4D45-B875-A0B1F5EDC7A3}"/>
    <cellStyle name="Normal 4 4 3 3 3 3 3" xfId="14033" xr:uid="{E24044A1-4206-41A9-874F-B50B6518EB90}"/>
    <cellStyle name="Normal 4 4 3 3 3 4" xfId="18256" xr:uid="{7A0E648E-181A-445C-8571-D6EB30C145EC}"/>
    <cellStyle name="Normal 4 4 3 3 3 5" xfId="9815" xr:uid="{1BD3069B-EE5E-411D-B0C2-1F07C73A2904}"/>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25032" xr:uid="{7E3723F4-9898-42D9-9586-C14B0C115B28}"/>
    <cellStyle name="Normal 4 4 3 3 4 2 2 3" xfId="16591" xr:uid="{4973BB7D-A35D-41C9-B7B4-D14389C965E0}"/>
    <cellStyle name="Normal 4 4 3 3 4 2 3" xfId="20814" xr:uid="{83DF551E-91AB-4807-BAF2-7B2061587FDD}"/>
    <cellStyle name="Normal 4 4 3 3 4 2 4" xfId="12373" xr:uid="{11DEEA1E-DD1B-4F9B-9DB1-3CA4E5CD0F0E}"/>
    <cellStyle name="Normal 4 4 3 3 4 3" xfId="6004" xr:uid="{00000000-0005-0000-0000-000099150000}"/>
    <cellStyle name="Normal 4 4 3 3 4 3 2" xfId="22887" xr:uid="{3FC3333B-B7FC-4624-88ED-46EEE1A5FB5F}"/>
    <cellStyle name="Normal 4 4 3 3 4 3 3" xfId="14446" xr:uid="{82D38D8C-B371-4FB9-BB53-AFA875A6860A}"/>
    <cellStyle name="Normal 4 4 3 3 4 4" xfId="18669" xr:uid="{37DED746-842B-4E19-BC87-F43387EBBE1A}"/>
    <cellStyle name="Normal 4 4 3 3 4 5" xfId="10228" xr:uid="{3A5BCA78-1670-4117-A1E7-BDF9551B52C0}"/>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25445" xr:uid="{670A78AB-967A-4460-86B7-C161246649F4}"/>
    <cellStyle name="Normal 4 4 3 3 5 2 2 3" xfId="17004" xr:uid="{1829A746-FA5B-4D64-8CB4-8FA279B7B0B5}"/>
    <cellStyle name="Normal 4 4 3 3 5 2 3" xfId="21227" xr:uid="{6A5E5D8B-4E59-4933-84BE-CD19AF7D306F}"/>
    <cellStyle name="Normal 4 4 3 3 5 2 4" xfId="12786" xr:uid="{886948EA-724B-460A-B7E8-3D634BD3F1E2}"/>
    <cellStyle name="Normal 4 4 3 3 5 3" xfId="6417" xr:uid="{00000000-0005-0000-0000-00009D150000}"/>
    <cellStyle name="Normal 4 4 3 3 5 3 2" xfId="23300" xr:uid="{70A9F687-5E72-4F18-ADA9-893F4771A2C6}"/>
    <cellStyle name="Normal 4 4 3 3 5 3 3" xfId="14859" xr:uid="{19F7977B-A5E0-47D4-82CA-C1CED2CAE07D}"/>
    <cellStyle name="Normal 4 4 3 3 5 4" xfId="19082" xr:uid="{FFA81B1D-EF02-43CF-9593-3D1E0E523B53}"/>
    <cellStyle name="Normal 4 4 3 3 5 5" xfId="10641" xr:uid="{3D6A3278-A796-4B71-8BF0-9ABC2E691997}"/>
    <cellStyle name="Normal 4 4 3 3 6" xfId="2546" xr:uid="{00000000-0005-0000-0000-00009E150000}"/>
    <cellStyle name="Normal 4 4 3 3 6 2" xfId="6830" xr:uid="{00000000-0005-0000-0000-00009F150000}"/>
    <cellStyle name="Normal 4 4 3 3 6 2 2" xfId="23713" xr:uid="{256D92E8-84B1-4589-A7F1-7109F0EFB514}"/>
    <cellStyle name="Normal 4 4 3 3 6 2 3" xfId="15272" xr:uid="{503F78FC-EE41-4F71-8AD7-75FC5B0325C8}"/>
    <cellStyle name="Normal 4 4 3 3 6 3" xfId="19495" xr:uid="{E20B2064-6F2E-4C39-B97B-E37607746CD8}"/>
    <cellStyle name="Normal 4 4 3 3 6 4" xfId="11054" xr:uid="{69C96645-0993-4AA3-888B-BEAC470C2CAF}"/>
    <cellStyle name="Normal 4 4 3 3 7" xfId="4765" xr:uid="{00000000-0005-0000-0000-0000A0150000}"/>
    <cellStyle name="Normal 4 4 3 3 7 2" xfId="21648" xr:uid="{2794FD65-D268-4CE7-A193-7F6653DB03F5}"/>
    <cellStyle name="Normal 4 4 3 3 7 3" xfId="13207" xr:uid="{6B4E3822-E200-4DF3-8B39-69D84CEB4D3D}"/>
    <cellStyle name="Normal 4 4 3 3 8" xfId="17430" xr:uid="{EA7EA7E2-FE91-45E1-BE82-F66D51B16ADC}"/>
    <cellStyle name="Normal 4 4 3 3 9" xfId="8989" xr:uid="{B148DD29-8342-4966-95C1-D45510E18E87}"/>
    <cellStyle name="Normal 4 4 3 4" xfId="862" xr:uid="{00000000-0005-0000-0000-0000A1150000}"/>
    <cellStyle name="Normal 4 4 3 4 2" xfId="3097" xr:uid="{00000000-0005-0000-0000-0000A2150000}"/>
    <cellStyle name="Normal 4 4 3 4 2 2" xfId="7320" xr:uid="{00000000-0005-0000-0000-0000A3150000}"/>
    <cellStyle name="Normal 4 4 3 4 2 2 2" xfId="24203" xr:uid="{BB5E78F8-446D-4896-91E8-8A21ADECFCF6}"/>
    <cellStyle name="Normal 4 4 3 4 2 2 3" xfId="15762" xr:uid="{88186448-EEB5-448F-A08C-D8B3744C3C05}"/>
    <cellStyle name="Normal 4 4 3 4 2 3" xfId="19985" xr:uid="{5B105A14-A08E-4EB0-ACF3-BCAD9BC640C6}"/>
    <cellStyle name="Normal 4 4 3 4 2 4" xfId="11544" xr:uid="{9774FD0E-B1D3-4303-AECE-F1765E6C7617}"/>
    <cellStyle name="Normal 4 4 3 4 3" xfId="5175" xr:uid="{00000000-0005-0000-0000-0000A4150000}"/>
    <cellStyle name="Normal 4 4 3 4 3 2" xfId="22058" xr:uid="{4C642085-4B27-4DCE-B667-C7113E703C86}"/>
    <cellStyle name="Normal 4 4 3 4 3 3" xfId="13617" xr:uid="{341800E4-C988-441A-8113-95C12BA6E237}"/>
    <cellStyle name="Normal 4 4 3 4 4" xfId="17840" xr:uid="{64B3C18E-1C97-489E-937D-2BC8BB1E9727}"/>
    <cellStyle name="Normal 4 4 3 4 5" xfId="9399" xr:uid="{A9259506-26C4-450A-BF7B-8E1113B40F49}"/>
    <cellStyle name="Normal 4 4 3 5" xfId="1280" xr:uid="{00000000-0005-0000-0000-0000A5150000}"/>
    <cellStyle name="Normal 4 4 3 5 2" xfId="3510" xr:uid="{00000000-0005-0000-0000-0000A6150000}"/>
    <cellStyle name="Normal 4 4 3 5 2 2" xfId="7733" xr:uid="{00000000-0005-0000-0000-0000A7150000}"/>
    <cellStyle name="Normal 4 4 3 5 2 2 2" xfId="24616" xr:uid="{F102C5B0-55F6-4CA9-B7B4-B43A24F8F7B1}"/>
    <cellStyle name="Normal 4 4 3 5 2 2 3" xfId="16175" xr:uid="{C114EFB7-78D3-4CB3-9012-C4E7218BA449}"/>
    <cellStyle name="Normal 4 4 3 5 2 3" xfId="20398" xr:uid="{02A5E029-4965-48CA-A398-42AD36B87D29}"/>
    <cellStyle name="Normal 4 4 3 5 2 4" xfId="11957" xr:uid="{C89856B4-8D49-464C-BDA6-8738EC154560}"/>
    <cellStyle name="Normal 4 4 3 5 3" xfId="5588" xr:uid="{00000000-0005-0000-0000-0000A8150000}"/>
    <cellStyle name="Normal 4 4 3 5 3 2" xfId="22471" xr:uid="{4079BAED-AE3A-4672-829D-2E6B3AEC8B8F}"/>
    <cellStyle name="Normal 4 4 3 5 3 3" xfId="14030" xr:uid="{39BF49DD-DFB8-4FF7-9471-29249150CC35}"/>
    <cellStyle name="Normal 4 4 3 5 4" xfId="18253" xr:uid="{7F0C9A3D-00D1-4A31-A456-35D100177410}"/>
    <cellStyle name="Normal 4 4 3 5 5" xfId="9812" xr:uid="{65566CA1-556E-4C78-8499-CB82C33BE6B1}"/>
    <cellStyle name="Normal 4 4 3 6" xfId="1693" xr:uid="{00000000-0005-0000-0000-0000A9150000}"/>
    <cellStyle name="Normal 4 4 3 6 2" xfId="3923" xr:uid="{00000000-0005-0000-0000-0000AA150000}"/>
    <cellStyle name="Normal 4 4 3 6 2 2" xfId="8146" xr:uid="{00000000-0005-0000-0000-0000AB150000}"/>
    <cellStyle name="Normal 4 4 3 6 2 2 2" xfId="25029" xr:uid="{5BD1E9D3-55E0-4C53-9917-4DBC479524DE}"/>
    <cellStyle name="Normal 4 4 3 6 2 2 3" xfId="16588" xr:uid="{B46D3946-486B-4391-AC08-7C11699E4AF4}"/>
    <cellStyle name="Normal 4 4 3 6 2 3" xfId="20811" xr:uid="{8AB57471-64F3-4DAB-9A07-5FFB73FB8318}"/>
    <cellStyle name="Normal 4 4 3 6 2 4" xfId="12370" xr:uid="{3BA7B767-7E2F-4FB7-BAA6-4A7C094E4B25}"/>
    <cellStyle name="Normal 4 4 3 6 3" xfId="6001" xr:uid="{00000000-0005-0000-0000-0000AC150000}"/>
    <cellStyle name="Normal 4 4 3 6 3 2" xfId="22884" xr:uid="{AFAD9874-1D69-49D2-AFF3-E4FBE1F14534}"/>
    <cellStyle name="Normal 4 4 3 6 3 3" xfId="14443" xr:uid="{D1C4807C-C991-4F37-94EE-AFA5CC7CDEA5}"/>
    <cellStyle name="Normal 4 4 3 6 4" xfId="18666" xr:uid="{9987ED95-2A1C-4152-8932-7730441C3E47}"/>
    <cellStyle name="Normal 4 4 3 6 5" xfId="10225" xr:uid="{15419046-F2DE-4104-8647-DD237A6AB8BB}"/>
    <cellStyle name="Normal 4 4 3 7" xfId="2107" xr:uid="{00000000-0005-0000-0000-0000AD150000}"/>
    <cellStyle name="Normal 4 4 3 7 2" xfId="4336" xr:uid="{00000000-0005-0000-0000-0000AE150000}"/>
    <cellStyle name="Normal 4 4 3 7 2 2" xfId="8559" xr:uid="{00000000-0005-0000-0000-0000AF150000}"/>
    <cellStyle name="Normal 4 4 3 7 2 2 2" xfId="25442" xr:uid="{8C9780CE-C607-43D2-9F0C-C618FDBE6478}"/>
    <cellStyle name="Normal 4 4 3 7 2 2 3" xfId="17001" xr:uid="{81A66CCD-73C4-4A80-AECC-76BF2E31A42B}"/>
    <cellStyle name="Normal 4 4 3 7 2 3" xfId="21224" xr:uid="{1F96B1BC-3953-47A5-A9C6-3F7DD328BB6D}"/>
    <cellStyle name="Normal 4 4 3 7 2 4" xfId="12783" xr:uid="{8449031E-07F3-4659-B1F6-2B82442CB5A4}"/>
    <cellStyle name="Normal 4 4 3 7 3" xfId="6414" xr:uid="{00000000-0005-0000-0000-0000B0150000}"/>
    <cellStyle name="Normal 4 4 3 7 3 2" xfId="23297" xr:uid="{1D88818F-E2EB-42DB-AF31-31B075688973}"/>
    <cellStyle name="Normal 4 4 3 7 3 3" xfId="14856" xr:uid="{D2B57164-C2AD-4520-9C58-20F5F0139B24}"/>
    <cellStyle name="Normal 4 4 3 7 4" xfId="19079" xr:uid="{38FEBFD2-6E8B-4A3E-86DE-9A351DEAE95A}"/>
    <cellStyle name="Normal 4 4 3 7 5" xfId="10638" xr:uid="{AA01296E-EDCC-4D9F-B7E6-94F384168E69}"/>
    <cellStyle name="Normal 4 4 3 8" xfId="2543" xr:uid="{00000000-0005-0000-0000-0000B1150000}"/>
    <cellStyle name="Normal 4 4 3 8 2" xfId="6827" xr:uid="{00000000-0005-0000-0000-0000B2150000}"/>
    <cellStyle name="Normal 4 4 3 8 2 2" xfId="23710" xr:uid="{E127A871-76F5-490D-BB6D-3F0608D44C7A}"/>
    <cellStyle name="Normal 4 4 3 8 2 3" xfId="15269" xr:uid="{4579D1FE-0A15-4807-87F9-8D3BECB0BC54}"/>
    <cellStyle name="Normal 4 4 3 8 3" xfId="19492" xr:uid="{09AFABAB-784C-4D17-9C68-6658CD214154}"/>
    <cellStyle name="Normal 4 4 3 8 4" xfId="11051" xr:uid="{8509A436-F36D-4744-9999-115A97F96849}"/>
    <cellStyle name="Normal 4 4 3 9" xfId="4762" xr:uid="{00000000-0005-0000-0000-0000B3150000}"/>
    <cellStyle name="Normal 4 4 3 9 2" xfId="21645" xr:uid="{7AB49BA9-3664-478E-9DB4-7D0F434EBB30}"/>
    <cellStyle name="Normal 4 4 3 9 3" xfId="13204" xr:uid="{33F76AED-68E4-40F7-9050-62CD67D13B07}"/>
    <cellStyle name="Normal 4 4 4" xfId="391" xr:uid="{00000000-0005-0000-0000-0000B4150000}"/>
    <cellStyle name="Normal 4 4 4 10" xfId="8990" xr:uid="{0626AAC2-74D8-4527-BFB5-7CD2D8DE70F3}"/>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24208" xr:uid="{DD8241B6-BF6A-4E9D-B13E-0CC38B3732EE}"/>
    <cellStyle name="Normal 4 4 4 2 2 2 2 3" xfId="15767" xr:uid="{CACF9C5A-14AC-4FE7-AB1C-D07A18D472C0}"/>
    <cellStyle name="Normal 4 4 4 2 2 2 3" xfId="19990" xr:uid="{B5FC8795-0822-425D-BD02-9F92E35E865A}"/>
    <cellStyle name="Normal 4 4 4 2 2 2 4" xfId="11549" xr:uid="{CE6D2D91-CB17-4A15-A235-D3A6A3BF5C85}"/>
    <cellStyle name="Normal 4 4 4 2 2 3" xfId="5180" xr:uid="{00000000-0005-0000-0000-0000B9150000}"/>
    <cellStyle name="Normal 4 4 4 2 2 3 2" xfId="22063" xr:uid="{E747B84D-58EB-4054-9EF1-2D5CBD902217}"/>
    <cellStyle name="Normal 4 4 4 2 2 3 3" xfId="13622" xr:uid="{87AC01B2-C2C6-4F1E-AF84-D294646488A6}"/>
    <cellStyle name="Normal 4 4 4 2 2 4" xfId="17845" xr:uid="{69142AC1-CEE2-4463-B369-2EE78869B4E2}"/>
    <cellStyle name="Normal 4 4 4 2 2 5" xfId="9404" xr:uid="{55215D88-B045-4AF0-B70A-EB830DE087F1}"/>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24621" xr:uid="{5E5EB5D0-CD57-419A-A0EF-D552B8E6F3BF}"/>
    <cellStyle name="Normal 4 4 4 2 3 2 2 3" xfId="16180" xr:uid="{C2724F3D-6548-4775-A9AB-20F0D42BD732}"/>
    <cellStyle name="Normal 4 4 4 2 3 2 3" xfId="20403" xr:uid="{FABF18DE-B976-497D-AFF9-4111BBD8FBAF}"/>
    <cellStyle name="Normal 4 4 4 2 3 2 4" xfId="11962" xr:uid="{DCF684FF-DC49-4841-9BA6-BB8F76CCD49A}"/>
    <cellStyle name="Normal 4 4 4 2 3 3" xfId="5593" xr:uid="{00000000-0005-0000-0000-0000BD150000}"/>
    <cellStyle name="Normal 4 4 4 2 3 3 2" xfId="22476" xr:uid="{4767E8DC-6592-4895-9368-445AF4248EDC}"/>
    <cellStyle name="Normal 4 4 4 2 3 3 3" xfId="14035" xr:uid="{DAF8D8B2-C169-4D55-A14E-1D3BD17E73BF}"/>
    <cellStyle name="Normal 4 4 4 2 3 4" xfId="18258" xr:uid="{69D407F9-2312-4147-AE8F-14A3AE67AD83}"/>
    <cellStyle name="Normal 4 4 4 2 3 5" xfId="9817" xr:uid="{43C56E58-C8AC-41E5-B3F9-68E7B111715D}"/>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25034" xr:uid="{03F47B9A-39BB-43E7-8FBD-7C58235616DA}"/>
    <cellStyle name="Normal 4 4 4 2 4 2 2 3" xfId="16593" xr:uid="{F736770B-14EF-4648-91DE-13C93D1F9B62}"/>
    <cellStyle name="Normal 4 4 4 2 4 2 3" xfId="20816" xr:uid="{C2A98C43-0574-46DD-8E1A-62D5B8FD1A3B}"/>
    <cellStyle name="Normal 4 4 4 2 4 2 4" xfId="12375" xr:uid="{F3BE8CB3-4B5B-4402-AF1E-E75081D58AE7}"/>
    <cellStyle name="Normal 4 4 4 2 4 3" xfId="6006" xr:uid="{00000000-0005-0000-0000-0000C1150000}"/>
    <cellStyle name="Normal 4 4 4 2 4 3 2" xfId="22889" xr:uid="{5494C835-C575-4DCA-BC5C-A5AF1668D85F}"/>
    <cellStyle name="Normal 4 4 4 2 4 3 3" xfId="14448" xr:uid="{9D9AD4A7-DEE6-4FC8-81D7-D07B91AD05BF}"/>
    <cellStyle name="Normal 4 4 4 2 4 4" xfId="18671" xr:uid="{0290DF7C-7F7E-4ED6-A2AB-844D67528FF1}"/>
    <cellStyle name="Normal 4 4 4 2 4 5" xfId="10230" xr:uid="{840F4DA0-5E28-49FA-9125-2D625D8CA07B}"/>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25447" xr:uid="{6898C10E-3DF3-4830-9C64-B7FF84899E84}"/>
    <cellStyle name="Normal 4 4 4 2 5 2 2 3" xfId="17006" xr:uid="{1AE20EB7-B296-41D2-9501-08206D64FEC9}"/>
    <cellStyle name="Normal 4 4 4 2 5 2 3" xfId="21229" xr:uid="{AA623C79-BAB1-4BF5-ACDC-00D71FBA3A2C}"/>
    <cellStyle name="Normal 4 4 4 2 5 2 4" xfId="12788" xr:uid="{955A4E9F-BB90-4A84-852C-EC7D23902825}"/>
    <cellStyle name="Normal 4 4 4 2 5 3" xfId="6419" xr:uid="{00000000-0005-0000-0000-0000C5150000}"/>
    <cellStyle name="Normal 4 4 4 2 5 3 2" xfId="23302" xr:uid="{A0EAF61A-9B97-4D83-8765-B311876E3585}"/>
    <cellStyle name="Normal 4 4 4 2 5 3 3" xfId="14861" xr:uid="{EA2DB3A1-F462-4A09-B4CA-14343CD19B6D}"/>
    <cellStyle name="Normal 4 4 4 2 5 4" xfId="19084" xr:uid="{3D6A6BFB-8681-4AA1-A50D-3AC9FED1BD72}"/>
    <cellStyle name="Normal 4 4 4 2 5 5" xfId="10643" xr:uid="{BE8E6B49-B96C-430A-8D88-3BC2A58B60CB}"/>
    <cellStyle name="Normal 4 4 4 2 6" xfId="2548" xr:uid="{00000000-0005-0000-0000-0000C6150000}"/>
    <cellStyle name="Normal 4 4 4 2 6 2" xfId="6832" xr:uid="{00000000-0005-0000-0000-0000C7150000}"/>
    <cellStyle name="Normal 4 4 4 2 6 2 2" xfId="23715" xr:uid="{E1C511E5-D4EB-4A05-983F-F77A5131F3C2}"/>
    <cellStyle name="Normal 4 4 4 2 6 2 3" xfId="15274" xr:uid="{B327157B-EB96-4AFC-BC63-8E268858E677}"/>
    <cellStyle name="Normal 4 4 4 2 6 3" xfId="19497" xr:uid="{1587E36C-D030-43D0-B788-60B2B4E367B9}"/>
    <cellStyle name="Normal 4 4 4 2 6 4" xfId="11056" xr:uid="{8D385C73-CEC4-4EAB-9D1D-A5AB66EB052B}"/>
    <cellStyle name="Normal 4 4 4 2 7" xfId="4767" xr:uid="{00000000-0005-0000-0000-0000C8150000}"/>
    <cellStyle name="Normal 4 4 4 2 7 2" xfId="21650" xr:uid="{7FFFD2EA-18E7-44AA-B7CB-C07A18C3956E}"/>
    <cellStyle name="Normal 4 4 4 2 7 3" xfId="13209" xr:uid="{F147EF75-CB6C-49DC-B499-D1BBE8DD3DD4}"/>
    <cellStyle name="Normal 4 4 4 2 8" xfId="17432" xr:uid="{AC251083-EC5D-43AE-BA19-E7A2271513F7}"/>
    <cellStyle name="Normal 4 4 4 2 9" xfId="8991" xr:uid="{81583706-7639-4D28-8169-6D832F0C08E2}"/>
    <cellStyle name="Normal 4 4 4 3" xfId="866" xr:uid="{00000000-0005-0000-0000-0000C9150000}"/>
    <cellStyle name="Normal 4 4 4 3 2" xfId="3101" xr:uid="{00000000-0005-0000-0000-0000CA150000}"/>
    <cellStyle name="Normal 4 4 4 3 2 2" xfId="7324" xr:uid="{00000000-0005-0000-0000-0000CB150000}"/>
    <cellStyle name="Normal 4 4 4 3 2 2 2" xfId="24207" xr:uid="{0FA6BD0C-5304-437D-9CD9-AAD81D38F7D5}"/>
    <cellStyle name="Normal 4 4 4 3 2 2 3" xfId="15766" xr:uid="{8AE3F3DB-9A15-4D82-B68C-BF42C22D41AE}"/>
    <cellStyle name="Normal 4 4 4 3 2 3" xfId="19989" xr:uid="{70286AAC-4D7D-466E-BDA2-F914132788DF}"/>
    <cellStyle name="Normal 4 4 4 3 2 4" xfId="11548" xr:uid="{68E135BE-735A-4ECA-B874-C3723DEE468D}"/>
    <cellStyle name="Normal 4 4 4 3 3" xfId="5179" xr:uid="{00000000-0005-0000-0000-0000CC150000}"/>
    <cellStyle name="Normal 4 4 4 3 3 2" xfId="22062" xr:uid="{E7C4D295-FA81-4A21-AD5D-3EF68F89048F}"/>
    <cellStyle name="Normal 4 4 4 3 3 3" xfId="13621" xr:uid="{22BB9253-7207-4729-A37A-75B1042BCD3F}"/>
    <cellStyle name="Normal 4 4 4 3 4" xfId="17844" xr:uid="{C06ABBDC-94F4-4BD3-B76B-ECC9FFB9B23D}"/>
    <cellStyle name="Normal 4 4 4 3 5" xfId="9403" xr:uid="{F8029E63-023C-43B5-AFF1-D572CF95E525}"/>
    <cellStyle name="Normal 4 4 4 4" xfId="1284" xr:uid="{00000000-0005-0000-0000-0000CD150000}"/>
    <cellStyle name="Normal 4 4 4 4 2" xfId="3514" xr:uid="{00000000-0005-0000-0000-0000CE150000}"/>
    <cellStyle name="Normal 4 4 4 4 2 2" xfId="7737" xr:uid="{00000000-0005-0000-0000-0000CF150000}"/>
    <cellStyle name="Normal 4 4 4 4 2 2 2" xfId="24620" xr:uid="{278CAC8D-67DD-4D6F-81F9-30C26971D8F1}"/>
    <cellStyle name="Normal 4 4 4 4 2 2 3" xfId="16179" xr:uid="{68D3BE97-90F4-4C6C-877E-4BB9C3BD008F}"/>
    <cellStyle name="Normal 4 4 4 4 2 3" xfId="20402" xr:uid="{BCC2691C-7CA6-41ED-AAAF-5C0FE19FF149}"/>
    <cellStyle name="Normal 4 4 4 4 2 4" xfId="11961" xr:uid="{41153123-EFF2-4481-B561-D870CA8B0616}"/>
    <cellStyle name="Normal 4 4 4 4 3" xfId="5592" xr:uid="{00000000-0005-0000-0000-0000D0150000}"/>
    <cellStyle name="Normal 4 4 4 4 3 2" xfId="22475" xr:uid="{71A8D332-9EF4-4A22-A57A-19454638431B}"/>
    <cellStyle name="Normal 4 4 4 4 3 3" xfId="14034" xr:uid="{A045015E-9563-4B3C-BAFE-4248F6061341}"/>
    <cellStyle name="Normal 4 4 4 4 4" xfId="18257" xr:uid="{A60DF5D2-6EBB-4296-912E-BA41B70C461D}"/>
    <cellStyle name="Normal 4 4 4 4 5" xfId="9816" xr:uid="{80693953-9AE3-44D2-8283-BFF1CB552C85}"/>
    <cellStyle name="Normal 4 4 4 5" xfId="1697" xr:uid="{00000000-0005-0000-0000-0000D1150000}"/>
    <cellStyle name="Normal 4 4 4 5 2" xfId="3927" xr:uid="{00000000-0005-0000-0000-0000D2150000}"/>
    <cellStyle name="Normal 4 4 4 5 2 2" xfId="8150" xr:uid="{00000000-0005-0000-0000-0000D3150000}"/>
    <cellStyle name="Normal 4 4 4 5 2 2 2" xfId="25033" xr:uid="{3F0BF375-1F57-4554-AD3D-33C756997EDD}"/>
    <cellStyle name="Normal 4 4 4 5 2 2 3" xfId="16592" xr:uid="{B2B24634-4D01-470C-B304-83FA68BC2381}"/>
    <cellStyle name="Normal 4 4 4 5 2 3" xfId="20815" xr:uid="{1BF469F2-878D-44BB-A585-7C8857E0D453}"/>
    <cellStyle name="Normal 4 4 4 5 2 4" xfId="12374" xr:uid="{CDDB2008-770A-44D1-B80F-9BABBB9376EC}"/>
    <cellStyle name="Normal 4 4 4 5 3" xfId="6005" xr:uid="{00000000-0005-0000-0000-0000D4150000}"/>
    <cellStyle name="Normal 4 4 4 5 3 2" xfId="22888" xr:uid="{C8C7EBA5-F904-4B59-A546-6D224B6514A2}"/>
    <cellStyle name="Normal 4 4 4 5 3 3" xfId="14447" xr:uid="{3353C073-8AB0-40E5-BE29-C451164BF947}"/>
    <cellStyle name="Normal 4 4 4 5 4" xfId="18670" xr:uid="{98C267FC-62C9-46C4-8B1A-EC46100442E5}"/>
    <cellStyle name="Normal 4 4 4 5 5" xfId="10229" xr:uid="{64E62CD3-76F9-4B81-8B77-99B6C1C27A32}"/>
    <cellStyle name="Normal 4 4 4 6" xfId="2111" xr:uid="{00000000-0005-0000-0000-0000D5150000}"/>
    <cellStyle name="Normal 4 4 4 6 2" xfId="4340" xr:uid="{00000000-0005-0000-0000-0000D6150000}"/>
    <cellStyle name="Normal 4 4 4 6 2 2" xfId="8563" xr:uid="{00000000-0005-0000-0000-0000D7150000}"/>
    <cellStyle name="Normal 4 4 4 6 2 2 2" xfId="25446" xr:uid="{DC447687-A719-47E2-AA86-E3D23ED13C1A}"/>
    <cellStyle name="Normal 4 4 4 6 2 2 3" xfId="17005" xr:uid="{4A217B6E-D92B-453B-9A9F-93D7210E83BE}"/>
    <cellStyle name="Normal 4 4 4 6 2 3" xfId="21228" xr:uid="{AA399B5D-F074-4C91-B5D1-C41621AC7B70}"/>
    <cellStyle name="Normal 4 4 4 6 2 4" xfId="12787" xr:uid="{75AF75DF-FA53-45C4-AEE0-6B7C7AA3CB2E}"/>
    <cellStyle name="Normal 4 4 4 6 3" xfId="6418" xr:uid="{00000000-0005-0000-0000-0000D8150000}"/>
    <cellStyle name="Normal 4 4 4 6 3 2" xfId="23301" xr:uid="{49C1E116-2111-4CA4-B364-A04E291A2DEB}"/>
    <cellStyle name="Normal 4 4 4 6 3 3" xfId="14860" xr:uid="{B7AA9936-97AE-4178-91D5-EF94154AC063}"/>
    <cellStyle name="Normal 4 4 4 6 4" xfId="19083" xr:uid="{9BBF346D-1B0A-49D1-963C-B0954070B5AE}"/>
    <cellStyle name="Normal 4 4 4 6 5" xfId="10642" xr:uid="{0107E173-AEE4-4728-A7F1-2F365DF3A0B1}"/>
    <cellStyle name="Normal 4 4 4 7" xfId="2547" xr:uid="{00000000-0005-0000-0000-0000D9150000}"/>
    <cellStyle name="Normal 4 4 4 7 2" xfId="6831" xr:uid="{00000000-0005-0000-0000-0000DA150000}"/>
    <cellStyle name="Normal 4 4 4 7 2 2" xfId="23714" xr:uid="{55EF294C-09E2-497E-A384-2E56C4AFF851}"/>
    <cellStyle name="Normal 4 4 4 7 2 3" xfId="15273" xr:uid="{CA880846-0F0A-487F-B62F-B1A31FCEE291}"/>
    <cellStyle name="Normal 4 4 4 7 3" xfId="19496" xr:uid="{2EC611BC-45D5-4FA8-99A3-3888A2657CAF}"/>
    <cellStyle name="Normal 4 4 4 7 4" xfId="11055" xr:uid="{714D3347-3EA9-4AE8-B6E7-4D5DD479CDAF}"/>
    <cellStyle name="Normal 4 4 4 8" xfId="4766" xr:uid="{00000000-0005-0000-0000-0000DB150000}"/>
    <cellStyle name="Normal 4 4 4 8 2" xfId="21649" xr:uid="{E9415362-151D-4C24-8B42-74F9FED81FE3}"/>
    <cellStyle name="Normal 4 4 4 8 3" xfId="13208" xr:uid="{D22E671E-DCEA-43D1-AA1A-D4FB24E78B75}"/>
    <cellStyle name="Normal 4 4 4 9" xfId="17431" xr:uid="{87D12789-374A-4C3B-AF32-4EEBC3A12A7C}"/>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24209" xr:uid="{2EB479CC-99F9-4349-A53F-11CDD041FE8E}"/>
    <cellStyle name="Normal 4 4 5 2 2 2 3" xfId="15768" xr:uid="{DC11DF83-7E2B-444A-9BFE-25DC2A010B3D}"/>
    <cellStyle name="Normal 4 4 5 2 2 3" xfId="19991" xr:uid="{1F04BDBF-8050-4432-96EF-F228377AACB7}"/>
    <cellStyle name="Normal 4 4 5 2 2 4" xfId="11550" xr:uid="{28E91290-9AF3-40FC-A92C-234F7C463E3C}"/>
    <cellStyle name="Normal 4 4 5 2 3" xfId="5181" xr:uid="{00000000-0005-0000-0000-0000E0150000}"/>
    <cellStyle name="Normal 4 4 5 2 3 2" xfId="22064" xr:uid="{9B1167ED-8E3D-4FCB-95EA-38D4E8C4331D}"/>
    <cellStyle name="Normal 4 4 5 2 3 3" xfId="13623" xr:uid="{0BC0A0AF-5F71-4DEA-9E8A-5F90586EED63}"/>
    <cellStyle name="Normal 4 4 5 2 4" xfId="17846" xr:uid="{FC2657FB-2623-47D4-9BD8-BD7881E889D4}"/>
    <cellStyle name="Normal 4 4 5 2 5" xfId="9405" xr:uid="{99061F6C-45A0-474A-8E38-D46DF863656A}"/>
    <cellStyle name="Normal 4 4 5 3" xfId="1286" xr:uid="{00000000-0005-0000-0000-0000E1150000}"/>
    <cellStyle name="Normal 4 4 5 3 2" xfId="3516" xr:uid="{00000000-0005-0000-0000-0000E2150000}"/>
    <cellStyle name="Normal 4 4 5 3 2 2" xfId="7739" xr:uid="{00000000-0005-0000-0000-0000E3150000}"/>
    <cellStyle name="Normal 4 4 5 3 2 2 2" xfId="24622" xr:uid="{784F667E-FC52-4583-A9C3-5B95CB5EA247}"/>
    <cellStyle name="Normal 4 4 5 3 2 2 3" xfId="16181" xr:uid="{6145AC36-E3C0-4A68-93BE-42E34F0741ED}"/>
    <cellStyle name="Normal 4 4 5 3 2 3" xfId="20404" xr:uid="{603230B2-4EA6-4A3D-9A1A-F8AC008BA639}"/>
    <cellStyle name="Normal 4 4 5 3 2 4" xfId="11963" xr:uid="{87A91495-BA0C-4197-8A56-B6A68C7355F5}"/>
    <cellStyle name="Normal 4 4 5 3 3" xfId="5594" xr:uid="{00000000-0005-0000-0000-0000E4150000}"/>
    <cellStyle name="Normal 4 4 5 3 3 2" xfId="22477" xr:uid="{8149B287-7086-47B2-8458-BD7C199A5CA1}"/>
    <cellStyle name="Normal 4 4 5 3 3 3" xfId="14036" xr:uid="{794929E9-FAE6-473C-9FA6-44794DCBC01B}"/>
    <cellStyle name="Normal 4 4 5 3 4" xfId="18259" xr:uid="{A36A43D5-B768-4045-A7E0-B60309D730AF}"/>
    <cellStyle name="Normal 4 4 5 3 5" xfId="9818" xr:uid="{A7CC3508-F57A-46E6-9C38-5A8E9511BC14}"/>
    <cellStyle name="Normal 4 4 5 4" xfId="1699" xr:uid="{00000000-0005-0000-0000-0000E5150000}"/>
    <cellStyle name="Normal 4 4 5 4 2" xfId="3929" xr:uid="{00000000-0005-0000-0000-0000E6150000}"/>
    <cellStyle name="Normal 4 4 5 4 2 2" xfId="8152" xr:uid="{00000000-0005-0000-0000-0000E7150000}"/>
    <cellStyle name="Normal 4 4 5 4 2 2 2" xfId="25035" xr:uid="{0875C2B3-396E-4BED-A163-998E8DDC5DC5}"/>
    <cellStyle name="Normal 4 4 5 4 2 2 3" xfId="16594" xr:uid="{19A3A4E3-E34F-408D-A939-A3CCC873CED2}"/>
    <cellStyle name="Normal 4 4 5 4 2 3" xfId="20817" xr:uid="{5940AA53-89BC-4FEA-8AB3-CB2E2EC22BC7}"/>
    <cellStyle name="Normal 4 4 5 4 2 4" xfId="12376" xr:uid="{8088CDC9-DCFB-4D46-A516-633638E36261}"/>
    <cellStyle name="Normal 4 4 5 4 3" xfId="6007" xr:uid="{00000000-0005-0000-0000-0000E8150000}"/>
    <cellStyle name="Normal 4 4 5 4 3 2" xfId="22890" xr:uid="{6E1B79CD-7F4A-4139-B15A-3141D4DDDC74}"/>
    <cellStyle name="Normal 4 4 5 4 3 3" xfId="14449" xr:uid="{F45787E7-6793-42D7-8B6B-B8CA6EDDE207}"/>
    <cellStyle name="Normal 4 4 5 4 4" xfId="18672" xr:uid="{63E1E55B-8605-45CA-BA12-A13DF6EE3E42}"/>
    <cellStyle name="Normal 4 4 5 4 5" xfId="10231" xr:uid="{DE53B56D-9CC5-49ED-8CE4-99C68413C228}"/>
    <cellStyle name="Normal 4 4 5 5" xfId="2113" xr:uid="{00000000-0005-0000-0000-0000E9150000}"/>
    <cellStyle name="Normal 4 4 5 5 2" xfId="4342" xr:uid="{00000000-0005-0000-0000-0000EA150000}"/>
    <cellStyle name="Normal 4 4 5 5 2 2" xfId="8565" xr:uid="{00000000-0005-0000-0000-0000EB150000}"/>
    <cellStyle name="Normal 4 4 5 5 2 2 2" xfId="25448" xr:uid="{E222BF24-B439-4E1E-BB19-80C207A7FEA7}"/>
    <cellStyle name="Normal 4 4 5 5 2 2 3" xfId="17007" xr:uid="{16967575-5E15-47CA-989C-F95295A1D95D}"/>
    <cellStyle name="Normal 4 4 5 5 2 3" xfId="21230" xr:uid="{6753F030-6915-4808-A2CC-8C4E75650869}"/>
    <cellStyle name="Normal 4 4 5 5 2 4" xfId="12789" xr:uid="{6DD1A1BE-244A-4792-AE89-09EF01CDC050}"/>
    <cellStyle name="Normal 4 4 5 5 3" xfId="6420" xr:uid="{00000000-0005-0000-0000-0000EC150000}"/>
    <cellStyle name="Normal 4 4 5 5 3 2" xfId="23303" xr:uid="{9EB5CA12-00A8-4EE1-8CAC-CB3D15AC8485}"/>
    <cellStyle name="Normal 4 4 5 5 3 3" xfId="14862" xr:uid="{12258C66-5E3D-4968-A4A1-652640D42D15}"/>
    <cellStyle name="Normal 4 4 5 5 4" xfId="19085" xr:uid="{B6745DCF-C364-4787-B39F-F313DD5B5F95}"/>
    <cellStyle name="Normal 4 4 5 5 5" xfId="10644" xr:uid="{D4571179-05AB-4517-8233-EB3CAE042756}"/>
    <cellStyle name="Normal 4 4 5 6" xfId="2549" xr:uid="{00000000-0005-0000-0000-0000ED150000}"/>
    <cellStyle name="Normal 4 4 5 6 2" xfId="6833" xr:uid="{00000000-0005-0000-0000-0000EE150000}"/>
    <cellStyle name="Normal 4 4 5 6 2 2" xfId="23716" xr:uid="{0004F6D0-6862-4BCF-B38C-692B20399083}"/>
    <cellStyle name="Normal 4 4 5 6 2 3" xfId="15275" xr:uid="{68C2A6BE-AC5B-4F75-8A2E-AB880D2FDA75}"/>
    <cellStyle name="Normal 4 4 5 6 3" xfId="19498" xr:uid="{59144F1E-1A0D-4D5E-A4E4-092A6730C267}"/>
    <cellStyle name="Normal 4 4 5 6 4" xfId="11057" xr:uid="{5295F2C2-E423-4FC6-8D4E-E2476E55C072}"/>
    <cellStyle name="Normal 4 4 5 7" xfId="4768" xr:uid="{00000000-0005-0000-0000-0000EF150000}"/>
    <cellStyle name="Normal 4 4 5 7 2" xfId="21651" xr:uid="{F21801AC-9562-4D1E-9CD0-AE7B83EC3DA9}"/>
    <cellStyle name="Normal 4 4 5 7 3" xfId="13210" xr:uid="{93360EED-A0B1-4E2B-99B6-003865F8960E}"/>
    <cellStyle name="Normal 4 4 5 8" xfId="17433" xr:uid="{FA9F973E-8FB6-4720-B224-69F74E82EAC0}"/>
    <cellStyle name="Normal 4 4 5 9" xfId="8992" xr:uid="{DB5D0306-319D-4574-873C-2B29A55E8225}"/>
    <cellStyle name="Normal 4 4 6" xfId="853" xr:uid="{00000000-0005-0000-0000-0000F0150000}"/>
    <cellStyle name="Normal 4 4 6 2" xfId="3088" xr:uid="{00000000-0005-0000-0000-0000F1150000}"/>
    <cellStyle name="Normal 4 4 6 2 2" xfId="7311" xr:uid="{00000000-0005-0000-0000-0000F2150000}"/>
    <cellStyle name="Normal 4 4 6 2 2 2" xfId="24194" xr:uid="{7040DC3B-A1F3-41E6-806B-9409CE6DA815}"/>
    <cellStyle name="Normal 4 4 6 2 2 3" xfId="15753" xr:uid="{ABB8D45E-5C72-4304-A459-D1692AE1BAE8}"/>
    <cellStyle name="Normal 4 4 6 2 3" xfId="19976" xr:uid="{40AAF095-982B-48EE-9CA7-6C919DC11F5B}"/>
    <cellStyle name="Normal 4 4 6 2 4" xfId="11535" xr:uid="{9DE6BE23-D51B-4704-B599-2DAA8CC7D938}"/>
    <cellStyle name="Normal 4 4 6 3" xfId="5166" xr:uid="{00000000-0005-0000-0000-0000F3150000}"/>
    <cellStyle name="Normal 4 4 6 3 2" xfId="22049" xr:uid="{9171B486-389A-40A2-89D5-A9D1A5BF849C}"/>
    <cellStyle name="Normal 4 4 6 3 3" xfId="13608" xr:uid="{E0777AC7-FD46-40A9-B1D8-787D530E776F}"/>
    <cellStyle name="Normal 4 4 6 4" xfId="17831" xr:uid="{E8B4801E-8DD7-4958-B177-B81057B5ACC1}"/>
    <cellStyle name="Normal 4 4 6 5" xfId="9390" xr:uid="{0B8F740F-4A64-4E0E-8C16-1CC83A8E6119}"/>
    <cellStyle name="Normal 4 4 7" xfId="1271" xr:uid="{00000000-0005-0000-0000-0000F4150000}"/>
    <cellStyle name="Normal 4 4 7 2" xfId="3501" xr:uid="{00000000-0005-0000-0000-0000F5150000}"/>
    <cellStyle name="Normal 4 4 7 2 2" xfId="7724" xr:uid="{00000000-0005-0000-0000-0000F6150000}"/>
    <cellStyle name="Normal 4 4 7 2 2 2" xfId="24607" xr:uid="{E57D61A6-51E8-4306-8026-0228AFED6753}"/>
    <cellStyle name="Normal 4 4 7 2 2 3" xfId="16166" xr:uid="{DEC29273-47E0-48E0-B8CC-BBBA29491FF1}"/>
    <cellStyle name="Normal 4 4 7 2 3" xfId="20389" xr:uid="{AD74584A-FA69-4A18-A6A9-85A5C2594740}"/>
    <cellStyle name="Normal 4 4 7 2 4" xfId="11948" xr:uid="{5296CD6E-DCAF-46A7-9C4C-0B14875A5D60}"/>
    <cellStyle name="Normal 4 4 7 3" xfId="5579" xr:uid="{00000000-0005-0000-0000-0000F7150000}"/>
    <cellStyle name="Normal 4 4 7 3 2" xfId="22462" xr:uid="{F75B5119-7C63-49E3-824F-251B3AAEBC72}"/>
    <cellStyle name="Normal 4 4 7 3 3" xfId="14021" xr:uid="{28C47643-CE49-430B-B492-985215B2B016}"/>
    <cellStyle name="Normal 4 4 7 4" xfId="18244" xr:uid="{4B753433-39C0-4C5B-AA7D-EE314D59BB14}"/>
    <cellStyle name="Normal 4 4 7 5" xfId="9803" xr:uid="{30549659-EE34-4111-9D7F-17444689A3DA}"/>
    <cellStyle name="Normal 4 4 8" xfId="1684" xr:uid="{00000000-0005-0000-0000-0000F8150000}"/>
    <cellStyle name="Normal 4 4 8 2" xfId="3914" xr:uid="{00000000-0005-0000-0000-0000F9150000}"/>
    <cellStyle name="Normal 4 4 8 2 2" xfId="8137" xr:uid="{00000000-0005-0000-0000-0000FA150000}"/>
    <cellStyle name="Normal 4 4 8 2 2 2" xfId="25020" xr:uid="{AE0F5FF9-7C14-473A-8FE5-B3D7A72178A2}"/>
    <cellStyle name="Normal 4 4 8 2 2 3" xfId="16579" xr:uid="{B57B32A4-5D05-49FF-9B75-BF9A45957624}"/>
    <cellStyle name="Normal 4 4 8 2 3" xfId="20802" xr:uid="{48AF2AA4-0FCF-4BF5-8DB9-E68DF58ED24B}"/>
    <cellStyle name="Normal 4 4 8 2 4" xfId="12361" xr:uid="{86B0F281-97A0-4C6F-8090-93FBAF1103A8}"/>
    <cellStyle name="Normal 4 4 8 3" xfId="5992" xr:uid="{00000000-0005-0000-0000-0000FB150000}"/>
    <cellStyle name="Normal 4 4 8 3 2" xfId="22875" xr:uid="{CF80F53B-7266-47AB-989F-E582772FAEF7}"/>
    <cellStyle name="Normal 4 4 8 3 3" xfId="14434" xr:uid="{013FE8AF-7ED5-4478-9079-4D6399A87774}"/>
    <cellStyle name="Normal 4 4 8 4" xfId="18657" xr:uid="{186A156C-FBC7-4108-BF1E-9B4746379FCD}"/>
    <cellStyle name="Normal 4 4 8 5" xfId="10216" xr:uid="{AE297549-77B0-4763-9AAA-A3EA11B2E92D}"/>
    <cellStyle name="Normal 4 4 9" xfId="2098" xr:uid="{00000000-0005-0000-0000-0000FC150000}"/>
    <cellStyle name="Normal 4 4 9 2" xfId="4327" xr:uid="{00000000-0005-0000-0000-0000FD150000}"/>
    <cellStyle name="Normal 4 4 9 2 2" xfId="8550" xr:uid="{00000000-0005-0000-0000-0000FE150000}"/>
    <cellStyle name="Normal 4 4 9 2 2 2" xfId="25433" xr:uid="{AEABCADB-B956-49A7-B1DD-4D6436871F6F}"/>
    <cellStyle name="Normal 4 4 9 2 2 3" xfId="16992" xr:uid="{271E5C17-9066-415B-94C9-51817B917AB2}"/>
    <cellStyle name="Normal 4 4 9 2 3" xfId="21215" xr:uid="{78DCFA28-E1A9-47ED-9A19-249A4CAC4DAD}"/>
    <cellStyle name="Normal 4 4 9 2 4" xfId="12774" xr:uid="{0289B979-8C1E-41CE-9BD0-87F6324D300B}"/>
    <cellStyle name="Normal 4 4 9 3" xfId="6405" xr:uid="{00000000-0005-0000-0000-0000FF150000}"/>
    <cellStyle name="Normal 4 4 9 3 2" xfId="23288" xr:uid="{921B2D35-AA5C-44D3-A1F8-20BD86B8E0ED}"/>
    <cellStyle name="Normal 4 4 9 3 3" xfId="14847" xr:uid="{8B03859D-718F-41F3-AB96-C25056DC9F5A}"/>
    <cellStyle name="Normal 4 4 9 4" xfId="19070" xr:uid="{BAE0BBC0-3241-4FE8-8898-C8017EC2A3DF}"/>
    <cellStyle name="Normal 4 4 9 5" xfId="10629" xr:uid="{928AE787-0A0D-4698-A855-E342EC9ADD6A}"/>
    <cellStyle name="Normal 4 5" xfId="394" xr:uid="{00000000-0005-0000-0000-000000160000}"/>
    <cellStyle name="Normal 4 6" xfId="395" xr:uid="{00000000-0005-0000-0000-000001160000}"/>
    <cellStyle name="Normal 4 6 10" xfId="4769" xr:uid="{00000000-0005-0000-0000-000002160000}"/>
    <cellStyle name="Normal 4 6 10 2" xfId="21652" xr:uid="{442F3B24-45A6-4358-A482-F5F46331A5B5}"/>
    <cellStyle name="Normal 4 6 10 3" xfId="13211" xr:uid="{DF4DEFBF-667B-4045-8B52-546DFB67B980}"/>
    <cellStyle name="Normal 4 6 11" xfId="17434" xr:uid="{C5B07930-6FB1-4872-992B-F1CD59EF34A2}"/>
    <cellStyle name="Normal 4 6 12" xfId="8993" xr:uid="{76D2FCAF-FC93-4915-9123-4A049562525E}"/>
    <cellStyle name="Normal 4 6 2" xfId="396" xr:uid="{00000000-0005-0000-0000-000003160000}"/>
    <cellStyle name="Normal 4 6 2 10" xfId="17435" xr:uid="{384C18AD-27FA-4DA4-AD82-0BC49B967758}"/>
    <cellStyle name="Normal 4 6 2 11" xfId="8994" xr:uid="{13F073A7-31AE-453F-A664-DD500966476E}"/>
    <cellStyle name="Normal 4 6 2 2" xfId="397" xr:uid="{00000000-0005-0000-0000-000004160000}"/>
    <cellStyle name="Normal 4 6 2 2 10" xfId="8995" xr:uid="{EAD3CDEE-B33E-45EA-B089-6F33548AF7BB}"/>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24213" xr:uid="{15860631-0E46-48B5-915E-728353699828}"/>
    <cellStyle name="Normal 4 6 2 2 2 2 2 2 3" xfId="15772" xr:uid="{D9D45B68-0E86-4DFA-B2AB-1E5B1002F274}"/>
    <cellStyle name="Normal 4 6 2 2 2 2 2 3" xfId="19995" xr:uid="{A97B7C4E-EABA-44FA-905C-7213D02DA8DD}"/>
    <cellStyle name="Normal 4 6 2 2 2 2 2 4" xfId="11554" xr:uid="{33AE517F-560C-4FBF-82B8-4EDB19237798}"/>
    <cellStyle name="Normal 4 6 2 2 2 2 3" xfId="5185" xr:uid="{00000000-0005-0000-0000-000009160000}"/>
    <cellStyle name="Normal 4 6 2 2 2 2 3 2" xfId="22068" xr:uid="{DE6D4C7F-CFD0-4122-878C-BA4B5CBFF36C}"/>
    <cellStyle name="Normal 4 6 2 2 2 2 3 3" xfId="13627" xr:uid="{ABFEC3B4-6D49-4F45-BF03-EAA9A0F81C90}"/>
    <cellStyle name="Normal 4 6 2 2 2 2 4" xfId="17850" xr:uid="{5F8C9401-D098-4D19-99AF-1F702F913313}"/>
    <cellStyle name="Normal 4 6 2 2 2 2 5" xfId="9409" xr:uid="{BC557035-7F4F-4836-86B6-AA743684046F}"/>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24626" xr:uid="{C56A995B-AC0F-4536-96EC-9674D555DCB8}"/>
    <cellStyle name="Normal 4 6 2 2 2 3 2 2 3" xfId="16185" xr:uid="{F58448F1-03EF-48D7-B9E6-7F18A2ED17F4}"/>
    <cellStyle name="Normal 4 6 2 2 2 3 2 3" xfId="20408" xr:uid="{35819527-5158-466D-A371-43B489E2264E}"/>
    <cellStyle name="Normal 4 6 2 2 2 3 2 4" xfId="11967" xr:uid="{B831199A-1346-407F-A2F9-3D9A41CD78B5}"/>
    <cellStyle name="Normal 4 6 2 2 2 3 3" xfId="5598" xr:uid="{00000000-0005-0000-0000-00000D160000}"/>
    <cellStyle name="Normal 4 6 2 2 2 3 3 2" xfId="22481" xr:uid="{08674F96-38CB-40CB-A0B2-45BF4110F557}"/>
    <cellStyle name="Normal 4 6 2 2 2 3 3 3" xfId="14040" xr:uid="{EC0D6577-B8B8-4834-A928-4EDA9C89D8C4}"/>
    <cellStyle name="Normal 4 6 2 2 2 3 4" xfId="18263" xr:uid="{A0741837-DBA5-41ED-9EA6-4BC1E5A7A446}"/>
    <cellStyle name="Normal 4 6 2 2 2 3 5" xfId="9822" xr:uid="{7EEAEB7E-0369-409C-98BF-901923262033}"/>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25039" xr:uid="{2E0B351B-E77D-4C1F-B9BE-38CB942428C7}"/>
    <cellStyle name="Normal 4 6 2 2 2 4 2 2 3" xfId="16598" xr:uid="{B7914D38-40BD-4BE1-92BB-A42033788C34}"/>
    <cellStyle name="Normal 4 6 2 2 2 4 2 3" xfId="20821" xr:uid="{356588BB-D606-4444-8ECE-8FA4B224693D}"/>
    <cellStyle name="Normal 4 6 2 2 2 4 2 4" xfId="12380" xr:uid="{37BDC70A-2983-4574-BA5D-59CEDA15A938}"/>
    <cellStyle name="Normal 4 6 2 2 2 4 3" xfId="6011" xr:uid="{00000000-0005-0000-0000-000011160000}"/>
    <cellStyle name="Normal 4 6 2 2 2 4 3 2" xfId="22894" xr:uid="{2EE38EBC-29EE-464D-B84C-10EDE4F4F9E2}"/>
    <cellStyle name="Normal 4 6 2 2 2 4 3 3" xfId="14453" xr:uid="{9A1B567A-4D41-4E5F-9D44-BF64196AB057}"/>
    <cellStyle name="Normal 4 6 2 2 2 4 4" xfId="18676" xr:uid="{21BD16E4-E8EB-4A30-B339-D088CC581441}"/>
    <cellStyle name="Normal 4 6 2 2 2 4 5" xfId="10235" xr:uid="{11FA73E7-0431-4D4F-A811-600A6D9263C2}"/>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25452" xr:uid="{CE4F32D6-CC66-4FFE-A753-42685BD6B9FE}"/>
    <cellStyle name="Normal 4 6 2 2 2 5 2 2 3" xfId="17011" xr:uid="{ECA9A4FD-CBE7-42BF-B86A-6A863DDA95D9}"/>
    <cellStyle name="Normal 4 6 2 2 2 5 2 3" xfId="21234" xr:uid="{92F968C5-B935-45FC-AD3B-B1D2412D965B}"/>
    <cellStyle name="Normal 4 6 2 2 2 5 2 4" xfId="12793" xr:uid="{58E41666-D7CE-48FC-8F3F-2A435E13153D}"/>
    <cellStyle name="Normal 4 6 2 2 2 5 3" xfId="6424" xr:uid="{00000000-0005-0000-0000-000015160000}"/>
    <cellStyle name="Normal 4 6 2 2 2 5 3 2" xfId="23307" xr:uid="{010008CA-2628-4B5A-BD6C-CBA1A577B799}"/>
    <cellStyle name="Normal 4 6 2 2 2 5 3 3" xfId="14866" xr:uid="{DFA87A9C-BF15-4A9B-B835-BD99071F9CD4}"/>
    <cellStyle name="Normal 4 6 2 2 2 5 4" xfId="19089" xr:uid="{846C09B0-8AD8-40C8-BA26-7887B7CC70D8}"/>
    <cellStyle name="Normal 4 6 2 2 2 5 5" xfId="10648" xr:uid="{B674341F-CF4B-444F-BCE2-29A01FD1A6C7}"/>
    <cellStyle name="Normal 4 6 2 2 2 6" xfId="2553" xr:uid="{00000000-0005-0000-0000-000016160000}"/>
    <cellStyle name="Normal 4 6 2 2 2 6 2" xfId="6837" xr:uid="{00000000-0005-0000-0000-000017160000}"/>
    <cellStyle name="Normal 4 6 2 2 2 6 2 2" xfId="23720" xr:uid="{F43A55C1-6E88-428E-8C8F-0815901CB993}"/>
    <cellStyle name="Normal 4 6 2 2 2 6 2 3" xfId="15279" xr:uid="{97C125C1-8382-4177-879B-4C2444475059}"/>
    <cellStyle name="Normal 4 6 2 2 2 6 3" xfId="19502" xr:uid="{C900E503-CEC8-4D77-AC82-58485821EBB0}"/>
    <cellStyle name="Normal 4 6 2 2 2 6 4" xfId="11061" xr:uid="{B95629EC-C035-42B2-848D-3449795CD2CA}"/>
    <cellStyle name="Normal 4 6 2 2 2 7" xfId="4772" xr:uid="{00000000-0005-0000-0000-000018160000}"/>
    <cellStyle name="Normal 4 6 2 2 2 7 2" xfId="21655" xr:uid="{0B0B17C8-B077-415E-9220-18EED06D9B43}"/>
    <cellStyle name="Normal 4 6 2 2 2 7 3" xfId="13214" xr:uid="{D9F02DD4-EBC1-4693-9A1C-3B2272C692E9}"/>
    <cellStyle name="Normal 4 6 2 2 2 8" xfId="17437" xr:uid="{840296BA-1334-41A3-8D19-805F1427EE84}"/>
    <cellStyle name="Normal 4 6 2 2 2 9" xfId="8996" xr:uid="{EA1C1F13-5993-4B07-97A6-9BB657302AC9}"/>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24212" xr:uid="{0E708E98-A4FF-49ED-B878-13D2FA51547E}"/>
    <cellStyle name="Normal 4 6 2 2 3 2 2 3" xfId="15771" xr:uid="{620FDF81-67D2-4D06-8C9E-E355FD5E4358}"/>
    <cellStyle name="Normal 4 6 2 2 3 2 3" xfId="19994" xr:uid="{7165FD82-1522-4574-BC60-E5FDBBBD95EA}"/>
    <cellStyle name="Normal 4 6 2 2 3 2 4" xfId="11553" xr:uid="{AC4BB968-8881-4EAD-843A-29FA6C6A556E}"/>
    <cellStyle name="Normal 4 6 2 2 3 3" xfId="5184" xr:uid="{00000000-0005-0000-0000-00001C160000}"/>
    <cellStyle name="Normal 4 6 2 2 3 3 2" xfId="22067" xr:uid="{7DE2C84F-7A08-4D70-8E9A-8DE345E48674}"/>
    <cellStyle name="Normal 4 6 2 2 3 3 3" xfId="13626" xr:uid="{7932BC51-D5C4-4FF0-BA35-58C6D8B62FA8}"/>
    <cellStyle name="Normal 4 6 2 2 3 4" xfId="17849" xr:uid="{167539E4-303C-4E13-BBD6-AEF8994EB066}"/>
    <cellStyle name="Normal 4 6 2 2 3 5" xfId="9408" xr:uid="{4A9E8068-F8D3-430C-9E59-6DB9C2BE600D}"/>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24625" xr:uid="{890D4B3B-41DB-448D-A4CD-33C368381F2B}"/>
    <cellStyle name="Normal 4 6 2 2 4 2 2 3" xfId="16184" xr:uid="{62B668F1-5B25-4553-8B0F-72732BF416FD}"/>
    <cellStyle name="Normal 4 6 2 2 4 2 3" xfId="20407" xr:uid="{4CFC6AB2-A773-45C6-B6F6-586DC9B08427}"/>
    <cellStyle name="Normal 4 6 2 2 4 2 4" xfId="11966" xr:uid="{94F6251E-88EA-4F11-BF57-C5C1865171B5}"/>
    <cellStyle name="Normal 4 6 2 2 4 3" xfId="5597" xr:uid="{00000000-0005-0000-0000-000020160000}"/>
    <cellStyle name="Normal 4 6 2 2 4 3 2" xfId="22480" xr:uid="{EFDB2D69-9FF8-4682-852F-D5B5079C6E1D}"/>
    <cellStyle name="Normal 4 6 2 2 4 3 3" xfId="14039" xr:uid="{CFCDD053-9B5F-48F3-A897-D0CB85F74829}"/>
    <cellStyle name="Normal 4 6 2 2 4 4" xfId="18262" xr:uid="{445F5CF4-54D0-4901-83A9-9D6B7727604D}"/>
    <cellStyle name="Normal 4 6 2 2 4 5" xfId="9821" xr:uid="{6EDA4524-8E95-4156-90AE-5C8CC1FF3B14}"/>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25038" xr:uid="{0303012A-05EA-4F04-85C9-732B97680FF2}"/>
    <cellStyle name="Normal 4 6 2 2 5 2 2 3" xfId="16597" xr:uid="{BEBAB6EE-3F7B-4924-AC17-708DFAA9405C}"/>
    <cellStyle name="Normal 4 6 2 2 5 2 3" xfId="20820" xr:uid="{B512C1CD-D1AB-4E74-8857-0BA087576A52}"/>
    <cellStyle name="Normal 4 6 2 2 5 2 4" xfId="12379" xr:uid="{813097BA-F2E3-479F-821A-A64703C6AA1A}"/>
    <cellStyle name="Normal 4 6 2 2 5 3" xfId="6010" xr:uid="{00000000-0005-0000-0000-000024160000}"/>
    <cellStyle name="Normal 4 6 2 2 5 3 2" xfId="22893" xr:uid="{E2116B70-5486-45B6-A9A7-29202DD8C7B1}"/>
    <cellStyle name="Normal 4 6 2 2 5 3 3" xfId="14452" xr:uid="{D14AD187-7AE7-4F5C-A104-DFDBA2ED5A14}"/>
    <cellStyle name="Normal 4 6 2 2 5 4" xfId="18675" xr:uid="{EF0A19B5-8198-476A-B48E-DF0D15062193}"/>
    <cellStyle name="Normal 4 6 2 2 5 5" xfId="10234" xr:uid="{439134B5-92CB-469D-A262-7C40726C10FF}"/>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25451" xr:uid="{1CA0C470-7501-47DE-AFA5-E2C136A1BADE}"/>
    <cellStyle name="Normal 4 6 2 2 6 2 2 3" xfId="17010" xr:uid="{9F18FDAA-09F3-474B-9756-52109C5FD72B}"/>
    <cellStyle name="Normal 4 6 2 2 6 2 3" xfId="21233" xr:uid="{81B97931-0EB4-4935-93F2-5042B92E8272}"/>
    <cellStyle name="Normal 4 6 2 2 6 2 4" xfId="12792" xr:uid="{597C77DC-01AC-435C-B470-73AB4FF24F94}"/>
    <cellStyle name="Normal 4 6 2 2 6 3" xfId="6423" xr:uid="{00000000-0005-0000-0000-000028160000}"/>
    <cellStyle name="Normal 4 6 2 2 6 3 2" xfId="23306" xr:uid="{36A498CE-F067-4C4A-95A0-8796A6DEBE89}"/>
    <cellStyle name="Normal 4 6 2 2 6 3 3" xfId="14865" xr:uid="{3F40EE95-E33D-4010-98CE-99BFB74EB265}"/>
    <cellStyle name="Normal 4 6 2 2 6 4" xfId="19088" xr:uid="{29E77FAA-DEC2-4ABD-8B5B-A03A062E3D49}"/>
    <cellStyle name="Normal 4 6 2 2 6 5" xfId="10647" xr:uid="{503F1587-4B3B-4F0F-ACFC-BA5211C409B1}"/>
    <cellStyle name="Normal 4 6 2 2 7" xfId="2552" xr:uid="{00000000-0005-0000-0000-000029160000}"/>
    <cellStyle name="Normal 4 6 2 2 7 2" xfId="6836" xr:uid="{00000000-0005-0000-0000-00002A160000}"/>
    <cellStyle name="Normal 4 6 2 2 7 2 2" xfId="23719" xr:uid="{24ED58E0-0F04-469D-9CE8-29B86976DCB5}"/>
    <cellStyle name="Normal 4 6 2 2 7 2 3" xfId="15278" xr:uid="{22CCDBFE-421C-4787-83E6-8709E24BEB78}"/>
    <cellStyle name="Normal 4 6 2 2 7 3" xfId="19501" xr:uid="{B58EF5BD-F8DA-492C-8365-8F633AC96B11}"/>
    <cellStyle name="Normal 4 6 2 2 7 4" xfId="11060" xr:uid="{C92A56D9-FC6B-4396-A16E-A4EC21EC3CDF}"/>
    <cellStyle name="Normal 4 6 2 2 8" xfId="4771" xr:uid="{00000000-0005-0000-0000-00002B160000}"/>
    <cellStyle name="Normal 4 6 2 2 8 2" xfId="21654" xr:uid="{974A0578-0DF5-4BC5-83CF-FF9932C711A2}"/>
    <cellStyle name="Normal 4 6 2 2 8 3" xfId="13213" xr:uid="{25BD18F2-A8B2-4784-9D96-A232CF3607EE}"/>
    <cellStyle name="Normal 4 6 2 2 9" xfId="17436" xr:uid="{A640990F-EF04-4CAA-BCC5-CB7417212A5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24214" xr:uid="{E118E2AE-2D53-42D3-AFB5-49C18162C000}"/>
    <cellStyle name="Normal 4 6 2 3 2 2 2 3" xfId="15773" xr:uid="{CE1FF85D-9B08-41A5-8D86-8D0881E9E8CD}"/>
    <cellStyle name="Normal 4 6 2 3 2 2 3" xfId="19996" xr:uid="{8C8212F9-54E4-4AD4-B8AE-EDE51D46B563}"/>
    <cellStyle name="Normal 4 6 2 3 2 2 4" xfId="11555" xr:uid="{C50AE8D8-4FE6-49B0-95CF-5566D59B0D4B}"/>
    <cellStyle name="Normal 4 6 2 3 2 3" xfId="5186" xr:uid="{00000000-0005-0000-0000-000030160000}"/>
    <cellStyle name="Normal 4 6 2 3 2 3 2" xfId="22069" xr:uid="{C02EDA76-C727-4F2D-8A4E-36812FF97B86}"/>
    <cellStyle name="Normal 4 6 2 3 2 3 3" xfId="13628" xr:uid="{5228588F-12D5-4F9D-A034-81E9F5BBAE60}"/>
    <cellStyle name="Normal 4 6 2 3 2 4" xfId="17851" xr:uid="{FD766018-4E57-467B-9A6D-5E75FA2DB677}"/>
    <cellStyle name="Normal 4 6 2 3 2 5" xfId="9410" xr:uid="{8FDE8D71-3F97-46EE-BEE0-738B3820DAE9}"/>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24627" xr:uid="{8FE1EB01-2439-49D2-BEB9-6D9E9FEC3EF4}"/>
    <cellStyle name="Normal 4 6 2 3 3 2 2 3" xfId="16186" xr:uid="{486FC64D-7B7F-4415-A26D-97C0549E991D}"/>
    <cellStyle name="Normal 4 6 2 3 3 2 3" xfId="20409" xr:uid="{759C365E-BD78-4DE9-9D61-08AF706CBEFD}"/>
    <cellStyle name="Normal 4 6 2 3 3 2 4" xfId="11968" xr:uid="{781B934A-311A-476C-A396-D56DE1A9AF7C}"/>
    <cellStyle name="Normal 4 6 2 3 3 3" xfId="5599" xr:uid="{00000000-0005-0000-0000-000034160000}"/>
    <cellStyle name="Normal 4 6 2 3 3 3 2" xfId="22482" xr:uid="{E2E18D3D-08D0-4304-A726-F3B98CC4F4CB}"/>
    <cellStyle name="Normal 4 6 2 3 3 3 3" xfId="14041" xr:uid="{2FFD5D48-8D94-4518-A403-37360DED15BB}"/>
    <cellStyle name="Normal 4 6 2 3 3 4" xfId="18264" xr:uid="{0277DC75-38B8-404A-94BA-B0A50B0CEB5A}"/>
    <cellStyle name="Normal 4 6 2 3 3 5" xfId="9823" xr:uid="{B42DA086-5266-4C93-9DFA-19626800D815}"/>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25040" xr:uid="{D68C3E51-D31E-4CA7-9EF5-BF7186838836}"/>
    <cellStyle name="Normal 4 6 2 3 4 2 2 3" xfId="16599" xr:uid="{E44A7766-FA47-4161-BF09-C62CD572881A}"/>
    <cellStyle name="Normal 4 6 2 3 4 2 3" xfId="20822" xr:uid="{A58A77EC-D9E2-4F82-9E87-7229AA2EEC51}"/>
    <cellStyle name="Normal 4 6 2 3 4 2 4" xfId="12381" xr:uid="{3E72CCEF-A9DC-4F4E-9C7C-5CC1578942EF}"/>
    <cellStyle name="Normal 4 6 2 3 4 3" xfId="6012" xr:uid="{00000000-0005-0000-0000-000038160000}"/>
    <cellStyle name="Normal 4 6 2 3 4 3 2" xfId="22895" xr:uid="{CD7B6916-64F7-46A5-AD5B-2939F361DABE}"/>
    <cellStyle name="Normal 4 6 2 3 4 3 3" xfId="14454" xr:uid="{6AE43F67-7142-4E2B-BE7A-520C75218DA1}"/>
    <cellStyle name="Normal 4 6 2 3 4 4" xfId="18677" xr:uid="{8ED4415A-9DD3-42D8-B83E-15FED902BF39}"/>
    <cellStyle name="Normal 4 6 2 3 4 5" xfId="10236" xr:uid="{23C98046-6324-4DB5-B492-7C804F506367}"/>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25453" xr:uid="{1E4F8979-1237-4BE7-97E3-B5E461592E19}"/>
    <cellStyle name="Normal 4 6 2 3 5 2 2 3" xfId="17012" xr:uid="{17636568-40BD-4535-90B2-1E952A0E1F0E}"/>
    <cellStyle name="Normal 4 6 2 3 5 2 3" xfId="21235" xr:uid="{3EA2006E-9204-49C0-B6FD-522766746F7E}"/>
    <cellStyle name="Normal 4 6 2 3 5 2 4" xfId="12794" xr:uid="{02767BE2-A726-490E-A3E9-ADE62E89D80A}"/>
    <cellStyle name="Normal 4 6 2 3 5 3" xfId="6425" xr:uid="{00000000-0005-0000-0000-00003C160000}"/>
    <cellStyle name="Normal 4 6 2 3 5 3 2" xfId="23308" xr:uid="{B661D4A0-E286-424D-9CA2-B056E2DED6D5}"/>
    <cellStyle name="Normal 4 6 2 3 5 3 3" xfId="14867" xr:uid="{2BD49930-9893-496C-842E-36AB14FB653C}"/>
    <cellStyle name="Normal 4 6 2 3 5 4" xfId="19090" xr:uid="{C1498929-C5C1-41BC-98D3-87C3D8BF9FE6}"/>
    <cellStyle name="Normal 4 6 2 3 5 5" xfId="10649" xr:uid="{DABC2C96-91DD-4023-9FEE-E8EF1B9CCF24}"/>
    <cellStyle name="Normal 4 6 2 3 6" xfId="2554" xr:uid="{00000000-0005-0000-0000-00003D160000}"/>
    <cellStyle name="Normal 4 6 2 3 6 2" xfId="6838" xr:uid="{00000000-0005-0000-0000-00003E160000}"/>
    <cellStyle name="Normal 4 6 2 3 6 2 2" xfId="23721" xr:uid="{3DEF8342-514F-498F-A7A2-D851AA85E3C9}"/>
    <cellStyle name="Normal 4 6 2 3 6 2 3" xfId="15280" xr:uid="{3F8C9597-8AF7-44AE-91F4-FF074E6FB2EB}"/>
    <cellStyle name="Normal 4 6 2 3 6 3" xfId="19503" xr:uid="{0B68E92D-118C-4CF9-A323-73C6F9F083FE}"/>
    <cellStyle name="Normal 4 6 2 3 6 4" xfId="11062" xr:uid="{A2001C76-BF3B-418C-8A8E-8A9AEE4AC944}"/>
    <cellStyle name="Normal 4 6 2 3 7" xfId="4773" xr:uid="{00000000-0005-0000-0000-00003F160000}"/>
    <cellStyle name="Normal 4 6 2 3 7 2" xfId="21656" xr:uid="{97C930CB-5644-4F9A-BF88-FB2F2E5DFA96}"/>
    <cellStyle name="Normal 4 6 2 3 7 3" xfId="13215" xr:uid="{4022181D-662C-401F-8ED0-E896A0E919B1}"/>
    <cellStyle name="Normal 4 6 2 3 8" xfId="17438" xr:uid="{D8811D4B-7C00-4597-9EE9-60019C48854D}"/>
    <cellStyle name="Normal 4 6 2 3 9" xfId="8997" xr:uid="{2D073458-63A1-4231-AEDA-1B1DA4CE82D1}"/>
    <cellStyle name="Normal 4 6 2 4" xfId="870" xr:uid="{00000000-0005-0000-0000-000040160000}"/>
    <cellStyle name="Normal 4 6 2 4 2" xfId="3105" xr:uid="{00000000-0005-0000-0000-000041160000}"/>
    <cellStyle name="Normal 4 6 2 4 2 2" xfId="7328" xr:uid="{00000000-0005-0000-0000-000042160000}"/>
    <cellStyle name="Normal 4 6 2 4 2 2 2" xfId="24211" xr:uid="{8C587595-C9DB-446A-8509-C07942EA42AF}"/>
    <cellStyle name="Normal 4 6 2 4 2 2 3" xfId="15770" xr:uid="{A3AC37FB-01A0-43F9-A7B8-1B8FAB36B47F}"/>
    <cellStyle name="Normal 4 6 2 4 2 3" xfId="19993" xr:uid="{EAF3D6D7-1DBF-4276-84D4-D87F1411671F}"/>
    <cellStyle name="Normal 4 6 2 4 2 4" xfId="11552" xr:uid="{39C91B86-BC81-4E0F-90FE-C3689FB9173C}"/>
    <cellStyle name="Normal 4 6 2 4 3" xfId="5183" xr:uid="{00000000-0005-0000-0000-000043160000}"/>
    <cellStyle name="Normal 4 6 2 4 3 2" xfId="22066" xr:uid="{051802BD-E573-47BA-8F78-FB84F4DF761F}"/>
    <cellStyle name="Normal 4 6 2 4 3 3" xfId="13625" xr:uid="{EA738305-9B6D-419D-91D6-635FCD88BB8A}"/>
    <cellStyle name="Normal 4 6 2 4 4" xfId="17848" xr:uid="{BC5C7233-0D5B-46F0-9659-BEE572A3C405}"/>
    <cellStyle name="Normal 4 6 2 4 5" xfId="9407" xr:uid="{8F863BAC-F9EC-492D-8F8F-2E2DEC1B1FAF}"/>
    <cellStyle name="Normal 4 6 2 5" xfId="1288" xr:uid="{00000000-0005-0000-0000-000044160000}"/>
    <cellStyle name="Normal 4 6 2 5 2" xfId="3518" xr:uid="{00000000-0005-0000-0000-000045160000}"/>
    <cellStyle name="Normal 4 6 2 5 2 2" xfId="7741" xr:uid="{00000000-0005-0000-0000-000046160000}"/>
    <cellStyle name="Normal 4 6 2 5 2 2 2" xfId="24624" xr:uid="{33CEE9A7-7F27-4C0A-A571-DCD6C7FEF1D9}"/>
    <cellStyle name="Normal 4 6 2 5 2 2 3" xfId="16183" xr:uid="{3708328D-904C-4766-986E-5A5DC720F187}"/>
    <cellStyle name="Normal 4 6 2 5 2 3" xfId="20406" xr:uid="{1C329D37-3336-43BA-B9BE-4DF7929CED6C}"/>
    <cellStyle name="Normal 4 6 2 5 2 4" xfId="11965" xr:uid="{60AA0CCF-D8A5-4E16-9601-E7ECAEE2C99F}"/>
    <cellStyle name="Normal 4 6 2 5 3" xfId="5596" xr:uid="{00000000-0005-0000-0000-000047160000}"/>
    <cellStyle name="Normal 4 6 2 5 3 2" xfId="22479" xr:uid="{A5F7A27D-590B-4887-9925-347D6AC5984D}"/>
    <cellStyle name="Normal 4 6 2 5 3 3" xfId="14038" xr:uid="{ACD1E9C5-BEE3-4C6D-B112-B4CD747FBFDC}"/>
    <cellStyle name="Normal 4 6 2 5 4" xfId="18261" xr:uid="{0D73BEB2-C5D4-4C0E-AFA6-3C9110EE83BF}"/>
    <cellStyle name="Normal 4 6 2 5 5" xfId="9820" xr:uid="{A4B664B5-0FBE-4270-BB35-31E25BD958A5}"/>
    <cellStyle name="Normal 4 6 2 6" xfId="1701" xr:uid="{00000000-0005-0000-0000-000048160000}"/>
    <cellStyle name="Normal 4 6 2 6 2" xfId="3931" xr:uid="{00000000-0005-0000-0000-000049160000}"/>
    <cellStyle name="Normal 4 6 2 6 2 2" xfId="8154" xr:uid="{00000000-0005-0000-0000-00004A160000}"/>
    <cellStyle name="Normal 4 6 2 6 2 2 2" xfId="25037" xr:uid="{B78D9615-9114-4600-8533-428635B626C3}"/>
    <cellStyle name="Normal 4 6 2 6 2 2 3" xfId="16596" xr:uid="{083786D5-D1F7-43D0-9068-F168DDABB225}"/>
    <cellStyle name="Normal 4 6 2 6 2 3" xfId="20819" xr:uid="{DAEF2B59-5DA9-4CB6-A681-DB42740055D8}"/>
    <cellStyle name="Normal 4 6 2 6 2 4" xfId="12378" xr:uid="{FCE514F5-1E64-49F1-8C80-0CA4D08F1EB9}"/>
    <cellStyle name="Normal 4 6 2 6 3" xfId="6009" xr:uid="{00000000-0005-0000-0000-00004B160000}"/>
    <cellStyle name="Normal 4 6 2 6 3 2" xfId="22892" xr:uid="{591ADC8A-C64B-4467-86C8-D1E2DBE4AD30}"/>
    <cellStyle name="Normal 4 6 2 6 3 3" xfId="14451" xr:uid="{AC3A5D47-22AE-400A-8318-B37FFA2E882D}"/>
    <cellStyle name="Normal 4 6 2 6 4" xfId="18674" xr:uid="{4CA9BFCC-5833-4AAD-BF98-F225FDFAB3E4}"/>
    <cellStyle name="Normal 4 6 2 6 5" xfId="10233" xr:uid="{44C907C9-E6A4-4EBE-AC4C-6D5607852575}"/>
    <cellStyle name="Normal 4 6 2 7" xfId="2115" xr:uid="{00000000-0005-0000-0000-00004C160000}"/>
    <cellStyle name="Normal 4 6 2 7 2" xfId="4344" xr:uid="{00000000-0005-0000-0000-00004D160000}"/>
    <cellStyle name="Normal 4 6 2 7 2 2" xfId="8567" xr:uid="{00000000-0005-0000-0000-00004E160000}"/>
    <cellStyle name="Normal 4 6 2 7 2 2 2" xfId="25450" xr:uid="{CA5776DD-BF59-4062-87B4-FFAFBC112A96}"/>
    <cellStyle name="Normal 4 6 2 7 2 2 3" xfId="17009" xr:uid="{7D3DBDE6-0AC7-4A13-A34B-4F5DA23AD9B1}"/>
    <cellStyle name="Normal 4 6 2 7 2 3" xfId="21232" xr:uid="{EDAE2C86-3B36-4916-9758-CE23E79E130A}"/>
    <cellStyle name="Normal 4 6 2 7 2 4" xfId="12791" xr:uid="{0A197799-93FE-4031-80BD-4A3C8025BF6B}"/>
    <cellStyle name="Normal 4 6 2 7 3" xfId="6422" xr:uid="{00000000-0005-0000-0000-00004F160000}"/>
    <cellStyle name="Normal 4 6 2 7 3 2" xfId="23305" xr:uid="{9CC1757F-BDD2-4C2D-8662-D9BCD2F4B6D1}"/>
    <cellStyle name="Normal 4 6 2 7 3 3" xfId="14864" xr:uid="{599B2E3E-80F1-4D4F-9CE3-AD5E3BD4573B}"/>
    <cellStyle name="Normal 4 6 2 7 4" xfId="19087" xr:uid="{C5CA5292-A971-4054-853F-8BEDC476C518}"/>
    <cellStyle name="Normal 4 6 2 7 5" xfId="10646" xr:uid="{8166D64D-3784-4402-A06A-3ED4634F34F7}"/>
    <cellStyle name="Normal 4 6 2 8" xfId="2551" xr:uid="{00000000-0005-0000-0000-000050160000}"/>
    <cellStyle name="Normal 4 6 2 8 2" xfId="6835" xr:uid="{00000000-0005-0000-0000-000051160000}"/>
    <cellStyle name="Normal 4 6 2 8 2 2" xfId="23718" xr:uid="{BCBA87A8-ED17-4287-85F3-67A799D2C91C}"/>
    <cellStyle name="Normal 4 6 2 8 2 3" xfId="15277" xr:uid="{53461B73-2119-4C8F-83A9-1EE5A4538476}"/>
    <cellStyle name="Normal 4 6 2 8 3" xfId="19500" xr:uid="{6D5D1A95-938A-4E63-B22D-774DF4490F59}"/>
    <cellStyle name="Normal 4 6 2 8 4" xfId="11059" xr:uid="{C4C3BD66-8DF2-42E9-BDC6-13E24FEBD771}"/>
    <cellStyle name="Normal 4 6 2 9" xfId="4770" xr:uid="{00000000-0005-0000-0000-000052160000}"/>
    <cellStyle name="Normal 4 6 2 9 2" xfId="21653" xr:uid="{163D6687-5032-4FD9-8A15-2E7BDCAC6ADC}"/>
    <cellStyle name="Normal 4 6 2 9 3" xfId="13212" xr:uid="{A6E4E70B-6D42-4F13-99DF-0A6683B7A66A}"/>
    <cellStyle name="Normal 4 6 3" xfId="400" xr:uid="{00000000-0005-0000-0000-000053160000}"/>
    <cellStyle name="Normal 4 6 3 10" xfId="8998" xr:uid="{8F1A401F-070D-4A30-B6C5-829C21D31305}"/>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24216" xr:uid="{14745531-03F0-4C3C-AFE7-1F0447548780}"/>
    <cellStyle name="Normal 4 6 3 2 2 2 2 3" xfId="15775" xr:uid="{DA799E93-5C3A-4001-97BA-2C0092541CFE}"/>
    <cellStyle name="Normal 4 6 3 2 2 2 3" xfId="19998" xr:uid="{EE4B5806-8E8C-4AE4-8045-433B6D93AFEA}"/>
    <cellStyle name="Normal 4 6 3 2 2 2 4" xfId="11557" xr:uid="{3FFDCD55-0E85-4925-BC9E-BA81D37AAD5A}"/>
    <cellStyle name="Normal 4 6 3 2 2 3" xfId="5188" xr:uid="{00000000-0005-0000-0000-000058160000}"/>
    <cellStyle name="Normal 4 6 3 2 2 3 2" xfId="22071" xr:uid="{2E3D181B-ABA3-4415-BC63-9F49421396D5}"/>
    <cellStyle name="Normal 4 6 3 2 2 3 3" xfId="13630" xr:uid="{A62016C1-75BC-4B80-8FEA-57AD131451D6}"/>
    <cellStyle name="Normal 4 6 3 2 2 4" xfId="17853" xr:uid="{1793BDEB-FBF6-4988-890D-76E38EEA2493}"/>
    <cellStyle name="Normal 4 6 3 2 2 5" xfId="9412" xr:uid="{1BD9013D-0B6C-452F-A104-56973D5FE8D2}"/>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24629" xr:uid="{08738297-723D-41BA-97C3-10FDE0CA7152}"/>
    <cellStyle name="Normal 4 6 3 2 3 2 2 3" xfId="16188" xr:uid="{090B6379-31A6-4961-8D79-7ABE20EB1323}"/>
    <cellStyle name="Normal 4 6 3 2 3 2 3" xfId="20411" xr:uid="{CBA94AE4-8DB1-4E64-90D6-ADEB2F3222C3}"/>
    <cellStyle name="Normal 4 6 3 2 3 2 4" xfId="11970" xr:uid="{A72D315B-FBC7-4FFF-8328-11C035F47D44}"/>
    <cellStyle name="Normal 4 6 3 2 3 3" xfId="5601" xr:uid="{00000000-0005-0000-0000-00005C160000}"/>
    <cellStyle name="Normal 4 6 3 2 3 3 2" xfId="22484" xr:uid="{2CFA0C09-58C3-4C22-B9B5-27ABA212B632}"/>
    <cellStyle name="Normal 4 6 3 2 3 3 3" xfId="14043" xr:uid="{87F3BE82-8949-4D91-9D01-0323E071F2C6}"/>
    <cellStyle name="Normal 4 6 3 2 3 4" xfId="18266" xr:uid="{7713756E-A43D-4364-92EC-6BE8D0EB7D63}"/>
    <cellStyle name="Normal 4 6 3 2 3 5" xfId="9825" xr:uid="{ADA3B0DC-C2BD-4FA1-9B66-7D9138457D4F}"/>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25042" xr:uid="{DB01B3AF-4736-499C-82AB-FEDBA8C817B4}"/>
    <cellStyle name="Normal 4 6 3 2 4 2 2 3" xfId="16601" xr:uid="{6EDCF284-D99C-49AF-91F0-D004E0F51D72}"/>
    <cellStyle name="Normal 4 6 3 2 4 2 3" xfId="20824" xr:uid="{DE481DC9-4463-4557-B85B-4032B24C3CEF}"/>
    <cellStyle name="Normal 4 6 3 2 4 2 4" xfId="12383" xr:uid="{37029314-FDA8-4CDC-B92E-CBFF8D5862DF}"/>
    <cellStyle name="Normal 4 6 3 2 4 3" xfId="6014" xr:uid="{00000000-0005-0000-0000-000060160000}"/>
    <cellStyle name="Normal 4 6 3 2 4 3 2" xfId="22897" xr:uid="{34AFBB02-BF67-4372-8441-7210E63A2A43}"/>
    <cellStyle name="Normal 4 6 3 2 4 3 3" xfId="14456" xr:uid="{A643747D-9EFF-456B-82FD-B5CDD2147EF5}"/>
    <cellStyle name="Normal 4 6 3 2 4 4" xfId="18679" xr:uid="{EA409B3C-687B-48EA-AEA3-C8F40C0374D8}"/>
    <cellStyle name="Normal 4 6 3 2 4 5" xfId="10238" xr:uid="{6C71E461-2538-43EA-AEE4-355C85907CA8}"/>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25455" xr:uid="{02357174-B032-4B8D-AB45-B0EFEDF77284}"/>
    <cellStyle name="Normal 4 6 3 2 5 2 2 3" xfId="17014" xr:uid="{5B2911F6-CEDA-403E-A57B-6651C4F7A8D2}"/>
    <cellStyle name="Normal 4 6 3 2 5 2 3" xfId="21237" xr:uid="{3F4C341F-1557-4C9F-959E-C661233268D5}"/>
    <cellStyle name="Normal 4 6 3 2 5 2 4" xfId="12796" xr:uid="{1202169C-DA7B-4564-BC6A-6A25A7FC7F58}"/>
    <cellStyle name="Normal 4 6 3 2 5 3" xfId="6427" xr:uid="{00000000-0005-0000-0000-000064160000}"/>
    <cellStyle name="Normal 4 6 3 2 5 3 2" xfId="23310" xr:uid="{5093692C-F642-4029-8949-EA57C8797ADF}"/>
    <cellStyle name="Normal 4 6 3 2 5 3 3" xfId="14869" xr:uid="{83FC0524-540E-4D1E-A3ED-6B50B9EDEBD2}"/>
    <cellStyle name="Normal 4 6 3 2 5 4" xfId="19092" xr:uid="{17629EC0-730A-4239-ADED-54BF3D9AC98C}"/>
    <cellStyle name="Normal 4 6 3 2 5 5" xfId="10651" xr:uid="{95A54404-5C7F-431C-B081-9A1346209130}"/>
    <cellStyle name="Normal 4 6 3 2 6" xfId="2556" xr:uid="{00000000-0005-0000-0000-000065160000}"/>
    <cellStyle name="Normal 4 6 3 2 6 2" xfId="6840" xr:uid="{00000000-0005-0000-0000-000066160000}"/>
    <cellStyle name="Normal 4 6 3 2 6 2 2" xfId="23723" xr:uid="{DF896FF8-511D-4C85-80D5-A81F6C9C5438}"/>
    <cellStyle name="Normal 4 6 3 2 6 2 3" xfId="15282" xr:uid="{E43CA16B-B7A0-4885-B93F-FD659ECE5B92}"/>
    <cellStyle name="Normal 4 6 3 2 6 3" xfId="19505" xr:uid="{79BCAA01-1AAE-4FFD-AC13-97C0E725B7AC}"/>
    <cellStyle name="Normal 4 6 3 2 6 4" xfId="11064" xr:uid="{EBCC826B-E15F-4C3C-BB96-5DE93780543E}"/>
    <cellStyle name="Normal 4 6 3 2 7" xfId="4775" xr:uid="{00000000-0005-0000-0000-000067160000}"/>
    <cellStyle name="Normal 4 6 3 2 7 2" xfId="21658" xr:uid="{E59C9661-4A91-4633-B40B-DCCECC4FEBA0}"/>
    <cellStyle name="Normal 4 6 3 2 7 3" xfId="13217" xr:uid="{E2EEED6B-2927-4083-A795-9BB71FAED2E6}"/>
    <cellStyle name="Normal 4 6 3 2 8" xfId="17440" xr:uid="{555F8D2D-6063-466A-82DE-A48EE4454333}"/>
    <cellStyle name="Normal 4 6 3 2 9" xfId="8999" xr:uid="{D91C03B6-8FEE-4FD3-AC00-DAD37B99D0D8}"/>
    <cellStyle name="Normal 4 6 3 3" xfId="874" xr:uid="{00000000-0005-0000-0000-000068160000}"/>
    <cellStyle name="Normal 4 6 3 3 2" xfId="3109" xr:uid="{00000000-0005-0000-0000-000069160000}"/>
    <cellStyle name="Normal 4 6 3 3 2 2" xfId="7332" xr:uid="{00000000-0005-0000-0000-00006A160000}"/>
    <cellStyle name="Normal 4 6 3 3 2 2 2" xfId="24215" xr:uid="{90DB29A2-0F81-4F20-9E9C-93FD33C28E45}"/>
    <cellStyle name="Normal 4 6 3 3 2 2 3" xfId="15774" xr:uid="{51559E65-AA89-43BA-8EAF-38EFC190EE1F}"/>
    <cellStyle name="Normal 4 6 3 3 2 3" xfId="19997" xr:uid="{74B5D8EC-A969-46E9-A99C-82FE982936A1}"/>
    <cellStyle name="Normal 4 6 3 3 2 4" xfId="11556" xr:uid="{62006B0E-CA12-4DD4-B262-BF5571820B90}"/>
    <cellStyle name="Normal 4 6 3 3 3" xfId="5187" xr:uid="{00000000-0005-0000-0000-00006B160000}"/>
    <cellStyle name="Normal 4 6 3 3 3 2" xfId="22070" xr:uid="{F5D0EBB0-A657-451C-8B54-0E3D625547E3}"/>
    <cellStyle name="Normal 4 6 3 3 3 3" xfId="13629" xr:uid="{38D23F53-914D-4FEB-B152-6F72A6A0450E}"/>
    <cellStyle name="Normal 4 6 3 3 4" xfId="17852" xr:uid="{EDEEE6E2-A035-4BE7-9F00-13D445758278}"/>
    <cellStyle name="Normal 4 6 3 3 5" xfId="9411" xr:uid="{5CFF395D-4B46-4087-A749-9A380062B9AB}"/>
    <cellStyle name="Normal 4 6 3 4" xfId="1292" xr:uid="{00000000-0005-0000-0000-00006C160000}"/>
    <cellStyle name="Normal 4 6 3 4 2" xfId="3522" xr:uid="{00000000-0005-0000-0000-00006D160000}"/>
    <cellStyle name="Normal 4 6 3 4 2 2" xfId="7745" xr:uid="{00000000-0005-0000-0000-00006E160000}"/>
    <cellStyle name="Normal 4 6 3 4 2 2 2" xfId="24628" xr:uid="{5BDB16C1-21F8-452F-A6A8-B64F7F15A943}"/>
    <cellStyle name="Normal 4 6 3 4 2 2 3" xfId="16187" xr:uid="{068C47BE-840D-45F3-83DD-34D9319D732D}"/>
    <cellStyle name="Normal 4 6 3 4 2 3" xfId="20410" xr:uid="{EE29F9B2-175B-42BE-A415-4A65B86DFC6E}"/>
    <cellStyle name="Normal 4 6 3 4 2 4" xfId="11969" xr:uid="{CD75AF58-4FAC-4D6C-863F-36F9AEEF0766}"/>
    <cellStyle name="Normal 4 6 3 4 3" xfId="5600" xr:uid="{00000000-0005-0000-0000-00006F160000}"/>
    <cellStyle name="Normal 4 6 3 4 3 2" xfId="22483" xr:uid="{3C3366B0-C75A-4DFA-A992-7F2F8FC1E575}"/>
    <cellStyle name="Normal 4 6 3 4 3 3" xfId="14042" xr:uid="{DCCB6E3A-2186-41A6-9165-60BBBCE3022E}"/>
    <cellStyle name="Normal 4 6 3 4 4" xfId="18265" xr:uid="{61DCF6D0-0A0D-44D8-B09E-C4CD5DD5EB0A}"/>
    <cellStyle name="Normal 4 6 3 4 5" xfId="9824" xr:uid="{8FF536C3-646E-40BF-B0DA-6A40AF91F406}"/>
    <cellStyle name="Normal 4 6 3 5" xfId="1705" xr:uid="{00000000-0005-0000-0000-000070160000}"/>
    <cellStyle name="Normal 4 6 3 5 2" xfId="3935" xr:uid="{00000000-0005-0000-0000-000071160000}"/>
    <cellStyle name="Normal 4 6 3 5 2 2" xfId="8158" xr:uid="{00000000-0005-0000-0000-000072160000}"/>
    <cellStyle name="Normal 4 6 3 5 2 2 2" xfId="25041" xr:uid="{A47CE262-7706-49CF-8D54-4A54C4C2E4F4}"/>
    <cellStyle name="Normal 4 6 3 5 2 2 3" xfId="16600" xr:uid="{19A962A3-7357-4509-A242-0E4D06119268}"/>
    <cellStyle name="Normal 4 6 3 5 2 3" xfId="20823" xr:uid="{36DA460D-57F1-4375-8DA9-E4841326BA59}"/>
    <cellStyle name="Normal 4 6 3 5 2 4" xfId="12382" xr:uid="{616E3D6B-A76F-4201-A386-71CE8D1AF23B}"/>
    <cellStyle name="Normal 4 6 3 5 3" xfId="6013" xr:uid="{00000000-0005-0000-0000-000073160000}"/>
    <cellStyle name="Normal 4 6 3 5 3 2" xfId="22896" xr:uid="{4DE52AFA-1E6B-4BEC-8B7C-2C3CB19FC5C8}"/>
    <cellStyle name="Normal 4 6 3 5 3 3" xfId="14455" xr:uid="{C2BE4FCC-6FB0-4B2A-AA0A-C0F4722B726B}"/>
    <cellStyle name="Normal 4 6 3 5 4" xfId="18678" xr:uid="{D9210B2A-00A4-4CC7-B9FE-17A655CD1F2F}"/>
    <cellStyle name="Normal 4 6 3 5 5" xfId="10237" xr:uid="{39765394-A072-4873-BF33-8184A239BC58}"/>
    <cellStyle name="Normal 4 6 3 6" xfId="2119" xr:uid="{00000000-0005-0000-0000-000074160000}"/>
    <cellStyle name="Normal 4 6 3 6 2" xfId="4348" xr:uid="{00000000-0005-0000-0000-000075160000}"/>
    <cellStyle name="Normal 4 6 3 6 2 2" xfId="8571" xr:uid="{00000000-0005-0000-0000-000076160000}"/>
    <cellStyle name="Normal 4 6 3 6 2 2 2" xfId="25454" xr:uid="{42411327-E09F-4102-9813-62DDAA5D3B82}"/>
    <cellStyle name="Normal 4 6 3 6 2 2 3" xfId="17013" xr:uid="{6BF04322-7AE1-4772-996E-DF51C1532687}"/>
    <cellStyle name="Normal 4 6 3 6 2 3" xfId="21236" xr:uid="{E22F1398-8283-4BFC-8C33-001C15A9C42C}"/>
    <cellStyle name="Normal 4 6 3 6 2 4" xfId="12795" xr:uid="{59F65046-6105-424C-85CA-CD64494A4F48}"/>
    <cellStyle name="Normal 4 6 3 6 3" xfId="6426" xr:uid="{00000000-0005-0000-0000-000077160000}"/>
    <cellStyle name="Normal 4 6 3 6 3 2" xfId="23309" xr:uid="{4C7937D0-6C31-4160-A473-8E35EF87EA00}"/>
    <cellStyle name="Normal 4 6 3 6 3 3" xfId="14868" xr:uid="{E78263B0-D8B0-49BD-A637-8D15C21BD79C}"/>
    <cellStyle name="Normal 4 6 3 6 4" xfId="19091" xr:uid="{4EAAD217-564A-4F4C-B555-AA61DD170AE6}"/>
    <cellStyle name="Normal 4 6 3 6 5" xfId="10650" xr:uid="{BEFE137C-D636-49CA-B98C-5EFE13472224}"/>
    <cellStyle name="Normal 4 6 3 7" xfId="2555" xr:uid="{00000000-0005-0000-0000-000078160000}"/>
    <cellStyle name="Normal 4 6 3 7 2" xfId="6839" xr:uid="{00000000-0005-0000-0000-000079160000}"/>
    <cellStyle name="Normal 4 6 3 7 2 2" xfId="23722" xr:uid="{A2E43AED-0643-406A-8696-D38216A9A556}"/>
    <cellStyle name="Normal 4 6 3 7 2 3" xfId="15281" xr:uid="{33ACAE0D-C985-4A83-9805-ADEA1758D1ED}"/>
    <cellStyle name="Normal 4 6 3 7 3" xfId="19504" xr:uid="{488BB6F2-F615-47E7-B291-5EAD4DCC39FD}"/>
    <cellStyle name="Normal 4 6 3 7 4" xfId="11063" xr:uid="{04AA2EA6-C91B-4E3E-90E9-E8029C9BB9C7}"/>
    <cellStyle name="Normal 4 6 3 8" xfId="4774" xr:uid="{00000000-0005-0000-0000-00007A160000}"/>
    <cellStyle name="Normal 4 6 3 8 2" xfId="21657" xr:uid="{5A0DDE90-9BC3-452D-865C-BE2D25A9117F}"/>
    <cellStyle name="Normal 4 6 3 8 3" xfId="13216" xr:uid="{1FE63BC5-3BA4-4274-B24C-B4FF73E8BB87}"/>
    <cellStyle name="Normal 4 6 3 9" xfId="17439" xr:uid="{761C7B82-2DB9-46EE-A876-A9B19C9E09AA}"/>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24217" xr:uid="{7B065B2B-77A5-419E-9DE2-8E4492A20139}"/>
    <cellStyle name="Normal 4 6 4 2 2 2 3" xfId="15776" xr:uid="{674A6074-0B01-4602-A137-77403BEFB442}"/>
    <cellStyle name="Normal 4 6 4 2 2 3" xfId="19999" xr:uid="{06963762-25FC-4900-929A-A1874113665F}"/>
    <cellStyle name="Normal 4 6 4 2 2 4" xfId="11558" xr:uid="{8DBC816D-136C-4E6A-AD39-D2A6A88540A9}"/>
    <cellStyle name="Normal 4 6 4 2 3" xfId="5189" xr:uid="{00000000-0005-0000-0000-00007F160000}"/>
    <cellStyle name="Normal 4 6 4 2 3 2" xfId="22072" xr:uid="{621C2488-470B-4DA6-A352-157249B2C37C}"/>
    <cellStyle name="Normal 4 6 4 2 3 3" xfId="13631" xr:uid="{10970C87-1822-4B3E-8844-B89F3E7B02FA}"/>
    <cellStyle name="Normal 4 6 4 2 4" xfId="17854" xr:uid="{F8849A06-DC5F-46C1-B312-59F83D63A179}"/>
    <cellStyle name="Normal 4 6 4 2 5" xfId="9413" xr:uid="{8785A664-0FCB-4739-9BFD-99F8EE2C7E17}"/>
    <cellStyle name="Normal 4 6 4 3" xfId="1294" xr:uid="{00000000-0005-0000-0000-000080160000}"/>
    <cellStyle name="Normal 4 6 4 3 2" xfId="3524" xr:uid="{00000000-0005-0000-0000-000081160000}"/>
    <cellStyle name="Normal 4 6 4 3 2 2" xfId="7747" xr:uid="{00000000-0005-0000-0000-000082160000}"/>
    <cellStyle name="Normal 4 6 4 3 2 2 2" xfId="24630" xr:uid="{9BBB17E7-3704-4288-81D1-8F7209021E83}"/>
    <cellStyle name="Normal 4 6 4 3 2 2 3" xfId="16189" xr:uid="{A126F550-58B1-4DEE-B479-DEE3B8339861}"/>
    <cellStyle name="Normal 4 6 4 3 2 3" xfId="20412" xr:uid="{F0A77472-5C82-4093-BEE0-C2B86A746422}"/>
    <cellStyle name="Normal 4 6 4 3 2 4" xfId="11971" xr:uid="{2AC22E11-610B-4933-ABC5-0DFE7BB88075}"/>
    <cellStyle name="Normal 4 6 4 3 3" xfId="5602" xr:uid="{00000000-0005-0000-0000-000083160000}"/>
    <cellStyle name="Normal 4 6 4 3 3 2" xfId="22485" xr:uid="{E9119E8E-50F6-4829-8F51-AC477459A083}"/>
    <cellStyle name="Normal 4 6 4 3 3 3" xfId="14044" xr:uid="{D960BD50-319E-4D12-92EA-A5B718D33C99}"/>
    <cellStyle name="Normal 4 6 4 3 4" xfId="18267" xr:uid="{F3BC5D17-5995-4857-A762-890C91757F3F}"/>
    <cellStyle name="Normal 4 6 4 3 5" xfId="9826" xr:uid="{8B1B8B15-12F8-4AAC-A567-626002ED17F1}"/>
    <cellStyle name="Normal 4 6 4 4" xfId="1707" xr:uid="{00000000-0005-0000-0000-000084160000}"/>
    <cellStyle name="Normal 4 6 4 4 2" xfId="3937" xr:uid="{00000000-0005-0000-0000-000085160000}"/>
    <cellStyle name="Normal 4 6 4 4 2 2" xfId="8160" xr:uid="{00000000-0005-0000-0000-000086160000}"/>
    <cellStyle name="Normal 4 6 4 4 2 2 2" xfId="25043" xr:uid="{845F648E-DE49-42A3-982E-E49DECB846A8}"/>
    <cellStyle name="Normal 4 6 4 4 2 2 3" xfId="16602" xr:uid="{7A238FCD-1E25-428C-AAF2-18890B323B6B}"/>
    <cellStyle name="Normal 4 6 4 4 2 3" xfId="20825" xr:uid="{CE619F18-7B12-492F-8706-B09381340150}"/>
    <cellStyle name="Normal 4 6 4 4 2 4" xfId="12384" xr:uid="{2A9DC2BC-4D6E-4C40-AD6D-104A52735134}"/>
    <cellStyle name="Normal 4 6 4 4 3" xfId="6015" xr:uid="{00000000-0005-0000-0000-000087160000}"/>
    <cellStyle name="Normal 4 6 4 4 3 2" xfId="22898" xr:uid="{85BC2C6F-2E37-4319-AE22-99E31D5A11F6}"/>
    <cellStyle name="Normal 4 6 4 4 3 3" xfId="14457" xr:uid="{A70AFDA9-509D-45D1-BDF3-9D45F1D39A9A}"/>
    <cellStyle name="Normal 4 6 4 4 4" xfId="18680" xr:uid="{DD8696CC-B64B-4026-B3E1-08A162258CF0}"/>
    <cellStyle name="Normal 4 6 4 4 5" xfId="10239" xr:uid="{9409AC03-D3C6-4340-BCD1-0B0CCA0DEE33}"/>
    <cellStyle name="Normal 4 6 4 5" xfId="2121" xr:uid="{00000000-0005-0000-0000-000088160000}"/>
    <cellStyle name="Normal 4 6 4 5 2" xfId="4350" xr:uid="{00000000-0005-0000-0000-000089160000}"/>
    <cellStyle name="Normal 4 6 4 5 2 2" xfId="8573" xr:uid="{00000000-0005-0000-0000-00008A160000}"/>
    <cellStyle name="Normal 4 6 4 5 2 2 2" xfId="25456" xr:uid="{B2518A6B-D984-4497-A1CE-FE9E1284929D}"/>
    <cellStyle name="Normal 4 6 4 5 2 2 3" xfId="17015" xr:uid="{A46C74EE-4C05-4AD2-95AB-62E8374C8404}"/>
    <cellStyle name="Normal 4 6 4 5 2 3" xfId="21238" xr:uid="{29B8B1DE-A1DD-4D7A-8E75-425339502AB4}"/>
    <cellStyle name="Normal 4 6 4 5 2 4" xfId="12797" xr:uid="{33D20460-7C06-4EA2-AEAF-380835749214}"/>
    <cellStyle name="Normal 4 6 4 5 3" xfId="6428" xr:uid="{00000000-0005-0000-0000-00008B160000}"/>
    <cellStyle name="Normal 4 6 4 5 3 2" xfId="23311" xr:uid="{65B2B1AE-FA08-4F25-872C-86F371653F5B}"/>
    <cellStyle name="Normal 4 6 4 5 3 3" xfId="14870" xr:uid="{46CAB537-7CA9-4974-837F-E106075FD0FA}"/>
    <cellStyle name="Normal 4 6 4 5 4" xfId="19093" xr:uid="{37A230A9-7E6F-4075-B682-CF7CE56331B0}"/>
    <cellStyle name="Normal 4 6 4 5 5" xfId="10652" xr:uid="{CFE0CFFF-F3F6-4BCC-9B76-9FBF147B3D40}"/>
    <cellStyle name="Normal 4 6 4 6" xfId="2557" xr:uid="{00000000-0005-0000-0000-00008C160000}"/>
    <cellStyle name="Normal 4 6 4 6 2" xfId="6841" xr:uid="{00000000-0005-0000-0000-00008D160000}"/>
    <cellStyle name="Normal 4 6 4 6 2 2" xfId="23724" xr:uid="{96A3D4A3-8AB7-49B6-A0A9-18134D502F0E}"/>
    <cellStyle name="Normal 4 6 4 6 2 3" xfId="15283" xr:uid="{A06002B5-C952-4F36-8877-34500D2064BE}"/>
    <cellStyle name="Normal 4 6 4 6 3" xfId="19506" xr:uid="{5CC04CA5-6144-45A1-BDF3-7232674D2D77}"/>
    <cellStyle name="Normal 4 6 4 6 4" xfId="11065" xr:uid="{02BF694A-98B0-4C5E-8303-BE4F040D1B7F}"/>
    <cellStyle name="Normal 4 6 4 7" xfId="4776" xr:uid="{00000000-0005-0000-0000-00008E160000}"/>
    <cellStyle name="Normal 4 6 4 7 2" xfId="21659" xr:uid="{FDD2F241-0262-4143-B64E-D1CBF8392664}"/>
    <cellStyle name="Normal 4 6 4 7 3" xfId="13218" xr:uid="{9CCF9131-3939-4779-AEA7-88C378A5FDC7}"/>
    <cellStyle name="Normal 4 6 4 8" xfId="17441" xr:uid="{F27A7697-F432-4180-8820-65DC04557266}"/>
    <cellStyle name="Normal 4 6 4 9" xfId="9000" xr:uid="{3FF8910C-AB85-4FD9-91A7-FFE9C9988DD8}"/>
    <cellStyle name="Normal 4 6 5" xfId="869" xr:uid="{00000000-0005-0000-0000-00008F160000}"/>
    <cellStyle name="Normal 4 6 5 2" xfId="3104" xr:uid="{00000000-0005-0000-0000-000090160000}"/>
    <cellStyle name="Normal 4 6 5 2 2" xfId="7327" xr:uid="{00000000-0005-0000-0000-000091160000}"/>
    <cellStyle name="Normal 4 6 5 2 2 2" xfId="24210" xr:uid="{EBD39962-B185-459D-8BD4-5372D9734E30}"/>
    <cellStyle name="Normal 4 6 5 2 2 3" xfId="15769" xr:uid="{4684E911-4D27-4E19-83FC-E8AD4D887CF7}"/>
    <cellStyle name="Normal 4 6 5 2 3" xfId="19992" xr:uid="{61EB00FD-7140-47EA-9308-31F33523DF62}"/>
    <cellStyle name="Normal 4 6 5 2 4" xfId="11551" xr:uid="{DA8BC11C-53B8-4B88-8D92-93B0B5F701E3}"/>
    <cellStyle name="Normal 4 6 5 3" xfId="5182" xr:uid="{00000000-0005-0000-0000-000092160000}"/>
    <cellStyle name="Normal 4 6 5 3 2" xfId="22065" xr:uid="{C523C124-FF90-48E7-A90A-A7F1A4ECA1DB}"/>
    <cellStyle name="Normal 4 6 5 3 3" xfId="13624" xr:uid="{D9571C4C-A62F-4E38-A7C0-CB2856B541FC}"/>
    <cellStyle name="Normal 4 6 5 4" xfId="17847" xr:uid="{7FC26EA8-5A0B-4A46-B5DC-9967EA9DF227}"/>
    <cellStyle name="Normal 4 6 5 5" xfId="9406" xr:uid="{FB72B610-4E12-48AF-90AF-B3E2819D069E}"/>
    <cellStyle name="Normal 4 6 6" xfId="1287" xr:uid="{00000000-0005-0000-0000-000093160000}"/>
    <cellStyle name="Normal 4 6 6 2" xfId="3517" xr:uid="{00000000-0005-0000-0000-000094160000}"/>
    <cellStyle name="Normal 4 6 6 2 2" xfId="7740" xr:uid="{00000000-0005-0000-0000-000095160000}"/>
    <cellStyle name="Normal 4 6 6 2 2 2" xfId="24623" xr:uid="{A3EEEBF5-9111-4498-84EE-1B329D5E3C01}"/>
    <cellStyle name="Normal 4 6 6 2 2 3" xfId="16182" xr:uid="{6E1BBD1D-36E3-45C8-80FC-96D2814B4AED}"/>
    <cellStyle name="Normal 4 6 6 2 3" xfId="20405" xr:uid="{76C621C0-75DA-4660-925F-50B35A97D835}"/>
    <cellStyle name="Normal 4 6 6 2 4" xfId="11964" xr:uid="{F0701926-4F47-4943-8C14-4A88EC8DBD80}"/>
    <cellStyle name="Normal 4 6 6 3" xfId="5595" xr:uid="{00000000-0005-0000-0000-000096160000}"/>
    <cellStyle name="Normal 4 6 6 3 2" xfId="22478" xr:uid="{78FED64D-4418-460A-AAEA-679857C9E50A}"/>
    <cellStyle name="Normal 4 6 6 3 3" xfId="14037" xr:uid="{8BFB1FC3-98A5-4586-BA87-3B89A03DBB0F}"/>
    <cellStyle name="Normal 4 6 6 4" xfId="18260" xr:uid="{3349F0CC-0C16-42EA-9C48-3C5B7F3689CA}"/>
    <cellStyle name="Normal 4 6 6 5" xfId="9819" xr:uid="{1B513AA5-177A-4D1A-BDDD-AEAC1EF08F16}"/>
    <cellStyle name="Normal 4 6 7" xfId="1700" xr:uid="{00000000-0005-0000-0000-000097160000}"/>
    <cellStyle name="Normal 4 6 7 2" xfId="3930" xr:uid="{00000000-0005-0000-0000-000098160000}"/>
    <cellStyle name="Normal 4 6 7 2 2" xfId="8153" xr:uid="{00000000-0005-0000-0000-000099160000}"/>
    <cellStyle name="Normal 4 6 7 2 2 2" xfId="25036" xr:uid="{8E9ABCF8-F437-4AC3-8CF6-59694AAE3B7D}"/>
    <cellStyle name="Normal 4 6 7 2 2 3" xfId="16595" xr:uid="{2F1708EA-BEE1-4BE0-AE60-0C48CB1C112C}"/>
    <cellStyle name="Normal 4 6 7 2 3" xfId="20818" xr:uid="{FE857E84-2BEB-413A-A1FC-F59496F1E55D}"/>
    <cellStyle name="Normal 4 6 7 2 4" xfId="12377" xr:uid="{DCB55479-3B32-46AB-9C79-1EA4C813CB6D}"/>
    <cellStyle name="Normal 4 6 7 3" xfId="6008" xr:uid="{00000000-0005-0000-0000-00009A160000}"/>
    <cellStyle name="Normal 4 6 7 3 2" xfId="22891" xr:uid="{A939CB16-DF5C-47FB-9BF6-36DFF11A3F9F}"/>
    <cellStyle name="Normal 4 6 7 3 3" xfId="14450" xr:uid="{E3369E57-A295-4104-AF98-8624940F337D}"/>
    <cellStyle name="Normal 4 6 7 4" xfId="18673" xr:uid="{A307E057-0791-40C7-BF9D-87844E5C5158}"/>
    <cellStyle name="Normal 4 6 7 5" xfId="10232" xr:uid="{CCF67C2B-AF2C-4FA4-B6DA-63FFB78B3A3B}"/>
    <cellStyle name="Normal 4 6 8" xfId="2114" xr:uid="{00000000-0005-0000-0000-00009B160000}"/>
    <cellStyle name="Normal 4 6 8 2" xfId="4343" xr:uid="{00000000-0005-0000-0000-00009C160000}"/>
    <cellStyle name="Normal 4 6 8 2 2" xfId="8566" xr:uid="{00000000-0005-0000-0000-00009D160000}"/>
    <cellStyle name="Normal 4 6 8 2 2 2" xfId="25449" xr:uid="{79E49C48-5AD6-4663-8073-D27DD5ACECC0}"/>
    <cellStyle name="Normal 4 6 8 2 2 3" xfId="17008" xr:uid="{C99D6381-E637-4C87-8900-3CA5E13005A1}"/>
    <cellStyle name="Normal 4 6 8 2 3" xfId="21231" xr:uid="{F8CFA92F-35A0-4FE2-A031-95020693DB9E}"/>
    <cellStyle name="Normal 4 6 8 2 4" xfId="12790" xr:uid="{32E1F339-1957-490C-9069-E3C929B25869}"/>
    <cellStyle name="Normal 4 6 8 3" xfId="6421" xr:uid="{00000000-0005-0000-0000-00009E160000}"/>
    <cellStyle name="Normal 4 6 8 3 2" xfId="23304" xr:uid="{9B0F7945-E42C-4AFD-9855-5A8B7C3907FD}"/>
    <cellStyle name="Normal 4 6 8 3 3" xfId="14863" xr:uid="{930E71EC-D15C-4DEF-8CD5-CEE4E2862921}"/>
    <cellStyle name="Normal 4 6 8 4" xfId="19086" xr:uid="{4EF8F206-9DA7-43F3-ADBD-355A89E452D2}"/>
    <cellStyle name="Normal 4 6 8 5" xfId="10645" xr:uid="{A448281C-F709-4613-B281-A266CFA8CCCB}"/>
    <cellStyle name="Normal 4 6 9" xfId="2550" xr:uid="{00000000-0005-0000-0000-00009F160000}"/>
    <cellStyle name="Normal 4 6 9 2" xfId="6834" xr:uid="{00000000-0005-0000-0000-0000A0160000}"/>
    <cellStyle name="Normal 4 6 9 2 2" xfId="23717" xr:uid="{1E1EF558-BDA0-4860-9649-711B17E26EBE}"/>
    <cellStyle name="Normal 4 6 9 2 3" xfId="15276" xr:uid="{88FB59AF-DD38-434A-89B2-2B83E3499400}"/>
    <cellStyle name="Normal 4 6 9 3" xfId="19499" xr:uid="{A08A3A03-8270-4877-9298-F89C00DB7CA0}"/>
    <cellStyle name="Normal 4 6 9 4" xfId="11058" xr:uid="{2BC76C17-A56D-4E3B-BB84-0F764825100F}"/>
    <cellStyle name="Normal 4 7" xfId="403" xr:uid="{00000000-0005-0000-0000-0000A1160000}"/>
    <cellStyle name="Normal 4 7 10" xfId="9001" xr:uid="{D4CEC432-1EAC-4467-BF58-6FDD6B62CD82}"/>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24219" xr:uid="{0D34A417-77B0-46A0-9E57-BCE2041A4565}"/>
    <cellStyle name="Normal 4 7 2 2 2 2 3" xfId="15778" xr:uid="{5477EDEE-50C4-45ED-91F8-4D32B7F50226}"/>
    <cellStyle name="Normal 4 7 2 2 2 3" xfId="20001" xr:uid="{341BB141-198C-404A-B4BB-3B257F60C530}"/>
    <cellStyle name="Normal 4 7 2 2 2 4" xfId="11560" xr:uid="{E97359E0-4A28-4089-836E-9DA35B9E74AA}"/>
    <cellStyle name="Normal 4 7 2 2 3" xfId="5191" xr:uid="{00000000-0005-0000-0000-0000A6160000}"/>
    <cellStyle name="Normal 4 7 2 2 3 2" xfId="22074" xr:uid="{EECE3BE5-1CE6-4CCC-93FC-3907F4D1B1DC}"/>
    <cellStyle name="Normal 4 7 2 2 3 3" xfId="13633" xr:uid="{D295691B-CA95-4AAE-A746-E45310641890}"/>
    <cellStyle name="Normal 4 7 2 2 4" xfId="17856" xr:uid="{D0E45425-668A-4DD4-A393-FA2EFAFE1C94}"/>
    <cellStyle name="Normal 4 7 2 2 5" xfId="9415" xr:uid="{53275131-5907-476D-832C-F8A805C1501E}"/>
    <cellStyle name="Normal 4 7 2 3" xfId="1296" xr:uid="{00000000-0005-0000-0000-0000A7160000}"/>
    <cellStyle name="Normal 4 7 2 3 2" xfId="3526" xr:uid="{00000000-0005-0000-0000-0000A8160000}"/>
    <cellStyle name="Normal 4 7 2 3 2 2" xfId="7749" xr:uid="{00000000-0005-0000-0000-0000A9160000}"/>
    <cellStyle name="Normal 4 7 2 3 2 2 2" xfId="24632" xr:uid="{CA3D511B-E575-42B1-A325-767A6075FC43}"/>
    <cellStyle name="Normal 4 7 2 3 2 2 3" xfId="16191" xr:uid="{2DB542F4-E809-4A52-9D76-754B75066BE3}"/>
    <cellStyle name="Normal 4 7 2 3 2 3" xfId="20414" xr:uid="{26464557-7267-44C7-8B76-7CFEDEC32D8D}"/>
    <cellStyle name="Normal 4 7 2 3 2 4" xfId="11973" xr:uid="{8181F015-0CC7-4B41-BABA-359F5B251BDD}"/>
    <cellStyle name="Normal 4 7 2 3 3" xfId="5604" xr:uid="{00000000-0005-0000-0000-0000AA160000}"/>
    <cellStyle name="Normal 4 7 2 3 3 2" xfId="22487" xr:uid="{7B383010-A94C-4DC7-951A-F29AC1E5AFAD}"/>
    <cellStyle name="Normal 4 7 2 3 3 3" xfId="14046" xr:uid="{0341D5B2-A9D5-4B66-AB50-1F16ED889DB7}"/>
    <cellStyle name="Normal 4 7 2 3 4" xfId="18269" xr:uid="{1C72F696-A51F-4E4F-8E42-68F19E3AA2E8}"/>
    <cellStyle name="Normal 4 7 2 3 5" xfId="9828" xr:uid="{3BC9B2AD-B913-408A-9106-F0DE50036E67}"/>
    <cellStyle name="Normal 4 7 2 4" xfId="1709" xr:uid="{00000000-0005-0000-0000-0000AB160000}"/>
    <cellStyle name="Normal 4 7 2 4 2" xfId="3939" xr:uid="{00000000-0005-0000-0000-0000AC160000}"/>
    <cellStyle name="Normal 4 7 2 4 2 2" xfId="8162" xr:uid="{00000000-0005-0000-0000-0000AD160000}"/>
    <cellStyle name="Normal 4 7 2 4 2 2 2" xfId="25045" xr:uid="{3D40FE0B-E997-48B6-8C6C-937B9DB042FC}"/>
    <cellStyle name="Normal 4 7 2 4 2 2 3" xfId="16604" xr:uid="{A1EFBEA3-D064-4195-9A62-799A41F9F477}"/>
    <cellStyle name="Normal 4 7 2 4 2 3" xfId="20827" xr:uid="{3BDB2F51-ACC9-48AC-845B-327A422940EE}"/>
    <cellStyle name="Normal 4 7 2 4 2 4" xfId="12386" xr:uid="{38BE7501-15AC-4942-8681-76BE62D53EAD}"/>
    <cellStyle name="Normal 4 7 2 4 3" xfId="6017" xr:uid="{00000000-0005-0000-0000-0000AE160000}"/>
    <cellStyle name="Normal 4 7 2 4 3 2" xfId="22900" xr:uid="{067671EC-CEAA-437E-85FA-6D91C69BD4E0}"/>
    <cellStyle name="Normal 4 7 2 4 3 3" xfId="14459" xr:uid="{84847A4D-4FF0-45CC-8CA3-4927C47EE6ED}"/>
    <cellStyle name="Normal 4 7 2 4 4" xfId="18682" xr:uid="{5971C84A-C94A-427C-B429-0A28CC5A6E14}"/>
    <cellStyle name="Normal 4 7 2 4 5" xfId="10241" xr:uid="{36C15A4C-7E0F-4F55-9F11-1E0AE8BF9A40}"/>
    <cellStyle name="Normal 4 7 2 5" xfId="2123" xr:uid="{00000000-0005-0000-0000-0000AF160000}"/>
    <cellStyle name="Normal 4 7 2 5 2" xfId="4352" xr:uid="{00000000-0005-0000-0000-0000B0160000}"/>
    <cellStyle name="Normal 4 7 2 5 2 2" xfId="8575" xr:uid="{00000000-0005-0000-0000-0000B1160000}"/>
    <cellStyle name="Normal 4 7 2 5 2 2 2" xfId="25458" xr:uid="{5A38AF9F-3C9A-4FA8-91FE-EA06624EFDAF}"/>
    <cellStyle name="Normal 4 7 2 5 2 2 3" xfId="17017" xr:uid="{ACCA6B95-7432-4061-8234-64EC3DBF566B}"/>
    <cellStyle name="Normal 4 7 2 5 2 3" xfId="21240" xr:uid="{6C1FD2F7-79F8-4AF1-AF90-611D0A7948EB}"/>
    <cellStyle name="Normal 4 7 2 5 2 4" xfId="12799" xr:uid="{2D3D23CA-5A6F-4F3E-8469-8D9394EF483F}"/>
    <cellStyle name="Normal 4 7 2 5 3" xfId="6430" xr:uid="{00000000-0005-0000-0000-0000B2160000}"/>
    <cellStyle name="Normal 4 7 2 5 3 2" xfId="23313" xr:uid="{9CE7D463-8F8C-462D-B34E-129682EC0ADE}"/>
    <cellStyle name="Normal 4 7 2 5 3 3" xfId="14872" xr:uid="{75B8F29B-3A2D-4229-AD00-85D95D4D9DB3}"/>
    <cellStyle name="Normal 4 7 2 5 4" xfId="19095" xr:uid="{DC4F1C8C-B3CF-4513-9486-C6281ADFF056}"/>
    <cellStyle name="Normal 4 7 2 5 5" xfId="10654" xr:uid="{77776484-BDB7-4F48-B7AC-2AA81A5199C6}"/>
    <cellStyle name="Normal 4 7 2 6" xfId="2559" xr:uid="{00000000-0005-0000-0000-0000B3160000}"/>
    <cellStyle name="Normal 4 7 2 6 2" xfId="6843" xr:uid="{00000000-0005-0000-0000-0000B4160000}"/>
    <cellStyle name="Normal 4 7 2 6 2 2" xfId="23726" xr:uid="{FD9A4FD8-1824-44E0-930A-C9A9B690BD89}"/>
    <cellStyle name="Normal 4 7 2 6 2 3" xfId="15285" xr:uid="{13F33FD2-54F9-42E2-B05E-86AE24BD4010}"/>
    <cellStyle name="Normal 4 7 2 6 3" xfId="19508" xr:uid="{B91B0AA0-6A09-4DA3-9FAC-69BA396F6A49}"/>
    <cellStyle name="Normal 4 7 2 6 4" xfId="11067" xr:uid="{EB75C401-0BC8-4319-9A3F-751CEC2A94E5}"/>
    <cellStyle name="Normal 4 7 2 7" xfId="4778" xr:uid="{00000000-0005-0000-0000-0000B5160000}"/>
    <cellStyle name="Normal 4 7 2 7 2" xfId="21661" xr:uid="{28DB1B25-3CC3-4C61-9428-40E8FA9082E3}"/>
    <cellStyle name="Normal 4 7 2 7 3" xfId="13220" xr:uid="{47AA385C-8C28-4EC9-A22C-DA540E7CCC74}"/>
    <cellStyle name="Normal 4 7 2 8" xfId="17443" xr:uid="{20DFA658-DF8B-441B-9DBB-C14A23BB0A2B}"/>
    <cellStyle name="Normal 4 7 2 9" xfId="9002" xr:uid="{4E3DF63F-B733-4369-B73D-FCE97D72914A}"/>
    <cellStyle name="Normal 4 7 3" xfId="877" xr:uid="{00000000-0005-0000-0000-0000B6160000}"/>
    <cellStyle name="Normal 4 7 3 2" xfId="3112" xr:uid="{00000000-0005-0000-0000-0000B7160000}"/>
    <cellStyle name="Normal 4 7 3 2 2" xfId="7335" xr:uid="{00000000-0005-0000-0000-0000B8160000}"/>
    <cellStyle name="Normal 4 7 3 2 2 2" xfId="24218" xr:uid="{33A64554-ACDE-4305-9EAB-D47AE3F2856B}"/>
    <cellStyle name="Normal 4 7 3 2 2 3" xfId="15777" xr:uid="{D8B6E7C7-970E-4520-9BCB-A89D48F56DE4}"/>
    <cellStyle name="Normal 4 7 3 2 3" xfId="20000" xr:uid="{41F24B5A-56B7-45E6-9AD4-64C39A9E8BF8}"/>
    <cellStyle name="Normal 4 7 3 2 4" xfId="11559" xr:uid="{D547DE4C-EB0D-4AB0-ADDB-3EF190E81447}"/>
    <cellStyle name="Normal 4 7 3 3" xfId="5190" xr:uid="{00000000-0005-0000-0000-0000B9160000}"/>
    <cellStyle name="Normal 4 7 3 3 2" xfId="22073" xr:uid="{BB2E13B7-AD7A-4BE0-9737-DAEACDECC2F4}"/>
    <cellStyle name="Normal 4 7 3 3 3" xfId="13632" xr:uid="{93723792-FCBA-4CB2-AC9C-8E80DD2CE2CD}"/>
    <cellStyle name="Normal 4 7 3 4" xfId="17855" xr:uid="{6D12ECB0-6CE1-4218-BD1B-C7656D0EEF7C}"/>
    <cellStyle name="Normal 4 7 3 5" xfId="9414" xr:uid="{9851659A-2AC7-428C-95C8-0CEEDC02CBE5}"/>
    <cellStyle name="Normal 4 7 4" xfId="1295" xr:uid="{00000000-0005-0000-0000-0000BA160000}"/>
    <cellStyle name="Normal 4 7 4 2" xfId="3525" xr:uid="{00000000-0005-0000-0000-0000BB160000}"/>
    <cellStyle name="Normal 4 7 4 2 2" xfId="7748" xr:uid="{00000000-0005-0000-0000-0000BC160000}"/>
    <cellStyle name="Normal 4 7 4 2 2 2" xfId="24631" xr:uid="{4963DE60-B441-449B-AAB3-A2176E6A2801}"/>
    <cellStyle name="Normal 4 7 4 2 2 3" xfId="16190" xr:uid="{23E1C790-D99C-4EC1-AE57-6A096EB20F20}"/>
    <cellStyle name="Normal 4 7 4 2 3" xfId="20413" xr:uid="{89DC852E-66E2-45E1-8C50-9F8836654AF4}"/>
    <cellStyle name="Normal 4 7 4 2 4" xfId="11972" xr:uid="{CC410B3D-566D-4768-8C88-F888A2A7D3A3}"/>
    <cellStyle name="Normal 4 7 4 3" xfId="5603" xr:uid="{00000000-0005-0000-0000-0000BD160000}"/>
    <cellStyle name="Normal 4 7 4 3 2" xfId="22486" xr:uid="{7D9DE090-E69D-4260-9A0B-7DA5EAB2C027}"/>
    <cellStyle name="Normal 4 7 4 3 3" xfId="14045" xr:uid="{CEF5A100-A187-4C52-BDF8-D89868E4E19B}"/>
    <cellStyle name="Normal 4 7 4 4" xfId="18268" xr:uid="{6D496824-70B5-4EC1-9CB7-25662C6EEF9E}"/>
    <cellStyle name="Normal 4 7 4 5" xfId="9827" xr:uid="{ADA4385D-2FD7-42B2-9BD8-1E92772E66F0}"/>
    <cellStyle name="Normal 4 7 5" xfId="1708" xr:uid="{00000000-0005-0000-0000-0000BE160000}"/>
    <cellStyle name="Normal 4 7 5 2" xfId="3938" xr:uid="{00000000-0005-0000-0000-0000BF160000}"/>
    <cellStyle name="Normal 4 7 5 2 2" xfId="8161" xr:uid="{00000000-0005-0000-0000-0000C0160000}"/>
    <cellStyle name="Normal 4 7 5 2 2 2" xfId="25044" xr:uid="{218AFCA4-0A60-4480-B823-6E2CE436C6AA}"/>
    <cellStyle name="Normal 4 7 5 2 2 3" xfId="16603" xr:uid="{54D72C74-8CC0-44D9-9536-A289D6950818}"/>
    <cellStyle name="Normal 4 7 5 2 3" xfId="20826" xr:uid="{C5641D8F-9C36-4519-BE93-3A46DCE0547B}"/>
    <cellStyle name="Normal 4 7 5 2 4" xfId="12385" xr:uid="{DFFFC0B5-C629-48DA-A4DF-A5003A649619}"/>
    <cellStyle name="Normal 4 7 5 3" xfId="6016" xr:uid="{00000000-0005-0000-0000-0000C1160000}"/>
    <cellStyle name="Normal 4 7 5 3 2" xfId="22899" xr:uid="{113EB4D9-BBCE-483A-A97C-6EECB720C329}"/>
    <cellStyle name="Normal 4 7 5 3 3" xfId="14458" xr:uid="{E2261CD0-2E38-4181-888F-D979CE7263DB}"/>
    <cellStyle name="Normal 4 7 5 4" xfId="18681" xr:uid="{B4C253D8-E26C-48D4-8F82-53F91B8FC02C}"/>
    <cellStyle name="Normal 4 7 5 5" xfId="10240" xr:uid="{17BD263F-1DA7-4F65-B697-288E983BE7AC}"/>
    <cellStyle name="Normal 4 7 6" xfId="2122" xr:uid="{00000000-0005-0000-0000-0000C2160000}"/>
    <cellStyle name="Normal 4 7 6 2" xfId="4351" xr:uid="{00000000-0005-0000-0000-0000C3160000}"/>
    <cellStyle name="Normal 4 7 6 2 2" xfId="8574" xr:uid="{00000000-0005-0000-0000-0000C4160000}"/>
    <cellStyle name="Normal 4 7 6 2 2 2" xfId="25457" xr:uid="{8BBFC2FB-2F15-4950-9536-9B54F76CE1FE}"/>
    <cellStyle name="Normal 4 7 6 2 2 3" xfId="17016" xr:uid="{154DDA9F-28CB-4ED9-8619-87B5F5AAAEB8}"/>
    <cellStyle name="Normal 4 7 6 2 3" xfId="21239" xr:uid="{6651D4D9-0154-4969-B546-9FF66F2F2B79}"/>
    <cellStyle name="Normal 4 7 6 2 4" xfId="12798" xr:uid="{9D55FEF6-2C42-46DC-B0BF-C18B7E3CC498}"/>
    <cellStyle name="Normal 4 7 6 3" xfId="6429" xr:uid="{00000000-0005-0000-0000-0000C5160000}"/>
    <cellStyle name="Normal 4 7 6 3 2" xfId="23312" xr:uid="{2E38F27A-83DC-41F5-8D1B-BB703D7470EF}"/>
    <cellStyle name="Normal 4 7 6 3 3" xfId="14871" xr:uid="{FB6A3995-0F92-4A25-86E1-939FE99E5241}"/>
    <cellStyle name="Normal 4 7 6 4" xfId="19094" xr:uid="{E0ADE804-E25C-418D-8C38-AB5C32D96ABA}"/>
    <cellStyle name="Normal 4 7 6 5" xfId="10653" xr:uid="{70CE3565-92D2-40C6-B9E8-16B4A494218A}"/>
    <cellStyle name="Normal 4 7 7" xfId="2558" xr:uid="{00000000-0005-0000-0000-0000C6160000}"/>
    <cellStyle name="Normal 4 7 7 2" xfId="6842" xr:uid="{00000000-0005-0000-0000-0000C7160000}"/>
    <cellStyle name="Normal 4 7 7 2 2" xfId="23725" xr:uid="{4ABFBC68-ECEB-47B5-B52F-D920E01C1792}"/>
    <cellStyle name="Normal 4 7 7 2 3" xfId="15284" xr:uid="{0F3D72AA-9F6D-4C26-8252-FF3130C7EA55}"/>
    <cellStyle name="Normal 4 7 7 3" xfId="19507" xr:uid="{7A10DFBF-D088-4091-A1EE-86F801E0B1B3}"/>
    <cellStyle name="Normal 4 7 7 4" xfId="11066" xr:uid="{4680AE92-E704-4509-8E6E-AA4E81A3376A}"/>
    <cellStyle name="Normal 4 7 8" xfId="4777" xr:uid="{00000000-0005-0000-0000-0000C8160000}"/>
    <cellStyle name="Normal 4 7 8 2" xfId="21660" xr:uid="{836C2E49-05B4-4B65-912B-B2719112CDDD}"/>
    <cellStyle name="Normal 4 7 8 3" xfId="13219" xr:uid="{44CEF887-073A-404B-AAD9-A1A25E4E4F53}"/>
    <cellStyle name="Normal 4 7 9" xfId="17442" xr:uid="{204CE9E8-B5CB-4923-B3F2-2AC41E63CACF}"/>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24220" xr:uid="{58EAB68F-F1D2-4BC1-8B1D-E24E01B3AC16}"/>
    <cellStyle name="Normal 4 8 2 2 2 3" xfId="15779" xr:uid="{564D7272-295F-4B4F-AA5C-5BA4CC20A1EF}"/>
    <cellStyle name="Normal 4 8 2 2 3" xfId="20002" xr:uid="{8FD8CE87-2D50-49F4-9149-ECDC6842F5A6}"/>
    <cellStyle name="Normal 4 8 2 2 4" xfId="11561" xr:uid="{4E15C270-3DCB-49A3-BAC3-A45168C8B4E0}"/>
    <cellStyle name="Normal 4 8 2 3" xfId="5192" xr:uid="{00000000-0005-0000-0000-0000CD160000}"/>
    <cellStyle name="Normal 4 8 2 3 2" xfId="22075" xr:uid="{7EC6BE60-1258-42D6-8C68-97900EC82525}"/>
    <cellStyle name="Normal 4 8 2 3 3" xfId="13634" xr:uid="{60E0BE95-EDF7-4A20-968C-26B13EB51F7C}"/>
    <cellStyle name="Normal 4 8 2 4" xfId="17857" xr:uid="{A910D367-CF4B-4A65-8114-3F1D15865F25}"/>
    <cellStyle name="Normal 4 8 2 5" xfId="9416" xr:uid="{71741897-93D5-4CC0-BD48-B18B94B14447}"/>
    <cellStyle name="Normal 4 8 3" xfId="1297" xr:uid="{00000000-0005-0000-0000-0000CE160000}"/>
    <cellStyle name="Normal 4 8 3 2" xfId="3527" xr:uid="{00000000-0005-0000-0000-0000CF160000}"/>
    <cellStyle name="Normal 4 8 3 2 2" xfId="7750" xr:uid="{00000000-0005-0000-0000-0000D0160000}"/>
    <cellStyle name="Normal 4 8 3 2 2 2" xfId="24633" xr:uid="{58007416-E760-48B7-9C96-FAC6506FE502}"/>
    <cellStyle name="Normal 4 8 3 2 2 3" xfId="16192" xr:uid="{932DFDDC-DA1C-476D-949E-19F39334F43C}"/>
    <cellStyle name="Normal 4 8 3 2 3" xfId="20415" xr:uid="{B53EBE39-BC1B-45CF-A829-C9FAFD564D6D}"/>
    <cellStyle name="Normal 4 8 3 2 4" xfId="11974" xr:uid="{DE73F778-94F8-48FB-BF08-E646341F85B9}"/>
    <cellStyle name="Normal 4 8 3 3" xfId="5605" xr:uid="{00000000-0005-0000-0000-0000D1160000}"/>
    <cellStyle name="Normal 4 8 3 3 2" xfId="22488" xr:uid="{08FD9EC6-7973-48E9-9360-8EDC95A1D5E4}"/>
    <cellStyle name="Normal 4 8 3 3 3" xfId="14047" xr:uid="{CD200BE2-207B-4DEF-A0C4-9F6D98C84989}"/>
    <cellStyle name="Normal 4 8 3 4" xfId="18270" xr:uid="{2B1436D8-947E-4E42-B959-E91AF1DE1A07}"/>
    <cellStyle name="Normal 4 8 3 5" xfId="9829" xr:uid="{FA85B436-990B-4AC3-AC4D-D681AFBC715F}"/>
    <cellStyle name="Normal 4 8 4" xfId="1710" xr:uid="{00000000-0005-0000-0000-0000D2160000}"/>
    <cellStyle name="Normal 4 8 4 2" xfId="3940" xr:uid="{00000000-0005-0000-0000-0000D3160000}"/>
    <cellStyle name="Normal 4 8 4 2 2" xfId="8163" xr:uid="{00000000-0005-0000-0000-0000D4160000}"/>
    <cellStyle name="Normal 4 8 4 2 2 2" xfId="25046" xr:uid="{81B4EAEB-CDB8-4268-B1A7-A0C83BAA13B6}"/>
    <cellStyle name="Normal 4 8 4 2 2 3" xfId="16605" xr:uid="{1DC0E507-7AC2-4C90-9A1A-65B094AC90E4}"/>
    <cellStyle name="Normal 4 8 4 2 3" xfId="20828" xr:uid="{543D8E3C-5AAF-444E-9C7D-0A0AF6889240}"/>
    <cellStyle name="Normal 4 8 4 2 4" xfId="12387" xr:uid="{F85624B3-6866-410A-BE8C-5D7B077C0306}"/>
    <cellStyle name="Normal 4 8 4 3" xfId="6018" xr:uid="{00000000-0005-0000-0000-0000D5160000}"/>
    <cellStyle name="Normal 4 8 4 3 2" xfId="22901" xr:uid="{BE048F1C-E5CA-438E-A247-5D44FE817C30}"/>
    <cellStyle name="Normal 4 8 4 3 3" xfId="14460" xr:uid="{480376F8-C554-4C4F-AFD4-72CCF26ACEF8}"/>
    <cellStyle name="Normal 4 8 4 4" xfId="18683" xr:uid="{33163F81-1C78-4258-A0DD-0258698E001D}"/>
    <cellStyle name="Normal 4 8 4 5" xfId="10242" xr:uid="{F1B7A069-3CD2-4726-A8EF-9807D8454690}"/>
    <cellStyle name="Normal 4 8 5" xfId="2124" xr:uid="{00000000-0005-0000-0000-0000D6160000}"/>
    <cellStyle name="Normal 4 8 5 2" xfId="4353" xr:uid="{00000000-0005-0000-0000-0000D7160000}"/>
    <cellStyle name="Normal 4 8 5 2 2" xfId="8576" xr:uid="{00000000-0005-0000-0000-0000D8160000}"/>
    <cellStyle name="Normal 4 8 5 2 2 2" xfId="25459" xr:uid="{F65DEBB4-1CDD-45C8-97AF-08420BE97788}"/>
    <cellStyle name="Normal 4 8 5 2 2 3" xfId="17018" xr:uid="{DF13537D-2ABE-49BD-9889-31F6F5787E2E}"/>
    <cellStyle name="Normal 4 8 5 2 3" xfId="21241" xr:uid="{75E0D39F-0977-4D6A-BC36-A75ED87600DF}"/>
    <cellStyle name="Normal 4 8 5 2 4" xfId="12800" xr:uid="{076EE3D2-C24A-42EB-A4B5-BF655AB7164A}"/>
    <cellStyle name="Normal 4 8 5 3" xfId="6431" xr:uid="{00000000-0005-0000-0000-0000D9160000}"/>
    <cellStyle name="Normal 4 8 5 3 2" xfId="23314" xr:uid="{A968CEA8-5E66-4092-B4F2-CD53E46AB890}"/>
    <cellStyle name="Normal 4 8 5 3 3" xfId="14873" xr:uid="{C8B43339-ED52-4076-9358-BD872BEECBEA}"/>
    <cellStyle name="Normal 4 8 5 4" xfId="19096" xr:uid="{9B98B573-21C5-4651-B60D-8A11CC597CD7}"/>
    <cellStyle name="Normal 4 8 5 5" xfId="10655" xr:uid="{409D47D5-C2FD-4868-8929-A29816112393}"/>
    <cellStyle name="Normal 4 8 6" xfId="2560" xr:uid="{00000000-0005-0000-0000-0000DA160000}"/>
    <cellStyle name="Normal 4 8 6 2" xfId="6844" xr:uid="{00000000-0005-0000-0000-0000DB160000}"/>
    <cellStyle name="Normal 4 8 6 2 2" xfId="23727" xr:uid="{23AFD7C2-0673-4110-A3C4-4C9DEC146499}"/>
    <cellStyle name="Normal 4 8 6 2 3" xfId="15286" xr:uid="{FE4EFBB9-77C8-4306-AF1D-2071D14FECA1}"/>
    <cellStyle name="Normal 4 8 6 3" xfId="19509" xr:uid="{7F0BB02B-47F5-4B55-B948-346474B70C3A}"/>
    <cellStyle name="Normal 4 8 6 4" xfId="11068" xr:uid="{E6E9F71B-2A70-48C9-B4D3-206F1C6E791D}"/>
    <cellStyle name="Normal 4 8 7" xfId="4779" xr:uid="{00000000-0005-0000-0000-0000DC160000}"/>
    <cellStyle name="Normal 4 8 7 2" xfId="21662" xr:uid="{10A841CB-0C41-40F0-9D2B-B51244F4C0A3}"/>
    <cellStyle name="Normal 4 8 7 3" xfId="13221" xr:uid="{CBF53A09-FF82-4D1A-BD52-EDF5A9B588BF}"/>
    <cellStyle name="Normal 4 8 8" xfId="17444" xr:uid="{EC035639-765A-4E02-A0C5-6EBD98148123}"/>
    <cellStyle name="Normal 4 8 9" xfId="9003" xr:uid="{51198243-34AF-4656-A771-07207B0669DB}"/>
    <cellStyle name="Normal 4 9" xfId="4716" xr:uid="{00000000-0005-0000-0000-0000DD160000}"/>
    <cellStyle name="Normal 4 9 2" xfId="21599" xr:uid="{EA212831-C911-4CE7-BE40-1F480D2F05AF}"/>
    <cellStyle name="Normal 4 9 3" xfId="13158" xr:uid="{81335E95-70CC-41B9-A4E3-A2017FC259E1}"/>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25047" xr:uid="{9F7858A2-624F-424A-8220-95558E205E16}"/>
    <cellStyle name="Normal 5 10 2 2 3" xfId="16606" xr:uid="{1E116E01-F420-4D9A-9FC1-E1A5151C63CE}"/>
    <cellStyle name="Normal 5 10 2 3" xfId="20829" xr:uid="{DA723E30-83A0-4D02-97D4-F185030FA855}"/>
    <cellStyle name="Normal 5 10 2 4" xfId="12388" xr:uid="{9FF70560-2C75-4434-B257-64212F231FD3}"/>
    <cellStyle name="Normal 5 10 3" xfId="6019" xr:uid="{00000000-0005-0000-0000-0000E2160000}"/>
    <cellStyle name="Normal 5 10 3 2" xfId="22902" xr:uid="{B31D9EA7-8193-4E20-BEC1-FC86178E0524}"/>
    <cellStyle name="Normal 5 10 3 3" xfId="14461" xr:uid="{52818CC1-2E99-4BAF-9E7D-302EA0F831D4}"/>
    <cellStyle name="Normal 5 10 4" xfId="18684" xr:uid="{23F7A328-A9E6-4EC5-AAF5-6708BAC37A32}"/>
    <cellStyle name="Normal 5 10 5" xfId="10243" xr:uid="{5177FE77-7746-45DD-95D9-2ADF51631A12}"/>
    <cellStyle name="Normal 5 11" xfId="2125" xr:uid="{00000000-0005-0000-0000-0000E3160000}"/>
    <cellStyle name="Normal 5 11 2" xfId="4354" xr:uid="{00000000-0005-0000-0000-0000E4160000}"/>
    <cellStyle name="Normal 5 11 2 2" xfId="8577" xr:uid="{00000000-0005-0000-0000-0000E5160000}"/>
    <cellStyle name="Normal 5 11 2 2 2" xfId="25460" xr:uid="{C842FA82-1482-4DD5-BDF2-E3147E3308A9}"/>
    <cellStyle name="Normal 5 11 2 2 3" xfId="17019" xr:uid="{81273B84-B5AC-445C-A5FA-D5ABA0A63D8F}"/>
    <cellStyle name="Normal 5 11 2 3" xfId="21242" xr:uid="{1E27E291-C5B8-466C-AC0C-E9369E42E5A6}"/>
    <cellStyle name="Normal 5 11 2 4" xfId="12801" xr:uid="{48784E76-1318-47AF-AE97-019BFFF09C89}"/>
    <cellStyle name="Normal 5 11 3" xfId="6432" xr:uid="{00000000-0005-0000-0000-0000E6160000}"/>
    <cellStyle name="Normal 5 11 3 2" xfId="23315" xr:uid="{7229FE1B-60A1-45D9-A345-FC9AF9B4C809}"/>
    <cellStyle name="Normal 5 11 3 3" xfId="14874" xr:uid="{3E11AC67-B3FB-4796-8042-627F3299B25D}"/>
    <cellStyle name="Normal 5 11 4" xfId="19097" xr:uid="{4D90937F-1B32-4498-8816-98189B19F6FD}"/>
    <cellStyle name="Normal 5 11 5" xfId="10656" xr:uid="{FA598F8D-8750-4DB3-9885-1B21EC1F5C04}"/>
    <cellStyle name="Normal 5 12" xfId="2561" xr:uid="{00000000-0005-0000-0000-0000E7160000}"/>
    <cellStyle name="Normal 5 12 2" xfId="6845" xr:uid="{00000000-0005-0000-0000-0000E8160000}"/>
    <cellStyle name="Normal 5 12 2 2" xfId="23728" xr:uid="{76965B05-EFC7-4531-8484-0DB164577600}"/>
    <cellStyle name="Normal 5 12 2 3" xfId="15287" xr:uid="{92D6DB73-1843-4640-9863-BD53C1E839CE}"/>
    <cellStyle name="Normal 5 12 3" xfId="19510" xr:uid="{D42426D9-AD4E-45FE-9FA7-B16423DA5E61}"/>
    <cellStyle name="Normal 5 12 4" xfId="11069" xr:uid="{F643D22F-9467-481E-9757-9AD6B2DD4F3C}"/>
    <cellStyle name="Normal 5 13" xfId="4780" xr:uid="{00000000-0005-0000-0000-0000E9160000}"/>
    <cellStyle name="Normal 5 13 2" xfId="21663" xr:uid="{5DA39C1F-06A4-4609-A6D2-E1E814A0FC64}"/>
    <cellStyle name="Normal 5 13 3" xfId="13222" xr:uid="{E48C19D2-5757-452E-B18B-2426B89EC4B7}"/>
    <cellStyle name="Normal 5 14" xfId="17445" xr:uid="{8AF55309-236E-4923-9DBC-7E7AE982631D}"/>
    <cellStyle name="Normal 5 15" xfId="9004" xr:uid="{73992DF4-3D57-439A-90BF-CAD232042649}"/>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25461" xr:uid="{0786D838-B2E8-4FA4-82A8-45783F63C439}"/>
    <cellStyle name="Normal 5 2 10 2 2 3" xfId="17020" xr:uid="{63450ADD-8D7F-4D6E-B548-E5ABC86EE906}"/>
    <cellStyle name="Normal 5 2 10 2 3" xfId="21243" xr:uid="{BA090342-DEA5-42F0-AB7C-6BC9EBD338DC}"/>
    <cellStyle name="Normal 5 2 10 2 4" xfId="12802" xr:uid="{6AC32718-849A-4198-9B1B-431E5377803D}"/>
    <cellStyle name="Normal 5 2 10 3" xfId="6433" xr:uid="{00000000-0005-0000-0000-0000EE160000}"/>
    <cellStyle name="Normal 5 2 10 3 2" xfId="23316" xr:uid="{AF94D4D2-FE39-4B00-BF8C-B657D3852A3B}"/>
    <cellStyle name="Normal 5 2 10 3 3" xfId="14875" xr:uid="{BE30AA1A-2D05-4C4E-A94B-94C2886EC034}"/>
    <cellStyle name="Normal 5 2 10 4" xfId="19098" xr:uid="{D89B17E9-4120-467D-A294-6F19B1304A21}"/>
    <cellStyle name="Normal 5 2 10 5" xfId="10657" xr:uid="{F983D907-1DA5-40DD-A0BD-56C5D822DEBD}"/>
    <cellStyle name="Normal 5 2 11" xfId="2562" xr:uid="{00000000-0005-0000-0000-0000EF160000}"/>
    <cellStyle name="Normal 5 2 11 2" xfId="6846" xr:uid="{00000000-0005-0000-0000-0000F0160000}"/>
    <cellStyle name="Normal 5 2 11 2 2" xfId="23729" xr:uid="{C205C054-5783-4ABB-86CF-B3077BDCDA10}"/>
    <cellStyle name="Normal 5 2 11 2 3" xfId="15288" xr:uid="{168DDCB9-D219-4C0D-B746-5690FF66B572}"/>
    <cellStyle name="Normal 5 2 11 3" xfId="19511" xr:uid="{5A2D8FFC-5688-4484-8C02-296C346C17A7}"/>
    <cellStyle name="Normal 5 2 11 4" xfId="11070" xr:uid="{DAE4EDC5-7D60-49C4-BDDE-5C2BF7FAB109}"/>
    <cellStyle name="Normal 5 2 12" xfId="4781" xr:uid="{00000000-0005-0000-0000-0000F1160000}"/>
    <cellStyle name="Normal 5 2 12 2" xfId="21664" xr:uid="{CA7D18DF-20B5-4A8C-98D7-581EE7B5900F}"/>
    <cellStyle name="Normal 5 2 12 3" xfId="13223" xr:uid="{37503AEF-02A9-4DC2-9773-14C81C1C61A2}"/>
    <cellStyle name="Normal 5 2 13" xfId="17446" xr:uid="{CB36C7F7-70AE-4495-904B-D28DF83EBBCA}"/>
    <cellStyle name="Normal 5 2 14" xfId="9005" xr:uid="{A60504E2-DFF2-4DDB-9858-779BCC8B591C}"/>
    <cellStyle name="Normal 5 2 2" xfId="408" xr:uid="{00000000-0005-0000-0000-0000F2160000}"/>
    <cellStyle name="Normal 5 2 2 10" xfId="2563" xr:uid="{00000000-0005-0000-0000-0000F3160000}"/>
    <cellStyle name="Normal 5 2 2 10 2" xfId="6847" xr:uid="{00000000-0005-0000-0000-0000F4160000}"/>
    <cellStyle name="Normal 5 2 2 10 2 2" xfId="23730" xr:uid="{9014D1C4-8ABA-4E0E-A8F6-04156BC4A538}"/>
    <cellStyle name="Normal 5 2 2 10 2 3" xfId="15289" xr:uid="{285B0A92-C9D7-4017-A582-0C19D3C92AF7}"/>
    <cellStyle name="Normal 5 2 2 10 3" xfId="19512" xr:uid="{8A5B40D0-00DE-4B2A-83CF-702536C40EB5}"/>
    <cellStyle name="Normal 5 2 2 10 4" xfId="11071" xr:uid="{320A7487-2BC5-4E32-9462-4DB119A76C70}"/>
    <cellStyle name="Normal 5 2 2 11" xfId="4782" xr:uid="{00000000-0005-0000-0000-0000F5160000}"/>
    <cellStyle name="Normal 5 2 2 11 2" xfId="21665" xr:uid="{C748240C-E3FB-447F-BC4B-EE1E9A6D0067}"/>
    <cellStyle name="Normal 5 2 2 11 3" xfId="13224" xr:uid="{DECBA7C8-0285-4584-8E82-9F785E9977ED}"/>
    <cellStyle name="Normal 5 2 2 12" xfId="17447" xr:uid="{8BA62D82-265A-4F18-A676-56BB4C2D2B59}"/>
    <cellStyle name="Normal 5 2 2 13" xfId="9006" xr:uid="{41942D12-9158-490D-A4D6-9AAE12C4B13C}"/>
    <cellStyle name="Normal 5 2 2 2" xfId="409" xr:uid="{00000000-0005-0000-0000-0000F6160000}"/>
    <cellStyle name="Normal 5 2 2 2 10" xfId="4783" xr:uid="{00000000-0005-0000-0000-0000F7160000}"/>
    <cellStyle name="Normal 5 2 2 2 10 2" xfId="21666" xr:uid="{34ADA3EF-D9DE-4B53-A59F-A8E58FA57A9C}"/>
    <cellStyle name="Normal 5 2 2 2 10 3" xfId="13225" xr:uid="{6C3CAC91-20F0-4FA0-B5CA-00026CDFA1D6}"/>
    <cellStyle name="Normal 5 2 2 2 11" xfId="17448" xr:uid="{8449543E-A1A5-4CE0-B300-835BBF503E19}"/>
    <cellStyle name="Normal 5 2 2 2 12" xfId="9007" xr:uid="{9E61D26A-A1AA-4F36-9ACA-C99222EB67E1}"/>
    <cellStyle name="Normal 5 2 2 2 2" xfId="410" xr:uid="{00000000-0005-0000-0000-0000F8160000}"/>
    <cellStyle name="Normal 5 2 2 2 2 10" xfId="17449" xr:uid="{F9F97BB1-36DF-42EA-ABD0-113DF03984CB}"/>
    <cellStyle name="Normal 5 2 2 2 2 11" xfId="9008" xr:uid="{E47E4275-7FE4-45AC-8648-2E0793B49DE2}"/>
    <cellStyle name="Normal 5 2 2 2 2 2" xfId="411" xr:uid="{00000000-0005-0000-0000-0000F9160000}"/>
    <cellStyle name="Normal 5 2 2 2 2 2 10" xfId="9009" xr:uid="{D307F4DF-4A17-486D-9AF6-2BF969799382}"/>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24227" xr:uid="{32B4C3D3-D392-4C39-8E05-32BAA0BC3FE0}"/>
    <cellStyle name="Normal 5 2 2 2 2 2 2 2 2 2 3" xfId="15786" xr:uid="{C3455BBB-FF00-4BCD-AF4A-14E056E284C8}"/>
    <cellStyle name="Normal 5 2 2 2 2 2 2 2 2 3" xfId="20009" xr:uid="{854AB104-F0E0-4D8C-B5CC-84A7DD0BBFB4}"/>
    <cellStyle name="Normal 5 2 2 2 2 2 2 2 2 4" xfId="11568" xr:uid="{242C390B-E0D0-4B81-BF5D-418A18F67D35}"/>
    <cellStyle name="Normal 5 2 2 2 2 2 2 2 3" xfId="5199" xr:uid="{00000000-0005-0000-0000-0000FE160000}"/>
    <cellStyle name="Normal 5 2 2 2 2 2 2 2 3 2" xfId="22082" xr:uid="{FB367393-6E07-49FC-921C-B5FF8FC08062}"/>
    <cellStyle name="Normal 5 2 2 2 2 2 2 2 3 3" xfId="13641" xr:uid="{C37FFF1D-9225-4B53-ABE7-CACF9852E1AF}"/>
    <cellStyle name="Normal 5 2 2 2 2 2 2 2 4" xfId="17864" xr:uid="{60DBB90F-D263-421F-87DA-4FA83E9C6CFF}"/>
    <cellStyle name="Normal 5 2 2 2 2 2 2 2 5" xfId="9423" xr:uid="{A0BC962B-687B-4327-959D-38E731EB15F8}"/>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24640" xr:uid="{1E5B2EC8-7F76-48B9-A5D9-026F5F7F1452}"/>
    <cellStyle name="Normal 5 2 2 2 2 2 2 3 2 2 3" xfId="16199" xr:uid="{7047DEDB-106B-4C04-8918-3C759892A685}"/>
    <cellStyle name="Normal 5 2 2 2 2 2 2 3 2 3" xfId="20422" xr:uid="{6C7DCA89-FF88-48BE-82DA-4F8866E09E87}"/>
    <cellStyle name="Normal 5 2 2 2 2 2 2 3 2 4" xfId="11981" xr:uid="{7394454D-0005-49B5-B481-7DAB43A91132}"/>
    <cellStyle name="Normal 5 2 2 2 2 2 2 3 3" xfId="5612" xr:uid="{00000000-0005-0000-0000-000002170000}"/>
    <cellStyle name="Normal 5 2 2 2 2 2 2 3 3 2" xfId="22495" xr:uid="{AD10B784-FBE6-4614-BDCC-378B11B2A3D2}"/>
    <cellStyle name="Normal 5 2 2 2 2 2 2 3 3 3" xfId="14054" xr:uid="{85AFE790-AE00-4DB5-8EE2-AAE8466175EF}"/>
    <cellStyle name="Normal 5 2 2 2 2 2 2 3 4" xfId="18277" xr:uid="{90EB4507-DA86-424D-94F7-0E034CAA8CBE}"/>
    <cellStyle name="Normal 5 2 2 2 2 2 2 3 5" xfId="9836" xr:uid="{206D4FB6-27DF-43C6-AC5E-BF88D814B722}"/>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25053" xr:uid="{C1F17642-0E7B-4645-ABC0-4EA4C2616CC4}"/>
    <cellStyle name="Normal 5 2 2 2 2 2 2 4 2 2 3" xfId="16612" xr:uid="{23E23193-E7B3-4CAC-B13C-6D9E29B51EBE}"/>
    <cellStyle name="Normal 5 2 2 2 2 2 2 4 2 3" xfId="20835" xr:uid="{289343D6-6145-4FBE-BB72-A89EBBE91976}"/>
    <cellStyle name="Normal 5 2 2 2 2 2 2 4 2 4" xfId="12394" xr:uid="{D7F6582D-3AEB-489A-8E65-E6BC08FA7048}"/>
    <cellStyle name="Normal 5 2 2 2 2 2 2 4 3" xfId="6025" xr:uid="{00000000-0005-0000-0000-000006170000}"/>
    <cellStyle name="Normal 5 2 2 2 2 2 2 4 3 2" xfId="22908" xr:uid="{5FFF9C22-5D12-4A67-A717-023C007ED18F}"/>
    <cellStyle name="Normal 5 2 2 2 2 2 2 4 3 3" xfId="14467" xr:uid="{2E16E2DE-6786-4209-9D62-57F0BD071035}"/>
    <cellStyle name="Normal 5 2 2 2 2 2 2 4 4" xfId="18690" xr:uid="{DD9B0603-580B-44C8-8CF7-B09C1413A3A6}"/>
    <cellStyle name="Normal 5 2 2 2 2 2 2 4 5" xfId="10249" xr:uid="{C0A83876-0524-419B-BB0C-5F98AB36D3EC}"/>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25466" xr:uid="{091C25DF-B397-4C9A-B1BD-8197BFE02529}"/>
    <cellStyle name="Normal 5 2 2 2 2 2 2 5 2 2 3" xfId="17025" xr:uid="{BBFD0891-1C51-4B54-A942-5052E866A6E2}"/>
    <cellStyle name="Normal 5 2 2 2 2 2 2 5 2 3" xfId="21248" xr:uid="{EB04A5EC-976D-4CD4-A760-68277C79D917}"/>
    <cellStyle name="Normal 5 2 2 2 2 2 2 5 2 4" xfId="12807" xr:uid="{61EC214C-AEED-48A3-94E3-8E2A97C82FF8}"/>
    <cellStyle name="Normal 5 2 2 2 2 2 2 5 3" xfId="6438" xr:uid="{00000000-0005-0000-0000-00000A170000}"/>
    <cellStyle name="Normal 5 2 2 2 2 2 2 5 3 2" xfId="23321" xr:uid="{03078803-390D-4D33-8E46-9A014181EBD5}"/>
    <cellStyle name="Normal 5 2 2 2 2 2 2 5 3 3" xfId="14880" xr:uid="{AA1B8799-16E8-4920-AB39-049B35A9CFF6}"/>
    <cellStyle name="Normal 5 2 2 2 2 2 2 5 4" xfId="19103" xr:uid="{14891AA8-359F-44D7-A11F-70B9E6E7E085}"/>
    <cellStyle name="Normal 5 2 2 2 2 2 2 5 5" xfId="10662" xr:uid="{66BBAB75-2637-4861-B1D4-813D63C4F8E8}"/>
    <cellStyle name="Normal 5 2 2 2 2 2 2 6" xfId="2567" xr:uid="{00000000-0005-0000-0000-00000B170000}"/>
    <cellStyle name="Normal 5 2 2 2 2 2 2 6 2" xfId="6851" xr:uid="{00000000-0005-0000-0000-00000C170000}"/>
    <cellStyle name="Normal 5 2 2 2 2 2 2 6 2 2" xfId="23734" xr:uid="{7EA588BB-846E-4F8A-ABE2-FD8E268EFA28}"/>
    <cellStyle name="Normal 5 2 2 2 2 2 2 6 2 3" xfId="15293" xr:uid="{1942216F-8C12-430F-82F2-B0B091DB7D82}"/>
    <cellStyle name="Normal 5 2 2 2 2 2 2 6 3" xfId="19516" xr:uid="{0EC1EF6A-5F71-40EB-9C28-EB47AFFFF9FB}"/>
    <cellStyle name="Normal 5 2 2 2 2 2 2 6 4" xfId="11075" xr:uid="{2E0B5DCA-BEA0-408F-B34C-DB577CFC24AC}"/>
    <cellStyle name="Normal 5 2 2 2 2 2 2 7" xfId="4786" xr:uid="{00000000-0005-0000-0000-00000D170000}"/>
    <cellStyle name="Normal 5 2 2 2 2 2 2 7 2" xfId="21669" xr:uid="{629BA0FA-8690-40F6-9F62-5100B36CCF58}"/>
    <cellStyle name="Normal 5 2 2 2 2 2 2 7 3" xfId="13228" xr:uid="{F96CAC67-A5F2-4AFF-9762-085E1DF37D9B}"/>
    <cellStyle name="Normal 5 2 2 2 2 2 2 8" xfId="17451" xr:uid="{70FEA580-D718-49F4-9777-2E28FE0C4398}"/>
    <cellStyle name="Normal 5 2 2 2 2 2 2 9" xfId="9010" xr:uid="{CFCE86EE-3F90-469E-9E0C-3D76373FD69D}"/>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24226" xr:uid="{D0811E11-0859-4001-99F0-EED71C260235}"/>
    <cellStyle name="Normal 5 2 2 2 2 2 3 2 2 3" xfId="15785" xr:uid="{E5ED7C4C-3AD8-4746-AADC-15E70B5C1CD5}"/>
    <cellStyle name="Normal 5 2 2 2 2 2 3 2 3" xfId="20008" xr:uid="{1AC36971-2870-446F-907B-9628AD0EC559}"/>
    <cellStyle name="Normal 5 2 2 2 2 2 3 2 4" xfId="11567" xr:uid="{6F37E683-213A-4040-BBD9-7ECD0184626C}"/>
    <cellStyle name="Normal 5 2 2 2 2 2 3 3" xfId="5198" xr:uid="{00000000-0005-0000-0000-000011170000}"/>
    <cellStyle name="Normal 5 2 2 2 2 2 3 3 2" xfId="22081" xr:uid="{19E048E0-8745-4C46-A318-E762560F7931}"/>
    <cellStyle name="Normal 5 2 2 2 2 2 3 3 3" xfId="13640" xr:uid="{14856DE4-933A-421A-9AF4-C6B4F77D231B}"/>
    <cellStyle name="Normal 5 2 2 2 2 2 3 4" xfId="17863" xr:uid="{CDDB57C5-46D2-4F30-8F3C-C768F864C397}"/>
    <cellStyle name="Normal 5 2 2 2 2 2 3 5" xfId="9422" xr:uid="{40BD8F51-BE01-4D9E-889D-19DFA2531A4B}"/>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24639" xr:uid="{DCB304FF-734F-4AA8-BB81-74A125BC7850}"/>
    <cellStyle name="Normal 5 2 2 2 2 2 4 2 2 3" xfId="16198" xr:uid="{81BB4BE4-2A7B-45A9-863D-3CEA57DAAECE}"/>
    <cellStyle name="Normal 5 2 2 2 2 2 4 2 3" xfId="20421" xr:uid="{7CEA04F9-8C2A-44A2-81AE-F0B3222F8186}"/>
    <cellStyle name="Normal 5 2 2 2 2 2 4 2 4" xfId="11980" xr:uid="{0702B3C6-8827-4358-B073-4BC31AE41782}"/>
    <cellStyle name="Normal 5 2 2 2 2 2 4 3" xfId="5611" xr:uid="{00000000-0005-0000-0000-000015170000}"/>
    <cellStyle name="Normal 5 2 2 2 2 2 4 3 2" xfId="22494" xr:uid="{97456347-3866-4891-9794-F84DBE8036AB}"/>
    <cellStyle name="Normal 5 2 2 2 2 2 4 3 3" xfId="14053" xr:uid="{00C88DA2-04C9-4965-B7D8-88C4BB0E1EDD}"/>
    <cellStyle name="Normal 5 2 2 2 2 2 4 4" xfId="18276" xr:uid="{13726035-9252-46FD-BE28-B7549F022D07}"/>
    <cellStyle name="Normal 5 2 2 2 2 2 4 5" xfId="9835" xr:uid="{BDAFE527-C0F0-4B6D-9B64-C8FC71B45B0E}"/>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25052" xr:uid="{C56203E4-3FB7-476E-AE2C-337B30F6FD70}"/>
    <cellStyle name="Normal 5 2 2 2 2 2 5 2 2 3" xfId="16611" xr:uid="{54E8A08E-A4EC-48A0-8F6E-A4F8684BDFD9}"/>
    <cellStyle name="Normal 5 2 2 2 2 2 5 2 3" xfId="20834" xr:uid="{0A6C981B-69FA-4CA6-A634-0F5BDA94B414}"/>
    <cellStyle name="Normal 5 2 2 2 2 2 5 2 4" xfId="12393" xr:uid="{CF9C2865-3733-4DAD-BF24-5AE6D34FABC6}"/>
    <cellStyle name="Normal 5 2 2 2 2 2 5 3" xfId="6024" xr:uid="{00000000-0005-0000-0000-000019170000}"/>
    <cellStyle name="Normal 5 2 2 2 2 2 5 3 2" xfId="22907" xr:uid="{5FF72F0D-9798-49A4-ACBC-3E424547BD5D}"/>
    <cellStyle name="Normal 5 2 2 2 2 2 5 3 3" xfId="14466" xr:uid="{EDAC80BD-AF21-45DE-870E-1DEAE7883F69}"/>
    <cellStyle name="Normal 5 2 2 2 2 2 5 4" xfId="18689" xr:uid="{74B9D6E2-218A-4166-AF64-0AB0B6E7474A}"/>
    <cellStyle name="Normal 5 2 2 2 2 2 5 5" xfId="10248" xr:uid="{AC07EAF9-B260-4A0B-BC7C-356479EDBFF4}"/>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25465" xr:uid="{F61D8D48-F683-4DEE-814D-491A5D07E84C}"/>
    <cellStyle name="Normal 5 2 2 2 2 2 6 2 2 3" xfId="17024" xr:uid="{C3D2BCD1-0AF7-4D32-A757-6D791BF0C482}"/>
    <cellStyle name="Normal 5 2 2 2 2 2 6 2 3" xfId="21247" xr:uid="{4C305464-2A2F-424E-848D-987E938FAE55}"/>
    <cellStyle name="Normal 5 2 2 2 2 2 6 2 4" xfId="12806" xr:uid="{E6FC66C6-AC74-42F7-BCFC-5F955462E806}"/>
    <cellStyle name="Normal 5 2 2 2 2 2 6 3" xfId="6437" xr:uid="{00000000-0005-0000-0000-00001D170000}"/>
    <cellStyle name="Normal 5 2 2 2 2 2 6 3 2" xfId="23320" xr:uid="{E5D71190-47E5-4BC2-8468-B9943C3A2C66}"/>
    <cellStyle name="Normal 5 2 2 2 2 2 6 3 3" xfId="14879" xr:uid="{03410292-60AF-4FE3-951F-68FE583F2FB6}"/>
    <cellStyle name="Normal 5 2 2 2 2 2 6 4" xfId="19102" xr:uid="{1FA6BB3A-5C98-4A7A-8C9D-626D7C2E1591}"/>
    <cellStyle name="Normal 5 2 2 2 2 2 6 5" xfId="10661" xr:uid="{349CED2C-6CEB-4EB0-BD67-5E1DDAE8638B}"/>
    <cellStyle name="Normal 5 2 2 2 2 2 7" xfId="2566" xr:uid="{00000000-0005-0000-0000-00001E170000}"/>
    <cellStyle name="Normal 5 2 2 2 2 2 7 2" xfId="6850" xr:uid="{00000000-0005-0000-0000-00001F170000}"/>
    <cellStyle name="Normal 5 2 2 2 2 2 7 2 2" xfId="23733" xr:uid="{A5ECA908-69D6-4650-B3B0-DD9B5236A149}"/>
    <cellStyle name="Normal 5 2 2 2 2 2 7 2 3" xfId="15292" xr:uid="{42B5E942-5EB1-4376-81DE-40F3304BE066}"/>
    <cellStyle name="Normal 5 2 2 2 2 2 7 3" xfId="19515" xr:uid="{E9FBB50D-B82E-4B64-BBED-A1BA0648CE71}"/>
    <cellStyle name="Normal 5 2 2 2 2 2 7 4" xfId="11074" xr:uid="{224981C4-69F1-476C-BE39-C03FD5945F89}"/>
    <cellStyle name="Normal 5 2 2 2 2 2 8" xfId="4785" xr:uid="{00000000-0005-0000-0000-000020170000}"/>
    <cellStyle name="Normal 5 2 2 2 2 2 8 2" xfId="21668" xr:uid="{290462BF-CA35-4387-AF9F-95FE2E582C1A}"/>
    <cellStyle name="Normal 5 2 2 2 2 2 8 3" xfId="13227" xr:uid="{DD4DBA41-A425-45B7-8F49-4E9309D7A63F}"/>
    <cellStyle name="Normal 5 2 2 2 2 2 9" xfId="17450" xr:uid="{46ACDB12-AD43-431E-A956-F0294249979E}"/>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24228" xr:uid="{DF2CE90A-E26B-4DE0-80BF-81104B32CABB}"/>
    <cellStyle name="Normal 5 2 2 2 2 3 2 2 2 3" xfId="15787" xr:uid="{4B1D5CF4-21D4-4DC7-9737-A8D4BC97CEB4}"/>
    <cellStyle name="Normal 5 2 2 2 2 3 2 2 3" xfId="20010" xr:uid="{A11417BF-D1C5-4292-9773-5DA75937F9CE}"/>
    <cellStyle name="Normal 5 2 2 2 2 3 2 2 4" xfId="11569" xr:uid="{73E84064-F4F0-4096-93ED-71F962E59971}"/>
    <cellStyle name="Normal 5 2 2 2 2 3 2 3" xfId="5200" xr:uid="{00000000-0005-0000-0000-000025170000}"/>
    <cellStyle name="Normal 5 2 2 2 2 3 2 3 2" xfId="22083" xr:uid="{733F5886-920A-4132-BE06-953843546B0D}"/>
    <cellStyle name="Normal 5 2 2 2 2 3 2 3 3" xfId="13642" xr:uid="{6E808A20-2054-4C0E-B048-936501CA779C}"/>
    <cellStyle name="Normal 5 2 2 2 2 3 2 4" xfId="17865" xr:uid="{922FFE7B-1CFB-4E1F-BD0C-072BBCBF46DE}"/>
    <cellStyle name="Normal 5 2 2 2 2 3 2 5" xfId="9424" xr:uid="{608C8299-BB01-469C-82CA-BE9671C89CB2}"/>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24641" xr:uid="{C8C47003-AAD4-4CBF-9951-2A8902FAFED1}"/>
    <cellStyle name="Normal 5 2 2 2 2 3 3 2 2 3" xfId="16200" xr:uid="{0316DFD5-B9E2-43F6-8519-EC6E83965FB6}"/>
    <cellStyle name="Normal 5 2 2 2 2 3 3 2 3" xfId="20423" xr:uid="{71782922-EFAD-48BF-B101-ECCD943F1C0B}"/>
    <cellStyle name="Normal 5 2 2 2 2 3 3 2 4" xfId="11982" xr:uid="{DAFD8E29-A9EB-420C-8CC3-B2D8BC7C6220}"/>
    <cellStyle name="Normal 5 2 2 2 2 3 3 3" xfId="5613" xr:uid="{00000000-0005-0000-0000-000029170000}"/>
    <cellStyle name="Normal 5 2 2 2 2 3 3 3 2" xfId="22496" xr:uid="{66926986-3366-4FDF-8AFF-CFD3A6CDD131}"/>
    <cellStyle name="Normal 5 2 2 2 2 3 3 3 3" xfId="14055" xr:uid="{11BAAD27-F2F7-4BCF-B245-90613F1F91D9}"/>
    <cellStyle name="Normal 5 2 2 2 2 3 3 4" xfId="18278" xr:uid="{71F8C6E9-9644-4987-BD1E-9A3A82B78E6C}"/>
    <cellStyle name="Normal 5 2 2 2 2 3 3 5" xfId="9837" xr:uid="{9D727655-1420-4E93-9775-9082FE0A38BC}"/>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25054" xr:uid="{C8CF4CAC-410D-402E-AE66-CA1737EA33A9}"/>
    <cellStyle name="Normal 5 2 2 2 2 3 4 2 2 3" xfId="16613" xr:uid="{D41ED0F3-926F-4027-AE84-32E1FA37C9FC}"/>
    <cellStyle name="Normal 5 2 2 2 2 3 4 2 3" xfId="20836" xr:uid="{15B8F49B-7E86-4063-B4F1-CE10C0D1D37F}"/>
    <cellStyle name="Normal 5 2 2 2 2 3 4 2 4" xfId="12395" xr:uid="{D127D984-5418-47F4-A960-8061899A0C3C}"/>
    <cellStyle name="Normal 5 2 2 2 2 3 4 3" xfId="6026" xr:uid="{00000000-0005-0000-0000-00002D170000}"/>
    <cellStyle name="Normal 5 2 2 2 2 3 4 3 2" xfId="22909" xr:uid="{E59D1847-2370-41FD-A8EB-2C20667C7270}"/>
    <cellStyle name="Normal 5 2 2 2 2 3 4 3 3" xfId="14468" xr:uid="{70D02A09-BF00-47B8-93EF-8C7D0741704F}"/>
    <cellStyle name="Normal 5 2 2 2 2 3 4 4" xfId="18691" xr:uid="{79CCBA85-B8A0-4792-9B16-C121C43B610D}"/>
    <cellStyle name="Normal 5 2 2 2 2 3 4 5" xfId="10250" xr:uid="{653F8D3F-B849-4EB0-9832-20859C80976A}"/>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25467" xr:uid="{5023738D-7BF4-4076-A5C6-CF0B51F53C17}"/>
    <cellStyle name="Normal 5 2 2 2 2 3 5 2 2 3" xfId="17026" xr:uid="{F1A0ED68-A7F4-4E3D-BFF5-99303FEB7C60}"/>
    <cellStyle name="Normal 5 2 2 2 2 3 5 2 3" xfId="21249" xr:uid="{24CA22AD-A419-4AE7-9802-BF8FF8C302E2}"/>
    <cellStyle name="Normal 5 2 2 2 2 3 5 2 4" xfId="12808" xr:uid="{FF99E38B-4DF9-4E54-8357-2772E04C56D4}"/>
    <cellStyle name="Normal 5 2 2 2 2 3 5 3" xfId="6439" xr:uid="{00000000-0005-0000-0000-000031170000}"/>
    <cellStyle name="Normal 5 2 2 2 2 3 5 3 2" xfId="23322" xr:uid="{2A0AA1E9-328C-4F1B-9C48-31ACA1D51B3F}"/>
    <cellStyle name="Normal 5 2 2 2 2 3 5 3 3" xfId="14881" xr:uid="{6087B436-9883-4590-AECF-EDE8F52B23AC}"/>
    <cellStyle name="Normal 5 2 2 2 2 3 5 4" xfId="19104" xr:uid="{2A0E37A3-3A42-4FAF-B523-45E05C12F193}"/>
    <cellStyle name="Normal 5 2 2 2 2 3 5 5" xfId="10663" xr:uid="{104AA838-8AB2-4511-8417-5A24F1C93261}"/>
    <cellStyle name="Normal 5 2 2 2 2 3 6" xfId="2568" xr:uid="{00000000-0005-0000-0000-000032170000}"/>
    <cellStyle name="Normal 5 2 2 2 2 3 6 2" xfId="6852" xr:uid="{00000000-0005-0000-0000-000033170000}"/>
    <cellStyle name="Normal 5 2 2 2 2 3 6 2 2" xfId="23735" xr:uid="{60522F2C-498C-457A-B9D6-EF6DC6DF6E87}"/>
    <cellStyle name="Normal 5 2 2 2 2 3 6 2 3" xfId="15294" xr:uid="{E3DA6738-2A71-4335-8E80-09BCBFB7CFCE}"/>
    <cellStyle name="Normal 5 2 2 2 2 3 6 3" xfId="19517" xr:uid="{631E1DE2-590F-4308-9097-DEBE33E4D933}"/>
    <cellStyle name="Normal 5 2 2 2 2 3 6 4" xfId="11076" xr:uid="{D57AE282-0315-40F5-A2BD-D6240F99431C}"/>
    <cellStyle name="Normal 5 2 2 2 2 3 7" xfId="4787" xr:uid="{00000000-0005-0000-0000-000034170000}"/>
    <cellStyle name="Normal 5 2 2 2 2 3 7 2" xfId="21670" xr:uid="{15DA19F9-FB1E-4296-9D59-2845F1B772F0}"/>
    <cellStyle name="Normal 5 2 2 2 2 3 7 3" xfId="13229" xr:uid="{44425666-1267-44E0-97FF-0033AD2995CB}"/>
    <cellStyle name="Normal 5 2 2 2 2 3 8" xfId="17452" xr:uid="{F6384648-62BE-47E0-A9DD-0469D7F73438}"/>
    <cellStyle name="Normal 5 2 2 2 2 3 9" xfId="9011" xr:uid="{E0D436F7-1471-4329-9562-C196E9F77165}"/>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24225" xr:uid="{0369C9A8-BB25-4853-9204-7DAB1AD72BB1}"/>
    <cellStyle name="Normal 5 2 2 2 2 4 2 2 3" xfId="15784" xr:uid="{BED5C43E-E096-447D-9149-B4A667AB65B5}"/>
    <cellStyle name="Normal 5 2 2 2 2 4 2 3" xfId="20007" xr:uid="{E284F89E-16AB-44B4-BC36-8BF19B0E98B2}"/>
    <cellStyle name="Normal 5 2 2 2 2 4 2 4" xfId="11566" xr:uid="{8EA67EF5-5135-47A5-B996-A3D906E25959}"/>
    <cellStyle name="Normal 5 2 2 2 2 4 3" xfId="5197" xr:uid="{00000000-0005-0000-0000-000038170000}"/>
    <cellStyle name="Normal 5 2 2 2 2 4 3 2" xfId="22080" xr:uid="{3DDCB3EC-C446-465B-B51B-F7793593604B}"/>
    <cellStyle name="Normal 5 2 2 2 2 4 3 3" xfId="13639" xr:uid="{31A9BE62-FDC2-47BD-96D9-C46C09F9C1EF}"/>
    <cellStyle name="Normal 5 2 2 2 2 4 4" xfId="17862" xr:uid="{01D6ECFD-0A45-4E5C-8EAA-F7BFC9687D57}"/>
    <cellStyle name="Normal 5 2 2 2 2 4 5" xfId="9421" xr:uid="{3EBCEC80-B3C8-477E-80C1-C4B1925C88C1}"/>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24638" xr:uid="{14993BCB-612F-40A6-AB52-CFFE8AE312CF}"/>
    <cellStyle name="Normal 5 2 2 2 2 5 2 2 3" xfId="16197" xr:uid="{36119B8D-3545-46F8-AD05-939F2B942373}"/>
    <cellStyle name="Normal 5 2 2 2 2 5 2 3" xfId="20420" xr:uid="{718B004F-8680-4EB9-BF19-B98FA75183DF}"/>
    <cellStyle name="Normal 5 2 2 2 2 5 2 4" xfId="11979" xr:uid="{4E1AE1B3-8D4F-4CAB-B498-9D695156541D}"/>
    <cellStyle name="Normal 5 2 2 2 2 5 3" xfId="5610" xr:uid="{00000000-0005-0000-0000-00003C170000}"/>
    <cellStyle name="Normal 5 2 2 2 2 5 3 2" xfId="22493" xr:uid="{ADBBEB80-47A4-4BB7-A285-A9DFBE81DF33}"/>
    <cellStyle name="Normal 5 2 2 2 2 5 3 3" xfId="14052" xr:uid="{43183B23-B492-498C-A9B6-260F34FC0FF6}"/>
    <cellStyle name="Normal 5 2 2 2 2 5 4" xfId="18275" xr:uid="{DD494AD5-0E75-46C2-8FDD-6721B75930E8}"/>
    <cellStyle name="Normal 5 2 2 2 2 5 5" xfId="9834" xr:uid="{8D8137F1-0F7D-48F0-BF06-543AC52D665D}"/>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25051" xr:uid="{6699ED3D-ADC8-4E64-AB6B-0B72BC75B663}"/>
    <cellStyle name="Normal 5 2 2 2 2 6 2 2 3" xfId="16610" xr:uid="{35B18EF2-BEDC-41B8-BB92-E07EE1E207F4}"/>
    <cellStyle name="Normal 5 2 2 2 2 6 2 3" xfId="20833" xr:uid="{914ED6D9-AA64-43B5-819F-EB562DDC7ADF}"/>
    <cellStyle name="Normal 5 2 2 2 2 6 2 4" xfId="12392" xr:uid="{7D5E9E30-612D-42CE-88AC-AD45582321FE}"/>
    <cellStyle name="Normal 5 2 2 2 2 6 3" xfId="6023" xr:uid="{00000000-0005-0000-0000-000040170000}"/>
    <cellStyle name="Normal 5 2 2 2 2 6 3 2" xfId="22906" xr:uid="{05FAA0C7-EA43-41D5-BBF8-BBE28C6DDB35}"/>
    <cellStyle name="Normal 5 2 2 2 2 6 3 3" xfId="14465" xr:uid="{65A2B1C7-56B5-4BAA-9A75-D0472A90605B}"/>
    <cellStyle name="Normal 5 2 2 2 2 6 4" xfId="18688" xr:uid="{ED3D3D96-84B0-49AE-964F-5649FDA0E735}"/>
    <cellStyle name="Normal 5 2 2 2 2 6 5" xfId="10247" xr:uid="{31987EB4-DB8B-41A2-B1CE-90CAB33205AC}"/>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25464" xr:uid="{9DEFB985-D2E3-4ACB-83FF-4054702BDF1B}"/>
    <cellStyle name="Normal 5 2 2 2 2 7 2 2 3" xfId="17023" xr:uid="{B9DE5394-13C3-4C0D-BC2D-3ACC4B8E1BB4}"/>
    <cellStyle name="Normal 5 2 2 2 2 7 2 3" xfId="21246" xr:uid="{A299098E-F6AE-4E2E-92E3-98F06B5FF2B0}"/>
    <cellStyle name="Normal 5 2 2 2 2 7 2 4" xfId="12805" xr:uid="{27B74937-77AE-4D3A-882F-A63D9B7F7E9C}"/>
    <cellStyle name="Normal 5 2 2 2 2 7 3" xfId="6436" xr:uid="{00000000-0005-0000-0000-000044170000}"/>
    <cellStyle name="Normal 5 2 2 2 2 7 3 2" xfId="23319" xr:uid="{4D739382-84B4-45AE-9031-9A70C94DB396}"/>
    <cellStyle name="Normal 5 2 2 2 2 7 3 3" xfId="14878" xr:uid="{CB81C1F4-B363-46B4-A635-E1AB4DD55AFB}"/>
    <cellStyle name="Normal 5 2 2 2 2 7 4" xfId="19101" xr:uid="{36BB59A4-2204-4E58-9D36-BBD655807AE8}"/>
    <cellStyle name="Normal 5 2 2 2 2 7 5" xfId="10660" xr:uid="{D48DFF58-4F1B-48A1-9C2D-B5738B850EC8}"/>
    <cellStyle name="Normal 5 2 2 2 2 8" xfId="2565" xr:uid="{00000000-0005-0000-0000-000045170000}"/>
    <cellStyle name="Normal 5 2 2 2 2 8 2" xfId="6849" xr:uid="{00000000-0005-0000-0000-000046170000}"/>
    <cellStyle name="Normal 5 2 2 2 2 8 2 2" xfId="23732" xr:uid="{F75D3A8A-0F21-47C0-81E2-3CD559832CEE}"/>
    <cellStyle name="Normal 5 2 2 2 2 8 2 3" xfId="15291" xr:uid="{3163EFFC-DD76-4893-8A82-E1BC52D0B7B2}"/>
    <cellStyle name="Normal 5 2 2 2 2 8 3" xfId="19514" xr:uid="{BB9E48DF-5408-4F8F-A4D7-DFDF609861B5}"/>
    <cellStyle name="Normal 5 2 2 2 2 8 4" xfId="11073" xr:uid="{41985390-D2B7-4F7C-9FE0-F2DD9D94A901}"/>
    <cellStyle name="Normal 5 2 2 2 2 9" xfId="4784" xr:uid="{00000000-0005-0000-0000-000047170000}"/>
    <cellStyle name="Normal 5 2 2 2 2 9 2" xfId="21667" xr:uid="{CBED91BA-DAC7-4C11-A537-D733EB51E51E}"/>
    <cellStyle name="Normal 5 2 2 2 2 9 3" xfId="13226" xr:uid="{92D8A2B7-936E-4439-9D8F-1DFDDC259FC3}"/>
    <cellStyle name="Normal 5 2 2 2 3" xfId="414" xr:uid="{00000000-0005-0000-0000-000048170000}"/>
    <cellStyle name="Normal 5 2 2 2 3 10" xfId="9012" xr:uid="{8693C6B6-1CA9-4B64-907F-52F1E9AA39CE}"/>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24230" xr:uid="{6B80191B-F11D-452C-B4CE-0BA6B4DE2DCC}"/>
    <cellStyle name="Normal 5 2 2 2 3 2 2 2 2 3" xfId="15789" xr:uid="{EFE75EB4-92D8-45B2-84A0-15369FBBECFD}"/>
    <cellStyle name="Normal 5 2 2 2 3 2 2 2 3" xfId="20012" xr:uid="{6ED9DD75-789C-4C52-B07B-17C04EBC1FDF}"/>
    <cellStyle name="Normal 5 2 2 2 3 2 2 2 4" xfId="11571" xr:uid="{583A451E-450D-4CFB-B400-6044F7E1635E}"/>
    <cellStyle name="Normal 5 2 2 2 3 2 2 3" xfId="5202" xr:uid="{00000000-0005-0000-0000-00004D170000}"/>
    <cellStyle name="Normal 5 2 2 2 3 2 2 3 2" xfId="22085" xr:uid="{619F1839-F237-44F2-B890-C87B3E71C280}"/>
    <cellStyle name="Normal 5 2 2 2 3 2 2 3 3" xfId="13644" xr:uid="{024EFB2F-70D5-4B1B-9262-EFA054247B27}"/>
    <cellStyle name="Normal 5 2 2 2 3 2 2 4" xfId="17867" xr:uid="{CA7DBEE8-513A-43AE-8F98-C6322DDEF42D}"/>
    <cellStyle name="Normal 5 2 2 2 3 2 2 5" xfId="9426" xr:uid="{ACFB40A5-9AF4-41C8-9AD1-0F39988C009F}"/>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24643" xr:uid="{5E65F512-B26F-432D-9C78-1D6A5A8CD84C}"/>
    <cellStyle name="Normal 5 2 2 2 3 2 3 2 2 3" xfId="16202" xr:uid="{AD12C1C7-B325-4496-BAC9-AC0304EFA647}"/>
    <cellStyle name="Normal 5 2 2 2 3 2 3 2 3" xfId="20425" xr:uid="{134EB2B7-C943-4DF3-8608-7D370A9E5599}"/>
    <cellStyle name="Normal 5 2 2 2 3 2 3 2 4" xfId="11984" xr:uid="{BDF16F69-8C23-48E5-8638-C9496E0302A5}"/>
    <cellStyle name="Normal 5 2 2 2 3 2 3 3" xfId="5615" xr:uid="{00000000-0005-0000-0000-000051170000}"/>
    <cellStyle name="Normal 5 2 2 2 3 2 3 3 2" xfId="22498" xr:uid="{D89F080E-4F92-48BD-9BC0-A9EB1E340772}"/>
    <cellStyle name="Normal 5 2 2 2 3 2 3 3 3" xfId="14057" xr:uid="{38829DA8-6D96-4354-BCA4-237272131067}"/>
    <cellStyle name="Normal 5 2 2 2 3 2 3 4" xfId="18280" xr:uid="{15C5159F-49A3-4BE4-B5F9-73545D4C3D2F}"/>
    <cellStyle name="Normal 5 2 2 2 3 2 3 5" xfId="9839" xr:uid="{7D7B50BE-2398-4EFD-BC6A-EE206CE62ED1}"/>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25056" xr:uid="{2E6C58C6-3C6A-47C7-AA5F-AEA757C9436F}"/>
    <cellStyle name="Normal 5 2 2 2 3 2 4 2 2 3" xfId="16615" xr:uid="{4C7414DF-D99A-4B8B-B3F0-B587C53F6CF6}"/>
    <cellStyle name="Normal 5 2 2 2 3 2 4 2 3" xfId="20838" xr:uid="{C987688D-FF95-46A4-A707-1967DF5FE73B}"/>
    <cellStyle name="Normal 5 2 2 2 3 2 4 2 4" xfId="12397" xr:uid="{AC928188-35C9-4AD6-BAC6-ABC241D7CDFA}"/>
    <cellStyle name="Normal 5 2 2 2 3 2 4 3" xfId="6028" xr:uid="{00000000-0005-0000-0000-000055170000}"/>
    <cellStyle name="Normal 5 2 2 2 3 2 4 3 2" xfId="22911" xr:uid="{81FFD4A9-98E5-4742-83C8-748C89A89195}"/>
    <cellStyle name="Normal 5 2 2 2 3 2 4 3 3" xfId="14470" xr:uid="{594AEA4F-1770-428C-86D8-C6AB1CA7A3B6}"/>
    <cellStyle name="Normal 5 2 2 2 3 2 4 4" xfId="18693" xr:uid="{DA1BA667-417C-4C9B-B1FA-6F8F73F58C18}"/>
    <cellStyle name="Normal 5 2 2 2 3 2 4 5" xfId="10252" xr:uid="{380440B6-0664-46AF-B9F7-A2ACA7773C43}"/>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25469" xr:uid="{5B8A2B1C-47FA-4CFB-A390-8A10B8C0A627}"/>
    <cellStyle name="Normal 5 2 2 2 3 2 5 2 2 3" xfId="17028" xr:uid="{BCD62976-6612-4E16-9E03-5B7805A1DE00}"/>
    <cellStyle name="Normal 5 2 2 2 3 2 5 2 3" xfId="21251" xr:uid="{F6002CFF-C348-43BB-9540-059EC487259C}"/>
    <cellStyle name="Normal 5 2 2 2 3 2 5 2 4" xfId="12810" xr:uid="{BF15D0D3-C773-4E5C-91AC-E3242734ABA1}"/>
    <cellStyle name="Normal 5 2 2 2 3 2 5 3" xfId="6441" xr:uid="{00000000-0005-0000-0000-000059170000}"/>
    <cellStyle name="Normal 5 2 2 2 3 2 5 3 2" xfId="23324" xr:uid="{5C9019A8-08E6-4E79-AF6C-515F7B74D2A3}"/>
    <cellStyle name="Normal 5 2 2 2 3 2 5 3 3" xfId="14883" xr:uid="{5972E2D8-7E4E-43AE-BE44-62214B47FB6A}"/>
    <cellStyle name="Normal 5 2 2 2 3 2 5 4" xfId="19106" xr:uid="{54AD1F0D-C871-4606-B3BE-AE60D1243A84}"/>
    <cellStyle name="Normal 5 2 2 2 3 2 5 5" xfId="10665" xr:uid="{F8F5B291-CFD5-467A-9958-175C464E2D70}"/>
    <cellStyle name="Normal 5 2 2 2 3 2 6" xfId="2570" xr:uid="{00000000-0005-0000-0000-00005A170000}"/>
    <cellStyle name="Normal 5 2 2 2 3 2 6 2" xfId="6854" xr:uid="{00000000-0005-0000-0000-00005B170000}"/>
    <cellStyle name="Normal 5 2 2 2 3 2 6 2 2" xfId="23737" xr:uid="{0E8C62D7-8519-4B32-8CE4-C594736B978C}"/>
    <cellStyle name="Normal 5 2 2 2 3 2 6 2 3" xfId="15296" xr:uid="{239C39F0-7072-4E17-9B7F-9CAF81CE0BBC}"/>
    <cellStyle name="Normal 5 2 2 2 3 2 6 3" xfId="19519" xr:uid="{59581413-4B6D-4C6F-B5EB-4CA47DD8E0D2}"/>
    <cellStyle name="Normal 5 2 2 2 3 2 6 4" xfId="11078" xr:uid="{D1BABB64-59DB-4B8C-9DE9-AF30BDC6D67D}"/>
    <cellStyle name="Normal 5 2 2 2 3 2 7" xfId="4789" xr:uid="{00000000-0005-0000-0000-00005C170000}"/>
    <cellStyle name="Normal 5 2 2 2 3 2 7 2" xfId="21672" xr:uid="{2527B793-3A7A-46D8-8462-7808C75B6EFF}"/>
    <cellStyle name="Normal 5 2 2 2 3 2 7 3" xfId="13231" xr:uid="{BF606D7A-BDB9-44EB-AA6D-E1DBA4439DFF}"/>
    <cellStyle name="Normal 5 2 2 2 3 2 8" xfId="17454" xr:uid="{F5A062D9-ECA3-4267-AC6A-93EAFBEE1FC7}"/>
    <cellStyle name="Normal 5 2 2 2 3 2 9" xfId="9013" xr:uid="{FFFB2441-254E-4ED6-826D-7B3492C40B28}"/>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24229" xr:uid="{7E537AB8-2B2C-4056-AA18-A147AFEFC688}"/>
    <cellStyle name="Normal 5 2 2 2 3 3 2 2 3" xfId="15788" xr:uid="{07B6BF17-004B-4286-AE8D-695AB8447FAA}"/>
    <cellStyle name="Normal 5 2 2 2 3 3 2 3" xfId="20011" xr:uid="{1F88697E-5368-4EF9-B495-F9B9B2D99D6A}"/>
    <cellStyle name="Normal 5 2 2 2 3 3 2 4" xfId="11570" xr:uid="{86009BCB-52EB-4A01-A8D1-05AFD78FD812}"/>
    <cellStyle name="Normal 5 2 2 2 3 3 3" xfId="5201" xr:uid="{00000000-0005-0000-0000-000060170000}"/>
    <cellStyle name="Normal 5 2 2 2 3 3 3 2" xfId="22084" xr:uid="{E949F612-D5D0-4090-87E0-E94BB435069B}"/>
    <cellStyle name="Normal 5 2 2 2 3 3 3 3" xfId="13643" xr:uid="{A3A0B13A-D32B-455C-AD56-3B052D2339C5}"/>
    <cellStyle name="Normal 5 2 2 2 3 3 4" xfId="17866" xr:uid="{7E7E1ABD-2CD0-494A-AA4A-31665BA75A21}"/>
    <cellStyle name="Normal 5 2 2 2 3 3 5" xfId="9425" xr:uid="{1FDB7B3E-E8C0-44A5-855F-0CEF3DF3BDFD}"/>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24642" xr:uid="{C7BA3F74-0C60-49FC-8F13-48698F37E514}"/>
    <cellStyle name="Normal 5 2 2 2 3 4 2 2 3" xfId="16201" xr:uid="{AE0621C5-BB29-4901-9CB2-7D2E424D3ED6}"/>
    <cellStyle name="Normal 5 2 2 2 3 4 2 3" xfId="20424" xr:uid="{0D39E467-E944-4157-9EF0-1373699CEE3D}"/>
    <cellStyle name="Normal 5 2 2 2 3 4 2 4" xfId="11983" xr:uid="{57EFC1B1-C372-4A44-A547-A665F2DC9187}"/>
    <cellStyle name="Normal 5 2 2 2 3 4 3" xfId="5614" xr:uid="{00000000-0005-0000-0000-000064170000}"/>
    <cellStyle name="Normal 5 2 2 2 3 4 3 2" xfId="22497" xr:uid="{ECF54359-9604-46D6-80B7-47372806229F}"/>
    <cellStyle name="Normal 5 2 2 2 3 4 3 3" xfId="14056" xr:uid="{AA48B3FE-9AA2-4D0B-8FC9-890ABDC12D8A}"/>
    <cellStyle name="Normal 5 2 2 2 3 4 4" xfId="18279" xr:uid="{F2D3629A-B502-4F19-9F74-8AD2D9B91237}"/>
    <cellStyle name="Normal 5 2 2 2 3 4 5" xfId="9838" xr:uid="{3462456E-BB5B-43F8-8B17-FE68CA1F6D01}"/>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25055" xr:uid="{E8F143E0-DC73-460C-9206-4BAE04A2777B}"/>
    <cellStyle name="Normal 5 2 2 2 3 5 2 2 3" xfId="16614" xr:uid="{BBA73680-1804-4B01-822D-0511A91E2163}"/>
    <cellStyle name="Normal 5 2 2 2 3 5 2 3" xfId="20837" xr:uid="{11916B8A-2B38-4888-AF4B-E42ECB0B9988}"/>
    <cellStyle name="Normal 5 2 2 2 3 5 2 4" xfId="12396" xr:uid="{422CE423-C9BE-4C0C-B39D-50A2CF97C6D7}"/>
    <cellStyle name="Normal 5 2 2 2 3 5 3" xfId="6027" xr:uid="{00000000-0005-0000-0000-000068170000}"/>
    <cellStyle name="Normal 5 2 2 2 3 5 3 2" xfId="22910" xr:uid="{CFE9C719-4304-441F-8361-4C24674B91BE}"/>
    <cellStyle name="Normal 5 2 2 2 3 5 3 3" xfId="14469" xr:uid="{F48E002C-D0BF-4038-AC41-77018000807A}"/>
    <cellStyle name="Normal 5 2 2 2 3 5 4" xfId="18692" xr:uid="{E5A9C4FF-7B21-4C3B-AC72-B35402BD7AA4}"/>
    <cellStyle name="Normal 5 2 2 2 3 5 5" xfId="10251" xr:uid="{3A6CE209-175C-443E-A80A-8175985976AA}"/>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25468" xr:uid="{24B0F9F6-2732-4E4C-82C9-D51DB5BBF7A5}"/>
    <cellStyle name="Normal 5 2 2 2 3 6 2 2 3" xfId="17027" xr:uid="{3F7BEBF7-E0BC-442D-BA39-09C9DD31DA9F}"/>
    <cellStyle name="Normal 5 2 2 2 3 6 2 3" xfId="21250" xr:uid="{CD2146D5-8C02-4E83-8187-81B40C560349}"/>
    <cellStyle name="Normal 5 2 2 2 3 6 2 4" xfId="12809" xr:uid="{BD338EC0-223E-46CF-B7D4-6868FF06F10E}"/>
    <cellStyle name="Normal 5 2 2 2 3 6 3" xfId="6440" xr:uid="{00000000-0005-0000-0000-00006C170000}"/>
    <cellStyle name="Normal 5 2 2 2 3 6 3 2" xfId="23323" xr:uid="{B5476F90-29F6-4FB9-BD7A-36DA6FD8727D}"/>
    <cellStyle name="Normal 5 2 2 2 3 6 3 3" xfId="14882" xr:uid="{7567BF5D-9FD5-42CB-899A-133DBB457C73}"/>
    <cellStyle name="Normal 5 2 2 2 3 6 4" xfId="19105" xr:uid="{FD4ACC3E-B3CF-4465-A251-E6315B2A6BB1}"/>
    <cellStyle name="Normal 5 2 2 2 3 6 5" xfId="10664" xr:uid="{7ED2B3D3-6491-4A4B-AAEA-62E017A79E88}"/>
    <cellStyle name="Normal 5 2 2 2 3 7" xfId="2569" xr:uid="{00000000-0005-0000-0000-00006D170000}"/>
    <cellStyle name="Normal 5 2 2 2 3 7 2" xfId="6853" xr:uid="{00000000-0005-0000-0000-00006E170000}"/>
    <cellStyle name="Normal 5 2 2 2 3 7 2 2" xfId="23736" xr:uid="{B2781697-B873-4B13-B615-69AC015806C2}"/>
    <cellStyle name="Normal 5 2 2 2 3 7 2 3" xfId="15295" xr:uid="{D884ED87-A340-467F-A48A-1E8C9045E2B6}"/>
    <cellStyle name="Normal 5 2 2 2 3 7 3" xfId="19518" xr:uid="{207525D6-2B37-4EC2-A23D-A51784F3F313}"/>
    <cellStyle name="Normal 5 2 2 2 3 7 4" xfId="11077" xr:uid="{6DEEFEF7-313B-41A0-AD60-7E6287DDD777}"/>
    <cellStyle name="Normal 5 2 2 2 3 8" xfId="4788" xr:uid="{00000000-0005-0000-0000-00006F170000}"/>
    <cellStyle name="Normal 5 2 2 2 3 8 2" xfId="21671" xr:uid="{3B44BCDA-AD30-4753-9150-2F5B9EB145D6}"/>
    <cellStyle name="Normal 5 2 2 2 3 8 3" xfId="13230" xr:uid="{070BD03F-4813-4B13-98E2-446D361776F0}"/>
    <cellStyle name="Normal 5 2 2 2 3 9" xfId="17453" xr:uid="{3E8974C8-120A-4442-ADA9-3A50969ABA36}"/>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24231" xr:uid="{BA94833C-EA2A-4BCF-A678-DC90ABD9F225}"/>
    <cellStyle name="Normal 5 2 2 2 4 2 2 2 3" xfId="15790" xr:uid="{B9F31431-AAE8-4366-98FF-53FA7AED7263}"/>
    <cellStyle name="Normal 5 2 2 2 4 2 2 3" xfId="20013" xr:uid="{03873628-D028-4498-86BC-35179113E38D}"/>
    <cellStyle name="Normal 5 2 2 2 4 2 2 4" xfId="11572" xr:uid="{C9A2BEB6-B628-4C0D-B636-9A49A059802F}"/>
    <cellStyle name="Normal 5 2 2 2 4 2 3" xfId="5203" xr:uid="{00000000-0005-0000-0000-000074170000}"/>
    <cellStyle name="Normal 5 2 2 2 4 2 3 2" xfId="22086" xr:uid="{5B094884-5E0C-495B-814D-91E70EA35FBD}"/>
    <cellStyle name="Normal 5 2 2 2 4 2 3 3" xfId="13645" xr:uid="{4073537A-08E5-46D1-976A-EB5125E56CD5}"/>
    <cellStyle name="Normal 5 2 2 2 4 2 4" xfId="17868" xr:uid="{E526DE1A-DF3F-4F96-86A4-9C446FFE4944}"/>
    <cellStyle name="Normal 5 2 2 2 4 2 5" xfId="9427" xr:uid="{D8CFDAA1-692F-439B-84D2-46630928BB97}"/>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24644" xr:uid="{F65F1EF1-3C05-4CB0-B0C9-6919024171F4}"/>
    <cellStyle name="Normal 5 2 2 2 4 3 2 2 3" xfId="16203" xr:uid="{5A0FB486-9C87-439C-9622-DA5980F680B4}"/>
    <cellStyle name="Normal 5 2 2 2 4 3 2 3" xfId="20426" xr:uid="{8791821A-4D34-493A-B1AF-58785C12AF7D}"/>
    <cellStyle name="Normal 5 2 2 2 4 3 2 4" xfId="11985" xr:uid="{CE80C32C-62E8-4374-A5C0-EB0768D4DC62}"/>
    <cellStyle name="Normal 5 2 2 2 4 3 3" xfId="5616" xr:uid="{00000000-0005-0000-0000-000078170000}"/>
    <cellStyle name="Normal 5 2 2 2 4 3 3 2" xfId="22499" xr:uid="{FA08700D-4DC1-4639-B974-A0A54773A70F}"/>
    <cellStyle name="Normal 5 2 2 2 4 3 3 3" xfId="14058" xr:uid="{90DF99CA-567C-4E5F-9631-4B5F4F166ABF}"/>
    <cellStyle name="Normal 5 2 2 2 4 3 4" xfId="18281" xr:uid="{981994A1-DA3F-4EDB-90FA-850A0F131E24}"/>
    <cellStyle name="Normal 5 2 2 2 4 3 5" xfId="9840" xr:uid="{0DBF49E4-B55C-42AF-AA56-1CE4346CEE03}"/>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25057" xr:uid="{7E9CA081-E5E6-406D-9DCE-42A02FB80578}"/>
    <cellStyle name="Normal 5 2 2 2 4 4 2 2 3" xfId="16616" xr:uid="{A0D56326-120C-4BAA-84B7-AC2508293D9C}"/>
    <cellStyle name="Normal 5 2 2 2 4 4 2 3" xfId="20839" xr:uid="{3F832BCE-F106-45F5-B1D1-9ECC2ED0B4D3}"/>
    <cellStyle name="Normal 5 2 2 2 4 4 2 4" xfId="12398" xr:uid="{D56CAD9E-F3B6-4FAC-BC71-A46B8BF767A2}"/>
    <cellStyle name="Normal 5 2 2 2 4 4 3" xfId="6029" xr:uid="{00000000-0005-0000-0000-00007C170000}"/>
    <cellStyle name="Normal 5 2 2 2 4 4 3 2" xfId="22912" xr:uid="{A9E0F76B-6A84-4BDE-840B-B97D976A9E12}"/>
    <cellStyle name="Normal 5 2 2 2 4 4 3 3" xfId="14471" xr:uid="{3CEF5F60-677F-4E29-9C9A-459EC4D94DDD}"/>
    <cellStyle name="Normal 5 2 2 2 4 4 4" xfId="18694" xr:uid="{5779EC6C-6046-4B3A-BEBF-491B34FC750E}"/>
    <cellStyle name="Normal 5 2 2 2 4 4 5" xfId="10253" xr:uid="{D49DA43E-0A2F-49D4-8FE3-5D41D1905949}"/>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25470" xr:uid="{ACE5A8F9-456D-41A2-BC25-13EB2ADA7F2B}"/>
    <cellStyle name="Normal 5 2 2 2 4 5 2 2 3" xfId="17029" xr:uid="{FD128D09-B507-4D66-B023-1A9FC0D97CAE}"/>
    <cellStyle name="Normal 5 2 2 2 4 5 2 3" xfId="21252" xr:uid="{AC39C9AF-8282-40DF-A445-1A176BE8C3A7}"/>
    <cellStyle name="Normal 5 2 2 2 4 5 2 4" xfId="12811" xr:uid="{4188810B-B621-414F-BA1D-CFCE87A9A2BA}"/>
    <cellStyle name="Normal 5 2 2 2 4 5 3" xfId="6442" xr:uid="{00000000-0005-0000-0000-000080170000}"/>
    <cellStyle name="Normal 5 2 2 2 4 5 3 2" xfId="23325" xr:uid="{A8F0A336-8BB9-4972-B341-2575B9B091A5}"/>
    <cellStyle name="Normal 5 2 2 2 4 5 3 3" xfId="14884" xr:uid="{F9AE4D55-D5A9-4C9D-95EF-B83820447B14}"/>
    <cellStyle name="Normal 5 2 2 2 4 5 4" xfId="19107" xr:uid="{D2C29AAA-4907-4A1F-9072-DEA977F61235}"/>
    <cellStyle name="Normal 5 2 2 2 4 5 5" xfId="10666" xr:uid="{07AA7D38-0CE5-49E8-8A0F-BA1E8A3D69C1}"/>
    <cellStyle name="Normal 5 2 2 2 4 6" xfId="2571" xr:uid="{00000000-0005-0000-0000-000081170000}"/>
    <cellStyle name="Normal 5 2 2 2 4 6 2" xfId="6855" xr:uid="{00000000-0005-0000-0000-000082170000}"/>
    <cellStyle name="Normal 5 2 2 2 4 6 2 2" xfId="23738" xr:uid="{61A59B24-BAF4-422B-97B7-50ADB40D36CB}"/>
    <cellStyle name="Normal 5 2 2 2 4 6 2 3" xfId="15297" xr:uid="{C1AF793F-1E76-4534-AF88-53AC56BB90FC}"/>
    <cellStyle name="Normal 5 2 2 2 4 6 3" xfId="19520" xr:uid="{E5F26DA4-441D-44A8-92BC-458C18B98F84}"/>
    <cellStyle name="Normal 5 2 2 2 4 6 4" xfId="11079" xr:uid="{E1D3B27D-4060-4656-8FC5-71DE15E8CD60}"/>
    <cellStyle name="Normal 5 2 2 2 4 7" xfId="4790" xr:uid="{00000000-0005-0000-0000-000083170000}"/>
    <cellStyle name="Normal 5 2 2 2 4 7 2" xfId="21673" xr:uid="{48641084-4898-42A6-87CA-BBD86EED5F85}"/>
    <cellStyle name="Normal 5 2 2 2 4 7 3" xfId="13232" xr:uid="{4DB88015-A514-4CA2-8C6B-497340D3E782}"/>
    <cellStyle name="Normal 5 2 2 2 4 8" xfId="17455" xr:uid="{38838E60-1D7C-42F7-8C6E-207054FC1EB5}"/>
    <cellStyle name="Normal 5 2 2 2 4 9" xfId="9014" xr:uid="{357AFDD1-5A3F-4CF1-8644-D6538912C816}"/>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24224" xr:uid="{07204987-3994-4723-A4D0-18DD3B52CDBA}"/>
    <cellStyle name="Normal 5 2 2 2 5 2 2 3" xfId="15783" xr:uid="{72B3CF2E-3F49-4702-A750-511D725EC5E0}"/>
    <cellStyle name="Normal 5 2 2 2 5 2 3" xfId="20006" xr:uid="{A6AC6074-7C90-4425-944F-CE0B4E9DE8EB}"/>
    <cellStyle name="Normal 5 2 2 2 5 2 4" xfId="11565" xr:uid="{86088508-318C-41D9-9D8D-098702A20B15}"/>
    <cellStyle name="Normal 5 2 2 2 5 3" xfId="5196" xr:uid="{00000000-0005-0000-0000-000087170000}"/>
    <cellStyle name="Normal 5 2 2 2 5 3 2" xfId="22079" xr:uid="{3F710090-FC10-4527-B5CB-3135F5DAB85C}"/>
    <cellStyle name="Normal 5 2 2 2 5 3 3" xfId="13638" xr:uid="{167D261A-1A2D-4871-8A03-682582C4BC33}"/>
    <cellStyle name="Normal 5 2 2 2 5 4" xfId="17861" xr:uid="{BB4646BA-88A2-47EE-993B-D8BBE30C3C8B}"/>
    <cellStyle name="Normal 5 2 2 2 5 5" xfId="9420" xr:uid="{9091D60C-3FA3-46C4-895A-5EB8118A67C2}"/>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24637" xr:uid="{7ED30807-F1ED-474B-831D-A491A331B74F}"/>
    <cellStyle name="Normal 5 2 2 2 6 2 2 3" xfId="16196" xr:uid="{E579C27F-805B-4B08-AED3-9F755562BBD9}"/>
    <cellStyle name="Normal 5 2 2 2 6 2 3" xfId="20419" xr:uid="{00AF1B97-BB5C-4147-8034-6E7A49EFF3BD}"/>
    <cellStyle name="Normal 5 2 2 2 6 2 4" xfId="11978" xr:uid="{C23A6C61-693C-480D-97DB-8558294C0D14}"/>
    <cellStyle name="Normal 5 2 2 2 6 3" xfId="5609" xr:uid="{00000000-0005-0000-0000-00008B170000}"/>
    <cellStyle name="Normal 5 2 2 2 6 3 2" xfId="22492" xr:uid="{E8FEE04B-C7AD-45D8-9CB9-B898D7B72A0B}"/>
    <cellStyle name="Normal 5 2 2 2 6 3 3" xfId="14051" xr:uid="{8E9311FB-B116-4DDF-A886-FEE649A10B99}"/>
    <cellStyle name="Normal 5 2 2 2 6 4" xfId="18274" xr:uid="{E6576A96-DC4B-446C-8F6E-D557B1E2A03F}"/>
    <cellStyle name="Normal 5 2 2 2 6 5" xfId="9833" xr:uid="{11E1650C-674B-494D-9377-526C3BF84E5B}"/>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25050" xr:uid="{7460146A-D423-4E31-937F-183E23BC64CA}"/>
    <cellStyle name="Normal 5 2 2 2 7 2 2 3" xfId="16609" xr:uid="{E34D68E3-F495-4153-AEC9-E74B7712A459}"/>
    <cellStyle name="Normal 5 2 2 2 7 2 3" xfId="20832" xr:uid="{95694971-C2D9-4782-B0D4-E4B28481E2BE}"/>
    <cellStyle name="Normal 5 2 2 2 7 2 4" xfId="12391" xr:uid="{D1541608-D86A-419C-BF3C-B37A7DF724C6}"/>
    <cellStyle name="Normal 5 2 2 2 7 3" xfId="6022" xr:uid="{00000000-0005-0000-0000-00008F170000}"/>
    <cellStyle name="Normal 5 2 2 2 7 3 2" xfId="22905" xr:uid="{BD1D71EE-19EB-4D05-A013-4F2DA8F23BD3}"/>
    <cellStyle name="Normal 5 2 2 2 7 3 3" xfId="14464" xr:uid="{3ECCA1C6-84B6-47D0-84D3-7C7984F3607B}"/>
    <cellStyle name="Normal 5 2 2 2 7 4" xfId="18687" xr:uid="{1ECFE482-62D8-4CD6-9E82-E8FA9487CF4D}"/>
    <cellStyle name="Normal 5 2 2 2 7 5" xfId="10246" xr:uid="{CD08C579-E604-4D9B-B4A9-56E9301D5086}"/>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25463" xr:uid="{B7F7E446-B10E-49E7-B362-363692E554EE}"/>
    <cellStyle name="Normal 5 2 2 2 8 2 2 3" xfId="17022" xr:uid="{9D137FBC-725A-4238-9523-CE48A7520937}"/>
    <cellStyle name="Normal 5 2 2 2 8 2 3" xfId="21245" xr:uid="{45B2C7A7-361C-45C5-BD3D-58D3A3359567}"/>
    <cellStyle name="Normal 5 2 2 2 8 2 4" xfId="12804" xr:uid="{13EBED4A-6A73-4AAF-B897-9D93CBDC402E}"/>
    <cellStyle name="Normal 5 2 2 2 8 3" xfId="6435" xr:uid="{00000000-0005-0000-0000-000093170000}"/>
    <cellStyle name="Normal 5 2 2 2 8 3 2" xfId="23318" xr:uid="{B5D7AB23-934B-4B5A-829C-BC30CDBC367F}"/>
    <cellStyle name="Normal 5 2 2 2 8 3 3" xfId="14877" xr:uid="{396218C7-DD75-42C5-A5AA-CCD6C9662527}"/>
    <cellStyle name="Normal 5 2 2 2 8 4" xfId="19100" xr:uid="{D8B58DB2-FB47-46DF-9672-A1FDD711139D}"/>
    <cellStyle name="Normal 5 2 2 2 8 5" xfId="10659" xr:uid="{16B87F85-4775-4492-9AB8-7F41BDF25BBF}"/>
    <cellStyle name="Normal 5 2 2 2 9" xfId="2564" xr:uid="{00000000-0005-0000-0000-000094170000}"/>
    <cellStyle name="Normal 5 2 2 2 9 2" xfId="6848" xr:uid="{00000000-0005-0000-0000-000095170000}"/>
    <cellStyle name="Normal 5 2 2 2 9 2 2" xfId="23731" xr:uid="{E5D2FC78-AC50-4C4A-A52C-BFCE1F45335F}"/>
    <cellStyle name="Normal 5 2 2 2 9 2 3" xfId="15290" xr:uid="{9044DBDF-AA98-4F95-A425-4EAD646D0BDF}"/>
    <cellStyle name="Normal 5 2 2 2 9 3" xfId="19513" xr:uid="{9F2C91B6-D12C-4FDC-BC51-DD06DAB24E15}"/>
    <cellStyle name="Normal 5 2 2 2 9 4" xfId="11072" xr:uid="{5125ED9C-D7A7-42C4-9B52-BD624DC6D519}"/>
    <cellStyle name="Normal 5 2 2 3" xfId="417" xr:uid="{00000000-0005-0000-0000-000096170000}"/>
    <cellStyle name="Normal 5 2 2 3 10" xfId="17456" xr:uid="{ECF7BE70-D02C-477B-BB44-2C484B6C26AD}"/>
    <cellStyle name="Normal 5 2 2 3 11" xfId="9015" xr:uid="{F0313E8B-A582-499D-9048-CB79AF577702}"/>
    <cellStyle name="Normal 5 2 2 3 2" xfId="418" xr:uid="{00000000-0005-0000-0000-000097170000}"/>
    <cellStyle name="Normal 5 2 2 3 2 10" xfId="9016" xr:uid="{2262E2C3-0FE5-4BC9-B21B-45D5BADB529E}"/>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24234" xr:uid="{58318E58-5037-45F4-B2EB-CC856C502635}"/>
    <cellStyle name="Normal 5 2 2 3 2 2 2 2 2 3" xfId="15793" xr:uid="{DAC02238-9DBA-4135-9B1E-A138E60F6FD4}"/>
    <cellStyle name="Normal 5 2 2 3 2 2 2 2 3" xfId="20016" xr:uid="{6A48FD8A-4F7D-41AE-B880-611DC1AFDE35}"/>
    <cellStyle name="Normal 5 2 2 3 2 2 2 2 4" xfId="11575" xr:uid="{64E2D584-AF75-4F68-A9A0-55C0B61A7CC4}"/>
    <cellStyle name="Normal 5 2 2 3 2 2 2 3" xfId="5206" xr:uid="{00000000-0005-0000-0000-00009C170000}"/>
    <cellStyle name="Normal 5 2 2 3 2 2 2 3 2" xfId="22089" xr:uid="{80273457-569B-4539-B793-94F24BBBDC16}"/>
    <cellStyle name="Normal 5 2 2 3 2 2 2 3 3" xfId="13648" xr:uid="{2AD8B1A7-7D2D-4418-922E-5F83BB0224BA}"/>
    <cellStyle name="Normal 5 2 2 3 2 2 2 4" xfId="17871" xr:uid="{4A505203-0198-4AD2-8BFF-323F8C7C0019}"/>
    <cellStyle name="Normal 5 2 2 3 2 2 2 5" xfId="9430" xr:uid="{F058802F-BADD-47B5-B4A2-07CD85BBBC67}"/>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24647" xr:uid="{40FA5BF5-EC55-472B-98C6-D4439C9EF336}"/>
    <cellStyle name="Normal 5 2 2 3 2 2 3 2 2 3" xfId="16206" xr:uid="{5062B756-F976-4125-BC24-E50D0012408C}"/>
    <cellStyle name="Normal 5 2 2 3 2 2 3 2 3" xfId="20429" xr:uid="{A50FF301-5525-4AFE-8C33-71D71565D171}"/>
    <cellStyle name="Normal 5 2 2 3 2 2 3 2 4" xfId="11988" xr:uid="{F624307A-4630-4D61-96EE-5A79B865B5C4}"/>
    <cellStyle name="Normal 5 2 2 3 2 2 3 3" xfId="5619" xr:uid="{00000000-0005-0000-0000-0000A0170000}"/>
    <cellStyle name="Normal 5 2 2 3 2 2 3 3 2" xfId="22502" xr:uid="{598596F9-469A-4A26-B7BA-CB8D35083971}"/>
    <cellStyle name="Normal 5 2 2 3 2 2 3 3 3" xfId="14061" xr:uid="{25E47A07-4958-4A2A-9BBC-70CC9C3297F4}"/>
    <cellStyle name="Normal 5 2 2 3 2 2 3 4" xfId="18284" xr:uid="{E297444D-A2A5-42A4-B1B2-F8A713574C48}"/>
    <cellStyle name="Normal 5 2 2 3 2 2 3 5" xfId="9843" xr:uid="{5F39D25D-9868-4BAA-B3D8-846B35A20EF2}"/>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25060" xr:uid="{C0B0ECA1-F8FA-4976-BD39-BF9028753089}"/>
    <cellStyle name="Normal 5 2 2 3 2 2 4 2 2 3" xfId="16619" xr:uid="{59C7BA53-C711-49C2-95A5-DC4CDFEA2E20}"/>
    <cellStyle name="Normal 5 2 2 3 2 2 4 2 3" xfId="20842" xr:uid="{C8282035-1333-4375-A425-889C461FBE59}"/>
    <cellStyle name="Normal 5 2 2 3 2 2 4 2 4" xfId="12401" xr:uid="{16C11653-7EE2-4E67-A277-C6070F384207}"/>
    <cellStyle name="Normal 5 2 2 3 2 2 4 3" xfId="6032" xr:uid="{00000000-0005-0000-0000-0000A4170000}"/>
    <cellStyle name="Normal 5 2 2 3 2 2 4 3 2" xfId="22915" xr:uid="{42C75D32-D306-4792-A0F9-FE5259A53055}"/>
    <cellStyle name="Normal 5 2 2 3 2 2 4 3 3" xfId="14474" xr:uid="{7F0C4C30-7311-40DD-BCD6-E29DA0CD31EB}"/>
    <cellStyle name="Normal 5 2 2 3 2 2 4 4" xfId="18697" xr:uid="{6CD2C0C6-642A-40CA-B87A-EC29C979E2B5}"/>
    <cellStyle name="Normal 5 2 2 3 2 2 4 5" xfId="10256" xr:uid="{12C9A99B-2CF7-48FF-B824-B08149ED2ED2}"/>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25473" xr:uid="{D5D7164B-461A-4CB0-96AB-E80A20AB04D0}"/>
    <cellStyle name="Normal 5 2 2 3 2 2 5 2 2 3" xfId="17032" xr:uid="{B5EC23FB-B3C2-49DF-9014-E7B20D0B4B9B}"/>
    <cellStyle name="Normal 5 2 2 3 2 2 5 2 3" xfId="21255" xr:uid="{FBC88264-3F07-4A5A-B6D8-79D26C5AE320}"/>
    <cellStyle name="Normal 5 2 2 3 2 2 5 2 4" xfId="12814" xr:uid="{2ACF6F55-3345-4018-AC36-3BDE1EBEE88F}"/>
    <cellStyle name="Normal 5 2 2 3 2 2 5 3" xfId="6445" xr:uid="{00000000-0005-0000-0000-0000A8170000}"/>
    <cellStyle name="Normal 5 2 2 3 2 2 5 3 2" xfId="23328" xr:uid="{05802DB9-6222-4D66-B699-6884CB7E7062}"/>
    <cellStyle name="Normal 5 2 2 3 2 2 5 3 3" xfId="14887" xr:uid="{AA252E5A-44A2-407E-A584-7B7C5DE47C32}"/>
    <cellStyle name="Normal 5 2 2 3 2 2 5 4" xfId="19110" xr:uid="{253D731F-81DF-4FA4-B937-F2B9A81AE471}"/>
    <cellStyle name="Normal 5 2 2 3 2 2 5 5" xfId="10669" xr:uid="{EF7ADFE2-9702-4250-8F4F-CCC1EC31972B}"/>
    <cellStyle name="Normal 5 2 2 3 2 2 6" xfId="2574" xr:uid="{00000000-0005-0000-0000-0000A9170000}"/>
    <cellStyle name="Normal 5 2 2 3 2 2 6 2" xfId="6858" xr:uid="{00000000-0005-0000-0000-0000AA170000}"/>
    <cellStyle name="Normal 5 2 2 3 2 2 6 2 2" xfId="23741" xr:uid="{917C47FC-4D04-4A0E-84C6-9B15EFBE4F39}"/>
    <cellStyle name="Normal 5 2 2 3 2 2 6 2 3" xfId="15300" xr:uid="{A5BA7699-D6E2-454F-B906-78CEFECF5119}"/>
    <cellStyle name="Normal 5 2 2 3 2 2 6 3" xfId="19523" xr:uid="{B5DF2EB0-65B2-40C2-828D-BB18A0558BF8}"/>
    <cellStyle name="Normal 5 2 2 3 2 2 6 4" xfId="11082" xr:uid="{44494919-AC56-4DBE-921A-763D9FDEDC0F}"/>
    <cellStyle name="Normal 5 2 2 3 2 2 7" xfId="4793" xr:uid="{00000000-0005-0000-0000-0000AB170000}"/>
    <cellStyle name="Normal 5 2 2 3 2 2 7 2" xfId="21676" xr:uid="{2BE23DEF-8B89-49CC-ACC3-BA700896F939}"/>
    <cellStyle name="Normal 5 2 2 3 2 2 7 3" xfId="13235" xr:uid="{A043AB78-8394-4E42-B875-469A845C6D27}"/>
    <cellStyle name="Normal 5 2 2 3 2 2 8" xfId="17458" xr:uid="{F4328AF1-D140-4B86-B15E-94829672CB2C}"/>
    <cellStyle name="Normal 5 2 2 3 2 2 9" xfId="9017" xr:uid="{8AF801E5-0260-4EB1-810E-9AB70C59B651}"/>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24233" xr:uid="{5E4E9D52-1530-486C-A611-B38F7EBC1EF8}"/>
    <cellStyle name="Normal 5 2 2 3 2 3 2 2 3" xfId="15792" xr:uid="{CDF66381-DEC4-4016-BB9B-B5B278722A73}"/>
    <cellStyle name="Normal 5 2 2 3 2 3 2 3" xfId="20015" xr:uid="{E0A48A65-581A-4435-A2F2-A86EC7503466}"/>
    <cellStyle name="Normal 5 2 2 3 2 3 2 4" xfId="11574" xr:uid="{DA3BE101-F4F2-4FED-BBAF-09715AE3D835}"/>
    <cellStyle name="Normal 5 2 2 3 2 3 3" xfId="5205" xr:uid="{00000000-0005-0000-0000-0000AF170000}"/>
    <cellStyle name="Normal 5 2 2 3 2 3 3 2" xfId="22088" xr:uid="{539EF9A4-4FDC-4883-A7C4-811631FFA400}"/>
    <cellStyle name="Normal 5 2 2 3 2 3 3 3" xfId="13647" xr:uid="{AD188463-0C04-4BDE-9996-AD16B6786139}"/>
    <cellStyle name="Normal 5 2 2 3 2 3 4" xfId="17870" xr:uid="{63ADF851-0363-44B3-B7C3-BEB492146BD0}"/>
    <cellStyle name="Normal 5 2 2 3 2 3 5" xfId="9429" xr:uid="{E3DE4CBB-0C2A-429A-858B-1C5953DB7215}"/>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24646" xr:uid="{2DAA109D-1FB0-4C5A-9FCD-FCE9BDD0B149}"/>
    <cellStyle name="Normal 5 2 2 3 2 4 2 2 3" xfId="16205" xr:uid="{051F6667-4E6A-4226-B94A-1AE088121652}"/>
    <cellStyle name="Normal 5 2 2 3 2 4 2 3" xfId="20428" xr:uid="{E907F21C-F8E7-4730-933D-B8CFE252D8FF}"/>
    <cellStyle name="Normal 5 2 2 3 2 4 2 4" xfId="11987" xr:uid="{B715D2D4-4C07-4F30-9963-747F3AAA171A}"/>
    <cellStyle name="Normal 5 2 2 3 2 4 3" xfId="5618" xr:uid="{00000000-0005-0000-0000-0000B3170000}"/>
    <cellStyle name="Normal 5 2 2 3 2 4 3 2" xfId="22501" xr:uid="{62D12F18-0911-4649-B58D-34D35E0800A7}"/>
    <cellStyle name="Normal 5 2 2 3 2 4 3 3" xfId="14060" xr:uid="{38477261-5FC4-41D1-AE4E-AF581FCE641A}"/>
    <cellStyle name="Normal 5 2 2 3 2 4 4" xfId="18283" xr:uid="{97F09143-7C23-462F-A3A6-72A4C5B058D4}"/>
    <cellStyle name="Normal 5 2 2 3 2 4 5" xfId="9842" xr:uid="{6E923FD9-1495-4C29-A169-62882B6E6E85}"/>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25059" xr:uid="{4F0D8B9F-3CE8-414A-9A4C-ECC54ECB1BCF}"/>
    <cellStyle name="Normal 5 2 2 3 2 5 2 2 3" xfId="16618" xr:uid="{DAA05672-F388-4207-A12C-0454E98A1324}"/>
    <cellStyle name="Normal 5 2 2 3 2 5 2 3" xfId="20841" xr:uid="{AAF6D88F-11C3-4187-8FEC-AA6862660A94}"/>
    <cellStyle name="Normal 5 2 2 3 2 5 2 4" xfId="12400" xr:uid="{FE340325-6F3E-4BDD-BC48-CA1F7EAE920D}"/>
    <cellStyle name="Normal 5 2 2 3 2 5 3" xfId="6031" xr:uid="{00000000-0005-0000-0000-0000B7170000}"/>
    <cellStyle name="Normal 5 2 2 3 2 5 3 2" xfId="22914" xr:uid="{CB7135BB-D790-4A22-80B3-12DF5AFFF5FF}"/>
    <cellStyle name="Normal 5 2 2 3 2 5 3 3" xfId="14473" xr:uid="{086C64B7-076D-4B8F-AD33-BAC79FE5F0BA}"/>
    <cellStyle name="Normal 5 2 2 3 2 5 4" xfId="18696" xr:uid="{1BE7A5D7-E1D1-44FE-9C6E-1338ED0207B0}"/>
    <cellStyle name="Normal 5 2 2 3 2 5 5" xfId="10255" xr:uid="{8AE4E6D7-AB36-4A35-84AD-FCDA2AAE2F8A}"/>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25472" xr:uid="{610270F5-5079-4BFB-87A8-39AAB5427D87}"/>
    <cellStyle name="Normal 5 2 2 3 2 6 2 2 3" xfId="17031" xr:uid="{34552534-47F7-41AA-88AE-9BF474745164}"/>
    <cellStyle name="Normal 5 2 2 3 2 6 2 3" xfId="21254" xr:uid="{9DA9B7ED-C904-4BD6-8F44-091464954889}"/>
    <cellStyle name="Normal 5 2 2 3 2 6 2 4" xfId="12813" xr:uid="{4A04FF45-96DA-489B-BC98-690C6774EC50}"/>
    <cellStyle name="Normal 5 2 2 3 2 6 3" xfId="6444" xr:uid="{00000000-0005-0000-0000-0000BB170000}"/>
    <cellStyle name="Normal 5 2 2 3 2 6 3 2" xfId="23327" xr:uid="{3F0DA06D-315C-4313-825B-984288B6D657}"/>
    <cellStyle name="Normal 5 2 2 3 2 6 3 3" xfId="14886" xr:uid="{A6DD5781-2F4A-40B3-8FD4-38E749E3F725}"/>
    <cellStyle name="Normal 5 2 2 3 2 6 4" xfId="19109" xr:uid="{5E46D902-08F3-449B-88A2-C24FB1B5FDB7}"/>
    <cellStyle name="Normal 5 2 2 3 2 6 5" xfId="10668" xr:uid="{4CD02B9C-6C32-404E-ACFA-DFA39400B608}"/>
    <cellStyle name="Normal 5 2 2 3 2 7" xfId="2573" xr:uid="{00000000-0005-0000-0000-0000BC170000}"/>
    <cellStyle name="Normal 5 2 2 3 2 7 2" xfId="6857" xr:uid="{00000000-0005-0000-0000-0000BD170000}"/>
    <cellStyle name="Normal 5 2 2 3 2 7 2 2" xfId="23740" xr:uid="{A75742EC-C6EC-4455-A9A9-DC9CAF6726C0}"/>
    <cellStyle name="Normal 5 2 2 3 2 7 2 3" xfId="15299" xr:uid="{B5394131-33AB-4D57-9367-00858EED7680}"/>
    <cellStyle name="Normal 5 2 2 3 2 7 3" xfId="19522" xr:uid="{4DBE3677-D71D-4232-9F7F-422B9CB215DE}"/>
    <cellStyle name="Normal 5 2 2 3 2 7 4" xfId="11081" xr:uid="{C2377141-1FCA-43E7-8BE0-EF025DE41CC0}"/>
    <cellStyle name="Normal 5 2 2 3 2 8" xfId="4792" xr:uid="{00000000-0005-0000-0000-0000BE170000}"/>
    <cellStyle name="Normal 5 2 2 3 2 8 2" xfId="21675" xr:uid="{5A032163-B08A-444C-8349-C31B447EFA54}"/>
    <cellStyle name="Normal 5 2 2 3 2 8 3" xfId="13234" xr:uid="{07B608D0-421C-491D-A44E-19B31DBE33C3}"/>
    <cellStyle name="Normal 5 2 2 3 2 9" xfId="17457" xr:uid="{E54ACF8F-5EF8-4F16-894B-6D358EABA17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24235" xr:uid="{0F964E1A-B104-4861-8003-A3B96BBE0B63}"/>
    <cellStyle name="Normal 5 2 2 3 3 2 2 2 3" xfId="15794" xr:uid="{BE12D95B-8B29-4CF0-AFC9-CEDC044F4E49}"/>
    <cellStyle name="Normal 5 2 2 3 3 2 2 3" xfId="20017" xr:uid="{EDF8B64A-B043-4B00-B4E0-41BEEDA80A49}"/>
    <cellStyle name="Normal 5 2 2 3 3 2 2 4" xfId="11576" xr:uid="{10D7C859-D873-4931-9412-8BE0135DE6B6}"/>
    <cellStyle name="Normal 5 2 2 3 3 2 3" xfId="5207" xr:uid="{00000000-0005-0000-0000-0000C3170000}"/>
    <cellStyle name="Normal 5 2 2 3 3 2 3 2" xfId="22090" xr:uid="{8FF2CDFD-0529-40E8-9028-256D54BD5132}"/>
    <cellStyle name="Normal 5 2 2 3 3 2 3 3" xfId="13649" xr:uid="{13B6E0F9-E506-48B9-B831-3A6141FFFEC2}"/>
    <cellStyle name="Normal 5 2 2 3 3 2 4" xfId="17872" xr:uid="{35D640EE-99FB-49DC-B5C8-66DB00C4E927}"/>
    <cellStyle name="Normal 5 2 2 3 3 2 5" xfId="9431" xr:uid="{7B1AB1FE-3872-4E89-B7D9-32A364F8B00D}"/>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24648" xr:uid="{A5416E81-F2DB-41E9-879C-9003042D12CE}"/>
    <cellStyle name="Normal 5 2 2 3 3 3 2 2 3" xfId="16207" xr:uid="{E50671E9-D64A-4C4A-A092-84BA24B70582}"/>
    <cellStyle name="Normal 5 2 2 3 3 3 2 3" xfId="20430" xr:uid="{2FFF0A77-7F74-422C-B716-EE2E55144037}"/>
    <cellStyle name="Normal 5 2 2 3 3 3 2 4" xfId="11989" xr:uid="{F2192617-7BCB-4986-A3D0-6B00A1DEF74C}"/>
    <cellStyle name="Normal 5 2 2 3 3 3 3" xfId="5620" xr:uid="{00000000-0005-0000-0000-0000C7170000}"/>
    <cellStyle name="Normal 5 2 2 3 3 3 3 2" xfId="22503" xr:uid="{E63BC214-9E15-49DE-B8F7-9E45EB995D1B}"/>
    <cellStyle name="Normal 5 2 2 3 3 3 3 3" xfId="14062" xr:uid="{0B9C9EDD-9D49-41CE-BDFD-F7E6B50037B9}"/>
    <cellStyle name="Normal 5 2 2 3 3 3 4" xfId="18285" xr:uid="{1CE5846C-74EB-49CB-B599-6F60709B8762}"/>
    <cellStyle name="Normal 5 2 2 3 3 3 5" xfId="9844" xr:uid="{3A6AD326-1851-4FBA-910F-F2A14255C23B}"/>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25061" xr:uid="{A392D334-734A-474B-9CAC-4328807C587D}"/>
    <cellStyle name="Normal 5 2 2 3 3 4 2 2 3" xfId="16620" xr:uid="{C78525BA-5CD8-4C99-8C41-385C0518B3DB}"/>
    <cellStyle name="Normal 5 2 2 3 3 4 2 3" xfId="20843" xr:uid="{8157F29E-ED5C-4B1D-8849-2F5898FA9002}"/>
    <cellStyle name="Normal 5 2 2 3 3 4 2 4" xfId="12402" xr:uid="{3CE9012E-43AB-48F5-A52F-3948F7AFE61C}"/>
    <cellStyle name="Normal 5 2 2 3 3 4 3" xfId="6033" xr:uid="{00000000-0005-0000-0000-0000CB170000}"/>
    <cellStyle name="Normal 5 2 2 3 3 4 3 2" xfId="22916" xr:uid="{E5C3583D-194C-40FB-A81A-B917504B3E8C}"/>
    <cellStyle name="Normal 5 2 2 3 3 4 3 3" xfId="14475" xr:uid="{81531681-C052-43A9-A548-E38D93CABD9E}"/>
    <cellStyle name="Normal 5 2 2 3 3 4 4" xfId="18698" xr:uid="{754180D1-8624-4C78-8E5F-C0818CC6F962}"/>
    <cellStyle name="Normal 5 2 2 3 3 4 5" xfId="10257" xr:uid="{FEF3C166-8A17-4D4D-812C-01A5588FCD4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25474" xr:uid="{4ED9D848-14E7-47A5-81AB-842CDAB49F6F}"/>
    <cellStyle name="Normal 5 2 2 3 3 5 2 2 3" xfId="17033" xr:uid="{D921ACC2-4E4C-4A3E-B2C7-0FAC937511B2}"/>
    <cellStyle name="Normal 5 2 2 3 3 5 2 3" xfId="21256" xr:uid="{015910A9-852A-4492-B9F1-15C852B4CEDA}"/>
    <cellStyle name="Normal 5 2 2 3 3 5 2 4" xfId="12815" xr:uid="{7E30F4F0-529B-4A6F-9CEA-F23724776927}"/>
    <cellStyle name="Normal 5 2 2 3 3 5 3" xfId="6446" xr:uid="{00000000-0005-0000-0000-0000CF170000}"/>
    <cellStyle name="Normal 5 2 2 3 3 5 3 2" xfId="23329" xr:uid="{9B6201DF-EF8D-47C1-9D3A-92561B2CF25F}"/>
    <cellStyle name="Normal 5 2 2 3 3 5 3 3" xfId="14888" xr:uid="{6C43BA87-395D-4128-82AB-8F6F883522A0}"/>
    <cellStyle name="Normal 5 2 2 3 3 5 4" xfId="19111" xr:uid="{74737498-8BEC-4DA6-BB4B-D3F3909161DF}"/>
    <cellStyle name="Normal 5 2 2 3 3 5 5" xfId="10670" xr:uid="{C3C9F65B-AD83-4ED5-8A63-CB8F54AF462D}"/>
    <cellStyle name="Normal 5 2 2 3 3 6" xfId="2575" xr:uid="{00000000-0005-0000-0000-0000D0170000}"/>
    <cellStyle name="Normal 5 2 2 3 3 6 2" xfId="6859" xr:uid="{00000000-0005-0000-0000-0000D1170000}"/>
    <cellStyle name="Normal 5 2 2 3 3 6 2 2" xfId="23742" xr:uid="{5199E0D2-16DE-4692-A90F-E4EAE4B27C25}"/>
    <cellStyle name="Normal 5 2 2 3 3 6 2 3" xfId="15301" xr:uid="{66D26A4E-963C-41DE-A885-478C8F8F080B}"/>
    <cellStyle name="Normal 5 2 2 3 3 6 3" xfId="19524" xr:uid="{71413B24-DCD3-485F-8C13-7DE41E52EBF6}"/>
    <cellStyle name="Normal 5 2 2 3 3 6 4" xfId="11083" xr:uid="{41E75777-C7FA-4697-B962-FEE60EA0EB84}"/>
    <cellStyle name="Normal 5 2 2 3 3 7" xfId="4794" xr:uid="{00000000-0005-0000-0000-0000D2170000}"/>
    <cellStyle name="Normal 5 2 2 3 3 7 2" xfId="21677" xr:uid="{6887724F-698D-4F44-B8DD-D74831E800A6}"/>
    <cellStyle name="Normal 5 2 2 3 3 7 3" xfId="13236" xr:uid="{EE921583-5082-46BF-9ADD-9A845D72A468}"/>
    <cellStyle name="Normal 5 2 2 3 3 8" xfId="17459" xr:uid="{FCAF404A-76C7-4943-8F82-4D2FA9F8CBAA}"/>
    <cellStyle name="Normal 5 2 2 3 3 9" xfId="9018" xr:uid="{39F79DB1-C4CA-4A7E-B52C-4C11E9EF2E8D}"/>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24232" xr:uid="{2EB222D7-07E0-4F1D-ADF5-15221078436D}"/>
    <cellStyle name="Normal 5 2 2 3 4 2 2 3" xfId="15791" xr:uid="{15C0B452-8B91-49CA-B7D7-73CFFA4E8465}"/>
    <cellStyle name="Normal 5 2 2 3 4 2 3" xfId="20014" xr:uid="{E929D326-342B-4551-866A-D6AE36F77EDA}"/>
    <cellStyle name="Normal 5 2 2 3 4 2 4" xfId="11573" xr:uid="{29B1A769-5930-40AB-A85C-542D75418556}"/>
    <cellStyle name="Normal 5 2 2 3 4 3" xfId="5204" xr:uid="{00000000-0005-0000-0000-0000D6170000}"/>
    <cellStyle name="Normal 5 2 2 3 4 3 2" xfId="22087" xr:uid="{453CFA7E-34BA-4924-A22C-7AF830E3B80E}"/>
    <cellStyle name="Normal 5 2 2 3 4 3 3" xfId="13646" xr:uid="{9FE3E152-4CE0-4F20-BA5D-9576E5C4A969}"/>
    <cellStyle name="Normal 5 2 2 3 4 4" xfId="17869" xr:uid="{EEDE08F2-35B0-4856-9757-FDB7A0DA8A17}"/>
    <cellStyle name="Normal 5 2 2 3 4 5" xfId="9428" xr:uid="{5356E801-B986-4F17-80A9-A515EDCA3C93}"/>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24645" xr:uid="{73E457E7-C242-4631-945A-293476D50AE6}"/>
    <cellStyle name="Normal 5 2 2 3 5 2 2 3" xfId="16204" xr:uid="{67632973-8C3C-4BE1-B584-E65152D4BD0E}"/>
    <cellStyle name="Normal 5 2 2 3 5 2 3" xfId="20427" xr:uid="{69CF706B-140D-45C1-A27C-069505A35B9C}"/>
    <cellStyle name="Normal 5 2 2 3 5 2 4" xfId="11986" xr:uid="{F5AA856E-67FA-418E-B10E-A7F2D64DD39E}"/>
    <cellStyle name="Normal 5 2 2 3 5 3" xfId="5617" xr:uid="{00000000-0005-0000-0000-0000DA170000}"/>
    <cellStyle name="Normal 5 2 2 3 5 3 2" xfId="22500" xr:uid="{9EEDBF5D-70C9-4404-812F-DA13EA8232AC}"/>
    <cellStyle name="Normal 5 2 2 3 5 3 3" xfId="14059" xr:uid="{1E65EDBC-7E82-44B0-9864-D1CD2640D451}"/>
    <cellStyle name="Normal 5 2 2 3 5 4" xfId="18282" xr:uid="{86AB21EA-E388-439F-9122-ACB593280812}"/>
    <cellStyle name="Normal 5 2 2 3 5 5" xfId="9841" xr:uid="{137E3214-C0EB-48E9-A1E3-9A2DB6E1E824}"/>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25058" xr:uid="{AF2BC17F-BF03-42B8-B8D5-F5E2B49FA4D4}"/>
    <cellStyle name="Normal 5 2 2 3 6 2 2 3" xfId="16617" xr:uid="{2D030A36-3135-4C15-A958-5AAC108EF9A6}"/>
    <cellStyle name="Normal 5 2 2 3 6 2 3" xfId="20840" xr:uid="{358865C0-8F70-4085-852F-775FFA88885B}"/>
    <cellStyle name="Normal 5 2 2 3 6 2 4" xfId="12399" xr:uid="{0EFB4EAE-374D-4801-9AEC-3C7F84299BD9}"/>
    <cellStyle name="Normal 5 2 2 3 6 3" xfId="6030" xr:uid="{00000000-0005-0000-0000-0000DE170000}"/>
    <cellStyle name="Normal 5 2 2 3 6 3 2" xfId="22913" xr:uid="{A0E11304-5090-4C86-8399-5AC2D4A2E2BF}"/>
    <cellStyle name="Normal 5 2 2 3 6 3 3" xfId="14472" xr:uid="{DDB3DA01-B7EC-4EF1-A45A-0997659AE82F}"/>
    <cellStyle name="Normal 5 2 2 3 6 4" xfId="18695" xr:uid="{89CA1269-05A3-4AF4-8583-721D4EFFCCA7}"/>
    <cellStyle name="Normal 5 2 2 3 6 5" xfId="10254" xr:uid="{8D82EC04-DA35-410F-9195-413DFFA1985C}"/>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25471" xr:uid="{B12EF865-57CD-416F-B5C7-3CFAA4B6E43B}"/>
    <cellStyle name="Normal 5 2 2 3 7 2 2 3" xfId="17030" xr:uid="{3B4D7506-BC77-460E-B157-3A5337508B76}"/>
    <cellStyle name="Normal 5 2 2 3 7 2 3" xfId="21253" xr:uid="{FD4F2060-BE75-491E-8F91-7834A16DCA3C}"/>
    <cellStyle name="Normal 5 2 2 3 7 2 4" xfId="12812" xr:uid="{3B6703F2-7024-4AED-BB4B-716141CFE2C5}"/>
    <cellStyle name="Normal 5 2 2 3 7 3" xfId="6443" xr:uid="{00000000-0005-0000-0000-0000E2170000}"/>
    <cellStyle name="Normal 5 2 2 3 7 3 2" xfId="23326" xr:uid="{C75B9A35-5355-4DC5-9B8C-4EE8195FC1E7}"/>
    <cellStyle name="Normal 5 2 2 3 7 3 3" xfId="14885" xr:uid="{944420EF-D10C-4F53-9B2F-683064799414}"/>
    <cellStyle name="Normal 5 2 2 3 7 4" xfId="19108" xr:uid="{4F7CCF73-D3F4-41DF-AD5A-AFE768C21810}"/>
    <cellStyle name="Normal 5 2 2 3 7 5" xfId="10667" xr:uid="{01AE4DE3-621F-41C2-8D0A-C724AF64997B}"/>
    <cellStyle name="Normal 5 2 2 3 8" xfId="2572" xr:uid="{00000000-0005-0000-0000-0000E3170000}"/>
    <cellStyle name="Normal 5 2 2 3 8 2" xfId="6856" xr:uid="{00000000-0005-0000-0000-0000E4170000}"/>
    <cellStyle name="Normal 5 2 2 3 8 2 2" xfId="23739" xr:uid="{255154F2-3678-4B7B-9B0C-8C3AED338158}"/>
    <cellStyle name="Normal 5 2 2 3 8 2 3" xfId="15298" xr:uid="{B78E2EEF-83CF-487B-A5BA-425B737B707A}"/>
    <cellStyle name="Normal 5 2 2 3 8 3" xfId="19521" xr:uid="{46CE33AB-A46B-441F-8CBF-2C8190E61D10}"/>
    <cellStyle name="Normal 5 2 2 3 8 4" xfId="11080" xr:uid="{9BCE8D7B-9559-4704-A531-22007211E329}"/>
    <cellStyle name="Normal 5 2 2 3 9" xfId="4791" xr:uid="{00000000-0005-0000-0000-0000E5170000}"/>
    <cellStyle name="Normal 5 2 2 3 9 2" xfId="21674" xr:uid="{61653D7E-46BA-4855-A8DC-E58441FC7F80}"/>
    <cellStyle name="Normal 5 2 2 3 9 3" xfId="13233" xr:uid="{7C23B139-8551-4508-BBA9-F1003EAE21B4}"/>
    <cellStyle name="Normal 5 2 2 4" xfId="421" xr:uid="{00000000-0005-0000-0000-0000E6170000}"/>
    <cellStyle name="Normal 5 2 2 4 10" xfId="9019" xr:uid="{1FC5ED2E-B3C1-49D8-945B-4DD5DEC99D7B}"/>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24237" xr:uid="{457575D4-818F-42CE-870E-7E6B2B65BCB7}"/>
    <cellStyle name="Normal 5 2 2 4 2 2 2 2 3" xfId="15796" xr:uid="{97309140-8ECE-45BE-94C2-3214EBD14F48}"/>
    <cellStyle name="Normal 5 2 2 4 2 2 2 3" xfId="20019" xr:uid="{E9EB6A31-EDB3-47D4-8745-3B97117FE2EC}"/>
    <cellStyle name="Normal 5 2 2 4 2 2 2 4" xfId="11578" xr:uid="{E936B04A-1C36-4DFE-AA02-AC9E64A2326E}"/>
    <cellStyle name="Normal 5 2 2 4 2 2 3" xfId="5209" xr:uid="{00000000-0005-0000-0000-0000EB170000}"/>
    <cellStyle name="Normal 5 2 2 4 2 2 3 2" xfId="22092" xr:uid="{9FC3811B-6950-4B0E-A0AD-5DEC2D48585D}"/>
    <cellStyle name="Normal 5 2 2 4 2 2 3 3" xfId="13651" xr:uid="{8AB35DBA-D774-47F5-87CC-4F790CB5420F}"/>
    <cellStyle name="Normal 5 2 2 4 2 2 4" xfId="17874" xr:uid="{DC35AA06-E09E-426E-BD14-B76813759C5D}"/>
    <cellStyle name="Normal 5 2 2 4 2 2 5" xfId="9433" xr:uid="{F9C36286-613F-4FEC-BBA4-25476EF0AA9C}"/>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24650" xr:uid="{501A2A07-CA26-4E9E-81B7-E0C46C5E1925}"/>
    <cellStyle name="Normal 5 2 2 4 2 3 2 2 3" xfId="16209" xr:uid="{E9994236-DF05-45DA-A9AC-13DEBDE3C02A}"/>
    <cellStyle name="Normal 5 2 2 4 2 3 2 3" xfId="20432" xr:uid="{34A112E0-3A8A-44B5-8F21-52C69A90E9F7}"/>
    <cellStyle name="Normal 5 2 2 4 2 3 2 4" xfId="11991" xr:uid="{05982CB8-EEEE-4F81-9852-A19393257324}"/>
    <cellStyle name="Normal 5 2 2 4 2 3 3" xfId="5622" xr:uid="{00000000-0005-0000-0000-0000EF170000}"/>
    <cellStyle name="Normal 5 2 2 4 2 3 3 2" xfId="22505" xr:uid="{BA71FFAB-D0F3-4757-81A3-35B52B1778E0}"/>
    <cellStyle name="Normal 5 2 2 4 2 3 3 3" xfId="14064" xr:uid="{523AD68A-9085-4A05-902C-9E7D05357C2B}"/>
    <cellStyle name="Normal 5 2 2 4 2 3 4" xfId="18287" xr:uid="{46C50F67-3117-4650-98FD-D09509B19DD2}"/>
    <cellStyle name="Normal 5 2 2 4 2 3 5" xfId="9846" xr:uid="{D27CDDBD-A88F-43C4-87A1-16C937845FB4}"/>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25063" xr:uid="{48C6AFB4-88E7-4847-B5F4-3DA7D3E70BFB}"/>
    <cellStyle name="Normal 5 2 2 4 2 4 2 2 3" xfId="16622" xr:uid="{3DA59841-5F25-471C-91F4-5E088EA8A53F}"/>
    <cellStyle name="Normal 5 2 2 4 2 4 2 3" xfId="20845" xr:uid="{EB4B7A58-0E32-4980-AAF1-07BA552C4A61}"/>
    <cellStyle name="Normal 5 2 2 4 2 4 2 4" xfId="12404" xr:uid="{C63CBDEF-F9F8-404E-A761-5389BC9E12CD}"/>
    <cellStyle name="Normal 5 2 2 4 2 4 3" xfId="6035" xr:uid="{00000000-0005-0000-0000-0000F3170000}"/>
    <cellStyle name="Normal 5 2 2 4 2 4 3 2" xfId="22918" xr:uid="{F1921A2A-C2D2-4F6F-861A-F2F26738E5A1}"/>
    <cellStyle name="Normal 5 2 2 4 2 4 3 3" xfId="14477" xr:uid="{1756C3AE-7928-4DE9-849F-B9F932AAB60C}"/>
    <cellStyle name="Normal 5 2 2 4 2 4 4" xfId="18700" xr:uid="{D80EF92C-8631-4E84-ADD2-C251060563CA}"/>
    <cellStyle name="Normal 5 2 2 4 2 4 5" xfId="10259" xr:uid="{FAE0DCA3-4A59-46FE-B008-49E4646BAEE8}"/>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25476" xr:uid="{42E210E9-979F-4A3E-8C5D-5C212153C0AF}"/>
    <cellStyle name="Normal 5 2 2 4 2 5 2 2 3" xfId="17035" xr:uid="{B064696F-B13C-443E-9A5B-9DC5266C49B3}"/>
    <cellStyle name="Normal 5 2 2 4 2 5 2 3" xfId="21258" xr:uid="{56FC9328-FBAB-42DE-8431-6D8654246848}"/>
    <cellStyle name="Normal 5 2 2 4 2 5 2 4" xfId="12817" xr:uid="{F10D7910-85EA-412E-A1AB-DD166B073D41}"/>
    <cellStyle name="Normal 5 2 2 4 2 5 3" xfId="6448" xr:uid="{00000000-0005-0000-0000-0000F7170000}"/>
    <cellStyle name="Normal 5 2 2 4 2 5 3 2" xfId="23331" xr:uid="{9FFF8098-B6D2-43FE-BCD5-E44379A26567}"/>
    <cellStyle name="Normal 5 2 2 4 2 5 3 3" xfId="14890" xr:uid="{0D3577BB-B3B8-4032-9B47-3587203109DB}"/>
    <cellStyle name="Normal 5 2 2 4 2 5 4" xfId="19113" xr:uid="{F3B8692D-8090-438D-8492-FE2334502C48}"/>
    <cellStyle name="Normal 5 2 2 4 2 5 5" xfId="10672" xr:uid="{F888DCBA-2923-4159-A6D5-A487508F36FD}"/>
    <cellStyle name="Normal 5 2 2 4 2 6" xfId="2577" xr:uid="{00000000-0005-0000-0000-0000F8170000}"/>
    <cellStyle name="Normal 5 2 2 4 2 6 2" xfId="6861" xr:uid="{00000000-0005-0000-0000-0000F9170000}"/>
    <cellStyle name="Normal 5 2 2 4 2 6 2 2" xfId="23744" xr:uid="{FB1193C2-FFFD-4C4E-BD16-1908C90F303A}"/>
    <cellStyle name="Normal 5 2 2 4 2 6 2 3" xfId="15303" xr:uid="{AADF8801-A47D-472F-9229-DD99394E019B}"/>
    <cellStyle name="Normal 5 2 2 4 2 6 3" xfId="19526" xr:uid="{A1090494-5D66-4ACC-B1D0-CAC06A99E065}"/>
    <cellStyle name="Normal 5 2 2 4 2 6 4" xfId="11085" xr:uid="{6B5C27C8-02CC-4F99-B9B3-E8B0B0148210}"/>
    <cellStyle name="Normal 5 2 2 4 2 7" xfId="4796" xr:uid="{00000000-0005-0000-0000-0000FA170000}"/>
    <cellStyle name="Normal 5 2 2 4 2 7 2" xfId="21679" xr:uid="{9E6226D3-2FEB-43F8-89DB-91405EAFE21F}"/>
    <cellStyle name="Normal 5 2 2 4 2 7 3" xfId="13238" xr:uid="{B417A364-BE74-41ED-9883-97E34FF46E5F}"/>
    <cellStyle name="Normal 5 2 2 4 2 8" xfId="17461" xr:uid="{7F55B1CB-2393-4209-97A1-185AF1970BED}"/>
    <cellStyle name="Normal 5 2 2 4 2 9" xfId="9020" xr:uid="{DE8145EB-2C6F-4A5A-A01A-ED83FF50EFDD}"/>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24236" xr:uid="{B94C31BA-6B41-4A6D-87B4-B715F6C67C6F}"/>
    <cellStyle name="Normal 5 2 2 4 3 2 2 3" xfId="15795" xr:uid="{646DCD5A-0A2E-4EC9-B062-DA0B6A194BDA}"/>
    <cellStyle name="Normal 5 2 2 4 3 2 3" xfId="20018" xr:uid="{B848591E-5A9F-4B18-8EDB-1537F7B54010}"/>
    <cellStyle name="Normal 5 2 2 4 3 2 4" xfId="11577" xr:uid="{5DFD7FA6-0352-45F4-9845-C50F61E88675}"/>
    <cellStyle name="Normal 5 2 2 4 3 3" xfId="5208" xr:uid="{00000000-0005-0000-0000-0000FE170000}"/>
    <cellStyle name="Normal 5 2 2 4 3 3 2" xfId="22091" xr:uid="{0C6A2CB5-AFC5-4844-9395-FCC536677128}"/>
    <cellStyle name="Normal 5 2 2 4 3 3 3" xfId="13650" xr:uid="{402C10D9-9296-47D9-BD2D-19D243E9602D}"/>
    <cellStyle name="Normal 5 2 2 4 3 4" xfId="17873" xr:uid="{D5F11654-EC91-417B-A279-D91DE013D338}"/>
    <cellStyle name="Normal 5 2 2 4 3 5" xfId="9432" xr:uid="{0664B6FD-536C-42BF-A490-87D418DAB5E4}"/>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24649" xr:uid="{8924F9F3-12F8-4F84-80A4-014532BC39C3}"/>
    <cellStyle name="Normal 5 2 2 4 4 2 2 3" xfId="16208" xr:uid="{3CCCDDF7-23B1-4897-AA74-2F62C2C002F6}"/>
    <cellStyle name="Normal 5 2 2 4 4 2 3" xfId="20431" xr:uid="{1B26CE60-795E-4660-8366-A1D04C003E7E}"/>
    <cellStyle name="Normal 5 2 2 4 4 2 4" xfId="11990" xr:uid="{1441674D-58A0-464D-B4F8-2C7A9F832996}"/>
    <cellStyle name="Normal 5 2 2 4 4 3" xfId="5621" xr:uid="{00000000-0005-0000-0000-000002180000}"/>
    <cellStyle name="Normal 5 2 2 4 4 3 2" xfId="22504" xr:uid="{B54A671D-614A-4EED-9914-7B92102BD717}"/>
    <cellStyle name="Normal 5 2 2 4 4 3 3" xfId="14063" xr:uid="{ECF60AA6-AB76-4809-A652-7E440442F552}"/>
    <cellStyle name="Normal 5 2 2 4 4 4" xfId="18286" xr:uid="{81B045A6-72D1-4710-A97C-2396EC5225B4}"/>
    <cellStyle name="Normal 5 2 2 4 4 5" xfId="9845" xr:uid="{EFBBAA0E-76F0-4E78-9EF7-07124469F585}"/>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25062" xr:uid="{A2620633-4DE9-4BEB-876F-73E286001A85}"/>
    <cellStyle name="Normal 5 2 2 4 5 2 2 3" xfId="16621" xr:uid="{ACCB34F5-CA80-4F47-9479-63F74852AD54}"/>
    <cellStyle name="Normal 5 2 2 4 5 2 3" xfId="20844" xr:uid="{8F616D5D-483D-4828-9476-4C5BBF4FEB78}"/>
    <cellStyle name="Normal 5 2 2 4 5 2 4" xfId="12403" xr:uid="{4EA1B3DE-314E-433D-BF58-7E401FB4036E}"/>
    <cellStyle name="Normal 5 2 2 4 5 3" xfId="6034" xr:uid="{00000000-0005-0000-0000-000006180000}"/>
    <cellStyle name="Normal 5 2 2 4 5 3 2" xfId="22917" xr:uid="{88BACCE3-772A-4C5D-BEF3-90A75B3AC732}"/>
    <cellStyle name="Normal 5 2 2 4 5 3 3" xfId="14476" xr:uid="{225F7A84-F24C-4D6A-B8E9-CDA8F6D456CB}"/>
    <cellStyle name="Normal 5 2 2 4 5 4" xfId="18699" xr:uid="{592272F8-1EBA-4816-B435-636534969A09}"/>
    <cellStyle name="Normal 5 2 2 4 5 5" xfId="10258" xr:uid="{921D8E49-7A9E-42B4-AB71-DED896AE77B8}"/>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25475" xr:uid="{B807C9A0-8A98-4298-BC7C-63B35E543BC8}"/>
    <cellStyle name="Normal 5 2 2 4 6 2 2 3" xfId="17034" xr:uid="{D208B50A-DE34-491C-8412-2185ED209442}"/>
    <cellStyle name="Normal 5 2 2 4 6 2 3" xfId="21257" xr:uid="{53DDBC24-E5B6-44CC-BC6B-CD046876E50A}"/>
    <cellStyle name="Normal 5 2 2 4 6 2 4" xfId="12816" xr:uid="{C823828C-9698-46E7-980D-0E013A969A44}"/>
    <cellStyle name="Normal 5 2 2 4 6 3" xfId="6447" xr:uid="{00000000-0005-0000-0000-00000A180000}"/>
    <cellStyle name="Normal 5 2 2 4 6 3 2" xfId="23330" xr:uid="{78A35CB2-905C-4BC3-849E-B6429CF0CC76}"/>
    <cellStyle name="Normal 5 2 2 4 6 3 3" xfId="14889" xr:uid="{4D79CB09-46ED-4D3A-9740-69E9B5AE246D}"/>
    <cellStyle name="Normal 5 2 2 4 6 4" xfId="19112" xr:uid="{FABA3795-EA39-42E6-8180-7241B05F8AFF}"/>
    <cellStyle name="Normal 5 2 2 4 6 5" xfId="10671" xr:uid="{11D2A3F9-3D07-4331-BF1C-03A8760788B3}"/>
    <cellStyle name="Normal 5 2 2 4 7" xfId="2576" xr:uid="{00000000-0005-0000-0000-00000B180000}"/>
    <cellStyle name="Normal 5 2 2 4 7 2" xfId="6860" xr:uid="{00000000-0005-0000-0000-00000C180000}"/>
    <cellStyle name="Normal 5 2 2 4 7 2 2" xfId="23743" xr:uid="{4153CAD1-5D75-45BF-95C9-B614AF7E8CB1}"/>
    <cellStyle name="Normal 5 2 2 4 7 2 3" xfId="15302" xr:uid="{51A92E88-8080-4E97-BCA4-1D5004C65A78}"/>
    <cellStyle name="Normal 5 2 2 4 7 3" xfId="19525" xr:uid="{DE9EAF48-5E3C-405E-92CD-3F1CD465D627}"/>
    <cellStyle name="Normal 5 2 2 4 7 4" xfId="11084" xr:uid="{CE4DDD9C-DCBB-4B2E-8200-F70E18097F85}"/>
    <cellStyle name="Normal 5 2 2 4 8" xfId="4795" xr:uid="{00000000-0005-0000-0000-00000D180000}"/>
    <cellStyle name="Normal 5 2 2 4 8 2" xfId="21678" xr:uid="{818D8E96-41EA-4C8C-A349-2D89B5BD31FA}"/>
    <cellStyle name="Normal 5 2 2 4 8 3" xfId="13237" xr:uid="{85B6942E-F07D-40D9-A8DB-2E590131448B}"/>
    <cellStyle name="Normal 5 2 2 4 9" xfId="17460" xr:uid="{745ACEBB-D065-4D02-850C-5EEF1F6E78B8}"/>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24238" xr:uid="{7CDF6C30-E750-43F1-B70C-B30115502C65}"/>
    <cellStyle name="Normal 5 2 2 5 2 2 2 3" xfId="15797" xr:uid="{733A6D62-B7E3-48EB-B0EC-B231ED3AC396}"/>
    <cellStyle name="Normal 5 2 2 5 2 2 3" xfId="20020" xr:uid="{E7EDD647-D093-40F2-9119-6F64ED6459B8}"/>
    <cellStyle name="Normal 5 2 2 5 2 2 4" xfId="11579" xr:uid="{142664C9-EDD3-49B6-AB71-246516B81FD9}"/>
    <cellStyle name="Normal 5 2 2 5 2 3" xfId="5210" xr:uid="{00000000-0005-0000-0000-000012180000}"/>
    <cellStyle name="Normal 5 2 2 5 2 3 2" xfId="22093" xr:uid="{26E9B16D-F6C2-46F1-B89A-70FD87095F4B}"/>
    <cellStyle name="Normal 5 2 2 5 2 3 3" xfId="13652" xr:uid="{7C2DC347-43B3-49C9-A742-296E1A327B0D}"/>
    <cellStyle name="Normal 5 2 2 5 2 4" xfId="17875" xr:uid="{53083A14-CE21-4829-87D8-59EA4F8CA36A}"/>
    <cellStyle name="Normal 5 2 2 5 2 5" xfId="9434" xr:uid="{86C52E1A-7AD2-4005-9CDB-91C74FB9EA30}"/>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24651" xr:uid="{8EB8F20D-EA29-4C6A-85C2-EBC8927A886A}"/>
    <cellStyle name="Normal 5 2 2 5 3 2 2 3" xfId="16210" xr:uid="{E1F1B990-3D79-41E8-BE7F-779C2A7D08ED}"/>
    <cellStyle name="Normal 5 2 2 5 3 2 3" xfId="20433" xr:uid="{CC408BA9-EA38-43BC-8BF7-89747CFEC4EC}"/>
    <cellStyle name="Normal 5 2 2 5 3 2 4" xfId="11992" xr:uid="{ADA2E113-6A9F-4487-BE14-801F89008921}"/>
    <cellStyle name="Normal 5 2 2 5 3 3" xfId="5623" xr:uid="{00000000-0005-0000-0000-000016180000}"/>
    <cellStyle name="Normal 5 2 2 5 3 3 2" xfId="22506" xr:uid="{02890A13-3AB5-47B2-BC9A-5BB164EDEE86}"/>
    <cellStyle name="Normal 5 2 2 5 3 3 3" xfId="14065" xr:uid="{06479CB4-5B2B-4FEC-8D08-0289C429486A}"/>
    <cellStyle name="Normal 5 2 2 5 3 4" xfId="18288" xr:uid="{455D251C-2829-42D3-AF26-44EEED594C3D}"/>
    <cellStyle name="Normal 5 2 2 5 3 5" xfId="9847" xr:uid="{E905B314-D826-43C8-9A44-D1B9C7A9C712}"/>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25064" xr:uid="{9C0786C8-173D-4F4E-A46B-9601D84C6FFB}"/>
    <cellStyle name="Normal 5 2 2 5 4 2 2 3" xfId="16623" xr:uid="{FE8CC5B1-8AA1-48B2-8F88-052220C578C0}"/>
    <cellStyle name="Normal 5 2 2 5 4 2 3" xfId="20846" xr:uid="{58D7C3B1-5992-49B2-915C-B65FBE2D6224}"/>
    <cellStyle name="Normal 5 2 2 5 4 2 4" xfId="12405" xr:uid="{602F80DC-C89A-4E2D-9AE2-FF908A4EEBAB}"/>
    <cellStyle name="Normal 5 2 2 5 4 3" xfId="6036" xr:uid="{00000000-0005-0000-0000-00001A180000}"/>
    <cellStyle name="Normal 5 2 2 5 4 3 2" xfId="22919" xr:uid="{A378B83C-76DD-45EA-A6EA-8DA5A9233BE1}"/>
    <cellStyle name="Normal 5 2 2 5 4 3 3" xfId="14478" xr:uid="{01C0C36F-85E9-461C-AF35-2FC4BBEDC1A0}"/>
    <cellStyle name="Normal 5 2 2 5 4 4" xfId="18701" xr:uid="{1F59FB41-B939-46A2-AF74-2D68F976DAF4}"/>
    <cellStyle name="Normal 5 2 2 5 4 5" xfId="10260" xr:uid="{02A2D44A-AB46-4FEA-BC1E-1B87964A32A4}"/>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25477" xr:uid="{524899C2-9E02-4784-9478-A6A911AF66FF}"/>
    <cellStyle name="Normal 5 2 2 5 5 2 2 3" xfId="17036" xr:uid="{61A6B5F2-A65E-4C9A-888F-32A96F7E6A2D}"/>
    <cellStyle name="Normal 5 2 2 5 5 2 3" xfId="21259" xr:uid="{241D5982-35AE-4D63-B5AF-AF6A32D3D183}"/>
    <cellStyle name="Normal 5 2 2 5 5 2 4" xfId="12818" xr:uid="{E07CB8AA-F528-4E30-B0D0-D5DE1A7F010C}"/>
    <cellStyle name="Normal 5 2 2 5 5 3" xfId="6449" xr:uid="{00000000-0005-0000-0000-00001E180000}"/>
    <cellStyle name="Normal 5 2 2 5 5 3 2" xfId="23332" xr:uid="{6BE3B5EF-78D4-4A9D-B123-35573A138CDD}"/>
    <cellStyle name="Normal 5 2 2 5 5 3 3" xfId="14891" xr:uid="{EA9B5015-4BBC-4912-88BD-AA51CF1C1E9E}"/>
    <cellStyle name="Normal 5 2 2 5 5 4" xfId="19114" xr:uid="{EBF24E70-54C5-4ED6-A4BE-6BAD274AE912}"/>
    <cellStyle name="Normal 5 2 2 5 5 5" xfId="10673" xr:uid="{960E6492-C379-47F8-9D94-D524AB8ADE6E}"/>
    <cellStyle name="Normal 5 2 2 5 6" xfId="2578" xr:uid="{00000000-0005-0000-0000-00001F180000}"/>
    <cellStyle name="Normal 5 2 2 5 6 2" xfId="6862" xr:uid="{00000000-0005-0000-0000-000020180000}"/>
    <cellStyle name="Normal 5 2 2 5 6 2 2" xfId="23745" xr:uid="{023AB99C-9ABC-46F9-9FDC-C435F0092520}"/>
    <cellStyle name="Normal 5 2 2 5 6 2 3" xfId="15304" xr:uid="{DECCE292-B67A-4E88-A324-91C3536E8103}"/>
    <cellStyle name="Normal 5 2 2 5 6 3" xfId="19527" xr:uid="{D6FD6094-397F-46B3-AE03-A8918EDB39FA}"/>
    <cellStyle name="Normal 5 2 2 5 6 4" xfId="11086" xr:uid="{DFD333AD-198E-475F-81B4-580CA1FCC8C1}"/>
    <cellStyle name="Normal 5 2 2 5 7" xfId="4797" xr:uid="{00000000-0005-0000-0000-000021180000}"/>
    <cellStyle name="Normal 5 2 2 5 7 2" xfId="21680" xr:uid="{87FAAF19-5AC9-43E8-8843-6CDE972734C8}"/>
    <cellStyle name="Normal 5 2 2 5 7 3" xfId="13239" xr:uid="{7A942240-BA21-4D3F-8661-E21F1C6F0A66}"/>
    <cellStyle name="Normal 5 2 2 5 8" xfId="17462" xr:uid="{8D63BA92-D5E4-4186-BF58-987E050281F1}"/>
    <cellStyle name="Normal 5 2 2 5 9" xfId="9021" xr:uid="{4D62D762-C380-4A66-8161-DF09B4E35440}"/>
    <cellStyle name="Normal 5 2 2 6" xfId="882" xr:uid="{00000000-0005-0000-0000-000022180000}"/>
    <cellStyle name="Normal 5 2 2 6 2" xfId="3117" xr:uid="{00000000-0005-0000-0000-000023180000}"/>
    <cellStyle name="Normal 5 2 2 6 2 2" xfId="7340" xr:uid="{00000000-0005-0000-0000-000024180000}"/>
    <cellStyle name="Normal 5 2 2 6 2 2 2" xfId="24223" xr:uid="{323C51C4-E2F0-4D9C-8EE9-178D58506737}"/>
    <cellStyle name="Normal 5 2 2 6 2 2 3" xfId="15782" xr:uid="{E2940A24-DACE-424B-9C5D-61E03B8D33DA}"/>
    <cellStyle name="Normal 5 2 2 6 2 3" xfId="20005" xr:uid="{3F633EBE-ACED-4A8C-B2D4-417D20A172DC}"/>
    <cellStyle name="Normal 5 2 2 6 2 4" xfId="11564" xr:uid="{5036EE5F-D61F-4CA4-A692-DBCE18026EDC}"/>
    <cellStyle name="Normal 5 2 2 6 3" xfId="5195" xr:uid="{00000000-0005-0000-0000-000025180000}"/>
    <cellStyle name="Normal 5 2 2 6 3 2" xfId="22078" xr:uid="{66F863C4-E2CA-4224-AE18-496DB376CE41}"/>
    <cellStyle name="Normal 5 2 2 6 3 3" xfId="13637" xr:uid="{49276639-4068-4E4F-B098-8C92E382F3AD}"/>
    <cellStyle name="Normal 5 2 2 6 4" xfId="17860" xr:uid="{28B66757-8B2B-4BA2-A97F-1496507001A8}"/>
    <cellStyle name="Normal 5 2 2 6 5" xfId="9419" xr:uid="{95A717DA-8FA6-44F1-99B6-748AC059F2D2}"/>
    <cellStyle name="Normal 5 2 2 7" xfId="1300" xr:uid="{00000000-0005-0000-0000-000026180000}"/>
    <cellStyle name="Normal 5 2 2 7 2" xfId="3530" xr:uid="{00000000-0005-0000-0000-000027180000}"/>
    <cellStyle name="Normal 5 2 2 7 2 2" xfId="7753" xr:uid="{00000000-0005-0000-0000-000028180000}"/>
    <cellStyle name="Normal 5 2 2 7 2 2 2" xfId="24636" xr:uid="{F25078CA-6D56-4068-99F5-ADFB3A0B4A79}"/>
    <cellStyle name="Normal 5 2 2 7 2 2 3" xfId="16195" xr:uid="{EF089134-E69C-4AB8-A41E-6F2F16D8073B}"/>
    <cellStyle name="Normal 5 2 2 7 2 3" xfId="20418" xr:uid="{1F4E5C7F-5C76-4F38-8DA1-0F9836886687}"/>
    <cellStyle name="Normal 5 2 2 7 2 4" xfId="11977" xr:uid="{AB05F06B-4F1A-41F5-80D9-41EA2093DB62}"/>
    <cellStyle name="Normal 5 2 2 7 3" xfId="5608" xr:uid="{00000000-0005-0000-0000-000029180000}"/>
    <cellStyle name="Normal 5 2 2 7 3 2" xfId="22491" xr:uid="{6AAF00AE-4BC5-47AD-B24D-1497F7445EF6}"/>
    <cellStyle name="Normal 5 2 2 7 3 3" xfId="14050" xr:uid="{5D19F1E6-8134-4CE6-8F60-72AF05A5ABCB}"/>
    <cellStyle name="Normal 5 2 2 7 4" xfId="18273" xr:uid="{6747E8D5-BE08-4974-B798-8302E5D178CC}"/>
    <cellStyle name="Normal 5 2 2 7 5" xfId="9832" xr:uid="{91417070-DAED-4ECF-8364-895712B1B7B0}"/>
    <cellStyle name="Normal 5 2 2 8" xfId="1713" xr:uid="{00000000-0005-0000-0000-00002A180000}"/>
    <cellStyle name="Normal 5 2 2 8 2" xfId="3943" xr:uid="{00000000-0005-0000-0000-00002B180000}"/>
    <cellStyle name="Normal 5 2 2 8 2 2" xfId="8166" xr:uid="{00000000-0005-0000-0000-00002C180000}"/>
    <cellStyle name="Normal 5 2 2 8 2 2 2" xfId="25049" xr:uid="{CC76689C-43DB-414D-95BC-0B70D980B94A}"/>
    <cellStyle name="Normal 5 2 2 8 2 2 3" xfId="16608" xr:uid="{C9634C79-C3B6-4D6B-831E-7F454AD77598}"/>
    <cellStyle name="Normal 5 2 2 8 2 3" xfId="20831" xr:uid="{0BA83EEE-BD3D-4FCA-9716-FF8F15527743}"/>
    <cellStyle name="Normal 5 2 2 8 2 4" xfId="12390" xr:uid="{B73817A3-7DE0-448F-AEE8-E191F5437871}"/>
    <cellStyle name="Normal 5 2 2 8 3" xfId="6021" xr:uid="{00000000-0005-0000-0000-00002D180000}"/>
    <cellStyle name="Normal 5 2 2 8 3 2" xfId="22904" xr:uid="{533C5880-BB45-4C4B-88F5-9FDDF58DF6CB}"/>
    <cellStyle name="Normal 5 2 2 8 3 3" xfId="14463" xr:uid="{49E59F37-B5A4-4B78-B065-80F1B4401D97}"/>
    <cellStyle name="Normal 5 2 2 8 4" xfId="18686" xr:uid="{65285902-E612-42E6-A3FF-99F7194071D6}"/>
    <cellStyle name="Normal 5 2 2 8 5" xfId="10245" xr:uid="{04F24C6F-4F5E-43E5-B97C-92DBB40ACDDE}"/>
    <cellStyle name="Normal 5 2 2 9" xfId="2127" xr:uid="{00000000-0005-0000-0000-00002E180000}"/>
    <cellStyle name="Normal 5 2 2 9 2" xfId="4356" xr:uid="{00000000-0005-0000-0000-00002F180000}"/>
    <cellStyle name="Normal 5 2 2 9 2 2" xfId="8579" xr:uid="{00000000-0005-0000-0000-000030180000}"/>
    <cellStyle name="Normal 5 2 2 9 2 2 2" xfId="25462" xr:uid="{C0281A05-4A95-4DA4-8B0F-8D17EB029260}"/>
    <cellStyle name="Normal 5 2 2 9 2 2 3" xfId="17021" xr:uid="{766922BD-3901-4BBC-94AC-15E7845E326D}"/>
    <cellStyle name="Normal 5 2 2 9 2 3" xfId="21244" xr:uid="{20CC13AF-642D-4543-9AFF-01F30C073390}"/>
    <cellStyle name="Normal 5 2 2 9 2 4" xfId="12803" xr:uid="{FE65443E-6D72-43DB-AFF1-4782D205D50A}"/>
    <cellStyle name="Normal 5 2 2 9 3" xfId="6434" xr:uid="{00000000-0005-0000-0000-000031180000}"/>
    <cellStyle name="Normal 5 2 2 9 3 2" xfId="23317" xr:uid="{CDB5E6FB-FDB8-48E2-B8E0-4A8FFCCF755B}"/>
    <cellStyle name="Normal 5 2 2 9 3 3" xfId="14876" xr:uid="{E63CDE06-51D6-4B8C-9EAB-924635B87BF3}"/>
    <cellStyle name="Normal 5 2 2 9 4" xfId="19099" xr:uid="{9DF07DF1-B917-4526-BD80-4934C6F67937}"/>
    <cellStyle name="Normal 5 2 2 9 5" xfId="10658" xr:uid="{78709C98-4B21-4762-B166-495A3133D158}"/>
    <cellStyle name="Normal 5 2 3" xfId="424" xr:uid="{00000000-0005-0000-0000-000032180000}"/>
    <cellStyle name="Normal 5 2 3 10" xfId="4798" xr:uid="{00000000-0005-0000-0000-000033180000}"/>
    <cellStyle name="Normal 5 2 3 10 2" xfId="21681" xr:uid="{FAF150C5-4B9A-4AB0-AA8D-C8BD09400476}"/>
    <cellStyle name="Normal 5 2 3 10 3" xfId="13240" xr:uid="{E97A86E0-ACE9-45C3-86C3-45CD1ACAA876}"/>
    <cellStyle name="Normal 5 2 3 11" xfId="17463" xr:uid="{67678F8F-9E1B-4D49-AB6B-7710B7289C5E}"/>
    <cellStyle name="Normal 5 2 3 12" xfId="9022" xr:uid="{F943B97E-80D5-45B8-B1B9-AC02604E30B7}"/>
    <cellStyle name="Normal 5 2 3 2" xfId="425" xr:uid="{00000000-0005-0000-0000-000034180000}"/>
    <cellStyle name="Normal 5 2 3 2 10" xfId="17464" xr:uid="{BD285B1F-8079-4065-B51E-2BF7BF1AA1ED}"/>
    <cellStyle name="Normal 5 2 3 2 11" xfId="9023" xr:uid="{AEDE68D9-2AA8-48D3-AE96-6661DC45FFF8}"/>
    <cellStyle name="Normal 5 2 3 2 2" xfId="426" xr:uid="{00000000-0005-0000-0000-000035180000}"/>
    <cellStyle name="Normal 5 2 3 2 2 10" xfId="9024" xr:uid="{6AF79519-4B2C-4BB6-8AE1-F7DE6484AEF9}"/>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24242" xr:uid="{E1A3AE1D-D6C5-43D2-A293-5630E07E3870}"/>
    <cellStyle name="Normal 5 2 3 2 2 2 2 2 2 3" xfId="15801" xr:uid="{06BD3CED-8359-47A3-BC86-E3DA0B26230F}"/>
    <cellStyle name="Normal 5 2 3 2 2 2 2 2 3" xfId="20024" xr:uid="{24A1EE45-7560-44B0-83AB-E97AE6872E11}"/>
    <cellStyle name="Normal 5 2 3 2 2 2 2 2 4" xfId="11583" xr:uid="{B73142D0-5CF5-4DEE-ACEB-3866C2F02BE1}"/>
    <cellStyle name="Normal 5 2 3 2 2 2 2 3" xfId="5214" xr:uid="{00000000-0005-0000-0000-00003A180000}"/>
    <cellStyle name="Normal 5 2 3 2 2 2 2 3 2" xfId="22097" xr:uid="{57DB56ED-D6B3-4127-B903-DC6EF306BDE4}"/>
    <cellStyle name="Normal 5 2 3 2 2 2 2 3 3" xfId="13656" xr:uid="{C9FD928C-C186-4E97-BFCF-240026908A64}"/>
    <cellStyle name="Normal 5 2 3 2 2 2 2 4" xfId="17879" xr:uid="{ABF2B5D9-954F-45D9-8F6A-A3A00CDFDC81}"/>
    <cellStyle name="Normal 5 2 3 2 2 2 2 5" xfId="9438" xr:uid="{5DDED919-37A2-4098-8DFC-6CE7815914BA}"/>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24655" xr:uid="{DCBAF216-148D-4F87-8374-BEE8078D40FA}"/>
    <cellStyle name="Normal 5 2 3 2 2 2 3 2 2 3" xfId="16214" xr:uid="{05CA6D87-DDB4-4A19-9127-87365A52CC30}"/>
    <cellStyle name="Normal 5 2 3 2 2 2 3 2 3" xfId="20437" xr:uid="{0697985A-35E9-4811-A444-534ABBC8C961}"/>
    <cellStyle name="Normal 5 2 3 2 2 2 3 2 4" xfId="11996" xr:uid="{338CFAD4-014E-4C3C-BF5B-293AB22C0287}"/>
    <cellStyle name="Normal 5 2 3 2 2 2 3 3" xfId="5627" xr:uid="{00000000-0005-0000-0000-00003E180000}"/>
    <cellStyle name="Normal 5 2 3 2 2 2 3 3 2" xfId="22510" xr:uid="{AB7C2AB6-420B-4CD4-86A1-4F28173075CF}"/>
    <cellStyle name="Normal 5 2 3 2 2 2 3 3 3" xfId="14069" xr:uid="{00E3DF79-6F97-4864-AA47-B8C178454681}"/>
    <cellStyle name="Normal 5 2 3 2 2 2 3 4" xfId="18292" xr:uid="{EC7654A8-A716-497C-91C0-68EBDDC83892}"/>
    <cellStyle name="Normal 5 2 3 2 2 2 3 5" xfId="9851" xr:uid="{0C7C4B21-7A23-47B4-B59F-5DB9C6A5CDCF}"/>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25068" xr:uid="{ECABB826-72E4-41F4-A6C0-C05C54EC5DB0}"/>
    <cellStyle name="Normal 5 2 3 2 2 2 4 2 2 3" xfId="16627" xr:uid="{DBFA42D3-5851-4F9B-9190-A65E6DB3A68E}"/>
    <cellStyle name="Normal 5 2 3 2 2 2 4 2 3" xfId="20850" xr:uid="{9DC6E307-2F9A-4E11-929E-0F4EA401366C}"/>
    <cellStyle name="Normal 5 2 3 2 2 2 4 2 4" xfId="12409" xr:uid="{033A5F37-8FF9-4A92-88C1-83BBBB977F5D}"/>
    <cellStyle name="Normal 5 2 3 2 2 2 4 3" xfId="6040" xr:uid="{00000000-0005-0000-0000-000042180000}"/>
    <cellStyle name="Normal 5 2 3 2 2 2 4 3 2" xfId="22923" xr:uid="{AB7A4B35-3335-429F-91B0-5B27119011BE}"/>
    <cellStyle name="Normal 5 2 3 2 2 2 4 3 3" xfId="14482" xr:uid="{EF211FDC-159E-4098-9118-7FD24456509D}"/>
    <cellStyle name="Normal 5 2 3 2 2 2 4 4" xfId="18705" xr:uid="{EFCBCDC8-9A5E-4120-BFA3-773E6CF444FA}"/>
    <cellStyle name="Normal 5 2 3 2 2 2 4 5" xfId="10264" xr:uid="{45BD7FFA-A3B8-43A1-97A8-D1AA8546276B}"/>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25481" xr:uid="{5C1647B0-40D4-4C0D-BE2D-5297AAE2F058}"/>
    <cellStyle name="Normal 5 2 3 2 2 2 5 2 2 3" xfId="17040" xr:uid="{A36ABF4E-8A89-4BB3-89F4-A9C78AB86EB9}"/>
    <cellStyle name="Normal 5 2 3 2 2 2 5 2 3" xfId="21263" xr:uid="{D916E142-7248-4E70-A2EE-D1E0DB24954B}"/>
    <cellStyle name="Normal 5 2 3 2 2 2 5 2 4" xfId="12822" xr:uid="{C6575EFA-F116-4FBC-85A3-579A15AD3EE0}"/>
    <cellStyle name="Normal 5 2 3 2 2 2 5 3" xfId="6453" xr:uid="{00000000-0005-0000-0000-000046180000}"/>
    <cellStyle name="Normal 5 2 3 2 2 2 5 3 2" xfId="23336" xr:uid="{881CCB9F-413D-49A4-AB40-AE22549C4A93}"/>
    <cellStyle name="Normal 5 2 3 2 2 2 5 3 3" xfId="14895" xr:uid="{DE316FD9-6256-460D-82C4-9457C270FFB6}"/>
    <cellStyle name="Normal 5 2 3 2 2 2 5 4" xfId="19118" xr:uid="{01A75829-308F-4B8F-9C8E-A68802CEDC75}"/>
    <cellStyle name="Normal 5 2 3 2 2 2 5 5" xfId="10677" xr:uid="{C47E3CF1-A6B4-450F-8CFD-1F7DEC3261A3}"/>
    <cellStyle name="Normal 5 2 3 2 2 2 6" xfId="2582" xr:uid="{00000000-0005-0000-0000-000047180000}"/>
    <cellStyle name="Normal 5 2 3 2 2 2 6 2" xfId="6866" xr:uid="{00000000-0005-0000-0000-000048180000}"/>
    <cellStyle name="Normal 5 2 3 2 2 2 6 2 2" xfId="23749" xr:uid="{E844718A-8715-4A19-B9D7-A6C4500CC5A2}"/>
    <cellStyle name="Normal 5 2 3 2 2 2 6 2 3" xfId="15308" xr:uid="{980E64E8-33CF-47F4-8914-6CE605E81D3A}"/>
    <cellStyle name="Normal 5 2 3 2 2 2 6 3" xfId="19531" xr:uid="{4852B7BA-DFCB-48F1-8851-116026000987}"/>
    <cellStyle name="Normal 5 2 3 2 2 2 6 4" xfId="11090" xr:uid="{4B45BB58-177C-4718-92BE-35D6AA56A930}"/>
    <cellStyle name="Normal 5 2 3 2 2 2 7" xfId="4801" xr:uid="{00000000-0005-0000-0000-000049180000}"/>
    <cellStyle name="Normal 5 2 3 2 2 2 7 2" xfId="21684" xr:uid="{F168BE35-189A-493C-9820-BF006D5D5BCE}"/>
    <cellStyle name="Normal 5 2 3 2 2 2 7 3" xfId="13243" xr:uid="{7B521F41-C1CF-4827-9E48-0A7425BE6C63}"/>
    <cellStyle name="Normal 5 2 3 2 2 2 8" xfId="17466" xr:uid="{15722BFB-5DBB-439A-B9CC-8CEF16981CB6}"/>
    <cellStyle name="Normal 5 2 3 2 2 2 9" xfId="9025" xr:uid="{9FA64451-88CB-46D4-AE39-4CC5950BEC22}"/>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24241" xr:uid="{13C1BB57-B556-4216-BE3A-27D5BFE4EE98}"/>
    <cellStyle name="Normal 5 2 3 2 2 3 2 2 3" xfId="15800" xr:uid="{F2205AA2-742E-4888-8C8B-E2982C1AA46F}"/>
    <cellStyle name="Normal 5 2 3 2 2 3 2 3" xfId="20023" xr:uid="{AE5AF04C-AA3E-445A-9293-930CB4C9215B}"/>
    <cellStyle name="Normal 5 2 3 2 2 3 2 4" xfId="11582" xr:uid="{9BFC86E6-F956-40DB-BCEF-70084F7225FD}"/>
    <cellStyle name="Normal 5 2 3 2 2 3 3" xfId="5213" xr:uid="{00000000-0005-0000-0000-00004D180000}"/>
    <cellStyle name="Normal 5 2 3 2 2 3 3 2" xfId="22096" xr:uid="{CBFE51B8-97DA-4671-A5DC-F7ECF34B5634}"/>
    <cellStyle name="Normal 5 2 3 2 2 3 3 3" xfId="13655" xr:uid="{52D6F4D6-B12A-45FC-B30E-E2D486260CF8}"/>
    <cellStyle name="Normal 5 2 3 2 2 3 4" xfId="17878" xr:uid="{457E548A-3494-4AFF-8F22-F0868CE39E1E}"/>
    <cellStyle name="Normal 5 2 3 2 2 3 5" xfId="9437" xr:uid="{4BCC8201-DA7E-4D00-951B-593C32CC90AF}"/>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24654" xr:uid="{7CCBE977-9153-41C6-8321-0669357C1DA4}"/>
    <cellStyle name="Normal 5 2 3 2 2 4 2 2 3" xfId="16213" xr:uid="{789D5CE0-C765-475E-BA75-2A1D493973A6}"/>
    <cellStyle name="Normal 5 2 3 2 2 4 2 3" xfId="20436" xr:uid="{8581E625-F300-4AB5-84DB-4FA5E2BA838D}"/>
    <cellStyle name="Normal 5 2 3 2 2 4 2 4" xfId="11995" xr:uid="{C50F08A7-CD70-47EC-858F-63588FADAC32}"/>
    <cellStyle name="Normal 5 2 3 2 2 4 3" xfId="5626" xr:uid="{00000000-0005-0000-0000-000051180000}"/>
    <cellStyle name="Normal 5 2 3 2 2 4 3 2" xfId="22509" xr:uid="{A8E00B22-CA43-4F47-BB16-CD4937F1C363}"/>
    <cellStyle name="Normal 5 2 3 2 2 4 3 3" xfId="14068" xr:uid="{28947B76-319A-42CB-8348-238C99FE99A0}"/>
    <cellStyle name="Normal 5 2 3 2 2 4 4" xfId="18291" xr:uid="{A43A0487-8E3D-4EFF-A792-E96C9419CB91}"/>
    <cellStyle name="Normal 5 2 3 2 2 4 5" xfId="9850" xr:uid="{F680ADF7-CB13-4394-BA71-8F9AB9F1DD33}"/>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25067" xr:uid="{0EC9304E-8919-4295-8A60-8C9B6183CB8C}"/>
    <cellStyle name="Normal 5 2 3 2 2 5 2 2 3" xfId="16626" xr:uid="{EFB33CE4-D01A-4F03-9EB7-28013D29C5E2}"/>
    <cellStyle name="Normal 5 2 3 2 2 5 2 3" xfId="20849" xr:uid="{0CE01C6A-9E8A-491F-AB43-EB183E8705FC}"/>
    <cellStyle name="Normal 5 2 3 2 2 5 2 4" xfId="12408" xr:uid="{166C037D-FE6F-45E0-9992-99E49E25C31C}"/>
    <cellStyle name="Normal 5 2 3 2 2 5 3" xfId="6039" xr:uid="{00000000-0005-0000-0000-000055180000}"/>
    <cellStyle name="Normal 5 2 3 2 2 5 3 2" xfId="22922" xr:uid="{5E6F5072-C9A7-4C1C-8DCD-1563DBA3C045}"/>
    <cellStyle name="Normal 5 2 3 2 2 5 3 3" xfId="14481" xr:uid="{0E4BE842-CA9C-4BA9-9BE2-C683E0179E4D}"/>
    <cellStyle name="Normal 5 2 3 2 2 5 4" xfId="18704" xr:uid="{3BDB595E-D3E2-4A09-8057-0B8F5012D986}"/>
    <cellStyle name="Normal 5 2 3 2 2 5 5" xfId="10263" xr:uid="{C7232484-F74F-4907-868C-C9D9D8CEE523}"/>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25480" xr:uid="{51E3A8EF-B1FD-4F0D-B4CE-8B532E4CA76B}"/>
    <cellStyle name="Normal 5 2 3 2 2 6 2 2 3" xfId="17039" xr:uid="{F1A645FF-9B1F-4E7E-8903-C164E5D9F2D3}"/>
    <cellStyle name="Normal 5 2 3 2 2 6 2 3" xfId="21262" xr:uid="{B9A697EB-FB91-4F10-B5D9-F1BA9A2938C6}"/>
    <cellStyle name="Normal 5 2 3 2 2 6 2 4" xfId="12821" xr:uid="{C1D5B43C-F3E1-463C-9780-391BDB51B31A}"/>
    <cellStyle name="Normal 5 2 3 2 2 6 3" xfId="6452" xr:uid="{00000000-0005-0000-0000-000059180000}"/>
    <cellStyle name="Normal 5 2 3 2 2 6 3 2" xfId="23335" xr:uid="{339B2795-10DA-41EF-BB20-08FDC1D8FA8C}"/>
    <cellStyle name="Normal 5 2 3 2 2 6 3 3" xfId="14894" xr:uid="{1B2F4E3C-CD14-485B-BA8A-84DC64B08622}"/>
    <cellStyle name="Normal 5 2 3 2 2 6 4" xfId="19117" xr:uid="{252BD5EA-B0A8-4D68-8F75-36355F8F3B87}"/>
    <cellStyle name="Normal 5 2 3 2 2 6 5" xfId="10676" xr:uid="{5E6EBC5B-9B83-4367-A1ED-D78874AD7465}"/>
    <cellStyle name="Normal 5 2 3 2 2 7" xfId="2581" xr:uid="{00000000-0005-0000-0000-00005A180000}"/>
    <cellStyle name="Normal 5 2 3 2 2 7 2" xfId="6865" xr:uid="{00000000-0005-0000-0000-00005B180000}"/>
    <cellStyle name="Normal 5 2 3 2 2 7 2 2" xfId="23748" xr:uid="{60B26AC4-DFA4-4550-BC60-5A83EE997C7E}"/>
    <cellStyle name="Normal 5 2 3 2 2 7 2 3" xfId="15307" xr:uid="{1DBFD976-34F2-4E3A-99A4-2C358271396F}"/>
    <cellStyle name="Normal 5 2 3 2 2 7 3" xfId="19530" xr:uid="{BED5FA26-E18A-47D7-B3C8-FE67D8A8672B}"/>
    <cellStyle name="Normal 5 2 3 2 2 7 4" xfId="11089" xr:uid="{2F3AB365-7611-4C15-A22F-A83E50E8BEED}"/>
    <cellStyle name="Normal 5 2 3 2 2 8" xfId="4800" xr:uid="{00000000-0005-0000-0000-00005C180000}"/>
    <cellStyle name="Normal 5 2 3 2 2 8 2" xfId="21683" xr:uid="{14F7BF45-6BB3-493D-A234-2C7F900637B5}"/>
    <cellStyle name="Normal 5 2 3 2 2 8 3" xfId="13242" xr:uid="{469AEE91-4BCF-441D-83EE-9E8CB1FC4B92}"/>
    <cellStyle name="Normal 5 2 3 2 2 9" xfId="17465" xr:uid="{0B504FEB-1199-4D43-B5F7-D31B8B7F7FCB}"/>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24243" xr:uid="{5A9D6217-EC44-425D-9800-7712609BD403}"/>
    <cellStyle name="Normal 5 2 3 2 3 2 2 2 3" xfId="15802" xr:uid="{A19DE09A-5AF3-46DA-B875-7BDA34BACFAC}"/>
    <cellStyle name="Normal 5 2 3 2 3 2 2 3" xfId="20025" xr:uid="{75F9F553-EB4C-48A1-9E59-7FAFC39EB71F}"/>
    <cellStyle name="Normal 5 2 3 2 3 2 2 4" xfId="11584" xr:uid="{DACF39E9-7B01-4647-8193-A8204AA0B2E7}"/>
    <cellStyle name="Normal 5 2 3 2 3 2 3" xfId="5215" xr:uid="{00000000-0005-0000-0000-000061180000}"/>
    <cellStyle name="Normal 5 2 3 2 3 2 3 2" xfId="22098" xr:uid="{6444879F-807F-4152-AB38-D9E654D266E0}"/>
    <cellStyle name="Normal 5 2 3 2 3 2 3 3" xfId="13657" xr:uid="{395812C2-5232-4909-BBAD-39F67E00DE8A}"/>
    <cellStyle name="Normal 5 2 3 2 3 2 4" xfId="17880" xr:uid="{F86B8CCA-1F13-465A-88C6-D1F7471F099D}"/>
    <cellStyle name="Normal 5 2 3 2 3 2 5" xfId="9439" xr:uid="{91143AD5-AC91-4491-BF4A-1C71EAC910D4}"/>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24656" xr:uid="{2F08EDCA-5D22-412C-B4AC-CE1F4F5AEA57}"/>
    <cellStyle name="Normal 5 2 3 2 3 3 2 2 3" xfId="16215" xr:uid="{77C7D192-5A92-40F4-9D0C-00A1AA8DBF1F}"/>
    <cellStyle name="Normal 5 2 3 2 3 3 2 3" xfId="20438" xr:uid="{34FB4FAD-6810-48D8-8B7B-C8D4C6366BBF}"/>
    <cellStyle name="Normal 5 2 3 2 3 3 2 4" xfId="11997" xr:uid="{20229FEF-DF91-41B6-9243-95B2DCD24356}"/>
    <cellStyle name="Normal 5 2 3 2 3 3 3" xfId="5628" xr:uid="{00000000-0005-0000-0000-000065180000}"/>
    <cellStyle name="Normal 5 2 3 2 3 3 3 2" xfId="22511" xr:uid="{AB36BFC5-CC01-4A30-BF16-5F4081A8AD7E}"/>
    <cellStyle name="Normal 5 2 3 2 3 3 3 3" xfId="14070" xr:uid="{BBD0AA37-5EA9-4FDE-9662-3430C76E77E9}"/>
    <cellStyle name="Normal 5 2 3 2 3 3 4" xfId="18293" xr:uid="{5DD6A0A7-713B-443D-9956-9AB5EB1932A4}"/>
    <cellStyle name="Normal 5 2 3 2 3 3 5" xfId="9852" xr:uid="{93D5C5D5-4B3C-42C4-BB00-EC630CCE5D47}"/>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25069" xr:uid="{4FD26509-E78D-4DEA-8641-CFAE97FCB530}"/>
    <cellStyle name="Normal 5 2 3 2 3 4 2 2 3" xfId="16628" xr:uid="{36CBCA54-BAFD-4DAF-9DD1-0E53655ACC83}"/>
    <cellStyle name="Normal 5 2 3 2 3 4 2 3" xfId="20851" xr:uid="{A3A276B9-E7BF-4055-ADF2-8596E3D65833}"/>
    <cellStyle name="Normal 5 2 3 2 3 4 2 4" xfId="12410" xr:uid="{A43CD68F-E38F-4E9E-8953-CEE1EE1FDFA5}"/>
    <cellStyle name="Normal 5 2 3 2 3 4 3" xfId="6041" xr:uid="{00000000-0005-0000-0000-000069180000}"/>
    <cellStyle name="Normal 5 2 3 2 3 4 3 2" xfId="22924" xr:uid="{D248F7CB-0A19-4F35-9061-410B72D4ACDE}"/>
    <cellStyle name="Normal 5 2 3 2 3 4 3 3" xfId="14483" xr:uid="{FAB2B6B0-0633-4F4B-9ECF-2CC3DB5418A9}"/>
    <cellStyle name="Normal 5 2 3 2 3 4 4" xfId="18706" xr:uid="{8C57A0CC-EE5B-4C6B-B18F-E3AD398CB74E}"/>
    <cellStyle name="Normal 5 2 3 2 3 4 5" xfId="10265" xr:uid="{CE9B6955-7FF1-4CEF-8AED-E75490F13677}"/>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25482" xr:uid="{90AF0C07-F96B-49E7-AA74-188F4E8635BA}"/>
    <cellStyle name="Normal 5 2 3 2 3 5 2 2 3" xfId="17041" xr:uid="{FA2EBE35-B0E2-4E99-A3FE-6885E35AE60C}"/>
    <cellStyle name="Normal 5 2 3 2 3 5 2 3" xfId="21264" xr:uid="{A8B9ADCD-5878-4176-B04A-318EADE052EC}"/>
    <cellStyle name="Normal 5 2 3 2 3 5 2 4" xfId="12823" xr:uid="{B8A6CD08-6772-42D1-8269-DDDE5826EF14}"/>
    <cellStyle name="Normal 5 2 3 2 3 5 3" xfId="6454" xr:uid="{00000000-0005-0000-0000-00006D180000}"/>
    <cellStyle name="Normal 5 2 3 2 3 5 3 2" xfId="23337" xr:uid="{1BD4C970-68CC-4965-AE06-17BB41C73292}"/>
    <cellStyle name="Normal 5 2 3 2 3 5 3 3" xfId="14896" xr:uid="{95C34AC0-9029-4CDE-852E-B180652C38C5}"/>
    <cellStyle name="Normal 5 2 3 2 3 5 4" xfId="19119" xr:uid="{50735AC4-A50C-412F-BEE6-82B25C0DA8B1}"/>
    <cellStyle name="Normal 5 2 3 2 3 5 5" xfId="10678" xr:uid="{F76F92DF-D78D-47C3-B0F9-30EADB131516}"/>
    <cellStyle name="Normal 5 2 3 2 3 6" xfId="2583" xr:uid="{00000000-0005-0000-0000-00006E180000}"/>
    <cellStyle name="Normal 5 2 3 2 3 6 2" xfId="6867" xr:uid="{00000000-0005-0000-0000-00006F180000}"/>
    <cellStyle name="Normal 5 2 3 2 3 6 2 2" xfId="23750" xr:uid="{637B5B7C-978A-42F5-9ACD-547D54B5B165}"/>
    <cellStyle name="Normal 5 2 3 2 3 6 2 3" xfId="15309" xr:uid="{2F8E2287-CD25-4E26-9DA7-6DCC2881A751}"/>
    <cellStyle name="Normal 5 2 3 2 3 6 3" xfId="19532" xr:uid="{C4372073-98A8-4144-AC29-B4657C108920}"/>
    <cellStyle name="Normal 5 2 3 2 3 6 4" xfId="11091" xr:uid="{17D063B1-F919-4545-9385-AC172150CEB3}"/>
    <cellStyle name="Normal 5 2 3 2 3 7" xfId="4802" xr:uid="{00000000-0005-0000-0000-000070180000}"/>
    <cellStyle name="Normal 5 2 3 2 3 7 2" xfId="21685" xr:uid="{E3C1FF90-0F00-4058-96EE-193EFBDCD925}"/>
    <cellStyle name="Normal 5 2 3 2 3 7 3" xfId="13244" xr:uid="{821CD2E6-A244-421D-BBCA-7EE22CB5C2BF}"/>
    <cellStyle name="Normal 5 2 3 2 3 8" xfId="17467" xr:uid="{F82E3A31-03F9-4291-9A1F-95C781226A57}"/>
    <cellStyle name="Normal 5 2 3 2 3 9" xfId="9026" xr:uid="{38EFA05C-78B5-4600-A214-13EED7624FF1}"/>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24240" xr:uid="{084C5421-44BE-403E-9DA8-8D60A389E72C}"/>
    <cellStyle name="Normal 5 2 3 2 4 2 2 3" xfId="15799" xr:uid="{E8ACDB62-04A6-4E80-9970-E2B14248773D}"/>
    <cellStyle name="Normal 5 2 3 2 4 2 3" xfId="20022" xr:uid="{C3B3B148-0716-4836-B6F2-2460C304DC57}"/>
    <cellStyle name="Normal 5 2 3 2 4 2 4" xfId="11581" xr:uid="{BDF6132C-1EE2-49B2-B57F-D25F335D9E2C}"/>
    <cellStyle name="Normal 5 2 3 2 4 3" xfId="5212" xr:uid="{00000000-0005-0000-0000-000074180000}"/>
    <cellStyle name="Normal 5 2 3 2 4 3 2" xfId="22095" xr:uid="{52D4705B-6F8F-4B08-8A5F-BA87842C71D1}"/>
    <cellStyle name="Normal 5 2 3 2 4 3 3" xfId="13654" xr:uid="{445686D3-13F7-4B71-B846-FE3687E165C5}"/>
    <cellStyle name="Normal 5 2 3 2 4 4" xfId="17877" xr:uid="{79F313E9-2D01-4343-BEEC-814099CE8962}"/>
    <cellStyle name="Normal 5 2 3 2 4 5" xfId="9436" xr:uid="{57A66514-5E20-4C1A-A4C3-A11329A256E8}"/>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24653" xr:uid="{E4861236-16DF-45E1-B535-C9ED160BA21A}"/>
    <cellStyle name="Normal 5 2 3 2 5 2 2 3" xfId="16212" xr:uid="{824D52E4-EAED-4467-A8FA-8293269A74EA}"/>
    <cellStyle name="Normal 5 2 3 2 5 2 3" xfId="20435" xr:uid="{8CB29A6B-89F2-43FC-8383-58CEA9844ECE}"/>
    <cellStyle name="Normal 5 2 3 2 5 2 4" xfId="11994" xr:uid="{5FFF76F9-AE5C-40D9-89C5-1B00A8632567}"/>
    <cellStyle name="Normal 5 2 3 2 5 3" xfId="5625" xr:uid="{00000000-0005-0000-0000-000078180000}"/>
    <cellStyle name="Normal 5 2 3 2 5 3 2" xfId="22508" xr:uid="{AB97A064-BE6C-4949-AEEC-41EDFC9F8114}"/>
    <cellStyle name="Normal 5 2 3 2 5 3 3" xfId="14067" xr:uid="{9ACB7D09-8ABA-489C-B88F-541DCB5884D7}"/>
    <cellStyle name="Normal 5 2 3 2 5 4" xfId="18290" xr:uid="{738817DB-0C62-465E-9BBD-981D80EAE29A}"/>
    <cellStyle name="Normal 5 2 3 2 5 5" xfId="9849" xr:uid="{D0A0C686-772B-41B2-A5F4-5D755CFD0114}"/>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25066" xr:uid="{55D43DA7-84CF-4957-B6FC-6B23DE8ABD58}"/>
    <cellStyle name="Normal 5 2 3 2 6 2 2 3" xfId="16625" xr:uid="{9C916B2A-0540-407C-80C2-3DBE92B9ADC2}"/>
    <cellStyle name="Normal 5 2 3 2 6 2 3" xfId="20848" xr:uid="{70B78C41-BF10-45BE-8322-2542BDA5794D}"/>
    <cellStyle name="Normal 5 2 3 2 6 2 4" xfId="12407" xr:uid="{C554574F-D299-467C-AE6F-9CD0F4175D20}"/>
    <cellStyle name="Normal 5 2 3 2 6 3" xfId="6038" xr:uid="{00000000-0005-0000-0000-00007C180000}"/>
    <cellStyle name="Normal 5 2 3 2 6 3 2" xfId="22921" xr:uid="{7D3053FA-D65E-4361-8A06-F4AF87BAB0D1}"/>
    <cellStyle name="Normal 5 2 3 2 6 3 3" xfId="14480" xr:uid="{E380B671-32BB-4518-B520-6DAEB809FAC9}"/>
    <cellStyle name="Normal 5 2 3 2 6 4" xfId="18703" xr:uid="{28ADE189-F7D9-457D-A524-7AE9A75791B1}"/>
    <cellStyle name="Normal 5 2 3 2 6 5" xfId="10262" xr:uid="{73C919D4-5943-4EDB-A6E8-86B86F675DBD}"/>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25479" xr:uid="{58E23329-D4B2-4804-B0F5-0BA4DFCF0BA5}"/>
    <cellStyle name="Normal 5 2 3 2 7 2 2 3" xfId="17038" xr:uid="{900E10C1-F7B4-4893-8101-3C1331243889}"/>
    <cellStyle name="Normal 5 2 3 2 7 2 3" xfId="21261" xr:uid="{A98AB3FA-3C1D-4E73-8E58-C9D45C615416}"/>
    <cellStyle name="Normal 5 2 3 2 7 2 4" xfId="12820" xr:uid="{41380521-089B-4E93-A4EA-2778B448C974}"/>
    <cellStyle name="Normal 5 2 3 2 7 3" xfId="6451" xr:uid="{00000000-0005-0000-0000-000080180000}"/>
    <cellStyle name="Normal 5 2 3 2 7 3 2" xfId="23334" xr:uid="{4B041F3B-B447-4A4A-83BB-2048F0BD4B5E}"/>
    <cellStyle name="Normal 5 2 3 2 7 3 3" xfId="14893" xr:uid="{2714B88C-B3DE-49A4-9AEC-7D7FAB8D8D6C}"/>
    <cellStyle name="Normal 5 2 3 2 7 4" xfId="19116" xr:uid="{90B4A473-C64A-49C1-859B-EA1257E69652}"/>
    <cellStyle name="Normal 5 2 3 2 7 5" xfId="10675" xr:uid="{456C37DB-0AFF-41DD-AF7E-4EC8F54E1F90}"/>
    <cellStyle name="Normal 5 2 3 2 8" xfId="2580" xr:uid="{00000000-0005-0000-0000-000081180000}"/>
    <cellStyle name="Normal 5 2 3 2 8 2" xfId="6864" xr:uid="{00000000-0005-0000-0000-000082180000}"/>
    <cellStyle name="Normal 5 2 3 2 8 2 2" xfId="23747" xr:uid="{E7F2637E-1AB3-4B99-B897-BE5D7ED817F9}"/>
    <cellStyle name="Normal 5 2 3 2 8 2 3" xfId="15306" xr:uid="{2003A0BE-61F7-471C-82F2-71FA1CFBED5D}"/>
    <cellStyle name="Normal 5 2 3 2 8 3" xfId="19529" xr:uid="{1E68EAEE-4B86-4DB3-ABEB-5E0B3F36891B}"/>
    <cellStyle name="Normal 5 2 3 2 8 4" xfId="11088" xr:uid="{4BB0807E-F475-49F7-9D57-3718708EBB06}"/>
    <cellStyle name="Normal 5 2 3 2 9" xfId="4799" xr:uid="{00000000-0005-0000-0000-000083180000}"/>
    <cellStyle name="Normal 5 2 3 2 9 2" xfId="21682" xr:uid="{1E09E922-0AFC-4FE0-956D-0EAEFD08D41D}"/>
    <cellStyle name="Normal 5 2 3 2 9 3" xfId="13241" xr:uid="{A502C4E5-2509-4F6A-8187-02527400D989}"/>
    <cellStyle name="Normal 5 2 3 3" xfId="429" xr:uid="{00000000-0005-0000-0000-000084180000}"/>
    <cellStyle name="Normal 5 2 3 3 10" xfId="9027" xr:uid="{998ABEDE-19EC-4EF9-B802-F1495A7E4B73}"/>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24245" xr:uid="{80A4F8E7-B42B-4CBF-A50A-22E5F5AE593D}"/>
    <cellStyle name="Normal 5 2 3 3 2 2 2 2 3" xfId="15804" xr:uid="{6A8F1D10-C082-4687-8CAB-A7E013B0AC71}"/>
    <cellStyle name="Normal 5 2 3 3 2 2 2 3" xfId="20027" xr:uid="{9D08585A-1ADA-4992-A1CA-33B80D13C5FE}"/>
    <cellStyle name="Normal 5 2 3 3 2 2 2 4" xfId="11586" xr:uid="{28662E1B-8A7D-4B85-ABDC-1149DB7797A9}"/>
    <cellStyle name="Normal 5 2 3 3 2 2 3" xfId="5217" xr:uid="{00000000-0005-0000-0000-000089180000}"/>
    <cellStyle name="Normal 5 2 3 3 2 2 3 2" xfId="22100" xr:uid="{3DCB444F-5F1A-45B6-8F10-07146A016D49}"/>
    <cellStyle name="Normal 5 2 3 3 2 2 3 3" xfId="13659" xr:uid="{CFBEE4EE-D4F8-4EC8-9A02-BE21ABA7E1F8}"/>
    <cellStyle name="Normal 5 2 3 3 2 2 4" xfId="17882" xr:uid="{330B6A98-3999-463E-B604-549504CE9FC2}"/>
    <cellStyle name="Normal 5 2 3 3 2 2 5" xfId="9441" xr:uid="{10E8532E-1B2B-4E51-A1FE-54C36CB09798}"/>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24658" xr:uid="{88D1D477-4C96-4151-90E7-48C716B28528}"/>
    <cellStyle name="Normal 5 2 3 3 2 3 2 2 3" xfId="16217" xr:uid="{0D11EA38-9BEE-457C-9567-F0CFB316D797}"/>
    <cellStyle name="Normal 5 2 3 3 2 3 2 3" xfId="20440" xr:uid="{AA60B354-05EC-4125-9011-BB5572D7A431}"/>
    <cellStyle name="Normal 5 2 3 3 2 3 2 4" xfId="11999" xr:uid="{97B3186A-9454-478E-A105-4D8CF1123067}"/>
    <cellStyle name="Normal 5 2 3 3 2 3 3" xfId="5630" xr:uid="{00000000-0005-0000-0000-00008D180000}"/>
    <cellStyle name="Normal 5 2 3 3 2 3 3 2" xfId="22513" xr:uid="{A8238384-FF91-48DC-8F26-4F4BD8B53C2E}"/>
    <cellStyle name="Normal 5 2 3 3 2 3 3 3" xfId="14072" xr:uid="{38FA55DC-EF59-44D7-89D7-1776A7A288B8}"/>
    <cellStyle name="Normal 5 2 3 3 2 3 4" xfId="18295" xr:uid="{7E05F4A0-B84D-49F9-9AFA-8B851B585006}"/>
    <cellStyle name="Normal 5 2 3 3 2 3 5" xfId="9854" xr:uid="{D8B7B1D4-69CD-4294-92FB-2F7315A45EAB}"/>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25071" xr:uid="{92522088-87C7-4AB7-BBA5-4EA48AC3551B}"/>
    <cellStyle name="Normal 5 2 3 3 2 4 2 2 3" xfId="16630" xr:uid="{6DAC45A0-95C5-4982-A733-BCA53893E090}"/>
    <cellStyle name="Normal 5 2 3 3 2 4 2 3" xfId="20853" xr:uid="{769D2B4C-7C14-45E4-B55B-9F2BFB93A982}"/>
    <cellStyle name="Normal 5 2 3 3 2 4 2 4" xfId="12412" xr:uid="{1EA35790-7CD0-4E14-83DF-4F247C8338B3}"/>
    <cellStyle name="Normal 5 2 3 3 2 4 3" xfId="6043" xr:uid="{00000000-0005-0000-0000-000091180000}"/>
    <cellStyle name="Normal 5 2 3 3 2 4 3 2" xfId="22926" xr:uid="{D641A5C9-95A2-4961-A928-15F213BFB147}"/>
    <cellStyle name="Normal 5 2 3 3 2 4 3 3" xfId="14485" xr:uid="{DC897D2A-403C-41B4-B1FF-A2E63639C6DC}"/>
    <cellStyle name="Normal 5 2 3 3 2 4 4" xfId="18708" xr:uid="{39107DED-FDBA-4FDC-9CFF-D370D5D78BE2}"/>
    <cellStyle name="Normal 5 2 3 3 2 4 5" xfId="10267" xr:uid="{2886789F-0728-4EDA-8318-E5A07C3D2BA7}"/>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25484" xr:uid="{C47A7389-B647-47B3-9E0C-07CDE6978D32}"/>
    <cellStyle name="Normal 5 2 3 3 2 5 2 2 3" xfId="17043" xr:uid="{9317B5A1-6973-48F5-B27A-DB69159D7E09}"/>
    <cellStyle name="Normal 5 2 3 3 2 5 2 3" xfId="21266" xr:uid="{863C74A9-A204-4052-B8E8-43602FA48CED}"/>
    <cellStyle name="Normal 5 2 3 3 2 5 2 4" xfId="12825" xr:uid="{11CFA92C-066E-434B-994F-7CEAF68E9D3E}"/>
    <cellStyle name="Normal 5 2 3 3 2 5 3" xfId="6456" xr:uid="{00000000-0005-0000-0000-000095180000}"/>
    <cellStyle name="Normal 5 2 3 3 2 5 3 2" xfId="23339" xr:uid="{424CED13-17C0-4453-A8B9-F3C82ED3C744}"/>
    <cellStyle name="Normal 5 2 3 3 2 5 3 3" xfId="14898" xr:uid="{BCDFC1CE-8895-48BE-9074-76218F0E96E0}"/>
    <cellStyle name="Normal 5 2 3 3 2 5 4" xfId="19121" xr:uid="{07913366-1C04-4398-811B-8827A7CFDD24}"/>
    <cellStyle name="Normal 5 2 3 3 2 5 5" xfId="10680" xr:uid="{FD603D2A-B08C-4F6F-BD2A-58F00B1243EF}"/>
    <cellStyle name="Normal 5 2 3 3 2 6" xfId="2585" xr:uid="{00000000-0005-0000-0000-000096180000}"/>
    <cellStyle name="Normal 5 2 3 3 2 6 2" xfId="6869" xr:uid="{00000000-0005-0000-0000-000097180000}"/>
    <cellStyle name="Normal 5 2 3 3 2 6 2 2" xfId="23752" xr:uid="{74C5BBC5-9E69-49CE-8D27-783BD7F691DC}"/>
    <cellStyle name="Normal 5 2 3 3 2 6 2 3" xfId="15311" xr:uid="{3B65CEF0-AF2D-442C-A15C-CCCD90EF32AB}"/>
    <cellStyle name="Normal 5 2 3 3 2 6 3" xfId="19534" xr:uid="{A1147285-DB80-4E20-9CFB-6207A44AA850}"/>
    <cellStyle name="Normal 5 2 3 3 2 6 4" xfId="11093" xr:uid="{706C70AB-4132-4979-8089-37688F79D5F5}"/>
    <cellStyle name="Normal 5 2 3 3 2 7" xfId="4804" xr:uid="{00000000-0005-0000-0000-000098180000}"/>
    <cellStyle name="Normal 5 2 3 3 2 7 2" xfId="21687" xr:uid="{193E03B8-74F0-4C0D-BB38-231782D98391}"/>
    <cellStyle name="Normal 5 2 3 3 2 7 3" xfId="13246" xr:uid="{3198FBA6-342D-4DB6-9FF8-AF28DCB44B8E}"/>
    <cellStyle name="Normal 5 2 3 3 2 8" xfId="17469" xr:uid="{9A3BF4A5-2CAB-4C4E-BEC5-31ED6428CC57}"/>
    <cellStyle name="Normal 5 2 3 3 2 9" xfId="9028" xr:uid="{3FFDC794-FD27-4FDA-93B9-FBD0A07E5965}"/>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24244" xr:uid="{1F72B6F7-DF1E-49A2-9E2B-5AF4133F8F34}"/>
    <cellStyle name="Normal 5 2 3 3 3 2 2 3" xfId="15803" xr:uid="{E6CA6440-55FE-4F4B-BBF2-3D9B86150ABD}"/>
    <cellStyle name="Normal 5 2 3 3 3 2 3" xfId="20026" xr:uid="{5BFAE2EA-FC5D-413C-876B-83F47EF5C150}"/>
    <cellStyle name="Normal 5 2 3 3 3 2 4" xfId="11585" xr:uid="{7736F47D-F2E0-4F98-AC1F-555EA2DE5D5C}"/>
    <cellStyle name="Normal 5 2 3 3 3 3" xfId="5216" xr:uid="{00000000-0005-0000-0000-00009C180000}"/>
    <cellStyle name="Normal 5 2 3 3 3 3 2" xfId="22099" xr:uid="{9C4225CB-D293-475F-AB0D-841E584B4BA6}"/>
    <cellStyle name="Normal 5 2 3 3 3 3 3" xfId="13658" xr:uid="{C3CE3215-CE05-40D2-8E8B-0561B4D27B8F}"/>
    <cellStyle name="Normal 5 2 3 3 3 4" xfId="17881" xr:uid="{4F51A516-2F95-46A5-94B1-6E35A4F77C4A}"/>
    <cellStyle name="Normal 5 2 3 3 3 5" xfId="9440" xr:uid="{8BF5D572-D95D-432B-9D18-C63E83C33FC4}"/>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24657" xr:uid="{E96D88E8-6349-48F2-A11D-1DDC395629DF}"/>
    <cellStyle name="Normal 5 2 3 3 4 2 2 3" xfId="16216" xr:uid="{C7AFDE55-9B5F-41A4-81AA-FFC8C92DC152}"/>
    <cellStyle name="Normal 5 2 3 3 4 2 3" xfId="20439" xr:uid="{3B1FD1D3-D2B3-4D67-8134-9CF00019EF9B}"/>
    <cellStyle name="Normal 5 2 3 3 4 2 4" xfId="11998" xr:uid="{0C0CA214-6A1D-49C3-97D2-03EDF5C435F9}"/>
    <cellStyle name="Normal 5 2 3 3 4 3" xfId="5629" xr:uid="{00000000-0005-0000-0000-0000A0180000}"/>
    <cellStyle name="Normal 5 2 3 3 4 3 2" xfId="22512" xr:uid="{A4C5CC7C-8543-4460-B883-3223B53E803A}"/>
    <cellStyle name="Normal 5 2 3 3 4 3 3" xfId="14071" xr:uid="{166115DD-86DB-496C-A89D-98AC6E8653F6}"/>
    <cellStyle name="Normal 5 2 3 3 4 4" xfId="18294" xr:uid="{930CA970-5EAC-4A84-9B70-BACEB110ACD8}"/>
    <cellStyle name="Normal 5 2 3 3 4 5" xfId="9853" xr:uid="{1972B155-D277-4BB0-ACD8-02ACA18E321C}"/>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25070" xr:uid="{8DA0E00A-5E6D-4F84-A33E-06F9E76509F6}"/>
    <cellStyle name="Normal 5 2 3 3 5 2 2 3" xfId="16629" xr:uid="{9D74DE3A-66A8-4729-B4FC-7ACC9A6EFAF3}"/>
    <cellStyle name="Normal 5 2 3 3 5 2 3" xfId="20852" xr:uid="{9C419ED3-B72B-4B95-9C2B-6E8341ECEDBC}"/>
    <cellStyle name="Normal 5 2 3 3 5 2 4" xfId="12411" xr:uid="{80D4CFD5-40A3-44C2-92D2-8D56DF26FA9F}"/>
    <cellStyle name="Normal 5 2 3 3 5 3" xfId="6042" xr:uid="{00000000-0005-0000-0000-0000A4180000}"/>
    <cellStyle name="Normal 5 2 3 3 5 3 2" xfId="22925" xr:uid="{E6F8219C-D799-42A7-A501-437619D9BF0E}"/>
    <cellStyle name="Normal 5 2 3 3 5 3 3" xfId="14484" xr:uid="{BB4F91EC-0A01-440A-9DB6-B9EC284B9416}"/>
    <cellStyle name="Normal 5 2 3 3 5 4" xfId="18707" xr:uid="{34D68CA8-BC7E-4EB7-AE81-491216E0B8C2}"/>
    <cellStyle name="Normal 5 2 3 3 5 5" xfId="10266" xr:uid="{FA533BA4-509A-44EA-BA4F-2B94B475C390}"/>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25483" xr:uid="{73B46B53-9F67-43D9-A3AF-7F4E4C551835}"/>
    <cellStyle name="Normal 5 2 3 3 6 2 2 3" xfId="17042" xr:uid="{9C1E7ACA-2808-4025-84BD-2346826FD035}"/>
    <cellStyle name="Normal 5 2 3 3 6 2 3" xfId="21265" xr:uid="{31D5D695-20F6-4D60-9617-232FB127CB05}"/>
    <cellStyle name="Normal 5 2 3 3 6 2 4" xfId="12824" xr:uid="{B51C6918-62F5-461D-8147-0C6AB16E7E2A}"/>
    <cellStyle name="Normal 5 2 3 3 6 3" xfId="6455" xr:uid="{00000000-0005-0000-0000-0000A8180000}"/>
    <cellStyle name="Normal 5 2 3 3 6 3 2" xfId="23338" xr:uid="{F70FA20B-6255-4503-B8D2-53FBA1295A26}"/>
    <cellStyle name="Normal 5 2 3 3 6 3 3" xfId="14897" xr:uid="{84A89CC4-5967-4110-AEF0-FE382D2EF2BA}"/>
    <cellStyle name="Normal 5 2 3 3 6 4" xfId="19120" xr:uid="{29CF8C49-C7B5-4C35-908A-22B8F1891E8C}"/>
    <cellStyle name="Normal 5 2 3 3 6 5" xfId="10679" xr:uid="{8D137C90-E9EF-461D-A227-2BF718B45284}"/>
    <cellStyle name="Normal 5 2 3 3 7" xfId="2584" xr:uid="{00000000-0005-0000-0000-0000A9180000}"/>
    <cellStyle name="Normal 5 2 3 3 7 2" xfId="6868" xr:uid="{00000000-0005-0000-0000-0000AA180000}"/>
    <cellStyle name="Normal 5 2 3 3 7 2 2" xfId="23751" xr:uid="{5BE6A44F-B955-41DA-B44A-A616B73D40A4}"/>
    <cellStyle name="Normal 5 2 3 3 7 2 3" xfId="15310" xr:uid="{E7BE704C-67A8-4EF1-985D-6C6E21023BE0}"/>
    <cellStyle name="Normal 5 2 3 3 7 3" xfId="19533" xr:uid="{52BD8D22-4D9A-4A23-8937-4CE6B4B416DD}"/>
    <cellStyle name="Normal 5 2 3 3 7 4" xfId="11092" xr:uid="{BD41CE59-6D1C-4FC0-926A-CF38D77D87E6}"/>
    <cellStyle name="Normal 5 2 3 3 8" xfId="4803" xr:uid="{00000000-0005-0000-0000-0000AB180000}"/>
    <cellStyle name="Normal 5 2 3 3 8 2" xfId="21686" xr:uid="{3727F822-EFDC-4867-BD48-BF378D97074A}"/>
    <cellStyle name="Normal 5 2 3 3 8 3" xfId="13245" xr:uid="{4CC4DCC8-8A23-4DAD-8E72-3381D801D3C1}"/>
    <cellStyle name="Normal 5 2 3 3 9" xfId="17468" xr:uid="{3BC598B4-2D45-4792-9E4A-47B27956959B}"/>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24246" xr:uid="{5066328E-2D13-423D-9F7C-179FAA888EFF}"/>
    <cellStyle name="Normal 5 2 3 4 2 2 2 3" xfId="15805" xr:uid="{734E33E4-2C7E-481D-A021-513C1C2EE19A}"/>
    <cellStyle name="Normal 5 2 3 4 2 2 3" xfId="20028" xr:uid="{02DE2D8A-E4C8-482E-99C1-4B51C2478C89}"/>
    <cellStyle name="Normal 5 2 3 4 2 2 4" xfId="11587" xr:uid="{F0E3E46D-AD30-416B-B13C-5645BD107B15}"/>
    <cellStyle name="Normal 5 2 3 4 2 3" xfId="5218" xr:uid="{00000000-0005-0000-0000-0000B0180000}"/>
    <cellStyle name="Normal 5 2 3 4 2 3 2" xfId="22101" xr:uid="{9749EFC9-7BB0-45F0-84B7-401133BE241E}"/>
    <cellStyle name="Normal 5 2 3 4 2 3 3" xfId="13660" xr:uid="{D77AE790-67F3-4794-B91F-CC47EE4B546E}"/>
    <cellStyle name="Normal 5 2 3 4 2 4" xfId="17883" xr:uid="{A723D705-E292-43E1-A539-E472730FF5D5}"/>
    <cellStyle name="Normal 5 2 3 4 2 5" xfId="9442" xr:uid="{6CF6798C-A651-4D81-8068-6654D7FF92EF}"/>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24659" xr:uid="{47B33E5E-7FD4-475F-B361-76B32E624566}"/>
    <cellStyle name="Normal 5 2 3 4 3 2 2 3" xfId="16218" xr:uid="{77784239-A97E-425E-AC28-97448F894A58}"/>
    <cellStyle name="Normal 5 2 3 4 3 2 3" xfId="20441" xr:uid="{4FC9A615-093F-4B40-8A26-AB9404A77B46}"/>
    <cellStyle name="Normal 5 2 3 4 3 2 4" xfId="12000" xr:uid="{ED2AA309-B55E-4F59-A2EF-B9F45EB9BFB7}"/>
    <cellStyle name="Normal 5 2 3 4 3 3" xfId="5631" xr:uid="{00000000-0005-0000-0000-0000B4180000}"/>
    <cellStyle name="Normal 5 2 3 4 3 3 2" xfId="22514" xr:uid="{0F138F0C-638E-42CF-A0AA-1A592ED9D8F9}"/>
    <cellStyle name="Normal 5 2 3 4 3 3 3" xfId="14073" xr:uid="{BFAF48C4-6734-48C6-AE96-23D74C529B1C}"/>
    <cellStyle name="Normal 5 2 3 4 3 4" xfId="18296" xr:uid="{D6CB7842-E0FB-4F67-A65E-1793D134C9B7}"/>
    <cellStyle name="Normal 5 2 3 4 3 5" xfId="9855" xr:uid="{A06D3DE9-C559-47A1-AFDE-D217FF406BF4}"/>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25072" xr:uid="{A6766231-A203-49A5-B251-758F9869AE99}"/>
    <cellStyle name="Normal 5 2 3 4 4 2 2 3" xfId="16631" xr:uid="{AF1F48DE-93EC-4E35-A9ED-69A5A05C55EC}"/>
    <cellStyle name="Normal 5 2 3 4 4 2 3" xfId="20854" xr:uid="{F9E4D73B-4441-4D95-9882-5554A2FFCDA7}"/>
    <cellStyle name="Normal 5 2 3 4 4 2 4" xfId="12413" xr:uid="{CBEC21E5-9F8B-4EEA-9405-6BF30D03A4E1}"/>
    <cellStyle name="Normal 5 2 3 4 4 3" xfId="6044" xr:uid="{00000000-0005-0000-0000-0000B8180000}"/>
    <cellStyle name="Normal 5 2 3 4 4 3 2" xfId="22927" xr:uid="{12610B42-D113-452E-B0C8-DF9C090CC573}"/>
    <cellStyle name="Normal 5 2 3 4 4 3 3" xfId="14486" xr:uid="{A106A6C3-9421-4276-A539-751BA5F3E9FD}"/>
    <cellStyle name="Normal 5 2 3 4 4 4" xfId="18709" xr:uid="{484875DA-C0BE-4905-9EBD-F06D185C7112}"/>
    <cellStyle name="Normal 5 2 3 4 4 5" xfId="10268" xr:uid="{344ED4FE-09BA-42AE-9D1A-4630006C8294}"/>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25485" xr:uid="{CE1BFE27-CC4C-4B6A-911A-4659556AC2D7}"/>
    <cellStyle name="Normal 5 2 3 4 5 2 2 3" xfId="17044" xr:uid="{C21C7592-3B03-464C-8486-E6B1BBD3DEB2}"/>
    <cellStyle name="Normal 5 2 3 4 5 2 3" xfId="21267" xr:uid="{4AAD7401-CDEB-431B-BAB7-9D8DCC763372}"/>
    <cellStyle name="Normal 5 2 3 4 5 2 4" xfId="12826" xr:uid="{2D21D186-8468-4F8B-A14E-BC2D72AD5E4B}"/>
    <cellStyle name="Normal 5 2 3 4 5 3" xfId="6457" xr:uid="{00000000-0005-0000-0000-0000BC180000}"/>
    <cellStyle name="Normal 5 2 3 4 5 3 2" xfId="23340" xr:uid="{4329CE52-8344-4195-9087-C32570695645}"/>
    <cellStyle name="Normal 5 2 3 4 5 3 3" xfId="14899" xr:uid="{9C7C4FD1-C1D7-4611-B7D3-6F0ED5609059}"/>
    <cellStyle name="Normal 5 2 3 4 5 4" xfId="19122" xr:uid="{2E316E59-CA67-4E0A-945D-67C9A2AC04AA}"/>
    <cellStyle name="Normal 5 2 3 4 5 5" xfId="10681" xr:uid="{535CA1E9-3A8F-489E-A50C-198AC4CA2153}"/>
    <cellStyle name="Normal 5 2 3 4 6" xfId="2586" xr:uid="{00000000-0005-0000-0000-0000BD180000}"/>
    <cellStyle name="Normal 5 2 3 4 6 2" xfId="6870" xr:uid="{00000000-0005-0000-0000-0000BE180000}"/>
    <cellStyle name="Normal 5 2 3 4 6 2 2" xfId="23753" xr:uid="{4A9CDFDF-1B71-4D46-9016-2C82868EDDDB}"/>
    <cellStyle name="Normal 5 2 3 4 6 2 3" xfId="15312" xr:uid="{370543DC-1A13-4342-9CBA-88AE9A28CF7E}"/>
    <cellStyle name="Normal 5 2 3 4 6 3" xfId="19535" xr:uid="{392FEDB7-9953-4798-A727-0CF4E1624AAC}"/>
    <cellStyle name="Normal 5 2 3 4 6 4" xfId="11094" xr:uid="{97885548-2BD8-429F-935A-AA8C8A8E5E35}"/>
    <cellStyle name="Normal 5 2 3 4 7" xfId="4805" xr:uid="{00000000-0005-0000-0000-0000BF180000}"/>
    <cellStyle name="Normal 5 2 3 4 7 2" xfId="21688" xr:uid="{1E388279-4275-4257-9AE9-F4FCEA308ACE}"/>
    <cellStyle name="Normal 5 2 3 4 7 3" xfId="13247" xr:uid="{9D6593DA-014D-4DDC-9985-552980DBB531}"/>
    <cellStyle name="Normal 5 2 3 4 8" xfId="17470" xr:uid="{D9D097A1-A88B-4B28-B122-8204859C1470}"/>
    <cellStyle name="Normal 5 2 3 4 9" xfId="9029" xr:uid="{F962B4FA-66A0-45D2-99E9-C566E276281A}"/>
    <cellStyle name="Normal 5 2 3 5" xfId="898" xr:uid="{00000000-0005-0000-0000-0000C0180000}"/>
    <cellStyle name="Normal 5 2 3 5 2" xfId="3133" xr:uid="{00000000-0005-0000-0000-0000C1180000}"/>
    <cellStyle name="Normal 5 2 3 5 2 2" xfId="7356" xr:uid="{00000000-0005-0000-0000-0000C2180000}"/>
    <cellStyle name="Normal 5 2 3 5 2 2 2" xfId="24239" xr:uid="{05DDDF4A-1373-4567-8EB8-7B028732845D}"/>
    <cellStyle name="Normal 5 2 3 5 2 2 3" xfId="15798" xr:uid="{3C48B086-3B6B-4EF1-8CC2-BE9D6CD1E0A7}"/>
    <cellStyle name="Normal 5 2 3 5 2 3" xfId="20021" xr:uid="{905BC9E8-C5D4-4E18-9222-D0B0630DEDA1}"/>
    <cellStyle name="Normal 5 2 3 5 2 4" xfId="11580" xr:uid="{885BA395-010F-475A-89E5-6997F5DADC90}"/>
    <cellStyle name="Normal 5 2 3 5 3" xfId="5211" xr:uid="{00000000-0005-0000-0000-0000C3180000}"/>
    <cellStyle name="Normal 5 2 3 5 3 2" xfId="22094" xr:uid="{E9974BA9-D79C-4AB4-98B6-4CCFF88D0BFB}"/>
    <cellStyle name="Normal 5 2 3 5 3 3" xfId="13653" xr:uid="{AAFE0AE7-CC63-47D4-B56D-6D7C1D0712E8}"/>
    <cellStyle name="Normal 5 2 3 5 4" xfId="17876" xr:uid="{80B78BDC-2A26-4560-BB44-01B6A3E724A1}"/>
    <cellStyle name="Normal 5 2 3 5 5" xfId="9435" xr:uid="{A5DD00C7-E17B-45E4-A077-E5C70F76C216}"/>
    <cellStyle name="Normal 5 2 3 6" xfId="1316" xr:uid="{00000000-0005-0000-0000-0000C4180000}"/>
    <cellStyle name="Normal 5 2 3 6 2" xfId="3546" xr:uid="{00000000-0005-0000-0000-0000C5180000}"/>
    <cellStyle name="Normal 5 2 3 6 2 2" xfId="7769" xr:uid="{00000000-0005-0000-0000-0000C6180000}"/>
    <cellStyle name="Normal 5 2 3 6 2 2 2" xfId="24652" xr:uid="{EDB4BEF5-039C-487E-9632-830F15A36605}"/>
    <cellStyle name="Normal 5 2 3 6 2 2 3" xfId="16211" xr:uid="{E0273CB3-F303-4030-BCAC-45E701300414}"/>
    <cellStyle name="Normal 5 2 3 6 2 3" xfId="20434" xr:uid="{9FC67E51-D1E0-4222-8D2E-D8DB52662912}"/>
    <cellStyle name="Normal 5 2 3 6 2 4" xfId="11993" xr:uid="{5D745A0E-D2D8-4B95-ADCC-C472B3F11B84}"/>
    <cellStyle name="Normal 5 2 3 6 3" xfId="5624" xr:uid="{00000000-0005-0000-0000-0000C7180000}"/>
    <cellStyle name="Normal 5 2 3 6 3 2" xfId="22507" xr:uid="{08D92292-9613-47E7-96E1-11E0C68F0702}"/>
    <cellStyle name="Normal 5 2 3 6 3 3" xfId="14066" xr:uid="{E65ABCF0-23F4-4146-9BDB-8FFD28D86410}"/>
    <cellStyle name="Normal 5 2 3 6 4" xfId="18289" xr:uid="{84138402-5D44-4898-81AB-192C58ACD654}"/>
    <cellStyle name="Normal 5 2 3 6 5" xfId="9848" xr:uid="{EC61B712-F3C5-4260-8A00-23D48EB1F479}"/>
    <cellStyle name="Normal 5 2 3 7" xfId="1729" xr:uid="{00000000-0005-0000-0000-0000C8180000}"/>
    <cellStyle name="Normal 5 2 3 7 2" xfId="3959" xr:uid="{00000000-0005-0000-0000-0000C9180000}"/>
    <cellStyle name="Normal 5 2 3 7 2 2" xfId="8182" xr:uid="{00000000-0005-0000-0000-0000CA180000}"/>
    <cellStyle name="Normal 5 2 3 7 2 2 2" xfId="25065" xr:uid="{93ABA83B-5B7D-469C-A794-C8C12E5AC3E7}"/>
    <cellStyle name="Normal 5 2 3 7 2 2 3" xfId="16624" xr:uid="{DFA61470-8C42-4BBF-A30D-87A6AA6EEFA9}"/>
    <cellStyle name="Normal 5 2 3 7 2 3" xfId="20847" xr:uid="{39C03FC6-7247-4A9D-BDBD-69D486491F16}"/>
    <cellStyle name="Normal 5 2 3 7 2 4" xfId="12406" xr:uid="{3553FA84-AB00-4B3F-A53C-6266E683EFFA}"/>
    <cellStyle name="Normal 5 2 3 7 3" xfId="6037" xr:uid="{00000000-0005-0000-0000-0000CB180000}"/>
    <cellStyle name="Normal 5 2 3 7 3 2" xfId="22920" xr:uid="{70101FA0-FEB1-4004-A8D0-D9EC2E187CFD}"/>
    <cellStyle name="Normal 5 2 3 7 3 3" xfId="14479" xr:uid="{641FBB4A-C68C-4DC3-991A-E1EDC5FCC846}"/>
    <cellStyle name="Normal 5 2 3 7 4" xfId="18702" xr:uid="{9FC3C168-710E-4DFD-B71D-8E186B9948C8}"/>
    <cellStyle name="Normal 5 2 3 7 5" xfId="10261" xr:uid="{A93F253C-D4C7-4E8B-A714-EA245B7C2D12}"/>
    <cellStyle name="Normal 5 2 3 8" xfId="2143" xr:uid="{00000000-0005-0000-0000-0000CC180000}"/>
    <cellStyle name="Normal 5 2 3 8 2" xfId="4372" xr:uid="{00000000-0005-0000-0000-0000CD180000}"/>
    <cellStyle name="Normal 5 2 3 8 2 2" xfId="8595" xr:uid="{00000000-0005-0000-0000-0000CE180000}"/>
    <cellStyle name="Normal 5 2 3 8 2 2 2" xfId="25478" xr:uid="{A829E5AD-EAE9-4522-ADF6-4854C49A2E50}"/>
    <cellStyle name="Normal 5 2 3 8 2 2 3" xfId="17037" xr:uid="{14C76DEA-B8EF-4429-927C-07830DCFFEB7}"/>
    <cellStyle name="Normal 5 2 3 8 2 3" xfId="21260" xr:uid="{2C85D935-384E-4F81-BABC-3A5F56B27EC7}"/>
    <cellStyle name="Normal 5 2 3 8 2 4" xfId="12819" xr:uid="{EFEF407D-0986-4EC1-A248-088568DBE4BF}"/>
    <cellStyle name="Normal 5 2 3 8 3" xfId="6450" xr:uid="{00000000-0005-0000-0000-0000CF180000}"/>
    <cellStyle name="Normal 5 2 3 8 3 2" xfId="23333" xr:uid="{290BF407-AA18-4006-A73D-1DFBE2BCA96F}"/>
    <cellStyle name="Normal 5 2 3 8 3 3" xfId="14892" xr:uid="{419D1217-8AC0-4A68-9677-1325DC5F5FD2}"/>
    <cellStyle name="Normal 5 2 3 8 4" xfId="19115" xr:uid="{EB28FBBD-2233-4C9B-9A9B-525BCCA13CEC}"/>
    <cellStyle name="Normal 5 2 3 8 5" xfId="10674" xr:uid="{71CD782D-DA41-444A-A031-55B4B850F90A}"/>
    <cellStyle name="Normal 5 2 3 9" xfId="2579" xr:uid="{00000000-0005-0000-0000-0000D0180000}"/>
    <cellStyle name="Normal 5 2 3 9 2" xfId="6863" xr:uid="{00000000-0005-0000-0000-0000D1180000}"/>
    <cellStyle name="Normal 5 2 3 9 2 2" xfId="23746" xr:uid="{12EECA18-4718-4701-8969-F06B98268B93}"/>
    <cellStyle name="Normal 5 2 3 9 2 3" xfId="15305" xr:uid="{73A9A5C8-497C-41C6-860C-65079F01FBFA}"/>
    <cellStyle name="Normal 5 2 3 9 3" xfId="19528" xr:uid="{D87C1CAC-5000-4513-A7C6-5BBF751C4191}"/>
    <cellStyle name="Normal 5 2 3 9 4" xfId="11087" xr:uid="{BF22210B-624B-4236-A239-C87F6B036E08}"/>
    <cellStyle name="Normal 5 2 4" xfId="432" xr:uid="{00000000-0005-0000-0000-0000D2180000}"/>
    <cellStyle name="Normal 5 2 4 10" xfId="17471" xr:uid="{614C6988-9EC7-4CF0-AF2F-7A969ED50623}"/>
    <cellStyle name="Normal 5 2 4 11" xfId="9030" xr:uid="{5C541DA0-07E6-4475-A185-8B7B2EC4115E}"/>
    <cellStyle name="Normal 5 2 4 2" xfId="433" xr:uid="{00000000-0005-0000-0000-0000D3180000}"/>
    <cellStyle name="Normal 5 2 4 2 10" xfId="9031" xr:uid="{C8D58BD6-2D99-40AD-8C3B-05C22E334E39}"/>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24249" xr:uid="{FE7D5D5B-1ACE-444B-9035-CE5968FD15AA}"/>
    <cellStyle name="Normal 5 2 4 2 2 2 2 2 3" xfId="15808" xr:uid="{FD5288A8-D5E7-478F-BADD-05F38B11924F}"/>
    <cellStyle name="Normal 5 2 4 2 2 2 2 3" xfId="20031" xr:uid="{4DDF5168-2C8F-4957-8128-C5D23DCE0960}"/>
    <cellStyle name="Normal 5 2 4 2 2 2 2 4" xfId="11590" xr:uid="{A7ACA3A6-EDDD-4970-AB71-C86835366447}"/>
    <cellStyle name="Normal 5 2 4 2 2 2 3" xfId="5221" xr:uid="{00000000-0005-0000-0000-0000D8180000}"/>
    <cellStyle name="Normal 5 2 4 2 2 2 3 2" xfId="22104" xr:uid="{66B2FBF0-5A98-402C-A0A7-DEA1EB225F2B}"/>
    <cellStyle name="Normal 5 2 4 2 2 2 3 3" xfId="13663" xr:uid="{C342C3AF-D62E-43FD-8C04-239354D44029}"/>
    <cellStyle name="Normal 5 2 4 2 2 2 4" xfId="17886" xr:uid="{6F0C56D1-C7D2-44A5-8963-E72A55524E1F}"/>
    <cellStyle name="Normal 5 2 4 2 2 2 5" xfId="9445" xr:uid="{DC54A9FB-135C-4AAC-AF19-CE20048C24BC}"/>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24662" xr:uid="{0C6C4BEF-E2D5-461E-A667-21192F05743D}"/>
    <cellStyle name="Normal 5 2 4 2 2 3 2 2 3" xfId="16221" xr:uid="{23997A1E-958D-475D-8E7F-7D07ABDFC1C8}"/>
    <cellStyle name="Normal 5 2 4 2 2 3 2 3" xfId="20444" xr:uid="{31390936-4FB7-4F0A-BFB6-2D2712738788}"/>
    <cellStyle name="Normal 5 2 4 2 2 3 2 4" xfId="12003" xr:uid="{B6AFE178-6FE8-46D5-B91C-91AE7343F484}"/>
    <cellStyle name="Normal 5 2 4 2 2 3 3" xfId="5634" xr:uid="{00000000-0005-0000-0000-0000DC180000}"/>
    <cellStyle name="Normal 5 2 4 2 2 3 3 2" xfId="22517" xr:uid="{54F48DC3-42A0-4A25-AFCD-912CE5280D65}"/>
    <cellStyle name="Normal 5 2 4 2 2 3 3 3" xfId="14076" xr:uid="{18E72054-84C2-4FB1-92E6-F6AAA9F8B832}"/>
    <cellStyle name="Normal 5 2 4 2 2 3 4" xfId="18299" xr:uid="{509EF836-025C-45D4-BEBB-EDED567D99C6}"/>
    <cellStyle name="Normal 5 2 4 2 2 3 5" xfId="9858" xr:uid="{B25A7D49-67B2-40B0-8B81-B3AB0552C226}"/>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25075" xr:uid="{3B792BCF-3A41-4923-A60C-462A2CD9483D}"/>
    <cellStyle name="Normal 5 2 4 2 2 4 2 2 3" xfId="16634" xr:uid="{BE7AB201-AE2F-4E51-80B2-E5BD891D26FF}"/>
    <cellStyle name="Normal 5 2 4 2 2 4 2 3" xfId="20857" xr:uid="{8475903B-DBC5-428C-8B4F-D06F1A9A9BA5}"/>
    <cellStyle name="Normal 5 2 4 2 2 4 2 4" xfId="12416" xr:uid="{A742A2E2-9167-4DC0-8A48-CBF7B7CC775F}"/>
    <cellStyle name="Normal 5 2 4 2 2 4 3" xfId="6047" xr:uid="{00000000-0005-0000-0000-0000E0180000}"/>
    <cellStyle name="Normal 5 2 4 2 2 4 3 2" xfId="22930" xr:uid="{E8346BBA-8B14-4689-8BAD-959534E7D78A}"/>
    <cellStyle name="Normal 5 2 4 2 2 4 3 3" xfId="14489" xr:uid="{7A90D369-A3C8-4BE7-804F-960EF19010B0}"/>
    <cellStyle name="Normal 5 2 4 2 2 4 4" xfId="18712" xr:uid="{232CB9A9-34AA-419A-82D7-552DC52D81EA}"/>
    <cellStyle name="Normal 5 2 4 2 2 4 5" xfId="10271" xr:uid="{E2355C54-F084-4753-8702-7113E8171C6D}"/>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25488" xr:uid="{947FB8E9-B797-4696-97A8-1C056065680E}"/>
    <cellStyle name="Normal 5 2 4 2 2 5 2 2 3" xfId="17047" xr:uid="{7BF9C6B0-A386-4169-AF0F-1D8B93036D54}"/>
    <cellStyle name="Normal 5 2 4 2 2 5 2 3" xfId="21270" xr:uid="{FEB691B2-ABE8-4CAD-AD05-CE614CDF2880}"/>
    <cellStyle name="Normal 5 2 4 2 2 5 2 4" xfId="12829" xr:uid="{555806D6-ACF0-4BB4-A04F-A1F0043C98B3}"/>
    <cellStyle name="Normal 5 2 4 2 2 5 3" xfId="6460" xr:uid="{00000000-0005-0000-0000-0000E4180000}"/>
    <cellStyle name="Normal 5 2 4 2 2 5 3 2" xfId="23343" xr:uid="{8349F143-A439-493F-B2FD-2F7B8997200B}"/>
    <cellStyle name="Normal 5 2 4 2 2 5 3 3" xfId="14902" xr:uid="{271B1E53-252F-40A9-B1FF-C753A6559837}"/>
    <cellStyle name="Normal 5 2 4 2 2 5 4" xfId="19125" xr:uid="{925D8A4C-52A0-4096-9B8D-AD2DBD3A4476}"/>
    <cellStyle name="Normal 5 2 4 2 2 5 5" xfId="10684" xr:uid="{7F9CCCF1-0B2F-4273-8201-93E834CBEA8E}"/>
    <cellStyle name="Normal 5 2 4 2 2 6" xfId="2589" xr:uid="{00000000-0005-0000-0000-0000E5180000}"/>
    <cellStyle name="Normal 5 2 4 2 2 6 2" xfId="6873" xr:uid="{00000000-0005-0000-0000-0000E6180000}"/>
    <cellStyle name="Normal 5 2 4 2 2 6 2 2" xfId="23756" xr:uid="{40043077-9812-4C02-AF63-67A387BDAAA1}"/>
    <cellStyle name="Normal 5 2 4 2 2 6 2 3" xfId="15315" xr:uid="{A7E21503-B8A6-47DE-9340-68D6254C82B9}"/>
    <cellStyle name="Normal 5 2 4 2 2 6 3" xfId="19538" xr:uid="{AFB22E1F-ABAB-4CAE-BBB8-D66AFE7A26FE}"/>
    <cellStyle name="Normal 5 2 4 2 2 6 4" xfId="11097" xr:uid="{664C6F6A-6158-4004-8906-0E5C99B84105}"/>
    <cellStyle name="Normal 5 2 4 2 2 7" xfId="4808" xr:uid="{00000000-0005-0000-0000-0000E7180000}"/>
    <cellStyle name="Normal 5 2 4 2 2 7 2" xfId="21691" xr:uid="{BCBC08B1-4F8D-4269-941E-ADB1A6550FA4}"/>
    <cellStyle name="Normal 5 2 4 2 2 7 3" xfId="13250" xr:uid="{FAC61761-2BBB-45B7-A994-8F00E1F61F6F}"/>
    <cellStyle name="Normal 5 2 4 2 2 8" xfId="17473" xr:uid="{3D23BAEA-58D7-4D26-BB7C-B2DF28A794B4}"/>
    <cellStyle name="Normal 5 2 4 2 2 9" xfId="9032" xr:uid="{C37A1C58-A17D-4280-AA48-530CB44FA364}"/>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24248" xr:uid="{DFBC7BFB-E981-482F-A95F-8355F1EE566F}"/>
    <cellStyle name="Normal 5 2 4 2 3 2 2 3" xfId="15807" xr:uid="{892B3B45-C6E6-4CAA-A7CB-44A1A19024F9}"/>
    <cellStyle name="Normal 5 2 4 2 3 2 3" xfId="20030" xr:uid="{F32413CD-2809-42EA-B6E3-580F5892E21C}"/>
    <cellStyle name="Normal 5 2 4 2 3 2 4" xfId="11589" xr:uid="{979A4DEA-B165-4C22-B4DC-9E25679398F8}"/>
    <cellStyle name="Normal 5 2 4 2 3 3" xfId="5220" xr:uid="{00000000-0005-0000-0000-0000EB180000}"/>
    <cellStyle name="Normal 5 2 4 2 3 3 2" xfId="22103" xr:uid="{891812A4-7003-4D63-8C68-E2B99791ACF7}"/>
    <cellStyle name="Normal 5 2 4 2 3 3 3" xfId="13662" xr:uid="{064303B1-C815-469F-B44F-1737ED98A208}"/>
    <cellStyle name="Normal 5 2 4 2 3 4" xfId="17885" xr:uid="{B3DBA69B-3112-4867-A35C-1EF9474B1462}"/>
    <cellStyle name="Normal 5 2 4 2 3 5" xfId="9444" xr:uid="{69FE39F9-3A5A-4706-BA6D-56D04F1A857A}"/>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24661" xr:uid="{488CF362-FEBC-4028-858E-6659EF9137A0}"/>
    <cellStyle name="Normal 5 2 4 2 4 2 2 3" xfId="16220" xr:uid="{495CC726-F890-45B6-9E60-495A8B7ABF10}"/>
    <cellStyle name="Normal 5 2 4 2 4 2 3" xfId="20443" xr:uid="{053B7111-176F-4E30-BFDB-D41FAB00E054}"/>
    <cellStyle name="Normal 5 2 4 2 4 2 4" xfId="12002" xr:uid="{2D6447E7-7704-4BD8-9203-0F486C586E4F}"/>
    <cellStyle name="Normal 5 2 4 2 4 3" xfId="5633" xr:uid="{00000000-0005-0000-0000-0000EF180000}"/>
    <cellStyle name="Normal 5 2 4 2 4 3 2" xfId="22516" xr:uid="{6144E534-B715-48FB-9DA6-EAC91DEBCE35}"/>
    <cellStyle name="Normal 5 2 4 2 4 3 3" xfId="14075" xr:uid="{039185E5-800D-4DD9-A42F-C39FD8F40C77}"/>
    <cellStyle name="Normal 5 2 4 2 4 4" xfId="18298" xr:uid="{BD830EE3-0F1A-4D4E-828D-74D6824366CD}"/>
    <cellStyle name="Normal 5 2 4 2 4 5" xfId="9857" xr:uid="{6B449482-6F5D-4F8A-B626-DDA6D4955FDB}"/>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25074" xr:uid="{B4793500-661A-4C58-A460-EC97E48CD8D5}"/>
    <cellStyle name="Normal 5 2 4 2 5 2 2 3" xfId="16633" xr:uid="{57B74935-7B47-4914-A901-C24A04BA7508}"/>
    <cellStyle name="Normal 5 2 4 2 5 2 3" xfId="20856" xr:uid="{72CD6FF9-BB68-4804-B70A-6DC8C91380EE}"/>
    <cellStyle name="Normal 5 2 4 2 5 2 4" xfId="12415" xr:uid="{9665F2F7-833C-4C96-BC1B-D0621ED64EE2}"/>
    <cellStyle name="Normal 5 2 4 2 5 3" xfId="6046" xr:uid="{00000000-0005-0000-0000-0000F3180000}"/>
    <cellStyle name="Normal 5 2 4 2 5 3 2" xfId="22929" xr:uid="{7278DB66-CEB7-45F1-A3AC-09D27002288F}"/>
    <cellStyle name="Normal 5 2 4 2 5 3 3" xfId="14488" xr:uid="{11A37CB8-7C4E-4568-9A9B-3013AC5861AD}"/>
    <cellStyle name="Normal 5 2 4 2 5 4" xfId="18711" xr:uid="{73074B75-0272-44FD-8617-6356B5E284C0}"/>
    <cellStyle name="Normal 5 2 4 2 5 5" xfId="10270" xr:uid="{59D2661F-CC34-47A5-BFAE-497CB7077C17}"/>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25487" xr:uid="{A46866F6-BE59-4889-AE4F-86636266E052}"/>
    <cellStyle name="Normal 5 2 4 2 6 2 2 3" xfId="17046" xr:uid="{4FB8BEA2-8B39-436D-AC23-ADB6DC866B20}"/>
    <cellStyle name="Normal 5 2 4 2 6 2 3" xfId="21269" xr:uid="{F158ADB5-629D-4D50-A08C-F3E8A86372EF}"/>
    <cellStyle name="Normal 5 2 4 2 6 2 4" xfId="12828" xr:uid="{DAF1FBDF-4806-4C9E-99F1-32902AD4BE7E}"/>
    <cellStyle name="Normal 5 2 4 2 6 3" xfId="6459" xr:uid="{00000000-0005-0000-0000-0000F7180000}"/>
    <cellStyle name="Normal 5 2 4 2 6 3 2" xfId="23342" xr:uid="{98C01DA7-F093-477D-B55A-7DE743DB7471}"/>
    <cellStyle name="Normal 5 2 4 2 6 3 3" xfId="14901" xr:uid="{C8F445F9-196F-4249-BE61-5F56BC65FCC0}"/>
    <cellStyle name="Normal 5 2 4 2 6 4" xfId="19124" xr:uid="{7820CAA9-3608-4483-BC48-056DEB9E2E96}"/>
    <cellStyle name="Normal 5 2 4 2 6 5" xfId="10683" xr:uid="{E046FC75-AB3A-410E-92ED-2155AAA25964}"/>
    <cellStyle name="Normal 5 2 4 2 7" xfId="2588" xr:uid="{00000000-0005-0000-0000-0000F8180000}"/>
    <cellStyle name="Normal 5 2 4 2 7 2" xfId="6872" xr:uid="{00000000-0005-0000-0000-0000F9180000}"/>
    <cellStyle name="Normal 5 2 4 2 7 2 2" xfId="23755" xr:uid="{D01ECB8A-DE5B-47F0-895D-B3D0C5D61341}"/>
    <cellStyle name="Normal 5 2 4 2 7 2 3" xfId="15314" xr:uid="{C69AAF5D-F0BB-4B1F-941A-83569A978B71}"/>
    <cellStyle name="Normal 5 2 4 2 7 3" xfId="19537" xr:uid="{F6967B38-F604-4203-8597-12CFE78A723A}"/>
    <cellStyle name="Normal 5 2 4 2 7 4" xfId="11096" xr:uid="{04477254-CC6F-4940-85BC-F26EF85358C7}"/>
    <cellStyle name="Normal 5 2 4 2 8" xfId="4807" xr:uid="{00000000-0005-0000-0000-0000FA180000}"/>
    <cellStyle name="Normal 5 2 4 2 8 2" xfId="21690" xr:uid="{54AE00C1-9F95-49A6-95E2-E15BAAEDFEBD}"/>
    <cellStyle name="Normal 5 2 4 2 8 3" xfId="13249" xr:uid="{2A03D1CE-4DF1-4E89-98CC-D9B5E315BD02}"/>
    <cellStyle name="Normal 5 2 4 2 9" xfId="17472" xr:uid="{D950E981-3EAF-4265-B8C0-34B1103554CA}"/>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24250" xr:uid="{10035E94-FEDD-4A1A-9D2A-B8540D458384}"/>
    <cellStyle name="Normal 5 2 4 3 2 2 2 3" xfId="15809" xr:uid="{3B3BDA23-0C2F-48F7-AD06-B45E1796A1D8}"/>
    <cellStyle name="Normal 5 2 4 3 2 2 3" xfId="20032" xr:uid="{F1646011-D826-4DD1-BE07-11A28A6390C5}"/>
    <cellStyle name="Normal 5 2 4 3 2 2 4" xfId="11591" xr:uid="{F8A2FFA6-12C4-4ED4-A42C-63D16044C5F2}"/>
    <cellStyle name="Normal 5 2 4 3 2 3" xfId="5222" xr:uid="{00000000-0005-0000-0000-0000FF180000}"/>
    <cellStyle name="Normal 5 2 4 3 2 3 2" xfId="22105" xr:uid="{783464FF-DC6D-492D-A1F9-B2CA8BFDA767}"/>
    <cellStyle name="Normal 5 2 4 3 2 3 3" xfId="13664" xr:uid="{60B93D25-4339-4382-B624-33375A4E56E1}"/>
    <cellStyle name="Normal 5 2 4 3 2 4" xfId="17887" xr:uid="{CD374E90-0B0D-4B38-AC4F-DEB1C26826EE}"/>
    <cellStyle name="Normal 5 2 4 3 2 5" xfId="9446" xr:uid="{EB20E342-C570-45D0-A42C-97E35957FF10}"/>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24663" xr:uid="{B9F12F10-29AC-404B-AADC-414A304B6BBB}"/>
    <cellStyle name="Normal 5 2 4 3 3 2 2 3" xfId="16222" xr:uid="{C6B833BF-80F9-41C4-B237-66A323256F17}"/>
    <cellStyle name="Normal 5 2 4 3 3 2 3" xfId="20445" xr:uid="{A8229700-CDD7-4204-855A-B0D9A53C85BA}"/>
    <cellStyle name="Normal 5 2 4 3 3 2 4" xfId="12004" xr:uid="{3C91C75B-E475-4FE3-931B-B87C54716E06}"/>
    <cellStyle name="Normal 5 2 4 3 3 3" xfId="5635" xr:uid="{00000000-0005-0000-0000-000003190000}"/>
    <cellStyle name="Normal 5 2 4 3 3 3 2" xfId="22518" xr:uid="{47C56126-9C3E-4FEF-8BF4-56DFFE320EA4}"/>
    <cellStyle name="Normal 5 2 4 3 3 3 3" xfId="14077" xr:uid="{03E98C8B-034A-4141-909F-0B6B0E7C7843}"/>
    <cellStyle name="Normal 5 2 4 3 3 4" xfId="18300" xr:uid="{FFBF5A4A-6A97-4BCC-9C0E-42AFA9F26790}"/>
    <cellStyle name="Normal 5 2 4 3 3 5" xfId="9859" xr:uid="{B532BB82-F701-4DA8-81E1-7D3D17359D85}"/>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25076" xr:uid="{35A6748F-9923-4B7D-9E67-230F4981D63A}"/>
    <cellStyle name="Normal 5 2 4 3 4 2 2 3" xfId="16635" xr:uid="{25105C7A-BF36-4839-922C-FA91978A244A}"/>
    <cellStyle name="Normal 5 2 4 3 4 2 3" xfId="20858" xr:uid="{EA9CC5F4-38F9-4145-989E-3415501EFFC3}"/>
    <cellStyle name="Normal 5 2 4 3 4 2 4" xfId="12417" xr:uid="{0FDDA7C1-654E-4A33-B57F-C3E4EE60C326}"/>
    <cellStyle name="Normal 5 2 4 3 4 3" xfId="6048" xr:uid="{00000000-0005-0000-0000-000007190000}"/>
    <cellStyle name="Normal 5 2 4 3 4 3 2" xfId="22931" xr:uid="{9E67D881-09F7-4B48-B42C-507BA0C89640}"/>
    <cellStyle name="Normal 5 2 4 3 4 3 3" xfId="14490" xr:uid="{3F472662-F383-4E92-9009-2279564EE2D9}"/>
    <cellStyle name="Normal 5 2 4 3 4 4" xfId="18713" xr:uid="{BACA4AFC-B63C-46BB-8112-68F1149839FE}"/>
    <cellStyle name="Normal 5 2 4 3 4 5" xfId="10272" xr:uid="{45300355-9942-4C85-BADB-C361D932FD5B}"/>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25489" xr:uid="{8E8E04DD-7501-4B7E-AE19-26F50ACD4FD9}"/>
    <cellStyle name="Normal 5 2 4 3 5 2 2 3" xfId="17048" xr:uid="{3744D7F4-8092-419C-9628-B023094A0097}"/>
    <cellStyle name="Normal 5 2 4 3 5 2 3" xfId="21271" xr:uid="{F57715AF-960B-4421-AE56-52410D11A270}"/>
    <cellStyle name="Normal 5 2 4 3 5 2 4" xfId="12830" xr:uid="{AABC2D37-209E-4DD9-84B5-FBBE687B4043}"/>
    <cellStyle name="Normal 5 2 4 3 5 3" xfId="6461" xr:uid="{00000000-0005-0000-0000-00000B190000}"/>
    <cellStyle name="Normal 5 2 4 3 5 3 2" xfId="23344" xr:uid="{DDC5CAB7-9A5B-4079-9855-46E6FFB17358}"/>
    <cellStyle name="Normal 5 2 4 3 5 3 3" xfId="14903" xr:uid="{89362720-E787-4454-9881-FED72956510B}"/>
    <cellStyle name="Normal 5 2 4 3 5 4" xfId="19126" xr:uid="{FE4788E4-3AC1-471E-B90C-5E51B5BBCAF1}"/>
    <cellStyle name="Normal 5 2 4 3 5 5" xfId="10685" xr:uid="{9BF64B5B-C587-443B-A48C-2B78B0E47063}"/>
    <cellStyle name="Normal 5 2 4 3 6" xfId="2590" xr:uid="{00000000-0005-0000-0000-00000C190000}"/>
    <cellStyle name="Normal 5 2 4 3 6 2" xfId="6874" xr:uid="{00000000-0005-0000-0000-00000D190000}"/>
    <cellStyle name="Normal 5 2 4 3 6 2 2" xfId="23757" xr:uid="{4A22E72B-D954-4B79-B0A8-F1C27EFCCD61}"/>
    <cellStyle name="Normal 5 2 4 3 6 2 3" xfId="15316" xr:uid="{6EE5589A-A5C1-4C0F-A84D-35B4C083FB8E}"/>
    <cellStyle name="Normal 5 2 4 3 6 3" xfId="19539" xr:uid="{481564F3-83D5-49EA-96E1-47CF9FB472B8}"/>
    <cellStyle name="Normal 5 2 4 3 6 4" xfId="11098" xr:uid="{88FCD7EE-6046-40AE-B790-7EA4D4558C68}"/>
    <cellStyle name="Normal 5 2 4 3 7" xfId="4809" xr:uid="{00000000-0005-0000-0000-00000E190000}"/>
    <cellStyle name="Normal 5 2 4 3 7 2" xfId="21692" xr:uid="{D25457DF-FA65-43C4-B830-A220CD003F8B}"/>
    <cellStyle name="Normal 5 2 4 3 7 3" xfId="13251" xr:uid="{38E78E9B-8A89-4CFD-B5C3-E5211161E825}"/>
    <cellStyle name="Normal 5 2 4 3 8" xfId="17474" xr:uid="{57FBEB41-3EC5-4F3E-9ABF-CF0D2139713B}"/>
    <cellStyle name="Normal 5 2 4 3 9" xfId="9033" xr:uid="{22EA5676-3889-4CB1-8220-B05217AB428C}"/>
    <cellStyle name="Normal 5 2 4 4" xfId="906" xr:uid="{00000000-0005-0000-0000-00000F190000}"/>
    <cellStyle name="Normal 5 2 4 4 2" xfId="3141" xr:uid="{00000000-0005-0000-0000-000010190000}"/>
    <cellStyle name="Normal 5 2 4 4 2 2" xfId="7364" xr:uid="{00000000-0005-0000-0000-000011190000}"/>
    <cellStyle name="Normal 5 2 4 4 2 2 2" xfId="24247" xr:uid="{E8745724-F55E-44E8-88AB-456575E1CF1A}"/>
    <cellStyle name="Normal 5 2 4 4 2 2 3" xfId="15806" xr:uid="{5F387E3B-C2F5-4045-80F9-11203E911E1D}"/>
    <cellStyle name="Normal 5 2 4 4 2 3" xfId="20029" xr:uid="{D188A923-26BF-4E69-B779-7CF9184A0E2F}"/>
    <cellStyle name="Normal 5 2 4 4 2 4" xfId="11588" xr:uid="{58DAC37A-EB32-43C5-ADDC-FB52A4219BD4}"/>
    <cellStyle name="Normal 5 2 4 4 3" xfId="5219" xr:uid="{00000000-0005-0000-0000-000012190000}"/>
    <cellStyle name="Normal 5 2 4 4 3 2" xfId="22102" xr:uid="{D13325D9-8E50-4B84-B5D5-B93BF328D108}"/>
    <cellStyle name="Normal 5 2 4 4 3 3" xfId="13661" xr:uid="{B10F9CCA-472C-4AD6-8291-03B6E621F147}"/>
    <cellStyle name="Normal 5 2 4 4 4" xfId="17884" xr:uid="{2C9EBDD7-61F1-478C-B71D-4B8478311EC4}"/>
    <cellStyle name="Normal 5 2 4 4 5" xfId="9443" xr:uid="{E268E5A6-C4BC-4191-B53D-57A996DBB451}"/>
    <cellStyle name="Normal 5 2 4 5" xfId="1324" xr:uid="{00000000-0005-0000-0000-000013190000}"/>
    <cellStyle name="Normal 5 2 4 5 2" xfId="3554" xr:uid="{00000000-0005-0000-0000-000014190000}"/>
    <cellStyle name="Normal 5 2 4 5 2 2" xfId="7777" xr:uid="{00000000-0005-0000-0000-000015190000}"/>
    <cellStyle name="Normal 5 2 4 5 2 2 2" xfId="24660" xr:uid="{4C575F1A-4C1A-4F6C-9419-B2BBCE9E7CBC}"/>
    <cellStyle name="Normal 5 2 4 5 2 2 3" xfId="16219" xr:uid="{E0B2BC57-2596-48CB-A3B2-7DA66D61917D}"/>
    <cellStyle name="Normal 5 2 4 5 2 3" xfId="20442" xr:uid="{5F7B7E44-7670-4241-A92B-B3A452FBEF7B}"/>
    <cellStyle name="Normal 5 2 4 5 2 4" xfId="12001" xr:uid="{029AF859-4424-4952-973C-A17B47971627}"/>
    <cellStyle name="Normal 5 2 4 5 3" xfId="5632" xr:uid="{00000000-0005-0000-0000-000016190000}"/>
    <cellStyle name="Normal 5 2 4 5 3 2" xfId="22515" xr:uid="{D75FD7B5-4E99-402C-A9BA-0D0F272EF661}"/>
    <cellStyle name="Normal 5 2 4 5 3 3" xfId="14074" xr:uid="{7CF1D209-D874-4677-A314-904C5AAA1AC1}"/>
    <cellStyle name="Normal 5 2 4 5 4" xfId="18297" xr:uid="{2F644635-8347-498A-B895-B9CE54EAAA0F}"/>
    <cellStyle name="Normal 5 2 4 5 5" xfId="9856" xr:uid="{309BFC9F-F107-4351-B1C0-B1A17BC5CB8D}"/>
    <cellStyle name="Normal 5 2 4 6" xfId="1737" xr:uid="{00000000-0005-0000-0000-000017190000}"/>
    <cellStyle name="Normal 5 2 4 6 2" xfId="3967" xr:uid="{00000000-0005-0000-0000-000018190000}"/>
    <cellStyle name="Normal 5 2 4 6 2 2" xfId="8190" xr:uid="{00000000-0005-0000-0000-000019190000}"/>
    <cellStyle name="Normal 5 2 4 6 2 2 2" xfId="25073" xr:uid="{F016C9AF-02D9-4B39-B7A6-727B27869544}"/>
    <cellStyle name="Normal 5 2 4 6 2 2 3" xfId="16632" xr:uid="{877D13BE-102A-43A0-A25E-0C9AFFB8D181}"/>
    <cellStyle name="Normal 5 2 4 6 2 3" xfId="20855" xr:uid="{351E1BA0-67D9-4C38-A5B8-D63E0D34D036}"/>
    <cellStyle name="Normal 5 2 4 6 2 4" xfId="12414" xr:uid="{1FD2E5B3-8CA8-47B9-A33B-046DFAA4F0C5}"/>
    <cellStyle name="Normal 5 2 4 6 3" xfId="6045" xr:uid="{00000000-0005-0000-0000-00001A190000}"/>
    <cellStyle name="Normal 5 2 4 6 3 2" xfId="22928" xr:uid="{8C61CE8B-44DE-419B-A6BD-4F15DB39DA41}"/>
    <cellStyle name="Normal 5 2 4 6 3 3" xfId="14487" xr:uid="{EC37F2E0-5ECC-4B18-9696-EDAB19FB7047}"/>
    <cellStyle name="Normal 5 2 4 6 4" xfId="18710" xr:uid="{CD18D4A2-2328-4D8E-9DD8-787D54ED4ED0}"/>
    <cellStyle name="Normal 5 2 4 6 5" xfId="10269" xr:uid="{0CA73DF9-A57D-45E1-93E2-1417BC56903F}"/>
    <cellStyle name="Normal 5 2 4 7" xfId="2151" xr:uid="{00000000-0005-0000-0000-00001B190000}"/>
    <cellStyle name="Normal 5 2 4 7 2" xfId="4380" xr:uid="{00000000-0005-0000-0000-00001C190000}"/>
    <cellStyle name="Normal 5 2 4 7 2 2" xfId="8603" xr:uid="{00000000-0005-0000-0000-00001D190000}"/>
    <cellStyle name="Normal 5 2 4 7 2 2 2" xfId="25486" xr:uid="{8252474D-5B90-440E-BE3C-8BCCCFED66A2}"/>
    <cellStyle name="Normal 5 2 4 7 2 2 3" xfId="17045" xr:uid="{0C5EB17F-FCBF-4F28-8089-44996285B574}"/>
    <cellStyle name="Normal 5 2 4 7 2 3" xfId="21268" xr:uid="{EABC166E-CE1E-486D-A186-7F3753DE31F8}"/>
    <cellStyle name="Normal 5 2 4 7 2 4" xfId="12827" xr:uid="{1C8A80D1-B519-45DA-89D5-7F3A6A3B6CBD}"/>
    <cellStyle name="Normal 5 2 4 7 3" xfId="6458" xr:uid="{00000000-0005-0000-0000-00001E190000}"/>
    <cellStyle name="Normal 5 2 4 7 3 2" xfId="23341" xr:uid="{27E36A15-9140-42D9-B6BE-46C56B1C3DCD}"/>
    <cellStyle name="Normal 5 2 4 7 3 3" xfId="14900" xr:uid="{E40D3181-7E22-4661-BF8E-0F47FFE6A564}"/>
    <cellStyle name="Normal 5 2 4 7 4" xfId="19123" xr:uid="{C68890C6-CBAE-406A-B592-E17C7ACDD5AB}"/>
    <cellStyle name="Normal 5 2 4 7 5" xfId="10682" xr:uid="{D6BD9223-EFFB-4E7F-8636-B75882189996}"/>
    <cellStyle name="Normal 5 2 4 8" xfId="2587" xr:uid="{00000000-0005-0000-0000-00001F190000}"/>
    <cellStyle name="Normal 5 2 4 8 2" xfId="6871" xr:uid="{00000000-0005-0000-0000-000020190000}"/>
    <cellStyle name="Normal 5 2 4 8 2 2" xfId="23754" xr:uid="{04C96E3E-5287-4BB1-9733-12232FEA0E07}"/>
    <cellStyle name="Normal 5 2 4 8 2 3" xfId="15313" xr:uid="{6A838E00-D5D1-4B05-877E-EF7BFF892074}"/>
    <cellStyle name="Normal 5 2 4 8 3" xfId="19536" xr:uid="{D83BDC42-60A0-44C1-93DE-3CD39C239DBF}"/>
    <cellStyle name="Normal 5 2 4 8 4" xfId="11095" xr:uid="{E7C41BE3-9DE2-4D1B-93FF-689768413C3C}"/>
    <cellStyle name="Normal 5 2 4 9" xfId="4806" xr:uid="{00000000-0005-0000-0000-000021190000}"/>
    <cellStyle name="Normal 5 2 4 9 2" xfId="21689" xr:uid="{3D7B91A4-3B41-40A5-873C-41FB715956C2}"/>
    <cellStyle name="Normal 5 2 4 9 3" xfId="13248" xr:uid="{26F3A05D-4F93-4800-846E-1B2D951779EF}"/>
    <cellStyle name="Normal 5 2 5" xfId="436" xr:uid="{00000000-0005-0000-0000-000022190000}"/>
    <cellStyle name="Normal 5 2 5 10" xfId="9034" xr:uid="{BBD164A9-A4B3-4957-9845-07EA1B586331}"/>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24252" xr:uid="{13920EA3-456C-465A-8EAE-BE3D4BF2634F}"/>
    <cellStyle name="Normal 5 2 5 2 2 2 2 3" xfId="15811" xr:uid="{3AF1D59B-73B1-4E27-8757-A04373522C55}"/>
    <cellStyle name="Normal 5 2 5 2 2 2 3" xfId="20034" xr:uid="{E9D0E1B4-9C7E-4036-95A7-257E1E640C9F}"/>
    <cellStyle name="Normal 5 2 5 2 2 2 4" xfId="11593" xr:uid="{47D32F57-F891-463A-95F6-BAAC01E21497}"/>
    <cellStyle name="Normal 5 2 5 2 2 3" xfId="5224" xr:uid="{00000000-0005-0000-0000-000027190000}"/>
    <cellStyle name="Normal 5 2 5 2 2 3 2" xfId="22107" xr:uid="{010ACD63-D56D-4F0B-AC8B-262519E4D965}"/>
    <cellStyle name="Normal 5 2 5 2 2 3 3" xfId="13666" xr:uid="{8D40130A-D750-408A-BDE6-C13461C6513C}"/>
    <cellStyle name="Normal 5 2 5 2 2 4" xfId="17889" xr:uid="{AC1F5EC7-5247-4907-B1B2-2E481081CF41}"/>
    <cellStyle name="Normal 5 2 5 2 2 5" xfId="9448" xr:uid="{EDC5149D-173B-47D0-9FA6-6FF916D7915F}"/>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24665" xr:uid="{4F92C6F0-4642-4EEB-8B47-F4B19662E390}"/>
    <cellStyle name="Normal 5 2 5 2 3 2 2 3" xfId="16224" xr:uid="{690CC780-8FFE-4ECC-96F4-AEE9EED9B1CD}"/>
    <cellStyle name="Normal 5 2 5 2 3 2 3" xfId="20447" xr:uid="{713EA83D-CA8D-4078-B933-27AB7B31F639}"/>
    <cellStyle name="Normal 5 2 5 2 3 2 4" xfId="12006" xr:uid="{6F4ACAAC-CE91-4AD3-9065-53CC4C7A8430}"/>
    <cellStyle name="Normal 5 2 5 2 3 3" xfId="5637" xr:uid="{00000000-0005-0000-0000-00002B190000}"/>
    <cellStyle name="Normal 5 2 5 2 3 3 2" xfId="22520" xr:uid="{1C05D50A-88B9-4A0B-8CBD-1A0E70586808}"/>
    <cellStyle name="Normal 5 2 5 2 3 3 3" xfId="14079" xr:uid="{41CB17F4-2D93-4DAD-9A38-C8A0D6AE5E12}"/>
    <cellStyle name="Normal 5 2 5 2 3 4" xfId="18302" xr:uid="{AB314D93-0567-4B09-85F8-074F8F1E1199}"/>
    <cellStyle name="Normal 5 2 5 2 3 5" xfId="9861" xr:uid="{64945538-DDEB-4B81-86C2-A60FA9858F8B}"/>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25078" xr:uid="{CE291239-545C-4FD7-9529-D5CCB686ABD2}"/>
    <cellStyle name="Normal 5 2 5 2 4 2 2 3" xfId="16637" xr:uid="{D066C138-A3F1-4EC1-BD61-71566F814786}"/>
    <cellStyle name="Normal 5 2 5 2 4 2 3" xfId="20860" xr:uid="{F9EEB161-3DF3-4AEB-8781-7F63AFC7F1A1}"/>
    <cellStyle name="Normal 5 2 5 2 4 2 4" xfId="12419" xr:uid="{1B8B8B13-F5A7-48AA-B820-B4A513891EF7}"/>
    <cellStyle name="Normal 5 2 5 2 4 3" xfId="6050" xr:uid="{00000000-0005-0000-0000-00002F190000}"/>
    <cellStyle name="Normal 5 2 5 2 4 3 2" xfId="22933" xr:uid="{DD7D72E4-3AFB-4ABE-AE27-2C78D056D981}"/>
    <cellStyle name="Normal 5 2 5 2 4 3 3" xfId="14492" xr:uid="{D63E86F5-DBFD-4056-AE86-8A9B7A9643FF}"/>
    <cellStyle name="Normal 5 2 5 2 4 4" xfId="18715" xr:uid="{FE8B8FEE-7965-445C-B4BC-F2FC50BAEAEC}"/>
    <cellStyle name="Normal 5 2 5 2 4 5" xfId="10274" xr:uid="{34A07A66-5757-4D41-8FC4-7208058519C0}"/>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25491" xr:uid="{F7356D6C-1349-4C81-9D01-A2E44AFFAF01}"/>
    <cellStyle name="Normal 5 2 5 2 5 2 2 3" xfId="17050" xr:uid="{39E848A4-3BB5-4E26-A207-918A2BD2E2E2}"/>
    <cellStyle name="Normal 5 2 5 2 5 2 3" xfId="21273" xr:uid="{BF873891-B8C8-4867-AEB8-12CAD1A671C0}"/>
    <cellStyle name="Normal 5 2 5 2 5 2 4" xfId="12832" xr:uid="{5E0E76C8-B7BB-46BB-904D-B20FD6BB6CDC}"/>
    <cellStyle name="Normal 5 2 5 2 5 3" xfId="6463" xr:uid="{00000000-0005-0000-0000-000033190000}"/>
    <cellStyle name="Normal 5 2 5 2 5 3 2" xfId="23346" xr:uid="{22ADDACC-F1AB-4D1F-8CCD-E501436C7FB8}"/>
    <cellStyle name="Normal 5 2 5 2 5 3 3" xfId="14905" xr:uid="{3C136C16-C4AE-479E-AD22-6E978323D629}"/>
    <cellStyle name="Normal 5 2 5 2 5 4" xfId="19128" xr:uid="{4B98BFA8-E3FB-4D01-9410-2C252E166C3E}"/>
    <cellStyle name="Normal 5 2 5 2 5 5" xfId="10687" xr:uid="{ADD50B70-F20C-478D-AD94-C601E8653FBF}"/>
    <cellStyle name="Normal 5 2 5 2 6" xfId="2592" xr:uid="{00000000-0005-0000-0000-000034190000}"/>
    <cellStyle name="Normal 5 2 5 2 6 2" xfId="6876" xr:uid="{00000000-0005-0000-0000-000035190000}"/>
    <cellStyle name="Normal 5 2 5 2 6 2 2" xfId="23759" xr:uid="{4BCBED7F-151A-4A50-9AD3-930F7A42FB12}"/>
    <cellStyle name="Normal 5 2 5 2 6 2 3" xfId="15318" xr:uid="{F844D4EC-8F95-4EE6-AA54-4B7AD3073C5F}"/>
    <cellStyle name="Normal 5 2 5 2 6 3" xfId="19541" xr:uid="{E7F78C4A-7D25-401A-9F79-D6A2A2275980}"/>
    <cellStyle name="Normal 5 2 5 2 6 4" xfId="11100" xr:uid="{435AED24-7DED-48C9-A88D-AD5C2D1F87FA}"/>
    <cellStyle name="Normal 5 2 5 2 7" xfId="4811" xr:uid="{00000000-0005-0000-0000-000036190000}"/>
    <cellStyle name="Normal 5 2 5 2 7 2" xfId="21694" xr:uid="{4BD1734E-F71F-4D86-A536-70490378C29F}"/>
    <cellStyle name="Normal 5 2 5 2 7 3" xfId="13253" xr:uid="{920D75E8-4FF5-4E5E-AB03-C784F57F273B}"/>
    <cellStyle name="Normal 5 2 5 2 8" xfId="17476" xr:uid="{E96857D1-0856-4346-9ABD-02F5EB71EDAB}"/>
    <cellStyle name="Normal 5 2 5 2 9" xfId="9035" xr:uid="{676BD2CB-234C-4F91-A6E3-26E22099A296}"/>
    <cellStyle name="Normal 5 2 5 3" xfId="910" xr:uid="{00000000-0005-0000-0000-000037190000}"/>
    <cellStyle name="Normal 5 2 5 3 2" xfId="3145" xr:uid="{00000000-0005-0000-0000-000038190000}"/>
    <cellStyle name="Normal 5 2 5 3 2 2" xfId="7368" xr:uid="{00000000-0005-0000-0000-000039190000}"/>
    <cellStyle name="Normal 5 2 5 3 2 2 2" xfId="24251" xr:uid="{7A4A8D04-4CC2-491C-BDEA-E5A7BAD9B8B2}"/>
    <cellStyle name="Normal 5 2 5 3 2 2 3" xfId="15810" xr:uid="{9908DE32-D208-48C8-907E-60E6AA496EBC}"/>
    <cellStyle name="Normal 5 2 5 3 2 3" xfId="20033" xr:uid="{5785CF3D-9F29-4240-A13F-A1E4851F9369}"/>
    <cellStyle name="Normal 5 2 5 3 2 4" xfId="11592" xr:uid="{CD1B1C19-9EDE-478D-99CE-397E2A196CA3}"/>
    <cellStyle name="Normal 5 2 5 3 3" xfId="5223" xr:uid="{00000000-0005-0000-0000-00003A190000}"/>
    <cellStyle name="Normal 5 2 5 3 3 2" xfId="22106" xr:uid="{EF922CCD-02CA-48F2-B8D4-9DD96A739C59}"/>
    <cellStyle name="Normal 5 2 5 3 3 3" xfId="13665" xr:uid="{4140DFAE-A602-4F0A-9E61-93797620C3DF}"/>
    <cellStyle name="Normal 5 2 5 3 4" xfId="17888" xr:uid="{F69BE224-5C1E-4C61-9226-E7398C3F8982}"/>
    <cellStyle name="Normal 5 2 5 3 5" xfId="9447" xr:uid="{1083ED5A-32AC-4892-A214-137D03674F68}"/>
    <cellStyle name="Normal 5 2 5 4" xfId="1328" xr:uid="{00000000-0005-0000-0000-00003B190000}"/>
    <cellStyle name="Normal 5 2 5 4 2" xfId="3558" xr:uid="{00000000-0005-0000-0000-00003C190000}"/>
    <cellStyle name="Normal 5 2 5 4 2 2" xfId="7781" xr:uid="{00000000-0005-0000-0000-00003D190000}"/>
    <cellStyle name="Normal 5 2 5 4 2 2 2" xfId="24664" xr:uid="{36FC3ED7-C1C2-4728-900A-D7781D0DA551}"/>
    <cellStyle name="Normal 5 2 5 4 2 2 3" xfId="16223" xr:uid="{50C5CE49-6F40-4C6C-9671-78FA35F68CC7}"/>
    <cellStyle name="Normal 5 2 5 4 2 3" xfId="20446" xr:uid="{F3E6C8A7-5ABD-4AAC-80F4-367322B06B91}"/>
    <cellStyle name="Normal 5 2 5 4 2 4" xfId="12005" xr:uid="{FD3F4E49-4B75-41A7-8E71-A54A43182103}"/>
    <cellStyle name="Normal 5 2 5 4 3" xfId="5636" xr:uid="{00000000-0005-0000-0000-00003E190000}"/>
    <cellStyle name="Normal 5 2 5 4 3 2" xfId="22519" xr:uid="{D09DB4D3-98C7-4030-B4B7-99D7BCCF8CD7}"/>
    <cellStyle name="Normal 5 2 5 4 3 3" xfId="14078" xr:uid="{BF103D8A-7318-4386-8E66-3B23846EE473}"/>
    <cellStyle name="Normal 5 2 5 4 4" xfId="18301" xr:uid="{B5C1CE40-4E79-4750-844E-CE8B95AE8294}"/>
    <cellStyle name="Normal 5 2 5 4 5" xfId="9860" xr:uid="{CAFB3FE5-4CF8-4076-80E6-FBA92A73D9D4}"/>
    <cellStyle name="Normal 5 2 5 5" xfId="1741" xr:uid="{00000000-0005-0000-0000-00003F190000}"/>
    <cellStyle name="Normal 5 2 5 5 2" xfId="3971" xr:uid="{00000000-0005-0000-0000-000040190000}"/>
    <cellStyle name="Normal 5 2 5 5 2 2" xfId="8194" xr:uid="{00000000-0005-0000-0000-000041190000}"/>
    <cellStyle name="Normal 5 2 5 5 2 2 2" xfId="25077" xr:uid="{82B9A461-062B-4C94-90AD-75BC161FA15D}"/>
    <cellStyle name="Normal 5 2 5 5 2 2 3" xfId="16636" xr:uid="{D8327EE5-F350-4BF6-8216-F816F931A4E3}"/>
    <cellStyle name="Normal 5 2 5 5 2 3" xfId="20859" xr:uid="{B5FEB587-B3AD-4447-B7D8-F68C224E0AE6}"/>
    <cellStyle name="Normal 5 2 5 5 2 4" xfId="12418" xr:uid="{92F9C8C9-6BB5-459F-80C5-ED082065301C}"/>
    <cellStyle name="Normal 5 2 5 5 3" xfId="6049" xr:uid="{00000000-0005-0000-0000-000042190000}"/>
    <cellStyle name="Normal 5 2 5 5 3 2" xfId="22932" xr:uid="{BD73F8FA-8016-4EB0-BA5C-67B5424D5915}"/>
    <cellStyle name="Normal 5 2 5 5 3 3" xfId="14491" xr:uid="{2B0D1175-49EC-456C-8F2D-317922251C11}"/>
    <cellStyle name="Normal 5 2 5 5 4" xfId="18714" xr:uid="{42C0B602-A254-4878-814A-0F15933BC038}"/>
    <cellStyle name="Normal 5 2 5 5 5" xfId="10273" xr:uid="{203ADE29-DE75-4A67-8360-6CE8F14E1E8D}"/>
    <cellStyle name="Normal 5 2 5 6" xfId="2155" xr:uid="{00000000-0005-0000-0000-000043190000}"/>
    <cellStyle name="Normal 5 2 5 6 2" xfId="4384" xr:uid="{00000000-0005-0000-0000-000044190000}"/>
    <cellStyle name="Normal 5 2 5 6 2 2" xfId="8607" xr:uid="{00000000-0005-0000-0000-000045190000}"/>
    <cellStyle name="Normal 5 2 5 6 2 2 2" xfId="25490" xr:uid="{28531E5F-F6C3-49F1-8570-00751A5B51DA}"/>
    <cellStyle name="Normal 5 2 5 6 2 2 3" xfId="17049" xr:uid="{EBF5832E-1F80-43C8-B9D9-4CE7B195BA5E}"/>
    <cellStyle name="Normal 5 2 5 6 2 3" xfId="21272" xr:uid="{D3AE4CA1-7F20-446A-87BC-371949479297}"/>
    <cellStyle name="Normal 5 2 5 6 2 4" xfId="12831" xr:uid="{28FFE17A-DA00-4438-90C9-7AAF5E5B657C}"/>
    <cellStyle name="Normal 5 2 5 6 3" xfId="6462" xr:uid="{00000000-0005-0000-0000-000046190000}"/>
    <cellStyle name="Normal 5 2 5 6 3 2" xfId="23345" xr:uid="{485FFACF-F2DC-4724-BB80-70A617599F30}"/>
    <cellStyle name="Normal 5 2 5 6 3 3" xfId="14904" xr:uid="{502E740B-BD03-4B58-9B08-87ED7DFABF90}"/>
    <cellStyle name="Normal 5 2 5 6 4" xfId="19127" xr:uid="{EF1CDA42-C2E2-4D56-B9DF-8C925420D614}"/>
    <cellStyle name="Normal 5 2 5 6 5" xfId="10686" xr:uid="{B8D3EB71-364E-4EA8-83E5-33B5F6859721}"/>
    <cellStyle name="Normal 5 2 5 7" xfId="2591" xr:uid="{00000000-0005-0000-0000-000047190000}"/>
    <cellStyle name="Normal 5 2 5 7 2" xfId="6875" xr:uid="{00000000-0005-0000-0000-000048190000}"/>
    <cellStyle name="Normal 5 2 5 7 2 2" xfId="23758" xr:uid="{65477467-8A67-42A2-9871-09AFB60CC502}"/>
    <cellStyle name="Normal 5 2 5 7 2 3" xfId="15317" xr:uid="{F6D4A7FB-2B94-43BD-B809-93FAEFB78A1C}"/>
    <cellStyle name="Normal 5 2 5 7 3" xfId="19540" xr:uid="{F19E64ED-07D4-43C7-A691-8857CED34515}"/>
    <cellStyle name="Normal 5 2 5 7 4" xfId="11099" xr:uid="{A5014373-4CB3-472A-8746-D5EEB96A9D6C}"/>
    <cellStyle name="Normal 5 2 5 8" xfId="4810" xr:uid="{00000000-0005-0000-0000-000049190000}"/>
    <cellStyle name="Normal 5 2 5 8 2" xfId="21693" xr:uid="{0100B85F-D7FE-469C-AA0E-77E14FAF0452}"/>
    <cellStyle name="Normal 5 2 5 8 3" xfId="13252" xr:uid="{F3906B82-B033-4596-A56F-ACEDE52A34A6}"/>
    <cellStyle name="Normal 5 2 5 9" xfId="17475" xr:uid="{85988551-50A3-4A3E-B10B-535F4B183093}"/>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24253" xr:uid="{9FF2CE1B-6442-4ABC-9937-7AA46088585D}"/>
    <cellStyle name="Normal 5 2 6 2 2 2 3" xfId="15812" xr:uid="{572EC47C-50C7-4219-8E44-7467DD11D875}"/>
    <cellStyle name="Normal 5 2 6 2 2 3" xfId="20035" xr:uid="{F25A56F5-99EB-4414-AA2B-8C5412A56206}"/>
    <cellStyle name="Normal 5 2 6 2 2 4" xfId="11594" xr:uid="{B36DFA3C-5AEB-40C9-AE56-ECB3B86B76C2}"/>
    <cellStyle name="Normal 5 2 6 2 3" xfId="5225" xr:uid="{00000000-0005-0000-0000-00004E190000}"/>
    <cellStyle name="Normal 5 2 6 2 3 2" xfId="22108" xr:uid="{52196015-0964-4D37-91E3-B7E656A46FD6}"/>
    <cellStyle name="Normal 5 2 6 2 3 3" xfId="13667" xr:uid="{89049CB8-F191-4B63-9082-BE527E2E9865}"/>
    <cellStyle name="Normal 5 2 6 2 4" xfId="17890" xr:uid="{D5E1B6D3-0A49-4D1A-8615-E1EB0DADD832}"/>
    <cellStyle name="Normal 5 2 6 2 5" xfId="9449" xr:uid="{81312540-0B64-444E-BC62-23F9568E89AE}"/>
    <cellStyle name="Normal 5 2 6 3" xfId="1330" xr:uid="{00000000-0005-0000-0000-00004F190000}"/>
    <cellStyle name="Normal 5 2 6 3 2" xfId="3560" xr:uid="{00000000-0005-0000-0000-000050190000}"/>
    <cellStyle name="Normal 5 2 6 3 2 2" xfId="7783" xr:uid="{00000000-0005-0000-0000-000051190000}"/>
    <cellStyle name="Normal 5 2 6 3 2 2 2" xfId="24666" xr:uid="{4783ECC3-B079-4A69-84E0-C935C42CD541}"/>
    <cellStyle name="Normal 5 2 6 3 2 2 3" xfId="16225" xr:uid="{62D32B4D-4157-4B9D-A0BB-4F33331D6DC0}"/>
    <cellStyle name="Normal 5 2 6 3 2 3" xfId="20448" xr:uid="{06D96CB9-DB9C-46BC-A09A-163850611FE0}"/>
    <cellStyle name="Normal 5 2 6 3 2 4" xfId="12007" xr:uid="{C78C11EA-A601-4739-B9A6-28477E16D3E1}"/>
    <cellStyle name="Normal 5 2 6 3 3" xfId="5638" xr:uid="{00000000-0005-0000-0000-000052190000}"/>
    <cellStyle name="Normal 5 2 6 3 3 2" xfId="22521" xr:uid="{342CF2A1-E1F5-401F-A690-2C2DFEB1FCD8}"/>
    <cellStyle name="Normal 5 2 6 3 3 3" xfId="14080" xr:uid="{161A42B7-4E70-48D5-80F3-15A0BB57A910}"/>
    <cellStyle name="Normal 5 2 6 3 4" xfId="18303" xr:uid="{F1E278F3-C14F-4044-99CE-AF764BAFFF33}"/>
    <cellStyle name="Normal 5 2 6 3 5" xfId="9862" xr:uid="{747200CB-7F34-40AD-8686-618680D19542}"/>
    <cellStyle name="Normal 5 2 6 4" xfId="1743" xr:uid="{00000000-0005-0000-0000-000053190000}"/>
    <cellStyle name="Normal 5 2 6 4 2" xfId="3973" xr:uid="{00000000-0005-0000-0000-000054190000}"/>
    <cellStyle name="Normal 5 2 6 4 2 2" xfId="8196" xr:uid="{00000000-0005-0000-0000-000055190000}"/>
    <cellStyle name="Normal 5 2 6 4 2 2 2" xfId="25079" xr:uid="{F3795DF0-8A76-471C-A97D-0AE1F6391FAF}"/>
    <cellStyle name="Normal 5 2 6 4 2 2 3" xfId="16638" xr:uid="{6F09B2EA-C085-4648-85EF-1DDBAC2515C8}"/>
    <cellStyle name="Normal 5 2 6 4 2 3" xfId="20861" xr:uid="{1F654603-7613-45A5-AF14-F6D226F40279}"/>
    <cellStyle name="Normal 5 2 6 4 2 4" xfId="12420" xr:uid="{03E62295-44F7-400D-8C76-C79DAA41F228}"/>
    <cellStyle name="Normal 5 2 6 4 3" xfId="6051" xr:uid="{00000000-0005-0000-0000-000056190000}"/>
    <cellStyle name="Normal 5 2 6 4 3 2" xfId="22934" xr:uid="{478A0850-CCD2-41EF-93AE-CFAE897E1BBD}"/>
    <cellStyle name="Normal 5 2 6 4 3 3" xfId="14493" xr:uid="{048609F7-AD72-4359-9BDD-CF7AF738353B}"/>
    <cellStyle name="Normal 5 2 6 4 4" xfId="18716" xr:uid="{BAE54D69-F0C2-4B6E-9410-98755A4CB4DA}"/>
    <cellStyle name="Normal 5 2 6 4 5" xfId="10275" xr:uid="{9E709D31-572A-4535-9BBD-43524E3E5A46}"/>
    <cellStyle name="Normal 5 2 6 5" xfId="2157" xr:uid="{00000000-0005-0000-0000-000057190000}"/>
    <cellStyle name="Normal 5 2 6 5 2" xfId="4386" xr:uid="{00000000-0005-0000-0000-000058190000}"/>
    <cellStyle name="Normal 5 2 6 5 2 2" xfId="8609" xr:uid="{00000000-0005-0000-0000-000059190000}"/>
    <cellStyle name="Normal 5 2 6 5 2 2 2" xfId="25492" xr:uid="{E6F2A856-508E-4D74-99D1-C02D7B373BD1}"/>
    <cellStyle name="Normal 5 2 6 5 2 2 3" xfId="17051" xr:uid="{FEB4DF03-62EA-46FB-B1FF-FD46682F09B5}"/>
    <cellStyle name="Normal 5 2 6 5 2 3" xfId="21274" xr:uid="{F10BDBE2-146C-4A3D-BA52-446498CCCA4A}"/>
    <cellStyle name="Normal 5 2 6 5 2 4" xfId="12833" xr:uid="{A5D8E108-E938-490D-A278-60E512C0DF92}"/>
    <cellStyle name="Normal 5 2 6 5 3" xfId="6464" xr:uid="{00000000-0005-0000-0000-00005A190000}"/>
    <cellStyle name="Normal 5 2 6 5 3 2" xfId="23347" xr:uid="{485F1484-FAAD-4966-AF27-FFA95895F38E}"/>
    <cellStyle name="Normal 5 2 6 5 3 3" xfId="14906" xr:uid="{9856AB0C-E7D8-4036-A702-90E112B3FC6E}"/>
    <cellStyle name="Normal 5 2 6 5 4" xfId="19129" xr:uid="{5BBFDEC8-B987-441C-B29C-B77D67E0A360}"/>
    <cellStyle name="Normal 5 2 6 5 5" xfId="10688" xr:uid="{2F9452E8-77D6-4CF1-A7EB-D0BCF2C2527D}"/>
    <cellStyle name="Normal 5 2 6 6" xfId="2593" xr:uid="{00000000-0005-0000-0000-00005B190000}"/>
    <cellStyle name="Normal 5 2 6 6 2" xfId="6877" xr:uid="{00000000-0005-0000-0000-00005C190000}"/>
    <cellStyle name="Normal 5 2 6 6 2 2" xfId="23760" xr:uid="{1D64D93C-85ED-4234-A729-441FDD20A9F6}"/>
    <cellStyle name="Normal 5 2 6 6 2 3" xfId="15319" xr:uid="{EAE70314-183B-40E8-9486-B7FC5A222EC9}"/>
    <cellStyle name="Normal 5 2 6 6 3" xfId="19542" xr:uid="{0236838F-1254-4B14-9D4B-FF94E8C76B44}"/>
    <cellStyle name="Normal 5 2 6 6 4" xfId="11101" xr:uid="{F594B220-36F5-4E9E-A7FE-0A09A2A03C57}"/>
    <cellStyle name="Normal 5 2 6 7" xfId="4812" xr:uid="{00000000-0005-0000-0000-00005D190000}"/>
    <cellStyle name="Normal 5 2 6 7 2" xfId="21695" xr:uid="{3783C7C2-2B7D-4F8E-9971-E3A1FC9D56CF}"/>
    <cellStyle name="Normal 5 2 6 7 3" xfId="13254" xr:uid="{33123E3E-F9BB-4EC0-BB73-B2DFE7200FC7}"/>
    <cellStyle name="Normal 5 2 6 8" xfId="17477" xr:uid="{5286F09F-02C7-4F13-9519-08D03E083B1F}"/>
    <cellStyle name="Normal 5 2 6 9" xfId="9036" xr:uid="{F30243F8-E3B3-4320-895F-B068417E17F7}"/>
    <cellStyle name="Normal 5 2 7" xfId="881" xr:uid="{00000000-0005-0000-0000-00005E190000}"/>
    <cellStyle name="Normal 5 2 7 2" xfId="3116" xr:uid="{00000000-0005-0000-0000-00005F190000}"/>
    <cellStyle name="Normal 5 2 7 2 2" xfId="7339" xr:uid="{00000000-0005-0000-0000-000060190000}"/>
    <cellStyle name="Normal 5 2 7 2 2 2" xfId="24222" xr:uid="{D10412BA-21C3-4E3A-93B5-190B3B6B66F6}"/>
    <cellStyle name="Normal 5 2 7 2 2 3" xfId="15781" xr:uid="{192A8FEC-6D69-48DA-8F38-67E48BFAA273}"/>
    <cellStyle name="Normal 5 2 7 2 3" xfId="20004" xr:uid="{9913E8BB-3DC7-43D4-BB7C-75C428CB234A}"/>
    <cellStyle name="Normal 5 2 7 2 4" xfId="11563" xr:uid="{BCC673FB-F268-4DAB-A053-CB8BDA18BA93}"/>
    <cellStyle name="Normal 5 2 7 3" xfId="5194" xr:uid="{00000000-0005-0000-0000-000061190000}"/>
    <cellStyle name="Normal 5 2 7 3 2" xfId="22077" xr:uid="{B42FEC3F-3F66-480F-938F-C91A67F513DF}"/>
    <cellStyle name="Normal 5 2 7 3 3" xfId="13636" xr:uid="{1CC13BE3-5B65-4735-BA73-ADB3CF2B6DBF}"/>
    <cellStyle name="Normal 5 2 7 4" xfId="17859" xr:uid="{B49D92AA-E609-48A6-ACAD-778D7DE1B4E7}"/>
    <cellStyle name="Normal 5 2 7 5" xfId="9418" xr:uid="{DDF502C7-8CD1-44C2-9C93-EA33AEEF3984}"/>
    <cellStyle name="Normal 5 2 8" xfId="1299" xr:uid="{00000000-0005-0000-0000-000062190000}"/>
    <cellStyle name="Normal 5 2 8 2" xfId="3529" xr:uid="{00000000-0005-0000-0000-000063190000}"/>
    <cellStyle name="Normal 5 2 8 2 2" xfId="7752" xr:uid="{00000000-0005-0000-0000-000064190000}"/>
    <cellStyle name="Normal 5 2 8 2 2 2" xfId="24635" xr:uid="{3D893244-113A-4326-849F-0A5BDA8C58D9}"/>
    <cellStyle name="Normal 5 2 8 2 2 3" xfId="16194" xr:uid="{7F6D7F33-C966-4514-A7E1-DEFB24F98591}"/>
    <cellStyle name="Normal 5 2 8 2 3" xfId="20417" xr:uid="{F3071A31-EBBF-4B77-81EA-84F78C12C61A}"/>
    <cellStyle name="Normal 5 2 8 2 4" xfId="11976" xr:uid="{12209EE8-B24D-4D98-8637-C2807AF78CE9}"/>
    <cellStyle name="Normal 5 2 8 3" xfId="5607" xr:uid="{00000000-0005-0000-0000-000065190000}"/>
    <cellStyle name="Normal 5 2 8 3 2" xfId="22490" xr:uid="{99216C89-6778-478C-BCA7-FD3E75F529B7}"/>
    <cellStyle name="Normal 5 2 8 3 3" xfId="14049" xr:uid="{47F5CF77-19D7-4B28-AEA5-67AE1D1DD1E8}"/>
    <cellStyle name="Normal 5 2 8 4" xfId="18272" xr:uid="{3C3E97AD-74E6-4CA2-BD8A-8E855AEBE085}"/>
    <cellStyle name="Normal 5 2 8 5" xfId="9831" xr:uid="{A8A39E29-6012-44A0-9488-AC8CC0EDC3AC}"/>
    <cellStyle name="Normal 5 2 9" xfId="1712" xr:uid="{00000000-0005-0000-0000-000066190000}"/>
    <cellStyle name="Normal 5 2 9 2" xfId="3942" xr:uid="{00000000-0005-0000-0000-000067190000}"/>
    <cellStyle name="Normal 5 2 9 2 2" xfId="8165" xr:uid="{00000000-0005-0000-0000-000068190000}"/>
    <cellStyle name="Normal 5 2 9 2 2 2" xfId="25048" xr:uid="{B9C80291-7E57-4EFA-9FB7-C6A51664BDB9}"/>
    <cellStyle name="Normal 5 2 9 2 2 3" xfId="16607" xr:uid="{4FF5B47E-2AFE-437E-B654-305BA6D6A41B}"/>
    <cellStyle name="Normal 5 2 9 2 3" xfId="20830" xr:uid="{2D9ED73C-8A13-4926-BFFD-EDBA410AB789}"/>
    <cellStyle name="Normal 5 2 9 2 4" xfId="12389" xr:uid="{7B28E743-249F-46E3-8B4E-350B079E99A6}"/>
    <cellStyle name="Normal 5 2 9 3" xfId="6020" xr:uid="{00000000-0005-0000-0000-000069190000}"/>
    <cellStyle name="Normal 5 2 9 3 2" xfId="22903" xr:uid="{7FF8023B-444C-4431-B7EA-E10963FDF1B3}"/>
    <cellStyle name="Normal 5 2 9 3 3" xfId="14462" xr:uid="{8DE013FE-A6B4-4800-89D5-033745AC2840}"/>
    <cellStyle name="Normal 5 2 9 4" xfId="18685" xr:uid="{E9323B21-7B0B-405A-B6D9-483B8FE2D047}"/>
    <cellStyle name="Normal 5 2 9 5" xfId="10244" xr:uid="{CAB606BF-3184-4F0C-8C3A-7C3D5D11D615}"/>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25493" xr:uid="{6D9F35BF-3225-4E91-A638-971C2B276A0C}"/>
    <cellStyle name="Normal 5 3 10 2 2 3" xfId="17052" xr:uid="{D4F88071-37D1-47F3-9258-0742BDA63C8A}"/>
    <cellStyle name="Normal 5 3 10 2 3" xfId="21275" xr:uid="{D20471A6-D3A6-418E-B385-F2A88E79177E}"/>
    <cellStyle name="Normal 5 3 10 2 4" xfId="12834" xr:uid="{968D2C9D-6D32-4168-8570-31CE357D027C}"/>
    <cellStyle name="Normal 5 3 10 3" xfId="6465" xr:uid="{00000000-0005-0000-0000-00006E190000}"/>
    <cellStyle name="Normal 5 3 10 3 2" xfId="23348" xr:uid="{A629812F-8A69-46F5-86E5-7124741CB010}"/>
    <cellStyle name="Normal 5 3 10 3 3" xfId="14907" xr:uid="{067D2AE2-199A-4AAF-B65B-60432CBEF567}"/>
    <cellStyle name="Normal 5 3 10 4" xfId="19130" xr:uid="{D5162231-717E-4C0B-8FE9-BE0130E7DF83}"/>
    <cellStyle name="Normal 5 3 10 5" xfId="10689" xr:uid="{F9560E85-211A-4CBA-8593-B8861F60DD26}"/>
    <cellStyle name="Normal 5 3 11" xfId="2594" xr:uid="{00000000-0005-0000-0000-00006F190000}"/>
    <cellStyle name="Normal 5 3 11 2" xfId="6878" xr:uid="{00000000-0005-0000-0000-000070190000}"/>
    <cellStyle name="Normal 5 3 11 2 2" xfId="23761" xr:uid="{07613B7E-5D80-4BCF-91E2-12D6037D2A89}"/>
    <cellStyle name="Normal 5 3 11 2 3" xfId="15320" xr:uid="{01C851DD-2F2E-4CCE-BA49-FF7C76AEBF17}"/>
    <cellStyle name="Normal 5 3 11 3" xfId="19543" xr:uid="{E7672DC6-718C-43F4-A94B-8762F698489E}"/>
    <cellStyle name="Normal 5 3 11 4" xfId="11102" xr:uid="{EEEDE321-65D2-4C45-9F9A-D071E0D057C2}"/>
    <cellStyle name="Normal 5 3 12" xfId="4813" xr:uid="{00000000-0005-0000-0000-000071190000}"/>
    <cellStyle name="Normal 5 3 12 2" xfId="21696" xr:uid="{A328A69B-8BCB-4CB0-AC6A-9F672750F1A5}"/>
    <cellStyle name="Normal 5 3 12 3" xfId="13255" xr:uid="{0AE5EF6B-5279-4CE4-89C0-8DF52931F59D}"/>
    <cellStyle name="Normal 5 3 13" xfId="17478" xr:uid="{FF1D179A-E278-4489-B55C-0DA86A091246}"/>
    <cellStyle name="Normal 5 3 14" xfId="9037" xr:uid="{32FBF9D2-E976-4808-9A6C-D56FE23DB22F}"/>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21697" xr:uid="{5A0E0520-77D0-4B3F-91ED-F9DDAEDF4E7D}"/>
    <cellStyle name="Normal 5 3 3 10 3" xfId="13256" xr:uid="{DECB22BA-F194-4448-9BC3-C9E627DCF54E}"/>
    <cellStyle name="Normal 5 3 3 11" xfId="17479" xr:uid="{297FA02A-3D89-4121-896F-351302EA5802}"/>
    <cellStyle name="Normal 5 3 3 12" xfId="9038" xr:uid="{92C43F2E-C1BB-4310-8B84-8D4845C78E56}"/>
    <cellStyle name="Normal 5 3 3 2" xfId="442" xr:uid="{00000000-0005-0000-0000-000076190000}"/>
    <cellStyle name="Normal 5 3 3 2 10" xfId="17480" xr:uid="{2DDBC158-7F47-4694-A02A-BEF9150AE43D}"/>
    <cellStyle name="Normal 5 3 3 2 11" xfId="9039" xr:uid="{7ACE026E-910B-4A55-B354-A6E0AC7E1237}"/>
    <cellStyle name="Normal 5 3 3 2 2" xfId="443" xr:uid="{00000000-0005-0000-0000-000077190000}"/>
    <cellStyle name="Normal 5 3 3 2 2 10" xfId="9040" xr:uid="{74C6A9D0-72FC-4440-9664-E0393C1DB368}"/>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24258" xr:uid="{B18A9FB5-D7FD-4CFA-9B7B-C77E1A90728A}"/>
    <cellStyle name="Normal 5 3 3 2 2 2 2 2 2 3" xfId="15817" xr:uid="{B54EB751-8997-41CE-AE4B-F0829761C3EE}"/>
    <cellStyle name="Normal 5 3 3 2 2 2 2 2 3" xfId="20040" xr:uid="{DAF2CA2A-0CCE-4736-B347-9D45B45B22C1}"/>
    <cellStyle name="Normal 5 3 3 2 2 2 2 2 4" xfId="11599" xr:uid="{A505162D-2EC4-4884-870F-502853D7BAE5}"/>
    <cellStyle name="Normal 5 3 3 2 2 2 2 3" xfId="5230" xr:uid="{00000000-0005-0000-0000-00007C190000}"/>
    <cellStyle name="Normal 5 3 3 2 2 2 2 3 2" xfId="22113" xr:uid="{FB4FE47C-5DF4-4EEB-A48F-D0CC5785E45B}"/>
    <cellStyle name="Normal 5 3 3 2 2 2 2 3 3" xfId="13672" xr:uid="{CC7543E2-43EA-444E-869A-B0370457B33B}"/>
    <cellStyle name="Normal 5 3 3 2 2 2 2 4" xfId="17895" xr:uid="{A90DC551-1DC6-4C7B-A131-EAA166DB56E2}"/>
    <cellStyle name="Normal 5 3 3 2 2 2 2 5" xfId="9454" xr:uid="{022C7BFF-D451-4B86-88CC-DADFAA8C9546}"/>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24671" xr:uid="{2CAFC8EF-A04B-4B47-BED1-79A9FD39111E}"/>
    <cellStyle name="Normal 5 3 3 2 2 2 3 2 2 3" xfId="16230" xr:uid="{98A550A5-DCCE-4C38-8A6E-782DC60D02FC}"/>
    <cellStyle name="Normal 5 3 3 2 2 2 3 2 3" xfId="20453" xr:uid="{6A41C896-F7AF-458F-9B72-BEA4D5EBBE04}"/>
    <cellStyle name="Normal 5 3 3 2 2 2 3 2 4" xfId="12012" xr:uid="{6B296443-75AF-43B3-943E-98435612A263}"/>
    <cellStyle name="Normal 5 3 3 2 2 2 3 3" xfId="5643" xr:uid="{00000000-0005-0000-0000-000080190000}"/>
    <cellStyle name="Normal 5 3 3 2 2 2 3 3 2" xfId="22526" xr:uid="{C62F3D42-DA1F-409B-9F75-C900453111AF}"/>
    <cellStyle name="Normal 5 3 3 2 2 2 3 3 3" xfId="14085" xr:uid="{C65F4A54-FDE9-4AD1-82DC-8CC63EC8671D}"/>
    <cellStyle name="Normal 5 3 3 2 2 2 3 4" xfId="18308" xr:uid="{D354CE8F-D4B2-4859-8AD4-D3A78EC5B103}"/>
    <cellStyle name="Normal 5 3 3 2 2 2 3 5" xfId="9867" xr:uid="{ADCC52CA-22DF-4CDA-AF90-0F93059068A1}"/>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25084" xr:uid="{63B78304-AEB3-46F6-8944-D719ADEDEBEA}"/>
    <cellStyle name="Normal 5 3 3 2 2 2 4 2 2 3" xfId="16643" xr:uid="{CDF0576F-35DE-4063-BAAD-BC1844D76B34}"/>
    <cellStyle name="Normal 5 3 3 2 2 2 4 2 3" xfId="20866" xr:uid="{8401BE06-C729-4163-98CC-EE1D3C859B5A}"/>
    <cellStyle name="Normal 5 3 3 2 2 2 4 2 4" xfId="12425" xr:uid="{6EEBD28E-1A8C-4350-B6FD-BB281A278D8A}"/>
    <cellStyle name="Normal 5 3 3 2 2 2 4 3" xfId="6056" xr:uid="{00000000-0005-0000-0000-000084190000}"/>
    <cellStyle name="Normal 5 3 3 2 2 2 4 3 2" xfId="22939" xr:uid="{97C1F473-D518-4F60-BE1B-A662DC7727B4}"/>
    <cellStyle name="Normal 5 3 3 2 2 2 4 3 3" xfId="14498" xr:uid="{36B40CCD-EE20-4690-9977-050069867FB0}"/>
    <cellStyle name="Normal 5 3 3 2 2 2 4 4" xfId="18721" xr:uid="{8150BD1C-E477-42C7-9A00-4FA8776C7626}"/>
    <cellStyle name="Normal 5 3 3 2 2 2 4 5" xfId="10280" xr:uid="{0586F9D6-FA3D-4E09-B759-38A605854851}"/>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25497" xr:uid="{8FC89635-3BAE-412B-B85E-89F638173C09}"/>
    <cellStyle name="Normal 5 3 3 2 2 2 5 2 2 3" xfId="17056" xr:uid="{89260A8B-8875-4078-A126-39B045BE2D35}"/>
    <cellStyle name="Normal 5 3 3 2 2 2 5 2 3" xfId="21279" xr:uid="{E2E7005A-E727-4D5B-B554-FDCB3168AB7D}"/>
    <cellStyle name="Normal 5 3 3 2 2 2 5 2 4" xfId="12838" xr:uid="{99442299-4290-4CDB-90C2-B636CFD12634}"/>
    <cellStyle name="Normal 5 3 3 2 2 2 5 3" xfId="6469" xr:uid="{00000000-0005-0000-0000-000088190000}"/>
    <cellStyle name="Normal 5 3 3 2 2 2 5 3 2" xfId="23352" xr:uid="{901E2D02-7B66-49A2-B224-B50DB6F18F80}"/>
    <cellStyle name="Normal 5 3 3 2 2 2 5 3 3" xfId="14911" xr:uid="{15C612C6-20E3-444B-A352-79DF56479817}"/>
    <cellStyle name="Normal 5 3 3 2 2 2 5 4" xfId="19134" xr:uid="{5B38FFF2-7702-43DF-BCCA-B7F8939D8059}"/>
    <cellStyle name="Normal 5 3 3 2 2 2 5 5" xfId="10693" xr:uid="{D5960063-6451-4E1D-B101-0F8DBEBA7E09}"/>
    <cellStyle name="Normal 5 3 3 2 2 2 6" xfId="2598" xr:uid="{00000000-0005-0000-0000-000089190000}"/>
    <cellStyle name="Normal 5 3 3 2 2 2 6 2" xfId="6882" xr:uid="{00000000-0005-0000-0000-00008A190000}"/>
    <cellStyle name="Normal 5 3 3 2 2 2 6 2 2" xfId="23765" xr:uid="{4AE3E662-34E1-43B1-823A-EA59B67727BF}"/>
    <cellStyle name="Normal 5 3 3 2 2 2 6 2 3" xfId="15324" xr:uid="{F6C70643-8C8A-4C35-A686-83BAD8E1EEDD}"/>
    <cellStyle name="Normal 5 3 3 2 2 2 6 3" xfId="19547" xr:uid="{3EEC4A3C-B45D-4234-A2F0-25134F65993A}"/>
    <cellStyle name="Normal 5 3 3 2 2 2 6 4" xfId="11106" xr:uid="{4F9FB4F7-A979-41B8-8495-F15CF53B1D53}"/>
    <cellStyle name="Normal 5 3 3 2 2 2 7" xfId="4817" xr:uid="{00000000-0005-0000-0000-00008B190000}"/>
    <cellStyle name="Normal 5 3 3 2 2 2 7 2" xfId="21700" xr:uid="{13688593-C777-433D-9F21-5AB5FEEA877D}"/>
    <cellStyle name="Normal 5 3 3 2 2 2 7 3" xfId="13259" xr:uid="{36491525-ED4E-4817-96E6-B4C30DBC461E}"/>
    <cellStyle name="Normal 5 3 3 2 2 2 8" xfId="17482" xr:uid="{7EEAB8BB-E16D-48D0-A1B1-FD297D96349F}"/>
    <cellStyle name="Normal 5 3 3 2 2 2 9" xfId="9041" xr:uid="{40459484-52D0-4BEA-AE94-3054B20F4516}"/>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24257" xr:uid="{1AC51DB2-2FFF-4AF9-AC26-D0A82AD96B8D}"/>
    <cellStyle name="Normal 5 3 3 2 2 3 2 2 3" xfId="15816" xr:uid="{0102F0C2-CA63-467E-9048-7311B9F81BC8}"/>
    <cellStyle name="Normal 5 3 3 2 2 3 2 3" xfId="20039" xr:uid="{0CE7FFDD-C6F1-483C-9276-6CFDDB23B603}"/>
    <cellStyle name="Normal 5 3 3 2 2 3 2 4" xfId="11598" xr:uid="{01655855-63A6-467C-9506-0790B7DB631F}"/>
    <cellStyle name="Normal 5 3 3 2 2 3 3" xfId="5229" xr:uid="{00000000-0005-0000-0000-00008F190000}"/>
    <cellStyle name="Normal 5 3 3 2 2 3 3 2" xfId="22112" xr:uid="{F53A92E6-93BF-4E13-94C1-D56B4DFFECAA}"/>
    <cellStyle name="Normal 5 3 3 2 2 3 3 3" xfId="13671" xr:uid="{BF4BB57E-4C4C-4E09-953B-909E74D19758}"/>
    <cellStyle name="Normal 5 3 3 2 2 3 4" xfId="17894" xr:uid="{0976B633-3358-4341-842D-97BEFF6EFA67}"/>
    <cellStyle name="Normal 5 3 3 2 2 3 5" xfId="9453" xr:uid="{A3466A9B-C804-4705-BCFE-DF53F7975168}"/>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24670" xr:uid="{6CE7C697-98E6-4519-9593-78AB405F79B8}"/>
    <cellStyle name="Normal 5 3 3 2 2 4 2 2 3" xfId="16229" xr:uid="{41667D45-44F1-47F7-8CEE-D5A76799056E}"/>
    <cellStyle name="Normal 5 3 3 2 2 4 2 3" xfId="20452" xr:uid="{A871C98E-67F0-4D3D-98BF-1EA63EEBEDEB}"/>
    <cellStyle name="Normal 5 3 3 2 2 4 2 4" xfId="12011" xr:uid="{2084CD92-1EBB-4AE5-89B4-08F58C885A39}"/>
    <cellStyle name="Normal 5 3 3 2 2 4 3" xfId="5642" xr:uid="{00000000-0005-0000-0000-000093190000}"/>
    <cellStyle name="Normal 5 3 3 2 2 4 3 2" xfId="22525" xr:uid="{3D961B40-D329-443E-A38B-889AEC2E725F}"/>
    <cellStyle name="Normal 5 3 3 2 2 4 3 3" xfId="14084" xr:uid="{757CDEF7-A1B0-434F-8243-1E65E61DBE55}"/>
    <cellStyle name="Normal 5 3 3 2 2 4 4" xfId="18307" xr:uid="{0A23C18D-DCE3-4FEF-A9DC-313F65A02193}"/>
    <cellStyle name="Normal 5 3 3 2 2 4 5" xfId="9866" xr:uid="{BD2096A6-5A39-4E10-8902-378B000C01E8}"/>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25083" xr:uid="{C0F00285-7768-4111-920D-50DE693CFA50}"/>
    <cellStyle name="Normal 5 3 3 2 2 5 2 2 3" xfId="16642" xr:uid="{F4238528-0C25-4BA5-9164-35B0EEC10A28}"/>
    <cellStyle name="Normal 5 3 3 2 2 5 2 3" xfId="20865" xr:uid="{41B051F8-C1A4-49EB-8A23-6CCE679B1B2A}"/>
    <cellStyle name="Normal 5 3 3 2 2 5 2 4" xfId="12424" xr:uid="{B9401368-ED77-4D16-8DD4-26D9EAA08FD6}"/>
    <cellStyle name="Normal 5 3 3 2 2 5 3" xfId="6055" xr:uid="{00000000-0005-0000-0000-000097190000}"/>
    <cellStyle name="Normal 5 3 3 2 2 5 3 2" xfId="22938" xr:uid="{C7E5EC91-21B2-45B7-B2B7-A115AA8BE846}"/>
    <cellStyle name="Normal 5 3 3 2 2 5 3 3" xfId="14497" xr:uid="{CDC65D3F-02C5-496F-BF0E-F27B6C921330}"/>
    <cellStyle name="Normal 5 3 3 2 2 5 4" xfId="18720" xr:uid="{B8D8A1DE-58A7-45F6-9957-639DBE52F5A0}"/>
    <cellStyle name="Normal 5 3 3 2 2 5 5" xfId="10279" xr:uid="{8B8BE69B-8E5E-4F1B-BC36-24409AC861ED}"/>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25496" xr:uid="{B6C2BBEF-4ACE-4E6C-8548-BACD73365D7B}"/>
    <cellStyle name="Normal 5 3 3 2 2 6 2 2 3" xfId="17055" xr:uid="{44CA2766-EB49-46D8-9D6E-8597C3A6D32E}"/>
    <cellStyle name="Normal 5 3 3 2 2 6 2 3" xfId="21278" xr:uid="{FF47D815-7776-4754-A62F-4F15CCD2CFC0}"/>
    <cellStyle name="Normal 5 3 3 2 2 6 2 4" xfId="12837" xr:uid="{ACA63FE5-5153-4BF1-9471-03F6D4007FAB}"/>
    <cellStyle name="Normal 5 3 3 2 2 6 3" xfId="6468" xr:uid="{00000000-0005-0000-0000-00009B190000}"/>
    <cellStyle name="Normal 5 3 3 2 2 6 3 2" xfId="23351" xr:uid="{50B34D5A-8857-4F2F-B35F-8EFCB06FE608}"/>
    <cellStyle name="Normal 5 3 3 2 2 6 3 3" xfId="14910" xr:uid="{3F430420-282C-446E-873E-D8D3808F0BCD}"/>
    <cellStyle name="Normal 5 3 3 2 2 6 4" xfId="19133" xr:uid="{DD7DC5BF-CEE3-49E8-928E-3F476CD2B985}"/>
    <cellStyle name="Normal 5 3 3 2 2 6 5" xfId="10692" xr:uid="{98CD332B-C388-46CB-B118-C47D3197B2A6}"/>
    <cellStyle name="Normal 5 3 3 2 2 7" xfId="2597" xr:uid="{00000000-0005-0000-0000-00009C190000}"/>
    <cellStyle name="Normal 5 3 3 2 2 7 2" xfId="6881" xr:uid="{00000000-0005-0000-0000-00009D190000}"/>
    <cellStyle name="Normal 5 3 3 2 2 7 2 2" xfId="23764" xr:uid="{9A763005-AEA6-4B2F-B014-613698C5037C}"/>
    <cellStyle name="Normal 5 3 3 2 2 7 2 3" xfId="15323" xr:uid="{4FFB741F-1CBE-44CF-9FA0-3A1C3253F6A9}"/>
    <cellStyle name="Normal 5 3 3 2 2 7 3" xfId="19546" xr:uid="{12F0C93C-A11D-4C50-A9E5-8C7980F6AD75}"/>
    <cellStyle name="Normal 5 3 3 2 2 7 4" xfId="11105" xr:uid="{E186E84C-B103-4B7D-AED3-B67ACD73808C}"/>
    <cellStyle name="Normal 5 3 3 2 2 8" xfId="4816" xr:uid="{00000000-0005-0000-0000-00009E190000}"/>
    <cellStyle name="Normal 5 3 3 2 2 8 2" xfId="21699" xr:uid="{807648EE-280E-45C9-9683-87FC0B4847F1}"/>
    <cellStyle name="Normal 5 3 3 2 2 8 3" xfId="13258" xr:uid="{D90E60C9-ADC7-4690-9B28-6D4EA3ED48A8}"/>
    <cellStyle name="Normal 5 3 3 2 2 9" xfId="17481" xr:uid="{8DB2C2B0-4F20-4E86-9C5C-532657F5DF15}"/>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24259" xr:uid="{7B2B0E80-BB4D-4996-991D-4DE54DA64E8A}"/>
    <cellStyle name="Normal 5 3 3 2 3 2 2 2 3" xfId="15818" xr:uid="{7F5CB171-3791-40A0-BF47-9443E7443D06}"/>
    <cellStyle name="Normal 5 3 3 2 3 2 2 3" xfId="20041" xr:uid="{D2B6DBE8-E32E-4C20-9746-751770144D6A}"/>
    <cellStyle name="Normal 5 3 3 2 3 2 2 4" xfId="11600" xr:uid="{4365443F-A8CA-4FBF-8458-313FB11871DE}"/>
    <cellStyle name="Normal 5 3 3 2 3 2 3" xfId="5231" xr:uid="{00000000-0005-0000-0000-0000A3190000}"/>
    <cellStyle name="Normal 5 3 3 2 3 2 3 2" xfId="22114" xr:uid="{CE55BBF7-B4C0-42DE-81A6-CB0DB7E380CF}"/>
    <cellStyle name="Normal 5 3 3 2 3 2 3 3" xfId="13673" xr:uid="{419660D2-EB2D-40A7-811D-53EF07B3FB35}"/>
    <cellStyle name="Normal 5 3 3 2 3 2 4" xfId="17896" xr:uid="{8927B94A-1BDD-42E7-93E5-028E49616AB2}"/>
    <cellStyle name="Normal 5 3 3 2 3 2 5" xfId="9455" xr:uid="{727CB28B-F3EB-458A-B3E4-F7DB51614AE5}"/>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24672" xr:uid="{B88925F1-B6D7-408D-BDD3-C115B2911DC3}"/>
    <cellStyle name="Normal 5 3 3 2 3 3 2 2 3" xfId="16231" xr:uid="{8B8EA1B1-A4C5-46EE-8C3F-E11D3DEA8875}"/>
    <cellStyle name="Normal 5 3 3 2 3 3 2 3" xfId="20454" xr:uid="{962C4B42-E016-419C-A340-32E374B8C920}"/>
    <cellStyle name="Normal 5 3 3 2 3 3 2 4" xfId="12013" xr:uid="{65BF5CF7-C11B-4317-B9DD-E45700034718}"/>
    <cellStyle name="Normal 5 3 3 2 3 3 3" xfId="5644" xr:uid="{00000000-0005-0000-0000-0000A7190000}"/>
    <cellStyle name="Normal 5 3 3 2 3 3 3 2" xfId="22527" xr:uid="{EC9DA5AA-E73D-4425-82B2-A540DC155611}"/>
    <cellStyle name="Normal 5 3 3 2 3 3 3 3" xfId="14086" xr:uid="{A686EBB7-B469-4FB4-A165-83170E20C202}"/>
    <cellStyle name="Normal 5 3 3 2 3 3 4" xfId="18309" xr:uid="{4B7C009F-2A2D-4D0E-8098-5BC6D36E2907}"/>
    <cellStyle name="Normal 5 3 3 2 3 3 5" xfId="9868" xr:uid="{B554218C-C6F4-4736-96D6-EF327DE77A39}"/>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25085" xr:uid="{C3818677-4F97-45C7-88C8-07546B6381A8}"/>
    <cellStyle name="Normal 5 3 3 2 3 4 2 2 3" xfId="16644" xr:uid="{41D65358-BA52-4CA1-B2EA-F6CD86B2FCCB}"/>
    <cellStyle name="Normal 5 3 3 2 3 4 2 3" xfId="20867" xr:uid="{7DAD7600-64CE-4B78-BC22-4A2417451BC4}"/>
    <cellStyle name="Normal 5 3 3 2 3 4 2 4" xfId="12426" xr:uid="{EB868000-D628-417F-8E4F-AC22D223D780}"/>
    <cellStyle name="Normal 5 3 3 2 3 4 3" xfId="6057" xr:uid="{00000000-0005-0000-0000-0000AB190000}"/>
    <cellStyle name="Normal 5 3 3 2 3 4 3 2" xfId="22940" xr:uid="{714C93FC-6636-464E-8716-EDEF15B47E03}"/>
    <cellStyle name="Normal 5 3 3 2 3 4 3 3" xfId="14499" xr:uid="{64BAB6DA-6530-479C-B09D-C9C3B727B93B}"/>
    <cellStyle name="Normal 5 3 3 2 3 4 4" xfId="18722" xr:uid="{5BD953CF-5F24-4961-9F54-B36D80F8E507}"/>
    <cellStyle name="Normal 5 3 3 2 3 4 5" xfId="10281" xr:uid="{F5D5F474-16BD-4646-A2ED-8F746F8E7DDE}"/>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25498" xr:uid="{651B9F82-1C10-49E2-A961-96E27D59E522}"/>
    <cellStyle name="Normal 5 3 3 2 3 5 2 2 3" xfId="17057" xr:uid="{18747CCD-340B-4B5A-A3B0-AE2EB73091F2}"/>
    <cellStyle name="Normal 5 3 3 2 3 5 2 3" xfId="21280" xr:uid="{71228DF5-3709-43AE-99EE-A88D8A5FA208}"/>
    <cellStyle name="Normal 5 3 3 2 3 5 2 4" xfId="12839" xr:uid="{8C56F408-2C97-495E-8539-03F5FD64C510}"/>
    <cellStyle name="Normal 5 3 3 2 3 5 3" xfId="6470" xr:uid="{00000000-0005-0000-0000-0000AF190000}"/>
    <cellStyle name="Normal 5 3 3 2 3 5 3 2" xfId="23353" xr:uid="{E547F98C-CAE9-40DC-B76C-E564DE881ACC}"/>
    <cellStyle name="Normal 5 3 3 2 3 5 3 3" xfId="14912" xr:uid="{5E761DAF-A49C-41DC-BDB9-F2794980ECCE}"/>
    <cellStyle name="Normal 5 3 3 2 3 5 4" xfId="19135" xr:uid="{18EE8FE2-0DAE-4E23-A5AC-2D8821CDD8F8}"/>
    <cellStyle name="Normal 5 3 3 2 3 5 5" xfId="10694" xr:uid="{76B2D714-338A-41CD-BB6D-88F9E22FDAB6}"/>
    <cellStyle name="Normal 5 3 3 2 3 6" xfId="2599" xr:uid="{00000000-0005-0000-0000-0000B0190000}"/>
    <cellStyle name="Normal 5 3 3 2 3 6 2" xfId="6883" xr:uid="{00000000-0005-0000-0000-0000B1190000}"/>
    <cellStyle name="Normal 5 3 3 2 3 6 2 2" xfId="23766" xr:uid="{86FA60CB-BB05-4F48-8A76-4DCC54A45156}"/>
    <cellStyle name="Normal 5 3 3 2 3 6 2 3" xfId="15325" xr:uid="{24FB0C16-F41B-44A5-99F1-9973B40A0494}"/>
    <cellStyle name="Normal 5 3 3 2 3 6 3" xfId="19548" xr:uid="{0B46F24F-8F88-49BA-A2E6-1178A13BC610}"/>
    <cellStyle name="Normal 5 3 3 2 3 6 4" xfId="11107" xr:uid="{88E94B78-0C41-4AFC-B2CF-88F99ACB63D1}"/>
    <cellStyle name="Normal 5 3 3 2 3 7" xfId="4818" xr:uid="{00000000-0005-0000-0000-0000B2190000}"/>
    <cellStyle name="Normal 5 3 3 2 3 7 2" xfId="21701" xr:uid="{F5434C71-1FEB-43C6-9121-03ABA4A1908D}"/>
    <cellStyle name="Normal 5 3 3 2 3 7 3" xfId="13260" xr:uid="{9F3118DD-AE48-4CBD-8EDB-C8BF4FDDE95C}"/>
    <cellStyle name="Normal 5 3 3 2 3 8" xfId="17483" xr:uid="{EF412AAB-24C9-49FB-A2B2-1275898BB717}"/>
    <cellStyle name="Normal 5 3 3 2 3 9" xfId="9042" xr:uid="{E753D302-8B23-4494-BAE1-5CC86201038E}"/>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24256" xr:uid="{5F229E30-4C70-43FB-A2EA-254813FFE322}"/>
    <cellStyle name="Normal 5 3 3 2 4 2 2 3" xfId="15815" xr:uid="{28B1D233-26FB-45D3-8356-60BD12097DA9}"/>
    <cellStyle name="Normal 5 3 3 2 4 2 3" xfId="20038" xr:uid="{BC8FEBF0-60EF-4736-8AAE-54598F0AF919}"/>
    <cellStyle name="Normal 5 3 3 2 4 2 4" xfId="11597" xr:uid="{01FF3F82-6C4B-47CA-9886-574F328A1308}"/>
    <cellStyle name="Normal 5 3 3 2 4 3" xfId="5228" xr:uid="{00000000-0005-0000-0000-0000B6190000}"/>
    <cellStyle name="Normal 5 3 3 2 4 3 2" xfId="22111" xr:uid="{AA531CDE-7482-4CD5-8801-13195AE1C15C}"/>
    <cellStyle name="Normal 5 3 3 2 4 3 3" xfId="13670" xr:uid="{A80D244A-9B98-47E6-BFE6-0220EF658909}"/>
    <cellStyle name="Normal 5 3 3 2 4 4" xfId="17893" xr:uid="{C7D21055-504B-4F9F-8C56-CA241E6CE20F}"/>
    <cellStyle name="Normal 5 3 3 2 4 5" xfId="9452" xr:uid="{664BAD0A-AB7D-4F93-8517-1CC2FFF771B8}"/>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24669" xr:uid="{626DD7E8-459A-4E51-BE6C-EF47516D0D54}"/>
    <cellStyle name="Normal 5 3 3 2 5 2 2 3" xfId="16228" xr:uid="{0484AC2C-E7E0-42F0-A834-94952AFFCBB7}"/>
    <cellStyle name="Normal 5 3 3 2 5 2 3" xfId="20451" xr:uid="{7ADC983B-F3D8-4694-97AF-F519C171E18B}"/>
    <cellStyle name="Normal 5 3 3 2 5 2 4" xfId="12010" xr:uid="{2DA31B9E-A9AA-4146-AC60-D3A4F915C440}"/>
    <cellStyle name="Normal 5 3 3 2 5 3" xfId="5641" xr:uid="{00000000-0005-0000-0000-0000BA190000}"/>
    <cellStyle name="Normal 5 3 3 2 5 3 2" xfId="22524" xr:uid="{0BBC9631-03CA-4422-A07E-3C5360F70FAE}"/>
    <cellStyle name="Normal 5 3 3 2 5 3 3" xfId="14083" xr:uid="{8E333981-91DB-44EA-AAA4-A1040A6A959F}"/>
    <cellStyle name="Normal 5 3 3 2 5 4" xfId="18306" xr:uid="{4962C7EE-4B6C-470A-80DE-8BFE9ED6B82E}"/>
    <cellStyle name="Normal 5 3 3 2 5 5" xfId="9865" xr:uid="{1663C066-5A62-49DE-9AFF-FF3A0A056CFE}"/>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25082" xr:uid="{13ABA221-C8FC-4546-BEFD-5885BF7F49C9}"/>
    <cellStyle name="Normal 5 3 3 2 6 2 2 3" xfId="16641" xr:uid="{DB8D203F-8949-44B3-BC3B-FE91C3854D4C}"/>
    <cellStyle name="Normal 5 3 3 2 6 2 3" xfId="20864" xr:uid="{ED470087-D068-47DB-ADB7-20F5C2FBBC9B}"/>
    <cellStyle name="Normal 5 3 3 2 6 2 4" xfId="12423" xr:uid="{685CC727-403A-45CB-8B19-F76D992FA8DC}"/>
    <cellStyle name="Normal 5 3 3 2 6 3" xfId="6054" xr:uid="{00000000-0005-0000-0000-0000BE190000}"/>
    <cellStyle name="Normal 5 3 3 2 6 3 2" xfId="22937" xr:uid="{1C60368A-A1D2-4BFE-8C7A-6AE3CF573036}"/>
    <cellStyle name="Normal 5 3 3 2 6 3 3" xfId="14496" xr:uid="{815D6897-CD5F-4DA5-AAC2-1D6F997B2FDF}"/>
    <cellStyle name="Normal 5 3 3 2 6 4" xfId="18719" xr:uid="{EC5A0458-EE61-41FB-A38E-F687B33B1552}"/>
    <cellStyle name="Normal 5 3 3 2 6 5" xfId="10278" xr:uid="{807556A1-CB27-49DD-9C64-309E33909320}"/>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25495" xr:uid="{446C53F7-9B59-436A-881F-51CEB0CAC2AB}"/>
    <cellStyle name="Normal 5 3 3 2 7 2 2 3" xfId="17054" xr:uid="{1C92C9F4-59FC-485A-AC8F-E8F91635116B}"/>
    <cellStyle name="Normal 5 3 3 2 7 2 3" xfId="21277" xr:uid="{63137D92-04DF-4847-B849-78C5E3F4B969}"/>
    <cellStyle name="Normal 5 3 3 2 7 2 4" xfId="12836" xr:uid="{60E76DBC-3B9B-4BEB-A4F5-02B851CC5E15}"/>
    <cellStyle name="Normal 5 3 3 2 7 3" xfId="6467" xr:uid="{00000000-0005-0000-0000-0000C2190000}"/>
    <cellStyle name="Normal 5 3 3 2 7 3 2" xfId="23350" xr:uid="{2D8C41F5-C539-4532-BE0A-46375BF2EED4}"/>
    <cellStyle name="Normal 5 3 3 2 7 3 3" xfId="14909" xr:uid="{24D1C270-2E95-4CE4-9DC3-5B7E1A6C3F86}"/>
    <cellStyle name="Normal 5 3 3 2 7 4" xfId="19132" xr:uid="{313FBE99-8ADB-43AE-96C8-952F6AF96685}"/>
    <cellStyle name="Normal 5 3 3 2 7 5" xfId="10691" xr:uid="{58D5A60C-7F10-475F-901C-DCEF7A70463B}"/>
    <cellStyle name="Normal 5 3 3 2 8" xfId="2596" xr:uid="{00000000-0005-0000-0000-0000C3190000}"/>
    <cellStyle name="Normal 5 3 3 2 8 2" xfId="6880" xr:uid="{00000000-0005-0000-0000-0000C4190000}"/>
    <cellStyle name="Normal 5 3 3 2 8 2 2" xfId="23763" xr:uid="{ABB464E5-FB57-4B25-8D13-3C2314EE319D}"/>
    <cellStyle name="Normal 5 3 3 2 8 2 3" xfId="15322" xr:uid="{E4F5CE33-A77C-43E2-92ED-87C0CFC5A703}"/>
    <cellStyle name="Normal 5 3 3 2 8 3" xfId="19545" xr:uid="{1B30C792-73C3-4313-961C-9D6AF82AD4C1}"/>
    <cellStyle name="Normal 5 3 3 2 8 4" xfId="11104" xr:uid="{4EBBE1EE-34D6-4DBE-98ED-26FE515A76F2}"/>
    <cellStyle name="Normal 5 3 3 2 9" xfId="4815" xr:uid="{00000000-0005-0000-0000-0000C5190000}"/>
    <cellStyle name="Normal 5 3 3 2 9 2" xfId="21698" xr:uid="{C211AD78-8611-454E-98CF-E43D0905FBBD}"/>
    <cellStyle name="Normal 5 3 3 2 9 3" xfId="13257" xr:uid="{50CE276D-2F28-4617-ACDE-51A5AD6EBFD6}"/>
    <cellStyle name="Normal 5 3 3 3" xfId="446" xr:uid="{00000000-0005-0000-0000-0000C6190000}"/>
    <cellStyle name="Normal 5 3 3 3 10" xfId="9043" xr:uid="{720D9745-53FA-4F35-94C8-C7A483FA6E34}"/>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24261" xr:uid="{BE0B3A89-2BDF-4DDD-BE39-D32CD9FE6F6D}"/>
    <cellStyle name="Normal 5 3 3 3 2 2 2 2 3" xfId="15820" xr:uid="{F569F26E-AFA9-4763-893E-05AA2B9D43EE}"/>
    <cellStyle name="Normal 5 3 3 3 2 2 2 3" xfId="20043" xr:uid="{F88F844C-418A-4318-A041-6F47164A02E6}"/>
    <cellStyle name="Normal 5 3 3 3 2 2 2 4" xfId="11602" xr:uid="{0E72E717-555E-4BE2-842B-B1C4E1748DE2}"/>
    <cellStyle name="Normal 5 3 3 3 2 2 3" xfId="5233" xr:uid="{00000000-0005-0000-0000-0000CB190000}"/>
    <cellStyle name="Normal 5 3 3 3 2 2 3 2" xfId="22116" xr:uid="{159DC57C-969C-46E4-949F-1B21BBA5C3F9}"/>
    <cellStyle name="Normal 5 3 3 3 2 2 3 3" xfId="13675" xr:uid="{2ECCEDBB-FC4C-476C-A09F-FE886B25011E}"/>
    <cellStyle name="Normal 5 3 3 3 2 2 4" xfId="17898" xr:uid="{8413AF5A-4FCA-4875-BB33-BC2C0CA398E9}"/>
    <cellStyle name="Normal 5 3 3 3 2 2 5" xfId="9457" xr:uid="{82519B2C-2138-4197-9AC2-5DDE5889563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24674" xr:uid="{8FE4973B-B2AB-49C1-AAC9-8B7EEEBBB5FD}"/>
    <cellStyle name="Normal 5 3 3 3 2 3 2 2 3" xfId="16233" xr:uid="{13CB4605-75F4-498C-A2CD-8EFC58E440C6}"/>
    <cellStyle name="Normal 5 3 3 3 2 3 2 3" xfId="20456" xr:uid="{6D957353-4665-4C7A-8DD0-C120603C6D8A}"/>
    <cellStyle name="Normal 5 3 3 3 2 3 2 4" xfId="12015" xr:uid="{72A08D54-CA92-4857-BC62-EACA573D90C4}"/>
    <cellStyle name="Normal 5 3 3 3 2 3 3" xfId="5646" xr:uid="{00000000-0005-0000-0000-0000CF190000}"/>
    <cellStyle name="Normal 5 3 3 3 2 3 3 2" xfId="22529" xr:uid="{479730FA-CC3B-449C-B5AC-7ADA5DA96322}"/>
    <cellStyle name="Normal 5 3 3 3 2 3 3 3" xfId="14088" xr:uid="{6069F973-E3A8-4BBC-9AD1-43622AF382BC}"/>
    <cellStyle name="Normal 5 3 3 3 2 3 4" xfId="18311" xr:uid="{42421A0B-FA40-4A3E-931A-C587FC8179C5}"/>
    <cellStyle name="Normal 5 3 3 3 2 3 5" xfId="9870" xr:uid="{FDCFC1A9-6410-44C2-9AE3-227E7138A33F}"/>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25087" xr:uid="{FB1F5FA5-C3CB-4485-A4AD-ADE8E775B2E8}"/>
    <cellStyle name="Normal 5 3 3 3 2 4 2 2 3" xfId="16646" xr:uid="{E33D72D5-D94C-41EE-8973-BF3F31F4F719}"/>
    <cellStyle name="Normal 5 3 3 3 2 4 2 3" xfId="20869" xr:uid="{277445F0-21BC-40E8-9467-70F480572CF0}"/>
    <cellStyle name="Normal 5 3 3 3 2 4 2 4" xfId="12428" xr:uid="{2AD848F1-88AB-4CBD-86DF-DC9C4A818C91}"/>
    <cellStyle name="Normal 5 3 3 3 2 4 3" xfId="6059" xr:uid="{00000000-0005-0000-0000-0000D3190000}"/>
    <cellStyle name="Normal 5 3 3 3 2 4 3 2" xfId="22942" xr:uid="{D29C6D56-4FB4-4B82-BBC6-1123D9DC0FAE}"/>
    <cellStyle name="Normal 5 3 3 3 2 4 3 3" xfId="14501" xr:uid="{7119384D-CF01-4EBE-A81A-40B1035841AA}"/>
    <cellStyle name="Normal 5 3 3 3 2 4 4" xfId="18724" xr:uid="{31D38A7C-9CE3-4E8C-AA09-2FEF5B5D1D7A}"/>
    <cellStyle name="Normal 5 3 3 3 2 4 5" xfId="10283" xr:uid="{F101EE14-95FC-44D5-89A7-E2451BAB6BB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25500" xr:uid="{85BD5886-EC22-4FA3-AB8D-A8499081D0C7}"/>
    <cellStyle name="Normal 5 3 3 3 2 5 2 2 3" xfId="17059" xr:uid="{9BA76BE3-8A84-4967-8444-B512811C9BCF}"/>
    <cellStyle name="Normal 5 3 3 3 2 5 2 3" xfId="21282" xr:uid="{58C5AEAA-D8E3-49A9-A35F-DEC22BF26778}"/>
    <cellStyle name="Normal 5 3 3 3 2 5 2 4" xfId="12841" xr:uid="{B5769406-2051-411D-A82B-90A95D4B1BD2}"/>
    <cellStyle name="Normal 5 3 3 3 2 5 3" xfId="6472" xr:uid="{00000000-0005-0000-0000-0000D7190000}"/>
    <cellStyle name="Normal 5 3 3 3 2 5 3 2" xfId="23355" xr:uid="{510A4B19-A01A-4B89-B3D6-66644BF025E8}"/>
    <cellStyle name="Normal 5 3 3 3 2 5 3 3" xfId="14914" xr:uid="{4D3BD392-6716-4FA2-9111-AECD92541E20}"/>
    <cellStyle name="Normal 5 3 3 3 2 5 4" xfId="19137" xr:uid="{DA2C33AF-CA37-48DE-B69D-7C559BDC7EE6}"/>
    <cellStyle name="Normal 5 3 3 3 2 5 5" xfId="10696" xr:uid="{055A5090-EDDC-43A2-9E42-4FC33E611A0E}"/>
    <cellStyle name="Normal 5 3 3 3 2 6" xfId="2601" xr:uid="{00000000-0005-0000-0000-0000D8190000}"/>
    <cellStyle name="Normal 5 3 3 3 2 6 2" xfId="6885" xr:uid="{00000000-0005-0000-0000-0000D9190000}"/>
    <cellStyle name="Normal 5 3 3 3 2 6 2 2" xfId="23768" xr:uid="{E5CEB783-1E7E-497D-AC90-C9A864AB63D7}"/>
    <cellStyle name="Normal 5 3 3 3 2 6 2 3" xfId="15327" xr:uid="{300494FA-C3A1-49D7-A420-AB4F987550A7}"/>
    <cellStyle name="Normal 5 3 3 3 2 6 3" xfId="19550" xr:uid="{0861DABD-F95F-479C-A6D7-A6B84E5DA9DE}"/>
    <cellStyle name="Normal 5 3 3 3 2 6 4" xfId="11109" xr:uid="{D4575AFA-AD36-4345-AF6B-E6D4A6E1DBFE}"/>
    <cellStyle name="Normal 5 3 3 3 2 7" xfId="4820" xr:uid="{00000000-0005-0000-0000-0000DA190000}"/>
    <cellStyle name="Normal 5 3 3 3 2 7 2" xfId="21703" xr:uid="{F582F2FA-FC18-45BC-A06B-72216D8CC998}"/>
    <cellStyle name="Normal 5 3 3 3 2 7 3" xfId="13262" xr:uid="{22D63A25-085C-4AAE-8090-D20D0F6257C8}"/>
    <cellStyle name="Normal 5 3 3 3 2 8" xfId="17485" xr:uid="{CC4DCE80-B2C3-477D-9C4D-78F762601BA4}"/>
    <cellStyle name="Normal 5 3 3 3 2 9" xfId="9044" xr:uid="{D846683C-4DCB-48AE-A509-4688E92472CC}"/>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24260" xr:uid="{607AD8C1-F45E-4ACF-9BE0-047F01476EBC}"/>
    <cellStyle name="Normal 5 3 3 3 3 2 2 3" xfId="15819" xr:uid="{5EC18924-2B86-4CE0-9131-5526CBD364AD}"/>
    <cellStyle name="Normal 5 3 3 3 3 2 3" xfId="20042" xr:uid="{72794CCF-B247-44FE-A812-23C0052ECC22}"/>
    <cellStyle name="Normal 5 3 3 3 3 2 4" xfId="11601" xr:uid="{88F0B511-D75E-4732-A706-78FFC9789691}"/>
    <cellStyle name="Normal 5 3 3 3 3 3" xfId="5232" xr:uid="{00000000-0005-0000-0000-0000DE190000}"/>
    <cellStyle name="Normal 5 3 3 3 3 3 2" xfId="22115" xr:uid="{164E6750-A359-4C0D-80F8-B4A09E4D41E2}"/>
    <cellStyle name="Normal 5 3 3 3 3 3 3" xfId="13674" xr:uid="{B1C7B920-59CC-4EE6-A7A8-E908C6DEFEC5}"/>
    <cellStyle name="Normal 5 3 3 3 3 4" xfId="17897" xr:uid="{9B3E4E1A-A79B-4937-8850-D45F09A50FFE}"/>
    <cellStyle name="Normal 5 3 3 3 3 5" xfId="9456" xr:uid="{C9C5BFDF-97C8-408B-A251-881B38026D02}"/>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24673" xr:uid="{62D9E679-647F-4EC3-8D02-83234CD475A7}"/>
    <cellStyle name="Normal 5 3 3 3 4 2 2 3" xfId="16232" xr:uid="{F0FB6125-3501-4C4F-B5B4-2447B8A0AB0E}"/>
    <cellStyle name="Normal 5 3 3 3 4 2 3" xfId="20455" xr:uid="{37B64D05-4DA4-42D1-B459-41D82797D0C5}"/>
    <cellStyle name="Normal 5 3 3 3 4 2 4" xfId="12014" xr:uid="{8049A862-A7BA-4FCF-8547-BD3FCFC10A43}"/>
    <cellStyle name="Normal 5 3 3 3 4 3" xfId="5645" xr:uid="{00000000-0005-0000-0000-0000E2190000}"/>
    <cellStyle name="Normal 5 3 3 3 4 3 2" xfId="22528" xr:uid="{A6B79A9C-333C-4168-95B1-E4C626F468DD}"/>
    <cellStyle name="Normal 5 3 3 3 4 3 3" xfId="14087" xr:uid="{C720BD02-E381-4842-A4B8-D111816DBBE1}"/>
    <cellStyle name="Normal 5 3 3 3 4 4" xfId="18310" xr:uid="{A3C42B1E-CD31-49A3-B213-5DFF7642C382}"/>
    <cellStyle name="Normal 5 3 3 3 4 5" xfId="9869" xr:uid="{0964E64D-46C0-4CE3-B786-BE101DAB73C6}"/>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25086" xr:uid="{3C13A9B4-28AA-4B4F-87E0-79969248BE35}"/>
    <cellStyle name="Normal 5 3 3 3 5 2 2 3" xfId="16645" xr:uid="{FC1D6F52-2193-4F45-ACCE-796D92361329}"/>
    <cellStyle name="Normal 5 3 3 3 5 2 3" xfId="20868" xr:uid="{06205A1C-9DB6-4F8D-8E22-EB30D2AD3B73}"/>
    <cellStyle name="Normal 5 3 3 3 5 2 4" xfId="12427" xr:uid="{D2BEAB5A-1B4F-4BD0-85DA-B61FBC4C5512}"/>
    <cellStyle name="Normal 5 3 3 3 5 3" xfId="6058" xr:uid="{00000000-0005-0000-0000-0000E6190000}"/>
    <cellStyle name="Normal 5 3 3 3 5 3 2" xfId="22941" xr:uid="{DB799123-743F-44A9-B449-AA7422314191}"/>
    <cellStyle name="Normal 5 3 3 3 5 3 3" xfId="14500" xr:uid="{80C00D1B-5FAD-4F4C-B478-7022B8C95A98}"/>
    <cellStyle name="Normal 5 3 3 3 5 4" xfId="18723" xr:uid="{A051257D-AD33-4F09-9AB3-376A5155741F}"/>
    <cellStyle name="Normal 5 3 3 3 5 5" xfId="10282" xr:uid="{D478DC1C-BA26-47F7-9DE0-F269E040FDB2}"/>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25499" xr:uid="{DA246D9F-198F-4A91-ADA7-90F23AB3A759}"/>
    <cellStyle name="Normal 5 3 3 3 6 2 2 3" xfId="17058" xr:uid="{A30D81D9-B00C-484C-A1B5-CD5B85A675F7}"/>
    <cellStyle name="Normal 5 3 3 3 6 2 3" xfId="21281" xr:uid="{929B25CE-DBD7-4E80-9338-AD47939F3291}"/>
    <cellStyle name="Normal 5 3 3 3 6 2 4" xfId="12840" xr:uid="{31DA66D4-E05F-4ADC-9401-A05FA36A354B}"/>
    <cellStyle name="Normal 5 3 3 3 6 3" xfId="6471" xr:uid="{00000000-0005-0000-0000-0000EA190000}"/>
    <cellStyle name="Normal 5 3 3 3 6 3 2" xfId="23354" xr:uid="{211A88A7-194A-46DF-BD07-119EFEE18FBE}"/>
    <cellStyle name="Normal 5 3 3 3 6 3 3" xfId="14913" xr:uid="{DF7C5A8A-88A7-430D-900B-568176B8B9EB}"/>
    <cellStyle name="Normal 5 3 3 3 6 4" xfId="19136" xr:uid="{A9C35860-C138-48F3-AFD9-829178A9A494}"/>
    <cellStyle name="Normal 5 3 3 3 6 5" xfId="10695" xr:uid="{D083D44C-58A6-4D4B-8F15-A897EA5B497C}"/>
    <cellStyle name="Normal 5 3 3 3 7" xfId="2600" xr:uid="{00000000-0005-0000-0000-0000EB190000}"/>
    <cellStyle name="Normal 5 3 3 3 7 2" xfId="6884" xr:uid="{00000000-0005-0000-0000-0000EC190000}"/>
    <cellStyle name="Normal 5 3 3 3 7 2 2" xfId="23767" xr:uid="{681A8C4B-822E-4C72-83B5-87F3B0B147A2}"/>
    <cellStyle name="Normal 5 3 3 3 7 2 3" xfId="15326" xr:uid="{3FCA85FC-9E55-4654-81A7-B609AE7B0D24}"/>
    <cellStyle name="Normal 5 3 3 3 7 3" xfId="19549" xr:uid="{F6BFC82C-3099-4722-8265-F6E958506A77}"/>
    <cellStyle name="Normal 5 3 3 3 7 4" xfId="11108" xr:uid="{4C2A33CC-5B68-4276-86CD-6D94EE915053}"/>
    <cellStyle name="Normal 5 3 3 3 8" xfId="4819" xr:uid="{00000000-0005-0000-0000-0000ED190000}"/>
    <cellStyle name="Normal 5 3 3 3 8 2" xfId="21702" xr:uid="{5432C6CF-5F97-4F40-A4ED-3BF7DE7EC910}"/>
    <cellStyle name="Normal 5 3 3 3 8 3" xfId="13261" xr:uid="{3E3AB982-EC5E-4EE1-9539-D047A1EAD96B}"/>
    <cellStyle name="Normal 5 3 3 3 9" xfId="17484" xr:uid="{C7653238-98EF-47A7-8158-D79B8CA183A7}"/>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24262" xr:uid="{DB459BCA-399C-4086-82E8-2DC5554F9DD9}"/>
    <cellStyle name="Normal 5 3 3 4 2 2 2 3" xfId="15821" xr:uid="{7815DC0D-9E9D-4129-B45C-F7B8DFB477FD}"/>
    <cellStyle name="Normal 5 3 3 4 2 2 3" xfId="20044" xr:uid="{3112C26A-268D-4600-8B0A-E2D7FB8606E9}"/>
    <cellStyle name="Normal 5 3 3 4 2 2 4" xfId="11603" xr:uid="{A2826329-F70F-4906-92E1-2600DCECC8A8}"/>
    <cellStyle name="Normal 5 3 3 4 2 3" xfId="5234" xr:uid="{00000000-0005-0000-0000-0000F2190000}"/>
    <cellStyle name="Normal 5 3 3 4 2 3 2" xfId="22117" xr:uid="{685F794C-11B2-4D80-93EF-2DB79B0E3FD7}"/>
    <cellStyle name="Normal 5 3 3 4 2 3 3" xfId="13676" xr:uid="{1E6B7BD6-DBBD-4EA9-9D61-79A76EC1875D}"/>
    <cellStyle name="Normal 5 3 3 4 2 4" xfId="17899" xr:uid="{4872FD22-6239-4C38-AC94-40DBD327B403}"/>
    <cellStyle name="Normal 5 3 3 4 2 5" xfId="9458" xr:uid="{CECF380D-7614-4E4F-A0FE-3AD309769F57}"/>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24675" xr:uid="{A3E7DB27-D29E-44CA-BAD0-6A4D7141BFC3}"/>
    <cellStyle name="Normal 5 3 3 4 3 2 2 3" xfId="16234" xr:uid="{70214B23-F2A7-49A7-9012-D8AD4EF9272C}"/>
    <cellStyle name="Normal 5 3 3 4 3 2 3" xfId="20457" xr:uid="{7A39DE7E-4C8C-4CB7-9C67-437EADE591AE}"/>
    <cellStyle name="Normal 5 3 3 4 3 2 4" xfId="12016" xr:uid="{9753AA0A-5E9C-4271-8099-00650824253D}"/>
    <cellStyle name="Normal 5 3 3 4 3 3" xfId="5647" xr:uid="{00000000-0005-0000-0000-0000F6190000}"/>
    <cellStyle name="Normal 5 3 3 4 3 3 2" xfId="22530" xr:uid="{F3879868-180F-49DD-AAF0-0482521FE972}"/>
    <cellStyle name="Normal 5 3 3 4 3 3 3" xfId="14089" xr:uid="{6C7225CB-7CE3-4CC9-A9D7-1AB3221B6D96}"/>
    <cellStyle name="Normal 5 3 3 4 3 4" xfId="18312" xr:uid="{788C1F8C-F466-4C22-B4EA-5E7C988E6F65}"/>
    <cellStyle name="Normal 5 3 3 4 3 5" xfId="9871" xr:uid="{9D112AD0-DBB5-4F3E-BF76-84C6F1C8C90B}"/>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25088" xr:uid="{49930042-F95A-4B0A-A543-53FE81BAA244}"/>
    <cellStyle name="Normal 5 3 3 4 4 2 2 3" xfId="16647" xr:uid="{61ABD076-7986-47D2-9D16-A0E2F8AFAC51}"/>
    <cellStyle name="Normal 5 3 3 4 4 2 3" xfId="20870" xr:uid="{A49A08D1-009F-4960-A966-4F6A41CF8D9A}"/>
    <cellStyle name="Normal 5 3 3 4 4 2 4" xfId="12429" xr:uid="{C5F2EF5F-DABB-47EA-B073-4A36DB8557A0}"/>
    <cellStyle name="Normal 5 3 3 4 4 3" xfId="6060" xr:uid="{00000000-0005-0000-0000-0000FA190000}"/>
    <cellStyle name="Normal 5 3 3 4 4 3 2" xfId="22943" xr:uid="{76411874-3FFE-421E-A44A-C49C3F9A77D4}"/>
    <cellStyle name="Normal 5 3 3 4 4 3 3" xfId="14502" xr:uid="{EF92F1F1-6C7B-4FDF-A99A-450C0848A6C8}"/>
    <cellStyle name="Normal 5 3 3 4 4 4" xfId="18725" xr:uid="{AA01AF43-6BDF-4D30-807C-A7F2C76E65EB}"/>
    <cellStyle name="Normal 5 3 3 4 4 5" xfId="10284" xr:uid="{122DB5EB-6296-46CD-AE95-9AD022176015}"/>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25501" xr:uid="{AF966596-0E03-4F12-AC95-9D4D59E3EEF0}"/>
    <cellStyle name="Normal 5 3 3 4 5 2 2 3" xfId="17060" xr:uid="{B394498D-B823-4C2E-B655-415473E3B2B0}"/>
    <cellStyle name="Normal 5 3 3 4 5 2 3" xfId="21283" xr:uid="{C9605C81-36B0-4EC6-BE55-2A5EAAC84EFC}"/>
    <cellStyle name="Normal 5 3 3 4 5 2 4" xfId="12842" xr:uid="{CE9C7B1A-06F7-419C-BED8-94612320D07C}"/>
    <cellStyle name="Normal 5 3 3 4 5 3" xfId="6473" xr:uid="{00000000-0005-0000-0000-0000FE190000}"/>
    <cellStyle name="Normal 5 3 3 4 5 3 2" xfId="23356" xr:uid="{259C66B9-34FB-4339-81D2-E57B8D5A6153}"/>
    <cellStyle name="Normal 5 3 3 4 5 3 3" xfId="14915" xr:uid="{B271F6C9-EFB7-4639-B64B-3000970700E5}"/>
    <cellStyle name="Normal 5 3 3 4 5 4" xfId="19138" xr:uid="{A63EE19A-A8F1-4A72-9FD9-6AFA114E8A88}"/>
    <cellStyle name="Normal 5 3 3 4 5 5" xfId="10697" xr:uid="{A9C2B30E-6D82-4C20-9148-6648CC9BE169}"/>
    <cellStyle name="Normal 5 3 3 4 6" xfId="2602" xr:uid="{00000000-0005-0000-0000-0000FF190000}"/>
    <cellStyle name="Normal 5 3 3 4 6 2" xfId="6886" xr:uid="{00000000-0005-0000-0000-0000001A0000}"/>
    <cellStyle name="Normal 5 3 3 4 6 2 2" xfId="23769" xr:uid="{34172139-E70D-4016-AEC8-C7455579D3C2}"/>
    <cellStyle name="Normal 5 3 3 4 6 2 3" xfId="15328" xr:uid="{6BC4EB16-AD45-4477-B989-D22135A641CD}"/>
    <cellStyle name="Normal 5 3 3 4 6 3" xfId="19551" xr:uid="{5BB6EEBE-4177-48BC-9C9F-3BCEECDFA33C}"/>
    <cellStyle name="Normal 5 3 3 4 6 4" xfId="11110" xr:uid="{400DA4FD-6C74-444C-A722-62B19EEC1261}"/>
    <cellStyle name="Normal 5 3 3 4 7" xfId="4821" xr:uid="{00000000-0005-0000-0000-0000011A0000}"/>
    <cellStyle name="Normal 5 3 3 4 7 2" xfId="21704" xr:uid="{FD0D9B6A-7F73-42DB-90F0-3FD8F3834F6B}"/>
    <cellStyle name="Normal 5 3 3 4 7 3" xfId="13263" xr:uid="{36C11B5C-5B6A-40D7-A0B8-FF3B488B73C5}"/>
    <cellStyle name="Normal 5 3 3 4 8" xfId="17486" xr:uid="{6D958C24-1CB4-4E96-8D64-62ACF6B38317}"/>
    <cellStyle name="Normal 5 3 3 4 9" xfId="9045" xr:uid="{51AB031D-8AF2-4F01-8293-2067F7507618}"/>
    <cellStyle name="Normal 5 3 3 5" xfId="915" xr:uid="{00000000-0005-0000-0000-0000021A0000}"/>
    <cellStyle name="Normal 5 3 3 5 2" xfId="3149" xr:uid="{00000000-0005-0000-0000-0000031A0000}"/>
    <cellStyle name="Normal 5 3 3 5 2 2" xfId="7372" xr:uid="{00000000-0005-0000-0000-0000041A0000}"/>
    <cellStyle name="Normal 5 3 3 5 2 2 2" xfId="24255" xr:uid="{213D37BB-3873-4185-AD52-5CEF00381D07}"/>
    <cellStyle name="Normal 5 3 3 5 2 2 3" xfId="15814" xr:uid="{FE4A62D9-20F6-4743-A299-F18194DCAE8F}"/>
    <cellStyle name="Normal 5 3 3 5 2 3" xfId="20037" xr:uid="{D28A4C3D-9840-48E1-9637-645498416DE4}"/>
    <cellStyle name="Normal 5 3 3 5 2 4" xfId="11596" xr:uid="{81483792-5B0E-435A-88D1-427D5073E3B0}"/>
    <cellStyle name="Normal 5 3 3 5 3" xfId="5227" xr:uid="{00000000-0005-0000-0000-0000051A0000}"/>
    <cellStyle name="Normal 5 3 3 5 3 2" xfId="22110" xr:uid="{69F1EB23-8B6C-4FD0-B718-FD6C67BF3283}"/>
    <cellStyle name="Normal 5 3 3 5 3 3" xfId="13669" xr:uid="{273E59CF-547B-4633-A91E-385A5CA58D83}"/>
    <cellStyle name="Normal 5 3 3 5 4" xfId="17892" xr:uid="{5E0FA387-B2B9-4DD2-8B4B-EB712E2DDB27}"/>
    <cellStyle name="Normal 5 3 3 5 5" xfId="9451" xr:uid="{BBF17CEF-B10B-44F1-9530-FBEE60F926BC}"/>
    <cellStyle name="Normal 5 3 3 6" xfId="1332" xr:uid="{00000000-0005-0000-0000-0000061A0000}"/>
    <cellStyle name="Normal 5 3 3 6 2" xfId="3562" xr:uid="{00000000-0005-0000-0000-0000071A0000}"/>
    <cellStyle name="Normal 5 3 3 6 2 2" xfId="7785" xr:uid="{00000000-0005-0000-0000-0000081A0000}"/>
    <cellStyle name="Normal 5 3 3 6 2 2 2" xfId="24668" xr:uid="{3AA90053-B7BD-4859-B2C8-5CD71CF8FF25}"/>
    <cellStyle name="Normal 5 3 3 6 2 2 3" xfId="16227" xr:uid="{02E56D8E-32CB-45AF-8E5C-EA9C11C30DBA}"/>
    <cellStyle name="Normal 5 3 3 6 2 3" xfId="20450" xr:uid="{5BEBA3F1-B26B-4A7A-B634-9DFB00096463}"/>
    <cellStyle name="Normal 5 3 3 6 2 4" xfId="12009" xr:uid="{7A98685C-52C3-4F77-A909-B6E16C0E1010}"/>
    <cellStyle name="Normal 5 3 3 6 3" xfId="5640" xr:uid="{00000000-0005-0000-0000-0000091A0000}"/>
    <cellStyle name="Normal 5 3 3 6 3 2" xfId="22523" xr:uid="{F9033BA5-6C28-4452-9144-3A8D65E9AB8C}"/>
    <cellStyle name="Normal 5 3 3 6 3 3" xfId="14082" xr:uid="{C6CE2DCD-7F7E-4285-958F-6313A7587381}"/>
    <cellStyle name="Normal 5 3 3 6 4" xfId="18305" xr:uid="{277790B3-D4E0-473B-97A1-E68A27C115D5}"/>
    <cellStyle name="Normal 5 3 3 6 5" xfId="9864" xr:uid="{9667A4DB-9164-4F88-96A5-ED7EB270DB6B}"/>
    <cellStyle name="Normal 5 3 3 7" xfId="1745" xr:uid="{00000000-0005-0000-0000-00000A1A0000}"/>
    <cellStyle name="Normal 5 3 3 7 2" xfId="3975" xr:uid="{00000000-0005-0000-0000-00000B1A0000}"/>
    <cellStyle name="Normal 5 3 3 7 2 2" xfId="8198" xr:uid="{00000000-0005-0000-0000-00000C1A0000}"/>
    <cellStyle name="Normal 5 3 3 7 2 2 2" xfId="25081" xr:uid="{4934010A-F127-42E0-AB56-389490A5F448}"/>
    <cellStyle name="Normal 5 3 3 7 2 2 3" xfId="16640" xr:uid="{CF9C34FA-5C7A-409D-9BD5-0AE2D9F45EEC}"/>
    <cellStyle name="Normal 5 3 3 7 2 3" xfId="20863" xr:uid="{C29DA254-54F5-4B9B-98D1-2D9E9E52BB46}"/>
    <cellStyle name="Normal 5 3 3 7 2 4" xfId="12422" xr:uid="{CA250142-FB63-4BD8-89E6-7908AD996962}"/>
    <cellStyle name="Normal 5 3 3 7 3" xfId="6053" xr:uid="{00000000-0005-0000-0000-00000D1A0000}"/>
    <cellStyle name="Normal 5 3 3 7 3 2" xfId="22936" xr:uid="{5B29E27D-A6F1-4A9C-BF0F-B911135935F5}"/>
    <cellStyle name="Normal 5 3 3 7 3 3" xfId="14495" xr:uid="{8FC7E8E5-826B-419E-B687-59EE5063424C}"/>
    <cellStyle name="Normal 5 3 3 7 4" xfId="18718" xr:uid="{DE427050-CDF5-4311-951C-0DF168C40800}"/>
    <cellStyle name="Normal 5 3 3 7 5" xfId="10277" xr:uid="{1DA8A358-C3DB-424E-8069-09E1DCF7AFA7}"/>
    <cellStyle name="Normal 5 3 3 8" xfId="2159" xr:uid="{00000000-0005-0000-0000-00000E1A0000}"/>
    <cellStyle name="Normal 5 3 3 8 2" xfId="4388" xr:uid="{00000000-0005-0000-0000-00000F1A0000}"/>
    <cellStyle name="Normal 5 3 3 8 2 2" xfId="8611" xr:uid="{00000000-0005-0000-0000-0000101A0000}"/>
    <cellStyle name="Normal 5 3 3 8 2 2 2" xfId="25494" xr:uid="{1C334E06-309A-4DEF-9395-BB0F3D43474D}"/>
    <cellStyle name="Normal 5 3 3 8 2 2 3" xfId="17053" xr:uid="{64F22979-3B6F-40BC-89D5-B6754AF2069E}"/>
    <cellStyle name="Normal 5 3 3 8 2 3" xfId="21276" xr:uid="{5CA522DD-BA89-4B43-91EA-24DF493240D4}"/>
    <cellStyle name="Normal 5 3 3 8 2 4" xfId="12835" xr:uid="{A9D47735-68A6-481A-A407-2BEDC4924B7E}"/>
    <cellStyle name="Normal 5 3 3 8 3" xfId="6466" xr:uid="{00000000-0005-0000-0000-0000111A0000}"/>
    <cellStyle name="Normal 5 3 3 8 3 2" xfId="23349" xr:uid="{304419B0-AE99-469F-A4EA-F21FAAE9AF4E}"/>
    <cellStyle name="Normal 5 3 3 8 3 3" xfId="14908" xr:uid="{26280598-555C-48FC-B2E0-D3E93DC5DCFF}"/>
    <cellStyle name="Normal 5 3 3 8 4" xfId="19131" xr:uid="{85ADC196-AD6A-485B-9F2C-8D52DD160AB3}"/>
    <cellStyle name="Normal 5 3 3 8 5" xfId="10690" xr:uid="{809E79E8-760B-47AA-BD02-0C7C2DAD2DFA}"/>
    <cellStyle name="Normal 5 3 3 9" xfId="2595" xr:uid="{00000000-0005-0000-0000-0000121A0000}"/>
    <cellStyle name="Normal 5 3 3 9 2" xfId="6879" xr:uid="{00000000-0005-0000-0000-0000131A0000}"/>
    <cellStyle name="Normal 5 3 3 9 2 2" xfId="23762" xr:uid="{B8F53F95-C550-4DD5-9F55-AF00DF4CD243}"/>
    <cellStyle name="Normal 5 3 3 9 2 3" xfId="15321" xr:uid="{AA7E9A1F-312F-463D-A9F4-89AF50B4A7A7}"/>
    <cellStyle name="Normal 5 3 3 9 3" xfId="19544" xr:uid="{FDBD5B0C-27CE-4BEB-A968-ED9376558F44}"/>
    <cellStyle name="Normal 5 3 3 9 4" xfId="11103" xr:uid="{61A9486F-A2FC-4A0C-815C-4519E57B277F}"/>
    <cellStyle name="Normal 5 3 4" xfId="449" xr:uid="{00000000-0005-0000-0000-0000141A0000}"/>
    <cellStyle name="Normal 5 3 4 10" xfId="17487" xr:uid="{A104CA7D-A1A1-4C4F-8BBB-CDB3EF06BA0E}"/>
    <cellStyle name="Normal 5 3 4 11" xfId="9046" xr:uid="{FD84DF26-D13F-4AC9-A190-3A073AEA4A4A}"/>
    <cellStyle name="Normal 5 3 4 2" xfId="450" xr:uid="{00000000-0005-0000-0000-0000151A0000}"/>
    <cellStyle name="Normal 5 3 4 2 10" xfId="9047" xr:uid="{664A907D-A50F-489F-B98A-4BD092D30FD9}"/>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24265" xr:uid="{FA73EB35-7122-4202-8A43-2CC190F311A7}"/>
    <cellStyle name="Normal 5 3 4 2 2 2 2 2 3" xfId="15824" xr:uid="{91613030-CA35-417E-A370-CF9AFA94E1CB}"/>
    <cellStyle name="Normal 5 3 4 2 2 2 2 3" xfId="20047" xr:uid="{DD9212CE-DC72-4AB5-841A-D741383C877C}"/>
    <cellStyle name="Normal 5 3 4 2 2 2 2 4" xfId="11606" xr:uid="{D49C5380-DE91-4A08-9A39-FE52C73F45CA}"/>
    <cellStyle name="Normal 5 3 4 2 2 2 3" xfId="5237" xr:uid="{00000000-0005-0000-0000-00001A1A0000}"/>
    <cellStyle name="Normal 5 3 4 2 2 2 3 2" xfId="22120" xr:uid="{B060F53D-E4A0-441D-ACC1-AFD0EF3DCA28}"/>
    <cellStyle name="Normal 5 3 4 2 2 2 3 3" xfId="13679" xr:uid="{B470D2D6-D88D-4942-A501-CD3AE41EF4B2}"/>
    <cellStyle name="Normal 5 3 4 2 2 2 4" xfId="17902" xr:uid="{B06B3136-FFB9-48A9-8684-CBAE87E99B61}"/>
    <cellStyle name="Normal 5 3 4 2 2 2 5" xfId="9461" xr:uid="{62183787-42D8-4876-A4DF-01B193C00853}"/>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24678" xr:uid="{2E650213-A3F7-440A-A7E5-2ABDD3180C70}"/>
    <cellStyle name="Normal 5 3 4 2 2 3 2 2 3" xfId="16237" xr:uid="{AB93E8FA-23E3-4DB1-887B-6B36905F979F}"/>
    <cellStyle name="Normal 5 3 4 2 2 3 2 3" xfId="20460" xr:uid="{A04032C8-43D7-426B-8C20-C1D3E0BBD213}"/>
    <cellStyle name="Normal 5 3 4 2 2 3 2 4" xfId="12019" xr:uid="{1701DC58-46AB-4298-8B44-15DF88851AFF}"/>
    <cellStyle name="Normal 5 3 4 2 2 3 3" xfId="5650" xr:uid="{00000000-0005-0000-0000-00001E1A0000}"/>
    <cellStyle name="Normal 5 3 4 2 2 3 3 2" xfId="22533" xr:uid="{FAD3C233-7E95-4871-9C27-27E11257995E}"/>
    <cellStyle name="Normal 5 3 4 2 2 3 3 3" xfId="14092" xr:uid="{FF64CA75-2E62-4161-BF16-07185C92F8A9}"/>
    <cellStyle name="Normal 5 3 4 2 2 3 4" xfId="18315" xr:uid="{1BC593BF-B606-4E85-BA76-7517E1BBD791}"/>
    <cellStyle name="Normal 5 3 4 2 2 3 5" xfId="9874" xr:uid="{077E6321-8BF1-49C7-9F53-2979AA7362C9}"/>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25091" xr:uid="{6E2ED97A-0C40-4BA2-A4FA-07809CA8CDD6}"/>
    <cellStyle name="Normal 5 3 4 2 2 4 2 2 3" xfId="16650" xr:uid="{60A3851B-330A-49A8-88D1-E5691F737DAF}"/>
    <cellStyle name="Normal 5 3 4 2 2 4 2 3" xfId="20873" xr:uid="{4CEC23C9-6277-4EAA-9F70-E48C3DB97FE5}"/>
    <cellStyle name="Normal 5 3 4 2 2 4 2 4" xfId="12432" xr:uid="{D587327E-53D5-476A-8EEB-9269C1A98526}"/>
    <cellStyle name="Normal 5 3 4 2 2 4 3" xfId="6063" xr:uid="{00000000-0005-0000-0000-0000221A0000}"/>
    <cellStyle name="Normal 5 3 4 2 2 4 3 2" xfId="22946" xr:uid="{B0D75E8A-CB03-42D9-A7BD-59DE0EE50C28}"/>
    <cellStyle name="Normal 5 3 4 2 2 4 3 3" xfId="14505" xr:uid="{D9C95771-D635-42EC-AB5C-AFBEF1F5CBC5}"/>
    <cellStyle name="Normal 5 3 4 2 2 4 4" xfId="18728" xr:uid="{57B27F51-1C1F-4A0D-A10B-7EAD82F42F96}"/>
    <cellStyle name="Normal 5 3 4 2 2 4 5" xfId="10287" xr:uid="{182852FF-380C-4B00-B4A8-A77DD49DA701}"/>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25504" xr:uid="{AE75DA68-B785-4249-B946-DA06A74CD232}"/>
    <cellStyle name="Normal 5 3 4 2 2 5 2 2 3" xfId="17063" xr:uid="{394DFD30-2950-423C-BA66-3FDC6F7BAE72}"/>
    <cellStyle name="Normal 5 3 4 2 2 5 2 3" xfId="21286" xr:uid="{5954D46D-E304-4B4D-AB73-8C24EBDED6C9}"/>
    <cellStyle name="Normal 5 3 4 2 2 5 2 4" xfId="12845" xr:uid="{2CDE5190-64FB-4CE7-AB0F-02A4218917E2}"/>
    <cellStyle name="Normal 5 3 4 2 2 5 3" xfId="6476" xr:uid="{00000000-0005-0000-0000-0000261A0000}"/>
    <cellStyle name="Normal 5 3 4 2 2 5 3 2" xfId="23359" xr:uid="{255048A2-827C-4AE4-8DED-6E1EF149D53B}"/>
    <cellStyle name="Normal 5 3 4 2 2 5 3 3" xfId="14918" xr:uid="{8F53268D-9528-4CDF-85C5-0C7536A2D4A3}"/>
    <cellStyle name="Normal 5 3 4 2 2 5 4" xfId="19141" xr:uid="{2E5967B2-9A47-4BBB-86B6-D2D4F235328B}"/>
    <cellStyle name="Normal 5 3 4 2 2 5 5" xfId="10700" xr:uid="{74E96647-BFFE-4A33-ACBA-20DDB8E9D06C}"/>
    <cellStyle name="Normal 5 3 4 2 2 6" xfId="2605" xr:uid="{00000000-0005-0000-0000-0000271A0000}"/>
    <cellStyle name="Normal 5 3 4 2 2 6 2" xfId="6889" xr:uid="{00000000-0005-0000-0000-0000281A0000}"/>
    <cellStyle name="Normal 5 3 4 2 2 6 2 2" xfId="23772" xr:uid="{FB4C0818-8165-42A8-83F4-9FEC45ED1F35}"/>
    <cellStyle name="Normal 5 3 4 2 2 6 2 3" xfId="15331" xr:uid="{621BC346-AC0A-4B40-BFC9-F5C5F59BCA03}"/>
    <cellStyle name="Normal 5 3 4 2 2 6 3" xfId="19554" xr:uid="{68381029-513B-415B-94F3-16DBBDCAFE07}"/>
    <cellStyle name="Normal 5 3 4 2 2 6 4" xfId="11113" xr:uid="{CD9F4461-3F57-4489-B5D6-833CEBC91E7F}"/>
    <cellStyle name="Normal 5 3 4 2 2 7" xfId="4824" xr:uid="{00000000-0005-0000-0000-0000291A0000}"/>
    <cellStyle name="Normal 5 3 4 2 2 7 2" xfId="21707" xr:uid="{4E1CCE10-945E-4998-B638-C8FE75B942B2}"/>
    <cellStyle name="Normal 5 3 4 2 2 7 3" xfId="13266" xr:uid="{6315FE70-7DDB-434B-959A-8E7353AFD113}"/>
    <cellStyle name="Normal 5 3 4 2 2 8" xfId="17489" xr:uid="{07F61E53-EFF3-4925-B75D-B498CC8E8ADD}"/>
    <cellStyle name="Normal 5 3 4 2 2 9" xfId="9048" xr:uid="{DCA5D7E6-7BAD-4BBE-B52C-319816C5E8CF}"/>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24264" xr:uid="{717BB496-F5D7-43EC-9617-7B4897743C7F}"/>
    <cellStyle name="Normal 5 3 4 2 3 2 2 3" xfId="15823" xr:uid="{51EEA653-6ED3-44A8-BD66-BB85C00108F3}"/>
    <cellStyle name="Normal 5 3 4 2 3 2 3" xfId="20046" xr:uid="{ED1BF6DC-AE8A-411D-856E-07E9B650054A}"/>
    <cellStyle name="Normal 5 3 4 2 3 2 4" xfId="11605" xr:uid="{6C7EA15B-0A07-4830-BCE3-62C151EF6C67}"/>
    <cellStyle name="Normal 5 3 4 2 3 3" xfId="5236" xr:uid="{00000000-0005-0000-0000-00002D1A0000}"/>
    <cellStyle name="Normal 5 3 4 2 3 3 2" xfId="22119" xr:uid="{DEFE8E58-1B4F-4377-9E7E-3D0842D41F6D}"/>
    <cellStyle name="Normal 5 3 4 2 3 3 3" xfId="13678" xr:uid="{1A90AA31-9ED7-4E95-9A4D-CCC948EE2F78}"/>
    <cellStyle name="Normal 5 3 4 2 3 4" xfId="17901" xr:uid="{1A7032DF-AA6C-43C4-8E4B-FA56BDABDDC7}"/>
    <cellStyle name="Normal 5 3 4 2 3 5" xfId="9460" xr:uid="{6323CBA9-E6DC-4C49-8227-120589675C3A}"/>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24677" xr:uid="{50B444D4-67D3-4557-AE65-B504D2612173}"/>
    <cellStyle name="Normal 5 3 4 2 4 2 2 3" xfId="16236" xr:uid="{239AEB52-9868-4FDB-AC24-65A69964AF71}"/>
    <cellStyle name="Normal 5 3 4 2 4 2 3" xfId="20459" xr:uid="{ACBA93E9-06C4-4140-8899-87594DD009AF}"/>
    <cellStyle name="Normal 5 3 4 2 4 2 4" xfId="12018" xr:uid="{4B190A2D-B138-4884-BFD8-3993B9E42DC6}"/>
    <cellStyle name="Normal 5 3 4 2 4 3" xfId="5649" xr:uid="{00000000-0005-0000-0000-0000311A0000}"/>
    <cellStyle name="Normal 5 3 4 2 4 3 2" xfId="22532" xr:uid="{3E54EBDC-261E-4976-874D-06AB697E5409}"/>
    <cellStyle name="Normal 5 3 4 2 4 3 3" xfId="14091" xr:uid="{115FF7C7-985A-4311-B283-E77A2D9F941B}"/>
    <cellStyle name="Normal 5 3 4 2 4 4" xfId="18314" xr:uid="{791C14A9-AD09-4B04-87BB-0DF403E6A7AF}"/>
    <cellStyle name="Normal 5 3 4 2 4 5" xfId="9873" xr:uid="{E3EE6A74-D481-4FF1-8EBB-3C97D0662279}"/>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25090" xr:uid="{364FD2C7-1FBE-4493-924C-B6341F7E6AB4}"/>
    <cellStyle name="Normal 5 3 4 2 5 2 2 3" xfId="16649" xr:uid="{4EE2F624-E597-45F6-B191-569C7C3DE3AE}"/>
    <cellStyle name="Normal 5 3 4 2 5 2 3" xfId="20872" xr:uid="{F0BF045A-23C3-49D8-98B4-763392817F15}"/>
    <cellStyle name="Normal 5 3 4 2 5 2 4" xfId="12431" xr:uid="{7629F5A9-B997-4DBE-A5E5-59B1BC4536EB}"/>
    <cellStyle name="Normal 5 3 4 2 5 3" xfId="6062" xr:uid="{00000000-0005-0000-0000-0000351A0000}"/>
    <cellStyle name="Normal 5 3 4 2 5 3 2" xfId="22945" xr:uid="{3A153FDD-E683-4922-BD4A-FE384186CE1A}"/>
    <cellStyle name="Normal 5 3 4 2 5 3 3" xfId="14504" xr:uid="{C17632C2-9D36-4105-82EC-C4590D2BA0C8}"/>
    <cellStyle name="Normal 5 3 4 2 5 4" xfId="18727" xr:uid="{F987194A-20E7-4D0F-8D83-5D4E04685B8B}"/>
    <cellStyle name="Normal 5 3 4 2 5 5" xfId="10286" xr:uid="{FDF6B935-168D-49AD-9285-1BAB6ACEFF39}"/>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25503" xr:uid="{C9A1E809-4178-4226-B73E-7D6ABB01FF7A}"/>
    <cellStyle name="Normal 5 3 4 2 6 2 2 3" xfId="17062" xr:uid="{2984BED4-D1AC-4D98-AB5B-4072E06F3A7E}"/>
    <cellStyle name="Normal 5 3 4 2 6 2 3" xfId="21285" xr:uid="{05306485-EDC5-4624-8467-79C96CA9482F}"/>
    <cellStyle name="Normal 5 3 4 2 6 2 4" xfId="12844" xr:uid="{7AF4A701-8291-48DD-B87C-FC48BE5B41A1}"/>
    <cellStyle name="Normal 5 3 4 2 6 3" xfId="6475" xr:uid="{00000000-0005-0000-0000-0000391A0000}"/>
    <cellStyle name="Normal 5 3 4 2 6 3 2" xfId="23358" xr:uid="{B8A62C9C-B23A-4229-A815-541080E333B2}"/>
    <cellStyle name="Normal 5 3 4 2 6 3 3" xfId="14917" xr:uid="{E6E0ED87-ABAA-4372-A5F2-9D9A3D871D2B}"/>
    <cellStyle name="Normal 5 3 4 2 6 4" xfId="19140" xr:uid="{B76816A1-F329-415D-A3D8-A6452C25C378}"/>
    <cellStyle name="Normal 5 3 4 2 6 5" xfId="10699" xr:uid="{67552F3B-B2DC-48B0-979C-BE259DFC72E7}"/>
    <cellStyle name="Normal 5 3 4 2 7" xfId="2604" xr:uid="{00000000-0005-0000-0000-00003A1A0000}"/>
    <cellStyle name="Normal 5 3 4 2 7 2" xfId="6888" xr:uid="{00000000-0005-0000-0000-00003B1A0000}"/>
    <cellStyle name="Normal 5 3 4 2 7 2 2" xfId="23771" xr:uid="{47DB9BF2-4158-4931-A4A9-5841CC3BC65C}"/>
    <cellStyle name="Normal 5 3 4 2 7 2 3" xfId="15330" xr:uid="{4FCA1EEF-EEBB-41F0-9D00-A690AA75FBB6}"/>
    <cellStyle name="Normal 5 3 4 2 7 3" xfId="19553" xr:uid="{D4AB7CFB-ACC7-4368-A645-D8E67E898210}"/>
    <cellStyle name="Normal 5 3 4 2 7 4" xfId="11112" xr:uid="{51CC1EDA-F473-46EC-AF0E-057F85EEAF54}"/>
    <cellStyle name="Normal 5 3 4 2 8" xfId="4823" xr:uid="{00000000-0005-0000-0000-00003C1A0000}"/>
    <cellStyle name="Normal 5 3 4 2 8 2" xfId="21706" xr:uid="{E29BE564-3E0D-4900-A21A-5B32201FAAE3}"/>
    <cellStyle name="Normal 5 3 4 2 8 3" xfId="13265" xr:uid="{5729C01D-19EC-4E0C-9B0A-DC0D01FE1F13}"/>
    <cellStyle name="Normal 5 3 4 2 9" xfId="17488" xr:uid="{E20059D5-BBDC-413A-9A65-120F5AD984A5}"/>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24266" xr:uid="{54009A90-19C8-4E8F-8811-26058F0CD2F1}"/>
    <cellStyle name="Normal 5 3 4 3 2 2 2 3" xfId="15825" xr:uid="{058EA1F1-1E20-436A-B222-CB657D31346B}"/>
    <cellStyle name="Normal 5 3 4 3 2 2 3" xfId="20048" xr:uid="{BA50FEB0-841B-4D85-A9F2-A8B857926BD7}"/>
    <cellStyle name="Normal 5 3 4 3 2 2 4" xfId="11607" xr:uid="{6FBA9BCD-94AD-4E53-BE89-24426396E845}"/>
    <cellStyle name="Normal 5 3 4 3 2 3" xfId="5238" xr:uid="{00000000-0005-0000-0000-0000411A0000}"/>
    <cellStyle name="Normal 5 3 4 3 2 3 2" xfId="22121" xr:uid="{763702A8-3790-4C04-971C-3F6701BF3DF8}"/>
    <cellStyle name="Normal 5 3 4 3 2 3 3" xfId="13680" xr:uid="{CDF49C4F-D6AC-4F25-8CA9-CFEAF9FBA8EF}"/>
    <cellStyle name="Normal 5 3 4 3 2 4" xfId="17903" xr:uid="{8C46CD82-FE76-475E-9E6D-3A3BB2E90F91}"/>
    <cellStyle name="Normal 5 3 4 3 2 5" xfId="9462" xr:uid="{E4014E5B-B04E-43CB-96BC-F7DC172EE27F}"/>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24679" xr:uid="{C09CA076-810D-4186-B125-D9C16C8607E9}"/>
    <cellStyle name="Normal 5 3 4 3 3 2 2 3" xfId="16238" xr:uid="{CED888F8-D638-4D4D-A06A-25FC700915E5}"/>
    <cellStyle name="Normal 5 3 4 3 3 2 3" xfId="20461" xr:uid="{EB2919B4-FC4F-4BDA-82C8-DACABF24A7DD}"/>
    <cellStyle name="Normal 5 3 4 3 3 2 4" xfId="12020" xr:uid="{AB1354C5-E347-456E-957B-DFE49D2DFBF2}"/>
    <cellStyle name="Normal 5 3 4 3 3 3" xfId="5651" xr:uid="{00000000-0005-0000-0000-0000451A0000}"/>
    <cellStyle name="Normal 5 3 4 3 3 3 2" xfId="22534" xr:uid="{3DC73AF7-AC3F-45DB-B794-186F67C2F815}"/>
    <cellStyle name="Normal 5 3 4 3 3 3 3" xfId="14093" xr:uid="{6A322E58-EF6A-4CD6-BBB0-503B810ABD6A}"/>
    <cellStyle name="Normal 5 3 4 3 3 4" xfId="18316" xr:uid="{DDC17561-C465-4024-96A9-9331EF0BEEDF}"/>
    <cellStyle name="Normal 5 3 4 3 3 5" xfId="9875" xr:uid="{D5EC481E-E7F4-49A0-B142-9274CD22784E}"/>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25092" xr:uid="{CFD29B14-B331-48D9-81AF-C8A7D8D96A2F}"/>
    <cellStyle name="Normal 5 3 4 3 4 2 2 3" xfId="16651" xr:uid="{F6834C10-166E-43F6-AB8B-CDE8E6CAC2CE}"/>
    <cellStyle name="Normal 5 3 4 3 4 2 3" xfId="20874" xr:uid="{A118BF65-51EA-49BA-BCA9-68E3A1861D3D}"/>
    <cellStyle name="Normal 5 3 4 3 4 2 4" xfId="12433" xr:uid="{A282E780-CC48-421B-A961-10B47A42ED21}"/>
    <cellStyle name="Normal 5 3 4 3 4 3" xfId="6064" xr:uid="{00000000-0005-0000-0000-0000491A0000}"/>
    <cellStyle name="Normal 5 3 4 3 4 3 2" xfId="22947" xr:uid="{5DA45D2D-4DD1-4667-9762-4F03209B59C5}"/>
    <cellStyle name="Normal 5 3 4 3 4 3 3" xfId="14506" xr:uid="{9FE0F2F6-8AE9-44B6-BA93-98B7E30E1195}"/>
    <cellStyle name="Normal 5 3 4 3 4 4" xfId="18729" xr:uid="{951F33A3-8D95-49B0-B7CD-56A456A6293D}"/>
    <cellStyle name="Normal 5 3 4 3 4 5" xfId="10288" xr:uid="{6744B014-0501-416B-816A-34917DE5F79C}"/>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25505" xr:uid="{167D2EA5-FB46-4344-B5F9-F441B0AD7C52}"/>
    <cellStyle name="Normal 5 3 4 3 5 2 2 3" xfId="17064" xr:uid="{A6CEF30F-2229-4991-81F1-A5D73D05A143}"/>
    <cellStyle name="Normal 5 3 4 3 5 2 3" xfId="21287" xr:uid="{9CB21CCF-58B9-42F6-8BCB-2D6907458512}"/>
    <cellStyle name="Normal 5 3 4 3 5 2 4" xfId="12846" xr:uid="{45D95A6E-8B8C-4B21-9D46-297F177DBD52}"/>
    <cellStyle name="Normal 5 3 4 3 5 3" xfId="6477" xr:uid="{00000000-0005-0000-0000-00004D1A0000}"/>
    <cellStyle name="Normal 5 3 4 3 5 3 2" xfId="23360" xr:uid="{68D06515-8D83-40CA-8F1D-41165671FB1C}"/>
    <cellStyle name="Normal 5 3 4 3 5 3 3" xfId="14919" xr:uid="{50AE19A0-48D2-436E-8585-D5E87E1724B0}"/>
    <cellStyle name="Normal 5 3 4 3 5 4" xfId="19142" xr:uid="{7C230670-C803-4922-BE57-848F8686A8AC}"/>
    <cellStyle name="Normal 5 3 4 3 5 5" xfId="10701" xr:uid="{18BCE786-8AAF-417B-91FC-7E4B74129080}"/>
    <cellStyle name="Normal 5 3 4 3 6" xfId="2606" xr:uid="{00000000-0005-0000-0000-00004E1A0000}"/>
    <cellStyle name="Normal 5 3 4 3 6 2" xfId="6890" xr:uid="{00000000-0005-0000-0000-00004F1A0000}"/>
    <cellStyle name="Normal 5 3 4 3 6 2 2" xfId="23773" xr:uid="{93ADAFCC-3B70-4E3C-BD95-0B776CE836CA}"/>
    <cellStyle name="Normal 5 3 4 3 6 2 3" xfId="15332" xr:uid="{E48ADDAD-AEE3-4F3D-8B41-E99655EBD857}"/>
    <cellStyle name="Normal 5 3 4 3 6 3" xfId="19555" xr:uid="{CEF81138-8EFA-468D-A26D-B43D00A7717B}"/>
    <cellStyle name="Normal 5 3 4 3 6 4" xfId="11114" xr:uid="{CDF6BAEF-AC60-4826-8DC6-BB1295B0A31E}"/>
    <cellStyle name="Normal 5 3 4 3 7" xfId="4825" xr:uid="{00000000-0005-0000-0000-0000501A0000}"/>
    <cellStyle name="Normal 5 3 4 3 7 2" xfId="21708" xr:uid="{E195F423-AB24-4042-B9FF-85A2EBDB33E5}"/>
    <cellStyle name="Normal 5 3 4 3 7 3" xfId="13267" xr:uid="{54A3A45A-3D53-45AF-AD0D-FD25E02D31BF}"/>
    <cellStyle name="Normal 5 3 4 3 8" xfId="17490" xr:uid="{0B21A799-13FB-4894-BD3F-33674AFB4191}"/>
    <cellStyle name="Normal 5 3 4 3 9" xfId="9049" xr:uid="{D723009D-FA7D-4240-B867-4B9B30AD8F0C}"/>
    <cellStyle name="Normal 5 3 4 4" xfId="923" xr:uid="{00000000-0005-0000-0000-0000511A0000}"/>
    <cellStyle name="Normal 5 3 4 4 2" xfId="3157" xr:uid="{00000000-0005-0000-0000-0000521A0000}"/>
    <cellStyle name="Normal 5 3 4 4 2 2" xfId="7380" xr:uid="{00000000-0005-0000-0000-0000531A0000}"/>
    <cellStyle name="Normal 5 3 4 4 2 2 2" xfId="24263" xr:uid="{61CB5062-137D-47C6-BD2B-58F7E4F897CF}"/>
    <cellStyle name="Normal 5 3 4 4 2 2 3" xfId="15822" xr:uid="{48A6AD3B-B122-41EF-AC5A-938273675E1C}"/>
    <cellStyle name="Normal 5 3 4 4 2 3" xfId="20045" xr:uid="{20A6545A-8785-4259-B858-C64023EAF1B9}"/>
    <cellStyle name="Normal 5 3 4 4 2 4" xfId="11604" xr:uid="{0DC6E348-49D1-4F51-8302-A40B90BC0F31}"/>
    <cellStyle name="Normal 5 3 4 4 3" xfId="5235" xr:uid="{00000000-0005-0000-0000-0000541A0000}"/>
    <cellStyle name="Normal 5 3 4 4 3 2" xfId="22118" xr:uid="{F0F302B1-59BC-4F50-A839-59E80E197562}"/>
    <cellStyle name="Normal 5 3 4 4 3 3" xfId="13677" xr:uid="{9978C090-0CD5-4F41-901F-9CDF590CCCB7}"/>
    <cellStyle name="Normal 5 3 4 4 4" xfId="17900" xr:uid="{1DD8309B-D12F-4B31-9E29-ECAF57C92CB9}"/>
    <cellStyle name="Normal 5 3 4 4 5" xfId="9459" xr:uid="{F44D7FE9-0B0F-428E-A2DE-A53FB87E9C22}"/>
    <cellStyle name="Normal 5 3 4 5" xfId="1340" xr:uid="{00000000-0005-0000-0000-0000551A0000}"/>
    <cellStyle name="Normal 5 3 4 5 2" xfId="3570" xr:uid="{00000000-0005-0000-0000-0000561A0000}"/>
    <cellStyle name="Normal 5 3 4 5 2 2" xfId="7793" xr:uid="{00000000-0005-0000-0000-0000571A0000}"/>
    <cellStyle name="Normal 5 3 4 5 2 2 2" xfId="24676" xr:uid="{78AC239A-A057-47AC-91D9-D73465FA1BA8}"/>
    <cellStyle name="Normal 5 3 4 5 2 2 3" xfId="16235" xr:uid="{CE986058-1C11-4FF8-BDB7-877165986A6D}"/>
    <cellStyle name="Normal 5 3 4 5 2 3" xfId="20458" xr:uid="{46EBED46-C2C6-4F51-8E5E-06D5E89BFE7D}"/>
    <cellStyle name="Normal 5 3 4 5 2 4" xfId="12017" xr:uid="{6DA397B9-C956-408B-B3A1-C1B2D8636B0D}"/>
    <cellStyle name="Normal 5 3 4 5 3" xfId="5648" xr:uid="{00000000-0005-0000-0000-0000581A0000}"/>
    <cellStyle name="Normal 5 3 4 5 3 2" xfId="22531" xr:uid="{2EF27D56-2EE8-4110-AA51-836B6D07C432}"/>
    <cellStyle name="Normal 5 3 4 5 3 3" xfId="14090" xr:uid="{A27EC36E-BE9C-4F7A-B54B-B73C18FA0599}"/>
    <cellStyle name="Normal 5 3 4 5 4" xfId="18313" xr:uid="{F6354B62-675B-464C-87F4-8A3EB2788E90}"/>
    <cellStyle name="Normal 5 3 4 5 5" xfId="9872" xr:uid="{689DEBDF-2279-4859-A991-0E6D7BB23B70}"/>
    <cellStyle name="Normal 5 3 4 6" xfId="1753" xr:uid="{00000000-0005-0000-0000-0000591A0000}"/>
    <cellStyle name="Normal 5 3 4 6 2" xfId="3983" xr:uid="{00000000-0005-0000-0000-00005A1A0000}"/>
    <cellStyle name="Normal 5 3 4 6 2 2" xfId="8206" xr:uid="{00000000-0005-0000-0000-00005B1A0000}"/>
    <cellStyle name="Normal 5 3 4 6 2 2 2" xfId="25089" xr:uid="{B6259E3A-69C5-4E2D-B147-4BCEC89AC187}"/>
    <cellStyle name="Normal 5 3 4 6 2 2 3" xfId="16648" xr:uid="{94B658D9-5480-45EC-BE82-6DB3372BB56C}"/>
    <cellStyle name="Normal 5 3 4 6 2 3" xfId="20871" xr:uid="{12B1259A-C132-419A-BE93-7EB76C06E7D6}"/>
    <cellStyle name="Normal 5 3 4 6 2 4" xfId="12430" xr:uid="{13D2C32E-7733-48EB-98B2-F77CF2FA6EBB}"/>
    <cellStyle name="Normal 5 3 4 6 3" xfId="6061" xr:uid="{00000000-0005-0000-0000-00005C1A0000}"/>
    <cellStyle name="Normal 5 3 4 6 3 2" xfId="22944" xr:uid="{3FED939E-9BB5-4431-BC26-45E85863B000}"/>
    <cellStyle name="Normal 5 3 4 6 3 3" xfId="14503" xr:uid="{64BDF6A2-32E8-4AA9-BC31-98F550EF275F}"/>
    <cellStyle name="Normal 5 3 4 6 4" xfId="18726" xr:uid="{4BF7A373-2FCE-44E0-BBD1-A3CB4735BDAA}"/>
    <cellStyle name="Normal 5 3 4 6 5" xfId="10285" xr:uid="{D6C986D8-AE82-4129-BBEA-BA44EC78A2D0}"/>
    <cellStyle name="Normal 5 3 4 7" xfId="2167" xr:uid="{00000000-0005-0000-0000-00005D1A0000}"/>
    <cellStyle name="Normal 5 3 4 7 2" xfId="4396" xr:uid="{00000000-0005-0000-0000-00005E1A0000}"/>
    <cellStyle name="Normal 5 3 4 7 2 2" xfId="8619" xr:uid="{00000000-0005-0000-0000-00005F1A0000}"/>
    <cellStyle name="Normal 5 3 4 7 2 2 2" xfId="25502" xr:uid="{C614228A-CD0E-4854-835F-06F484FB861A}"/>
    <cellStyle name="Normal 5 3 4 7 2 2 3" xfId="17061" xr:uid="{46BA75CA-684B-406A-9639-48A332AA19CE}"/>
    <cellStyle name="Normal 5 3 4 7 2 3" xfId="21284" xr:uid="{D408B678-B1F6-4C92-A3BF-11DD7CE18EED}"/>
    <cellStyle name="Normal 5 3 4 7 2 4" xfId="12843" xr:uid="{2E4730BF-4FCD-45CA-85A6-CECEEC918972}"/>
    <cellStyle name="Normal 5 3 4 7 3" xfId="6474" xr:uid="{00000000-0005-0000-0000-0000601A0000}"/>
    <cellStyle name="Normal 5 3 4 7 3 2" xfId="23357" xr:uid="{50BFF04F-372E-4135-9104-8A2A28BD5891}"/>
    <cellStyle name="Normal 5 3 4 7 3 3" xfId="14916" xr:uid="{615146C7-C28A-4E48-AFD5-F760F03E27AA}"/>
    <cellStyle name="Normal 5 3 4 7 4" xfId="19139" xr:uid="{EA9462C1-FD87-4ED1-B8F6-2A269891A099}"/>
    <cellStyle name="Normal 5 3 4 7 5" xfId="10698" xr:uid="{5B68D068-AACA-4299-9A20-90B62D8C0433}"/>
    <cellStyle name="Normal 5 3 4 8" xfId="2603" xr:uid="{00000000-0005-0000-0000-0000611A0000}"/>
    <cellStyle name="Normal 5 3 4 8 2" xfId="6887" xr:uid="{00000000-0005-0000-0000-0000621A0000}"/>
    <cellStyle name="Normal 5 3 4 8 2 2" xfId="23770" xr:uid="{D54AA95C-F17F-4984-A8AF-9CFA8F842AB3}"/>
    <cellStyle name="Normal 5 3 4 8 2 3" xfId="15329" xr:uid="{E17C1735-C966-46EA-97C8-2720046AC153}"/>
    <cellStyle name="Normal 5 3 4 8 3" xfId="19552" xr:uid="{4BAF7CD3-7895-496E-9000-566EFB39E33D}"/>
    <cellStyle name="Normal 5 3 4 8 4" xfId="11111" xr:uid="{07BCBD6C-E267-4C4D-9CEA-2B6BD1FD985D}"/>
    <cellStyle name="Normal 5 3 4 9" xfId="4822" xr:uid="{00000000-0005-0000-0000-0000631A0000}"/>
    <cellStyle name="Normal 5 3 4 9 2" xfId="21705" xr:uid="{0C842E1F-2D33-4F8A-A3F7-5B93767380BD}"/>
    <cellStyle name="Normal 5 3 4 9 3" xfId="13264" xr:uid="{F10B40E6-4659-4563-9A55-A416256136F6}"/>
    <cellStyle name="Normal 5 3 5" xfId="453" xr:uid="{00000000-0005-0000-0000-0000641A0000}"/>
    <cellStyle name="Normal 5 3 5 10" xfId="9050" xr:uid="{4F600EAB-1071-400B-BFEF-076004AECEF8}"/>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24268" xr:uid="{991E970F-7C12-4FD8-B96A-2014604D998D}"/>
    <cellStyle name="Normal 5 3 5 2 2 2 2 3" xfId="15827" xr:uid="{0B889C1C-4F36-46E9-A97C-8BCBD6036B35}"/>
    <cellStyle name="Normal 5 3 5 2 2 2 3" xfId="20050" xr:uid="{C7DF1135-F289-4198-9DA2-F68B56217D36}"/>
    <cellStyle name="Normal 5 3 5 2 2 2 4" xfId="11609" xr:uid="{FABDB935-F8A2-4E86-83FE-DB7EAAADB557}"/>
    <cellStyle name="Normal 5 3 5 2 2 3" xfId="5240" xr:uid="{00000000-0005-0000-0000-0000691A0000}"/>
    <cellStyle name="Normal 5 3 5 2 2 3 2" xfId="22123" xr:uid="{26BFE4B4-428C-4218-89DF-039A72BA3D5E}"/>
    <cellStyle name="Normal 5 3 5 2 2 3 3" xfId="13682" xr:uid="{CFD47A88-DAA8-4488-84D0-7914916FBC0F}"/>
    <cellStyle name="Normal 5 3 5 2 2 4" xfId="17905" xr:uid="{64CC2F3E-DCE3-4AAF-8E76-635F69E3B7EF}"/>
    <cellStyle name="Normal 5 3 5 2 2 5" xfId="9464" xr:uid="{6A06C2B3-DA62-4336-802E-77E0DF78DB87}"/>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24681" xr:uid="{994503FF-4586-4B6B-B84B-84AD5404C096}"/>
    <cellStyle name="Normal 5 3 5 2 3 2 2 3" xfId="16240" xr:uid="{09D6B379-F2DB-444A-8BF5-115B20716D83}"/>
    <cellStyle name="Normal 5 3 5 2 3 2 3" xfId="20463" xr:uid="{85DCD8F3-78C3-4C13-BEAD-C05106263291}"/>
    <cellStyle name="Normal 5 3 5 2 3 2 4" xfId="12022" xr:uid="{65369B9C-7E9B-457D-94FE-5C8405178E4E}"/>
    <cellStyle name="Normal 5 3 5 2 3 3" xfId="5653" xr:uid="{00000000-0005-0000-0000-00006D1A0000}"/>
    <cellStyle name="Normal 5 3 5 2 3 3 2" xfId="22536" xr:uid="{B1F854A0-68EB-4577-B978-70AEBFAC5DA2}"/>
    <cellStyle name="Normal 5 3 5 2 3 3 3" xfId="14095" xr:uid="{885CEC65-FAB1-4371-8143-434552EA74F7}"/>
    <cellStyle name="Normal 5 3 5 2 3 4" xfId="18318" xr:uid="{8AD812F0-79F4-4FAF-AFCA-F202A13C28CA}"/>
    <cellStyle name="Normal 5 3 5 2 3 5" xfId="9877" xr:uid="{ED94CE71-8E65-4233-BB0B-99E25A899573}"/>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25094" xr:uid="{14347090-2CEC-42E2-A7F2-B9FA348220BE}"/>
    <cellStyle name="Normal 5 3 5 2 4 2 2 3" xfId="16653" xr:uid="{ED9D67E7-C2BE-4080-A8A6-DD8E5474F6D6}"/>
    <cellStyle name="Normal 5 3 5 2 4 2 3" xfId="20876" xr:uid="{29B5E3ED-A869-46C7-987E-D0C1D87EC4A2}"/>
    <cellStyle name="Normal 5 3 5 2 4 2 4" xfId="12435" xr:uid="{8EECEA82-9DFE-4896-B332-11176D548A10}"/>
    <cellStyle name="Normal 5 3 5 2 4 3" xfId="6066" xr:uid="{00000000-0005-0000-0000-0000711A0000}"/>
    <cellStyle name="Normal 5 3 5 2 4 3 2" xfId="22949" xr:uid="{FFB090EA-8EFD-4D6C-ACF8-14607F40381D}"/>
    <cellStyle name="Normal 5 3 5 2 4 3 3" xfId="14508" xr:uid="{919A7975-7326-4895-82EB-12051FD03793}"/>
    <cellStyle name="Normal 5 3 5 2 4 4" xfId="18731" xr:uid="{9B975123-8FA5-4FD9-8E2D-BF5BE55B73DA}"/>
    <cellStyle name="Normal 5 3 5 2 4 5" xfId="10290" xr:uid="{34BF6891-D315-48BF-A65E-9962C363DEBA}"/>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25507" xr:uid="{D64CB37A-5C37-4626-B732-2D6975354064}"/>
    <cellStyle name="Normal 5 3 5 2 5 2 2 3" xfId="17066" xr:uid="{C4615AE8-0BF5-4475-98BC-10DB3CA85584}"/>
    <cellStyle name="Normal 5 3 5 2 5 2 3" xfId="21289" xr:uid="{9BA45339-BF7C-464C-80C5-ACBF9F39D546}"/>
    <cellStyle name="Normal 5 3 5 2 5 2 4" xfId="12848" xr:uid="{041E1A8D-4194-4F14-93D3-5F8E37121F1C}"/>
    <cellStyle name="Normal 5 3 5 2 5 3" xfId="6479" xr:uid="{00000000-0005-0000-0000-0000751A0000}"/>
    <cellStyle name="Normal 5 3 5 2 5 3 2" xfId="23362" xr:uid="{07D86E36-A47E-4DD3-9C28-C68528594158}"/>
    <cellStyle name="Normal 5 3 5 2 5 3 3" xfId="14921" xr:uid="{7039878F-C6CB-4D5A-8DC8-C5F556B08D65}"/>
    <cellStyle name="Normal 5 3 5 2 5 4" xfId="19144" xr:uid="{046CA41C-BC94-42CD-8C49-BBC45F7C6651}"/>
    <cellStyle name="Normal 5 3 5 2 5 5" xfId="10703" xr:uid="{D731DE82-CE53-45EF-B273-01C0D15530CC}"/>
    <cellStyle name="Normal 5 3 5 2 6" xfId="2608" xr:uid="{00000000-0005-0000-0000-0000761A0000}"/>
    <cellStyle name="Normal 5 3 5 2 6 2" xfId="6892" xr:uid="{00000000-0005-0000-0000-0000771A0000}"/>
    <cellStyle name="Normal 5 3 5 2 6 2 2" xfId="23775" xr:uid="{9379D8E0-CD1C-438B-A063-F371B91F9F7C}"/>
    <cellStyle name="Normal 5 3 5 2 6 2 3" xfId="15334" xr:uid="{371FF6D4-B103-434C-8895-9C2F8E04BB6C}"/>
    <cellStyle name="Normal 5 3 5 2 6 3" xfId="19557" xr:uid="{56C21A0A-3632-42FF-9856-F15462339C06}"/>
    <cellStyle name="Normal 5 3 5 2 6 4" xfId="11116" xr:uid="{691D566F-90A6-4D19-A167-95B2271BDFB7}"/>
    <cellStyle name="Normal 5 3 5 2 7" xfId="4827" xr:uid="{00000000-0005-0000-0000-0000781A0000}"/>
    <cellStyle name="Normal 5 3 5 2 7 2" xfId="21710" xr:uid="{C105CE1C-6667-46A5-855D-E5BB7810ADFB}"/>
    <cellStyle name="Normal 5 3 5 2 7 3" xfId="13269" xr:uid="{4722AB7F-E6F3-4123-861E-5C08304E5E6E}"/>
    <cellStyle name="Normal 5 3 5 2 8" xfId="17492" xr:uid="{A5FC9CB0-382E-478A-92BC-6D141AD9F6BF}"/>
    <cellStyle name="Normal 5 3 5 2 9" xfId="9051" xr:uid="{AD13C020-5D1B-4E88-ABCB-D1B7EDEAC93C}"/>
    <cellStyle name="Normal 5 3 5 3" xfId="927" xr:uid="{00000000-0005-0000-0000-0000791A0000}"/>
    <cellStyle name="Normal 5 3 5 3 2" xfId="3161" xr:uid="{00000000-0005-0000-0000-00007A1A0000}"/>
    <cellStyle name="Normal 5 3 5 3 2 2" xfId="7384" xr:uid="{00000000-0005-0000-0000-00007B1A0000}"/>
    <cellStyle name="Normal 5 3 5 3 2 2 2" xfId="24267" xr:uid="{6C1DCCA0-5056-44AC-9837-DB6ECAA60829}"/>
    <cellStyle name="Normal 5 3 5 3 2 2 3" xfId="15826" xr:uid="{3C744126-EDBD-4433-B831-E3D3D182B307}"/>
    <cellStyle name="Normal 5 3 5 3 2 3" xfId="20049" xr:uid="{E8F1470C-9041-426A-B5A2-52697C4A8362}"/>
    <cellStyle name="Normal 5 3 5 3 2 4" xfId="11608" xr:uid="{278AB299-FE16-4B2E-8999-DCD67E5D6764}"/>
    <cellStyle name="Normal 5 3 5 3 3" xfId="5239" xr:uid="{00000000-0005-0000-0000-00007C1A0000}"/>
    <cellStyle name="Normal 5 3 5 3 3 2" xfId="22122" xr:uid="{075EE240-5A99-4ECD-A249-0D03B1250F48}"/>
    <cellStyle name="Normal 5 3 5 3 3 3" xfId="13681" xr:uid="{989652A9-78FC-4AE0-83B6-3ADBB4367214}"/>
    <cellStyle name="Normal 5 3 5 3 4" xfId="17904" xr:uid="{27043F52-9ACB-4104-86E5-8A0DE9982054}"/>
    <cellStyle name="Normal 5 3 5 3 5" xfId="9463" xr:uid="{F958AAB1-76CC-4086-8635-B6541B9B338E}"/>
    <cellStyle name="Normal 5 3 5 4" xfId="1344" xr:uid="{00000000-0005-0000-0000-00007D1A0000}"/>
    <cellStyle name="Normal 5 3 5 4 2" xfId="3574" xr:uid="{00000000-0005-0000-0000-00007E1A0000}"/>
    <cellStyle name="Normal 5 3 5 4 2 2" xfId="7797" xr:uid="{00000000-0005-0000-0000-00007F1A0000}"/>
    <cellStyle name="Normal 5 3 5 4 2 2 2" xfId="24680" xr:uid="{E5729D9A-79A9-4524-8785-67AA2656C512}"/>
    <cellStyle name="Normal 5 3 5 4 2 2 3" xfId="16239" xr:uid="{B2BA5A1D-589F-4A8F-8B48-770AB94A71EF}"/>
    <cellStyle name="Normal 5 3 5 4 2 3" xfId="20462" xr:uid="{9AEF269B-8971-4DEA-AA8B-A95DACF75C7A}"/>
    <cellStyle name="Normal 5 3 5 4 2 4" xfId="12021" xr:uid="{6A3C5684-CAF4-4E56-9F5D-221CCF369380}"/>
    <cellStyle name="Normal 5 3 5 4 3" xfId="5652" xr:uid="{00000000-0005-0000-0000-0000801A0000}"/>
    <cellStyle name="Normal 5 3 5 4 3 2" xfId="22535" xr:uid="{36A54BBF-B071-4CA7-AEE0-24F691339A50}"/>
    <cellStyle name="Normal 5 3 5 4 3 3" xfId="14094" xr:uid="{3E3BBB3A-C87E-4A8F-99BE-92E108DF27CD}"/>
    <cellStyle name="Normal 5 3 5 4 4" xfId="18317" xr:uid="{3C46D5E3-6B73-41E4-9375-8DF3DD40F7F1}"/>
    <cellStyle name="Normal 5 3 5 4 5" xfId="9876" xr:uid="{5A95E4FF-8E9B-42FC-A2A9-1818E7B4AC3A}"/>
    <cellStyle name="Normal 5 3 5 5" xfId="1757" xr:uid="{00000000-0005-0000-0000-0000811A0000}"/>
    <cellStyle name="Normal 5 3 5 5 2" xfId="3987" xr:uid="{00000000-0005-0000-0000-0000821A0000}"/>
    <cellStyle name="Normal 5 3 5 5 2 2" xfId="8210" xr:uid="{00000000-0005-0000-0000-0000831A0000}"/>
    <cellStyle name="Normal 5 3 5 5 2 2 2" xfId="25093" xr:uid="{8C76DA26-61C5-48DA-A09B-42874798F881}"/>
    <cellStyle name="Normal 5 3 5 5 2 2 3" xfId="16652" xr:uid="{512AEFEF-36C4-4E9D-99C0-F31F519EFDAF}"/>
    <cellStyle name="Normal 5 3 5 5 2 3" xfId="20875" xr:uid="{245A84AE-3D0A-4CA7-B91D-B36A7306A75A}"/>
    <cellStyle name="Normal 5 3 5 5 2 4" xfId="12434" xr:uid="{6328829F-43E4-45AB-84CF-CFEC32DF7181}"/>
    <cellStyle name="Normal 5 3 5 5 3" xfId="6065" xr:uid="{00000000-0005-0000-0000-0000841A0000}"/>
    <cellStyle name="Normal 5 3 5 5 3 2" xfId="22948" xr:uid="{8367C247-8C25-4E4A-8DF8-A621EA44FCCF}"/>
    <cellStyle name="Normal 5 3 5 5 3 3" xfId="14507" xr:uid="{F2CC1419-995F-432D-9558-6B88385DABE0}"/>
    <cellStyle name="Normal 5 3 5 5 4" xfId="18730" xr:uid="{C07AAEC7-71D7-4AE9-94F8-0D15C13FC142}"/>
    <cellStyle name="Normal 5 3 5 5 5" xfId="10289" xr:uid="{F3ABFA31-6C20-4B05-A3B5-213F69029F97}"/>
    <cellStyle name="Normal 5 3 5 6" xfId="2171" xr:uid="{00000000-0005-0000-0000-0000851A0000}"/>
    <cellStyle name="Normal 5 3 5 6 2" xfId="4400" xr:uid="{00000000-0005-0000-0000-0000861A0000}"/>
    <cellStyle name="Normal 5 3 5 6 2 2" xfId="8623" xr:uid="{00000000-0005-0000-0000-0000871A0000}"/>
    <cellStyle name="Normal 5 3 5 6 2 2 2" xfId="25506" xr:uid="{B8464BC5-7C71-4C0D-9C4A-BE5CCF1D9715}"/>
    <cellStyle name="Normal 5 3 5 6 2 2 3" xfId="17065" xr:uid="{5768723D-EE86-45A6-83F2-C61DF945A0C3}"/>
    <cellStyle name="Normal 5 3 5 6 2 3" xfId="21288" xr:uid="{6452557A-53B7-47A3-A6F1-3B033E4D39A9}"/>
    <cellStyle name="Normal 5 3 5 6 2 4" xfId="12847" xr:uid="{ECA05D2F-8D4E-4AD4-A4A3-5A4BB027E612}"/>
    <cellStyle name="Normal 5 3 5 6 3" xfId="6478" xr:uid="{00000000-0005-0000-0000-0000881A0000}"/>
    <cellStyle name="Normal 5 3 5 6 3 2" xfId="23361" xr:uid="{8E5FC45A-AD45-4663-9017-B4C0CABC7711}"/>
    <cellStyle name="Normal 5 3 5 6 3 3" xfId="14920" xr:uid="{E2815946-EBAC-494B-B24D-DE8DD7C6A956}"/>
    <cellStyle name="Normal 5 3 5 6 4" xfId="19143" xr:uid="{9607E91F-95DA-42B3-A8F1-AD1B952E87A6}"/>
    <cellStyle name="Normal 5 3 5 6 5" xfId="10702" xr:uid="{0A4834DD-449B-46D0-84AC-6384F6D3914B}"/>
    <cellStyle name="Normal 5 3 5 7" xfId="2607" xr:uid="{00000000-0005-0000-0000-0000891A0000}"/>
    <cellStyle name="Normal 5 3 5 7 2" xfId="6891" xr:uid="{00000000-0005-0000-0000-00008A1A0000}"/>
    <cellStyle name="Normal 5 3 5 7 2 2" xfId="23774" xr:uid="{1B456163-B7B0-4D96-9700-359146C6BC99}"/>
    <cellStyle name="Normal 5 3 5 7 2 3" xfId="15333" xr:uid="{17F6CF6C-2C2B-44B9-A63E-637E97611C19}"/>
    <cellStyle name="Normal 5 3 5 7 3" xfId="19556" xr:uid="{ED93636C-6150-4A0F-9EE8-64EF1D81D5D7}"/>
    <cellStyle name="Normal 5 3 5 7 4" xfId="11115" xr:uid="{F7D10690-2B84-4358-AB65-EFA831907D0F}"/>
    <cellStyle name="Normal 5 3 5 8" xfId="4826" xr:uid="{00000000-0005-0000-0000-00008B1A0000}"/>
    <cellStyle name="Normal 5 3 5 8 2" xfId="21709" xr:uid="{2C39BF92-0BE9-4768-B38F-4B91C53230E9}"/>
    <cellStyle name="Normal 5 3 5 8 3" xfId="13268" xr:uid="{09795C9C-A311-45E0-83F4-0067742F4C4E}"/>
    <cellStyle name="Normal 5 3 5 9" xfId="17491" xr:uid="{A2B7B565-668D-49CB-8846-C27656470619}"/>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24269" xr:uid="{4F45D337-CBE0-41DE-B84C-B9B2107F0D6C}"/>
    <cellStyle name="Normal 5 3 6 2 2 2 3" xfId="15828" xr:uid="{C75861CD-82EE-4F05-92CB-58599429E3F6}"/>
    <cellStyle name="Normal 5 3 6 2 2 3" xfId="20051" xr:uid="{6396F3FC-833F-4354-ADC6-2498C6B5AC00}"/>
    <cellStyle name="Normal 5 3 6 2 2 4" xfId="11610" xr:uid="{30A6480C-47E8-424A-BCBA-A1D1F09F80E6}"/>
    <cellStyle name="Normal 5 3 6 2 3" xfId="5241" xr:uid="{00000000-0005-0000-0000-0000901A0000}"/>
    <cellStyle name="Normal 5 3 6 2 3 2" xfId="22124" xr:uid="{0F4CD650-9366-4435-B400-2F6DDBFCAFB2}"/>
    <cellStyle name="Normal 5 3 6 2 3 3" xfId="13683" xr:uid="{2D878623-9F49-4AF7-985A-6D258D263045}"/>
    <cellStyle name="Normal 5 3 6 2 4" xfId="17906" xr:uid="{103DACD8-F4DD-4942-AA8B-DA2FAA33AD86}"/>
    <cellStyle name="Normal 5 3 6 2 5" xfId="9465" xr:uid="{6DDA1E68-4A55-46B7-ADA6-AEDC7D2DD9D0}"/>
    <cellStyle name="Normal 5 3 6 3" xfId="1346" xr:uid="{00000000-0005-0000-0000-0000911A0000}"/>
    <cellStyle name="Normal 5 3 6 3 2" xfId="3576" xr:uid="{00000000-0005-0000-0000-0000921A0000}"/>
    <cellStyle name="Normal 5 3 6 3 2 2" xfId="7799" xr:uid="{00000000-0005-0000-0000-0000931A0000}"/>
    <cellStyle name="Normal 5 3 6 3 2 2 2" xfId="24682" xr:uid="{E99889D3-ED96-4DA4-99D6-F28F2D7B6A00}"/>
    <cellStyle name="Normal 5 3 6 3 2 2 3" xfId="16241" xr:uid="{F0D1B5D8-8AD6-44CE-9BE1-E1299CD9CE44}"/>
    <cellStyle name="Normal 5 3 6 3 2 3" xfId="20464" xr:uid="{2C9EAF15-492D-4F67-970F-74C61756AD9C}"/>
    <cellStyle name="Normal 5 3 6 3 2 4" xfId="12023" xr:uid="{AE6FB8EA-EF5D-4E28-8579-93A64DF534D1}"/>
    <cellStyle name="Normal 5 3 6 3 3" xfId="5654" xr:uid="{00000000-0005-0000-0000-0000941A0000}"/>
    <cellStyle name="Normal 5 3 6 3 3 2" xfId="22537" xr:uid="{333BB892-1C69-4B1E-984F-3563D5FFAB98}"/>
    <cellStyle name="Normal 5 3 6 3 3 3" xfId="14096" xr:uid="{062BBC81-718A-4A96-B6AB-6EF0E4781054}"/>
    <cellStyle name="Normal 5 3 6 3 4" xfId="18319" xr:uid="{CB7A3825-BCA4-4B1B-B9C2-0E6A21EFC931}"/>
    <cellStyle name="Normal 5 3 6 3 5" xfId="9878" xr:uid="{46501429-01D6-4D35-A5C5-1BBC7EAA645F}"/>
    <cellStyle name="Normal 5 3 6 4" xfId="1759" xr:uid="{00000000-0005-0000-0000-0000951A0000}"/>
    <cellStyle name="Normal 5 3 6 4 2" xfId="3989" xr:uid="{00000000-0005-0000-0000-0000961A0000}"/>
    <cellStyle name="Normal 5 3 6 4 2 2" xfId="8212" xr:uid="{00000000-0005-0000-0000-0000971A0000}"/>
    <cellStyle name="Normal 5 3 6 4 2 2 2" xfId="25095" xr:uid="{60C30F7C-AB69-4889-9FB7-7E67E8728B91}"/>
    <cellStyle name="Normal 5 3 6 4 2 2 3" xfId="16654" xr:uid="{D4590C76-1357-4A39-9744-9E4F9F96B913}"/>
    <cellStyle name="Normal 5 3 6 4 2 3" xfId="20877" xr:uid="{FBF587D1-CE6C-487B-BBC9-3082B3D1B685}"/>
    <cellStyle name="Normal 5 3 6 4 2 4" xfId="12436" xr:uid="{95A134B5-80CE-46C6-987A-571FB184BE61}"/>
    <cellStyle name="Normal 5 3 6 4 3" xfId="6067" xr:uid="{00000000-0005-0000-0000-0000981A0000}"/>
    <cellStyle name="Normal 5 3 6 4 3 2" xfId="22950" xr:uid="{42FCBD92-ECA5-4E4E-A065-21A4FEC5E607}"/>
    <cellStyle name="Normal 5 3 6 4 3 3" xfId="14509" xr:uid="{60C83D12-845B-4ABC-A918-DD464F07C6AA}"/>
    <cellStyle name="Normal 5 3 6 4 4" xfId="18732" xr:uid="{039F5B3D-7447-497B-A715-BD3F15852C0C}"/>
    <cellStyle name="Normal 5 3 6 4 5" xfId="10291" xr:uid="{294CBDC3-8FC0-477B-9528-98B4FE6A1BD3}"/>
    <cellStyle name="Normal 5 3 6 5" xfId="2173" xr:uid="{00000000-0005-0000-0000-0000991A0000}"/>
    <cellStyle name="Normal 5 3 6 5 2" xfId="4402" xr:uid="{00000000-0005-0000-0000-00009A1A0000}"/>
    <cellStyle name="Normal 5 3 6 5 2 2" xfId="8625" xr:uid="{00000000-0005-0000-0000-00009B1A0000}"/>
    <cellStyle name="Normal 5 3 6 5 2 2 2" xfId="25508" xr:uid="{245EB6AD-123D-49DA-B294-0901A6E967F8}"/>
    <cellStyle name="Normal 5 3 6 5 2 2 3" xfId="17067" xr:uid="{8F61F692-A59C-4917-8BF2-EC3311A26772}"/>
    <cellStyle name="Normal 5 3 6 5 2 3" xfId="21290" xr:uid="{C7CA261D-DF3F-416E-8158-F25E073EC111}"/>
    <cellStyle name="Normal 5 3 6 5 2 4" xfId="12849" xr:uid="{517F5B2F-478A-47C3-98B1-34DBA8F6A7CB}"/>
    <cellStyle name="Normal 5 3 6 5 3" xfId="6480" xr:uid="{00000000-0005-0000-0000-00009C1A0000}"/>
    <cellStyle name="Normal 5 3 6 5 3 2" xfId="23363" xr:uid="{AB485613-9C20-4677-A089-16687BD43C71}"/>
    <cellStyle name="Normal 5 3 6 5 3 3" xfId="14922" xr:uid="{BA7527B0-396B-46B0-8536-BF4B0CB512FC}"/>
    <cellStyle name="Normal 5 3 6 5 4" xfId="19145" xr:uid="{CB02E944-2AF1-458D-8BB9-FC494338C4F0}"/>
    <cellStyle name="Normal 5 3 6 5 5" xfId="10704" xr:uid="{315E623A-27EA-4F8A-97C0-D571B68B84DF}"/>
    <cellStyle name="Normal 5 3 6 6" xfId="2609" xr:uid="{00000000-0005-0000-0000-00009D1A0000}"/>
    <cellStyle name="Normal 5 3 6 6 2" xfId="6893" xr:uid="{00000000-0005-0000-0000-00009E1A0000}"/>
    <cellStyle name="Normal 5 3 6 6 2 2" xfId="23776" xr:uid="{9583BE43-EBB9-41BB-B99E-FE9AAE34AA4A}"/>
    <cellStyle name="Normal 5 3 6 6 2 3" xfId="15335" xr:uid="{68C5D72D-F55A-4A76-8513-116DFF1FDBF3}"/>
    <cellStyle name="Normal 5 3 6 6 3" xfId="19558" xr:uid="{F5F9598C-7EF4-4FCC-8BA8-6DDA1701C37D}"/>
    <cellStyle name="Normal 5 3 6 6 4" xfId="11117" xr:uid="{491409D4-1E39-45DB-884D-FB23162A37DA}"/>
    <cellStyle name="Normal 5 3 6 7" xfId="4828" xr:uid="{00000000-0005-0000-0000-00009F1A0000}"/>
    <cellStyle name="Normal 5 3 6 7 2" xfId="21711" xr:uid="{DB8C2353-F481-44A6-A58B-31EDB7757E48}"/>
    <cellStyle name="Normal 5 3 6 7 3" xfId="13270" xr:uid="{450DD9FA-9B21-4D49-9BF8-A155698B2319}"/>
    <cellStyle name="Normal 5 3 6 8" xfId="17493" xr:uid="{87296870-E8AB-4F5F-AFD8-4A2F5942E8BE}"/>
    <cellStyle name="Normal 5 3 6 9" xfId="9052" xr:uid="{17DB0467-DB6B-4590-B44E-9798819FEF23}"/>
    <cellStyle name="Normal 5 3 7" xfId="913" xr:uid="{00000000-0005-0000-0000-0000A01A0000}"/>
    <cellStyle name="Normal 5 3 7 2" xfId="3148" xr:uid="{00000000-0005-0000-0000-0000A11A0000}"/>
    <cellStyle name="Normal 5 3 7 2 2" xfId="7371" xr:uid="{00000000-0005-0000-0000-0000A21A0000}"/>
    <cellStyle name="Normal 5 3 7 2 2 2" xfId="24254" xr:uid="{084016A0-F64D-4578-A390-44FF059EB815}"/>
    <cellStyle name="Normal 5 3 7 2 2 3" xfId="15813" xr:uid="{4EE2FB2E-1A0B-4F9B-AD67-B44DBF227D39}"/>
    <cellStyle name="Normal 5 3 7 2 3" xfId="20036" xr:uid="{764E7DA5-D460-470B-A7DF-CA00E7202396}"/>
    <cellStyle name="Normal 5 3 7 2 4" xfId="11595" xr:uid="{BCD766D4-0856-4235-9D18-371E7A9DAA06}"/>
    <cellStyle name="Normal 5 3 7 3" xfId="5226" xr:uid="{00000000-0005-0000-0000-0000A31A0000}"/>
    <cellStyle name="Normal 5 3 7 3 2" xfId="22109" xr:uid="{73482340-3FF6-4D53-B881-A40D3EF06CF7}"/>
    <cellStyle name="Normal 5 3 7 3 3" xfId="13668" xr:uid="{91CE9E0F-8666-42E6-B2C0-DA27463B7948}"/>
    <cellStyle name="Normal 5 3 7 4" xfId="17891" xr:uid="{736083A5-F0EF-4189-9A2A-13009C98F63E}"/>
    <cellStyle name="Normal 5 3 7 5" xfId="9450" xr:uid="{FF16BE99-9DBE-4C4F-B57E-ACFFB2D1D55B}"/>
    <cellStyle name="Normal 5 3 8" xfId="1331" xr:uid="{00000000-0005-0000-0000-0000A41A0000}"/>
    <cellStyle name="Normal 5 3 8 2" xfId="3561" xr:uid="{00000000-0005-0000-0000-0000A51A0000}"/>
    <cellStyle name="Normal 5 3 8 2 2" xfId="7784" xr:uid="{00000000-0005-0000-0000-0000A61A0000}"/>
    <cellStyle name="Normal 5 3 8 2 2 2" xfId="24667" xr:uid="{F6FF7488-EF0E-410E-A8F5-F967C1FC09B8}"/>
    <cellStyle name="Normal 5 3 8 2 2 3" xfId="16226" xr:uid="{F0933082-40A5-4CB2-9201-5A70DFC7859B}"/>
    <cellStyle name="Normal 5 3 8 2 3" xfId="20449" xr:uid="{9A8A8BD7-E313-449A-AA5F-C9C876709227}"/>
    <cellStyle name="Normal 5 3 8 2 4" xfId="12008" xr:uid="{1B5CDE03-526A-45F3-921D-72F0300A3D5C}"/>
    <cellStyle name="Normal 5 3 8 3" xfId="5639" xr:uid="{00000000-0005-0000-0000-0000A71A0000}"/>
    <cellStyle name="Normal 5 3 8 3 2" xfId="22522" xr:uid="{CF45131A-2335-4C26-9004-DB5471E3D891}"/>
    <cellStyle name="Normal 5 3 8 3 3" xfId="14081" xr:uid="{C53DC673-27E4-42F1-85CF-AE66BD394590}"/>
    <cellStyle name="Normal 5 3 8 4" xfId="18304" xr:uid="{879458E5-CD07-4C76-961B-A05BFC8B757C}"/>
    <cellStyle name="Normal 5 3 8 5" xfId="9863" xr:uid="{4249EB00-0AA3-4739-A10E-374013C5B682}"/>
    <cellStyle name="Normal 5 3 9" xfId="1744" xr:uid="{00000000-0005-0000-0000-0000A81A0000}"/>
    <cellStyle name="Normal 5 3 9 2" xfId="3974" xr:uid="{00000000-0005-0000-0000-0000A91A0000}"/>
    <cellStyle name="Normal 5 3 9 2 2" xfId="8197" xr:uid="{00000000-0005-0000-0000-0000AA1A0000}"/>
    <cellStyle name="Normal 5 3 9 2 2 2" xfId="25080" xr:uid="{4BC72FF9-FEAE-46D0-9C61-65735F794C56}"/>
    <cellStyle name="Normal 5 3 9 2 2 3" xfId="16639" xr:uid="{91DEC329-1164-4E14-889C-3A0DE91D6D57}"/>
    <cellStyle name="Normal 5 3 9 2 3" xfId="20862" xr:uid="{A0AF5C8E-A79D-44E0-82DD-D1311355B11A}"/>
    <cellStyle name="Normal 5 3 9 2 4" xfId="12421" xr:uid="{D005A355-2F20-4470-BA6B-16095370185B}"/>
    <cellStyle name="Normal 5 3 9 3" xfId="6052" xr:uid="{00000000-0005-0000-0000-0000AB1A0000}"/>
    <cellStyle name="Normal 5 3 9 3 2" xfId="22935" xr:uid="{FDBEDA24-155A-41AC-B23D-CD1CC87A75BB}"/>
    <cellStyle name="Normal 5 3 9 3 3" xfId="14494" xr:uid="{6EC4C743-C988-4659-8D5D-2ED9FDD2B48B}"/>
    <cellStyle name="Normal 5 3 9 4" xfId="18717" xr:uid="{FF879969-AC00-4254-8FA3-F1EC813492EF}"/>
    <cellStyle name="Normal 5 3 9 5" xfId="10276" xr:uid="{707050EF-8B38-4E36-B5B6-46D22F911F61}"/>
    <cellStyle name="Normal 5 4" xfId="456" xr:uid="{00000000-0005-0000-0000-0000AC1A0000}"/>
    <cellStyle name="Normal 5 4 10" xfId="4829" xr:uid="{00000000-0005-0000-0000-0000AD1A0000}"/>
    <cellStyle name="Normal 5 4 10 2" xfId="21712" xr:uid="{A3C440FC-DEB1-4DD1-9FF2-5E3CD34FF6FB}"/>
    <cellStyle name="Normal 5 4 10 3" xfId="13271" xr:uid="{C7A55DEA-27B6-4D13-930B-9CE7755F9659}"/>
    <cellStyle name="Normal 5 4 11" xfId="17494" xr:uid="{602F3B3A-071B-42CC-9423-98A27B8BA957}"/>
    <cellStyle name="Normal 5 4 12" xfId="9053" xr:uid="{33984AB0-1A1B-4988-8CF6-3ADB263564AB}"/>
    <cellStyle name="Normal 5 4 2" xfId="457" xr:uid="{00000000-0005-0000-0000-0000AE1A0000}"/>
    <cellStyle name="Normal 5 4 2 10" xfId="17495" xr:uid="{C72CFE7D-BDF8-4020-81BA-30BF4096D421}"/>
    <cellStyle name="Normal 5 4 2 11" xfId="9054" xr:uid="{EF14D804-1EF9-4BC8-99CA-62BC7EB4078D}"/>
    <cellStyle name="Normal 5 4 2 2" xfId="458" xr:uid="{00000000-0005-0000-0000-0000AF1A0000}"/>
    <cellStyle name="Normal 5 4 2 2 10" xfId="9055" xr:uid="{1A3239B0-EEE1-4EF4-B58F-8F51E617B656}"/>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24273" xr:uid="{D07771F5-E8E0-4043-A665-E67FAF8B0842}"/>
    <cellStyle name="Normal 5 4 2 2 2 2 2 2 3" xfId="15832" xr:uid="{A3D118D6-7872-448C-B55E-8F035B3808BC}"/>
    <cellStyle name="Normal 5 4 2 2 2 2 2 3" xfId="20055" xr:uid="{89FB9D9F-F5EC-4458-9DF8-12C1A48C1B7E}"/>
    <cellStyle name="Normal 5 4 2 2 2 2 2 4" xfId="11614" xr:uid="{396A3FD8-622C-4B8B-884A-31667FBE9C90}"/>
    <cellStyle name="Normal 5 4 2 2 2 2 3" xfId="5245" xr:uid="{00000000-0005-0000-0000-0000B41A0000}"/>
    <cellStyle name="Normal 5 4 2 2 2 2 3 2" xfId="22128" xr:uid="{1A164445-1E86-4CBF-9B8F-8C6D7C263366}"/>
    <cellStyle name="Normal 5 4 2 2 2 2 3 3" xfId="13687" xr:uid="{B1E050B7-85BE-4D1E-87DC-5F604055EDA5}"/>
    <cellStyle name="Normal 5 4 2 2 2 2 4" xfId="17910" xr:uid="{26B10E45-A2D6-4074-88DF-CCD894D52B23}"/>
    <cellStyle name="Normal 5 4 2 2 2 2 5" xfId="9469" xr:uid="{96A6F0E7-B612-4DB2-9150-999051ADC0FE}"/>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24686" xr:uid="{8074CA99-18B2-411A-A7F7-485F53CB64A7}"/>
    <cellStyle name="Normal 5 4 2 2 2 3 2 2 3" xfId="16245" xr:uid="{94D4C298-C62E-4206-A584-3C40C45D146E}"/>
    <cellStyle name="Normal 5 4 2 2 2 3 2 3" xfId="20468" xr:uid="{9ED8347E-B950-4DBC-8622-5C0B4C45733D}"/>
    <cellStyle name="Normal 5 4 2 2 2 3 2 4" xfId="12027" xr:uid="{3FFF3709-311C-440D-81BC-1B5D1F9379EB}"/>
    <cellStyle name="Normal 5 4 2 2 2 3 3" xfId="5658" xr:uid="{00000000-0005-0000-0000-0000B81A0000}"/>
    <cellStyle name="Normal 5 4 2 2 2 3 3 2" xfId="22541" xr:uid="{E85C2B36-626D-4076-91A7-31F3910384D7}"/>
    <cellStyle name="Normal 5 4 2 2 2 3 3 3" xfId="14100" xr:uid="{5EF61691-29B0-4675-8DF5-DC43F016B50C}"/>
    <cellStyle name="Normal 5 4 2 2 2 3 4" xfId="18323" xr:uid="{A4E61318-C159-41D7-92A6-71CEF130A190}"/>
    <cellStyle name="Normal 5 4 2 2 2 3 5" xfId="9882" xr:uid="{49796A0E-209B-4899-8AF5-83FDD6D295EF}"/>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25099" xr:uid="{8BA33FB9-41FF-40C4-8F6D-E2DE25ED9B8D}"/>
    <cellStyle name="Normal 5 4 2 2 2 4 2 2 3" xfId="16658" xr:uid="{08F28A67-D6A2-4907-AAAF-89143CFF48E5}"/>
    <cellStyle name="Normal 5 4 2 2 2 4 2 3" xfId="20881" xr:uid="{A6F08FA2-8C07-4151-A6F3-5383501ADF5E}"/>
    <cellStyle name="Normal 5 4 2 2 2 4 2 4" xfId="12440" xr:uid="{5EC8819D-CDA9-4E06-87B1-6CD35F517A4B}"/>
    <cellStyle name="Normal 5 4 2 2 2 4 3" xfId="6071" xr:uid="{00000000-0005-0000-0000-0000BC1A0000}"/>
    <cellStyle name="Normal 5 4 2 2 2 4 3 2" xfId="22954" xr:uid="{BD3F4B58-2296-4166-ACAD-11F23C6B01A8}"/>
    <cellStyle name="Normal 5 4 2 2 2 4 3 3" xfId="14513" xr:uid="{D2AF2906-0C82-41DA-AEBB-C450E448062B}"/>
    <cellStyle name="Normal 5 4 2 2 2 4 4" xfId="18736" xr:uid="{FB7EA00C-152C-44C8-9804-7A519147440A}"/>
    <cellStyle name="Normal 5 4 2 2 2 4 5" xfId="10295" xr:uid="{9E4FAF90-0CFD-4182-A95C-A1BD2515E40F}"/>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25512" xr:uid="{2544D1A8-3CC2-480E-895A-9FB1E28AB1C4}"/>
    <cellStyle name="Normal 5 4 2 2 2 5 2 2 3" xfId="17071" xr:uid="{C550CC9A-EA94-4116-93B0-A72EC1678149}"/>
    <cellStyle name="Normal 5 4 2 2 2 5 2 3" xfId="21294" xr:uid="{98BBA93D-0C94-470F-8D42-76E095DEE7D9}"/>
    <cellStyle name="Normal 5 4 2 2 2 5 2 4" xfId="12853" xr:uid="{6FFB581F-D117-4061-B8B4-4E42CBB5B897}"/>
    <cellStyle name="Normal 5 4 2 2 2 5 3" xfId="6484" xr:uid="{00000000-0005-0000-0000-0000C01A0000}"/>
    <cellStyle name="Normal 5 4 2 2 2 5 3 2" xfId="23367" xr:uid="{06BD4C20-9217-4395-8DC6-9B6E83347AD0}"/>
    <cellStyle name="Normal 5 4 2 2 2 5 3 3" xfId="14926" xr:uid="{94A95F1B-AABC-43A4-A3B1-143C2656CAB4}"/>
    <cellStyle name="Normal 5 4 2 2 2 5 4" xfId="19149" xr:uid="{C183A333-1FC7-4546-A760-F733EF8D0D9E}"/>
    <cellStyle name="Normal 5 4 2 2 2 5 5" xfId="10708" xr:uid="{15292161-0534-44C1-AF46-178DD8FFFFD2}"/>
    <cellStyle name="Normal 5 4 2 2 2 6" xfId="2613" xr:uid="{00000000-0005-0000-0000-0000C11A0000}"/>
    <cellStyle name="Normal 5 4 2 2 2 6 2" xfId="6897" xr:uid="{00000000-0005-0000-0000-0000C21A0000}"/>
    <cellStyle name="Normal 5 4 2 2 2 6 2 2" xfId="23780" xr:uid="{808F3227-E0EA-434D-A997-F63165E4C259}"/>
    <cellStyle name="Normal 5 4 2 2 2 6 2 3" xfId="15339" xr:uid="{7C09A5D8-C67B-45F2-83B2-A6AF62EA9BD3}"/>
    <cellStyle name="Normal 5 4 2 2 2 6 3" xfId="19562" xr:uid="{E4C6B494-C0B4-4C11-9731-319487CF7D97}"/>
    <cellStyle name="Normal 5 4 2 2 2 6 4" xfId="11121" xr:uid="{D870BB03-2C4A-4B09-A1F2-84DFF448FE17}"/>
    <cellStyle name="Normal 5 4 2 2 2 7" xfId="4832" xr:uid="{00000000-0005-0000-0000-0000C31A0000}"/>
    <cellStyle name="Normal 5 4 2 2 2 7 2" xfId="21715" xr:uid="{1311A12D-6AF8-43D0-A214-9D1099DAA84E}"/>
    <cellStyle name="Normal 5 4 2 2 2 7 3" xfId="13274" xr:uid="{DCC81060-3D07-4981-8BEA-306DC09DCC38}"/>
    <cellStyle name="Normal 5 4 2 2 2 8" xfId="17497" xr:uid="{2AF46678-1A94-4974-A3E7-DAB78CF334DB}"/>
    <cellStyle name="Normal 5 4 2 2 2 9" xfId="9056" xr:uid="{4BD59632-9B90-444C-A7E8-66010805B776}"/>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24272" xr:uid="{3EA2B818-3C3C-4452-A957-B5051F97A3C5}"/>
    <cellStyle name="Normal 5 4 2 2 3 2 2 3" xfId="15831" xr:uid="{DED1AE16-7C09-441F-8636-1F9EFC1117DB}"/>
    <cellStyle name="Normal 5 4 2 2 3 2 3" xfId="20054" xr:uid="{8AD05F04-BEC2-42AA-B8FF-DC4D76AFB2FD}"/>
    <cellStyle name="Normal 5 4 2 2 3 2 4" xfId="11613" xr:uid="{EDF739EF-2D4B-4C3C-A25E-F90052B3A516}"/>
    <cellStyle name="Normal 5 4 2 2 3 3" xfId="5244" xr:uid="{00000000-0005-0000-0000-0000C71A0000}"/>
    <cellStyle name="Normal 5 4 2 2 3 3 2" xfId="22127" xr:uid="{C817A8AB-7EC2-4737-B64E-00D360D53BE0}"/>
    <cellStyle name="Normal 5 4 2 2 3 3 3" xfId="13686" xr:uid="{85A9AF49-E6CE-44D6-B979-0F8B8C941435}"/>
    <cellStyle name="Normal 5 4 2 2 3 4" xfId="17909" xr:uid="{F819BBFF-8217-4C6B-AE5F-29D62BF318CF}"/>
    <cellStyle name="Normal 5 4 2 2 3 5" xfId="9468" xr:uid="{716342F4-6F12-4546-9795-13182A75AF19}"/>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24685" xr:uid="{52879650-FE34-45CE-99C4-ECEAB590B2BB}"/>
    <cellStyle name="Normal 5 4 2 2 4 2 2 3" xfId="16244" xr:uid="{B93234DE-4F55-44C4-A11F-0E3B66558B08}"/>
    <cellStyle name="Normal 5 4 2 2 4 2 3" xfId="20467" xr:uid="{F9A55C8B-4312-447D-B741-B67745F7D83E}"/>
    <cellStyle name="Normal 5 4 2 2 4 2 4" xfId="12026" xr:uid="{EEF6BEAD-41F1-47A0-A28E-7CC38CD1EBCD}"/>
    <cellStyle name="Normal 5 4 2 2 4 3" xfId="5657" xr:uid="{00000000-0005-0000-0000-0000CB1A0000}"/>
    <cellStyle name="Normal 5 4 2 2 4 3 2" xfId="22540" xr:uid="{CC203C1E-6F8E-4754-A424-129F7202B0E5}"/>
    <cellStyle name="Normal 5 4 2 2 4 3 3" xfId="14099" xr:uid="{893AB74B-C4C4-4519-AE43-47AA25E43DF5}"/>
    <cellStyle name="Normal 5 4 2 2 4 4" xfId="18322" xr:uid="{B3C87C60-8AC7-42CB-9388-178F4F62A261}"/>
    <cellStyle name="Normal 5 4 2 2 4 5" xfId="9881" xr:uid="{88A327B5-349D-4832-8C82-41E09370C4E6}"/>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25098" xr:uid="{57300345-0167-4F1A-B189-7CD542D27DC0}"/>
    <cellStyle name="Normal 5 4 2 2 5 2 2 3" xfId="16657" xr:uid="{514C342C-7F61-4F8B-916A-848A2E90C7A8}"/>
    <cellStyle name="Normal 5 4 2 2 5 2 3" xfId="20880" xr:uid="{9CB3974D-D407-4CCD-A791-4F1675E4780A}"/>
    <cellStyle name="Normal 5 4 2 2 5 2 4" xfId="12439" xr:uid="{CFB2F296-8A0F-4B99-9B28-F2A30671BD50}"/>
    <cellStyle name="Normal 5 4 2 2 5 3" xfId="6070" xr:uid="{00000000-0005-0000-0000-0000CF1A0000}"/>
    <cellStyle name="Normal 5 4 2 2 5 3 2" xfId="22953" xr:uid="{0B409048-BCB0-4CDB-B2E1-EFA3194ACC8D}"/>
    <cellStyle name="Normal 5 4 2 2 5 3 3" xfId="14512" xr:uid="{E969E533-3106-4CB2-A19C-2E26C33EBB78}"/>
    <cellStyle name="Normal 5 4 2 2 5 4" xfId="18735" xr:uid="{E4595FEF-BB8C-4B36-9391-62DF0BDC5664}"/>
    <cellStyle name="Normal 5 4 2 2 5 5" xfId="10294" xr:uid="{D6623246-DE7E-4D39-BF6E-1973BC16CD44}"/>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25511" xr:uid="{E6529FC2-6730-4529-B121-42909CE37EFA}"/>
    <cellStyle name="Normal 5 4 2 2 6 2 2 3" xfId="17070" xr:uid="{9766E3EB-ABDE-4D9B-B957-BF15E8C2F915}"/>
    <cellStyle name="Normal 5 4 2 2 6 2 3" xfId="21293" xr:uid="{86799077-496C-4733-BCB4-5CAFCD1C3313}"/>
    <cellStyle name="Normal 5 4 2 2 6 2 4" xfId="12852" xr:uid="{E26D3EB9-4035-4872-9956-2DD9158B7D8E}"/>
    <cellStyle name="Normal 5 4 2 2 6 3" xfId="6483" xr:uid="{00000000-0005-0000-0000-0000D31A0000}"/>
    <cellStyle name="Normal 5 4 2 2 6 3 2" xfId="23366" xr:uid="{4153D7D8-19C7-444A-B660-C6A0D4C31393}"/>
    <cellStyle name="Normal 5 4 2 2 6 3 3" xfId="14925" xr:uid="{477072AF-DB9E-4509-9C7A-9C49AC60A8E3}"/>
    <cellStyle name="Normal 5 4 2 2 6 4" xfId="19148" xr:uid="{C92A9205-1496-4100-9286-DD3FE9B890B3}"/>
    <cellStyle name="Normal 5 4 2 2 6 5" xfId="10707" xr:uid="{B87874FF-4CDB-4860-8433-88764FBE5C85}"/>
    <cellStyle name="Normal 5 4 2 2 7" xfId="2612" xr:uid="{00000000-0005-0000-0000-0000D41A0000}"/>
    <cellStyle name="Normal 5 4 2 2 7 2" xfId="6896" xr:uid="{00000000-0005-0000-0000-0000D51A0000}"/>
    <cellStyle name="Normal 5 4 2 2 7 2 2" xfId="23779" xr:uid="{1FFB65AE-523D-4F2A-99EF-7873362C2E5C}"/>
    <cellStyle name="Normal 5 4 2 2 7 2 3" xfId="15338" xr:uid="{F600CE52-F1DD-488B-9C62-59AA271E747E}"/>
    <cellStyle name="Normal 5 4 2 2 7 3" xfId="19561" xr:uid="{A16ABA26-F428-4F22-8500-81FE715BA7B5}"/>
    <cellStyle name="Normal 5 4 2 2 7 4" xfId="11120" xr:uid="{4C722FF6-913A-4A25-B2F5-F085132B489C}"/>
    <cellStyle name="Normal 5 4 2 2 8" xfId="4831" xr:uid="{00000000-0005-0000-0000-0000D61A0000}"/>
    <cellStyle name="Normal 5 4 2 2 8 2" xfId="21714" xr:uid="{109DC3B0-592D-4B52-9B5B-597D748F02F1}"/>
    <cellStyle name="Normal 5 4 2 2 8 3" xfId="13273" xr:uid="{E9E27847-3C3F-4E39-B06E-DE0A8BA27B34}"/>
    <cellStyle name="Normal 5 4 2 2 9" xfId="17496" xr:uid="{BC48AD6C-0C0F-4E5D-8DBA-24BD7B318847}"/>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24274" xr:uid="{6989B0E7-31A3-4B5D-832E-AA1849193579}"/>
    <cellStyle name="Normal 5 4 2 3 2 2 2 3" xfId="15833" xr:uid="{80B0EB9C-5FD4-42EC-A8D4-983E62406A30}"/>
    <cellStyle name="Normal 5 4 2 3 2 2 3" xfId="20056" xr:uid="{AB7969CB-E1E5-4C09-A631-8CD4A2BEEF5C}"/>
    <cellStyle name="Normal 5 4 2 3 2 2 4" xfId="11615" xr:uid="{D93D0C31-95A4-47B0-AEBF-93A980B7E0A2}"/>
    <cellStyle name="Normal 5 4 2 3 2 3" xfId="5246" xr:uid="{00000000-0005-0000-0000-0000DB1A0000}"/>
    <cellStyle name="Normal 5 4 2 3 2 3 2" xfId="22129" xr:uid="{5818C65F-CFA5-4B28-8B13-B089CBDE30D7}"/>
    <cellStyle name="Normal 5 4 2 3 2 3 3" xfId="13688" xr:uid="{E18E5A20-5F53-46D8-89FC-360E741C06CD}"/>
    <cellStyle name="Normal 5 4 2 3 2 4" xfId="17911" xr:uid="{CE19F9E0-9F43-4791-B9C7-AFB65252B440}"/>
    <cellStyle name="Normal 5 4 2 3 2 5" xfId="9470" xr:uid="{0031413B-D164-410A-8BCD-7ABB96803461}"/>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24687" xr:uid="{FA6E9467-568F-43E4-AB16-503A5B40097D}"/>
    <cellStyle name="Normal 5 4 2 3 3 2 2 3" xfId="16246" xr:uid="{37049010-04D3-4AB5-9000-60E9A79ABD03}"/>
    <cellStyle name="Normal 5 4 2 3 3 2 3" xfId="20469" xr:uid="{945F933A-2F39-4380-A613-0CBAC60EAF6E}"/>
    <cellStyle name="Normal 5 4 2 3 3 2 4" xfId="12028" xr:uid="{42035586-5214-4B7D-BCB7-8D1D4414E18C}"/>
    <cellStyle name="Normal 5 4 2 3 3 3" xfId="5659" xr:uid="{00000000-0005-0000-0000-0000DF1A0000}"/>
    <cellStyle name="Normal 5 4 2 3 3 3 2" xfId="22542" xr:uid="{1C87A1AA-225A-4873-8E94-AF31027F05AA}"/>
    <cellStyle name="Normal 5 4 2 3 3 3 3" xfId="14101" xr:uid="{B0AB6F68-F120-4CC0-9ACB-949B68499DAC}"/>
    <cellStyle name="Normal 5 4 2 3 3 4" xfId="18324" xr:uid="{731C0916-6435-492D-8855-AABF4232B469}"/>
    <cellStyle name="Normal 5 4 2 3 3 5" xfId="9883" xr:uid="{81410299-EA94-44DE-9315-2FB4E216BEF4}"/>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25100" xr:uid="{7BD2D0EB-BC5D-4C73-9592-CF92418EC5FE}"/>
    <cellStyle name="Normal 5 4 2 3 4 2 2 3" xfId="16659" xr:uid="{9343C453-DDC1-474B-B3DF-42E0E74304C0}"/>
    <cellStyle name="Normal 5 4 2 3 4 2 3" xfId="20882" xr:uid="{F0BD7236-E875-42BB-88AA-8BDD2AA25A90}"/>
    <cellStyle name="Normal 5 4 2 3 4 2 4" xfId="12441" xr:uid="{8D38C829-0FBF-429C-88C2-360CAB18AB4A}"/>
    <cellStyle name="Normal 5 4 2 3 4 3" xfId="6072" xr:uid="{00000000-0005-0000-0000-0000E31A0000}"/>
    <cellStyle name="Normal 5 4 2 3 4 3 2" xfId="22955" xr:uid="{27B416CB-F57A-4B07-90BC-9868AED6ABD3}"/>
    <cellStyle name="Normal 5 4 2 3 4 3 3" xfId="14514" xr:uid="{A5AA6142-8192-48D4-8D9F-50F6928BA224}"/>
    <cellStyle name="Normal 5 4 2 3 4 4" xfId="18737" xr:uid="{BBA913AD-8090-43B7-BCCE-E8B7388BADC0}"/>
    <cellStyle name="Normal 5 4 2 3 4 5" xfId="10296" xr:uid="{86A4150F-066C-43E0-A816-9059A2E89DFB}"/>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25513" xr:uid="{D5D5E34C-A957-4D44-9951-05CAA9E4CB2B}"/>
    <cellStyle name="Normal 5 4 2 3 5 2 2 3" xfId="17072" xr:uid="{02ED0530-9FA2-4329-9064-60065317680D}"/>
    <cellStyle name="Normal 5 4 2 3 5 2 3" xfId="21295" xr:uid="{F4C07195-E633-4712-BD72-01B8530923C0}"/>
    <cellStyle name="Normal 5 4 2 3 5 2 4" xfId="12854" xr:uid="{91106370-6CB0-4931-AFD7-DC4A78A91A89}"/>
    <cellStyle name="Normal 5 4 2 3 5 3" xfId="6485" xr:uid="{00000000-0005-0000-0000-0000E71A0000}"/>
    <cellStyle name="Normal 5 4 2 3 5 3 2" xfId="23368" xr:uid="{3DEDC396-12C5-4631-B07C-550472F3495E}"/>
    <cellStyle name="Normal 5 4 2 3 5 3 3" xfId="14927" xr:uid="{3D7104C7-F4F1-486E-8039-FAC5C3F6A235}"/>
    <cellStyle name="Normal 5 4 2 3 5 4" xfId="19150" xr:uid="{28900770-4865-4518-9BC0-7404FDC30EBA}"/>
    <cellStyle name="Normal 5 4 2 3 5 5" xfId="10709" xr:uid="{C14888C9-3655-43CB-801B-E06802A9B06C}"/>
    <cellStyle name="Normal 5 4 2 3 6" xfId="2614" xr:uid="{00000000-0005-0000-0000-0000E81A0000}"/>
    <cellStyle name="Normal 5 4 2 3 6 2" xfId="6898" xr:uid="{00000000-0005-0000-0000-0000E91A0000}"/>
    <cellStyle name="Normal 5 4 2 3 6 2 2" xfId="23781" xr:uid="{71A50762-EF54-4174-95F5-D42F9998D6C4}"/>
    <cellStyle name="Normal 5 4 2 3 6 2 3" xfId="15340" xr:uid="{229D3825-EFDF-4440-8647-88B2AC3AC57C}"/>
    <cellStyle name="Normal 5 4 2 3 6 3" xfId="19563" xr:uid="{B1F9E1F9-1C76-48EE-AE26-582714E7C025}"/>
    <cellStyle name="Normal 5 4 2 3 6 4" xfId="11122" xr:uid="{1F1431CB-F727-479E-887A-0EAE4E2DB6F6}"/>
    <cellStyle name="Normal 5 4 2 3 7" xfId="4833" xr:uid="{00000000-0005-0000-0000-0000EA1A0000}"/>
    <cellStyle name="Normal 5 4 2 3 7 2" xfId="21716" xr:uid="{2CA0628E-EEEB-402D-B23D-3E0355879036}"/>
    <cellStyle name="Normal 5 4 2 3 7 3" xfId="13275" xr:uid="{D0754FEA-B93F-4434-A3B8-31BAD785BC35}"/>
    <cellStyle name="Normal 5 4 2 3 8" xfId="17498" xr:uid="{7DA52503-D583-417D-88A1-A7C8153BE3B2}"/>
    <cellStyle name="Normal 5 4 2 3 9" xfId="9057" xr:uid="{B23AF762-D525-4917-84DE-9206A30CC97D}"/>
    <cellStyle name="Normal 5 4 2 4" xfId="931" xr:uid="{00000000-0005-0000-0000-0000EB1A0000}"/>
    <cellStyle name="Normal 5 4 2 4 2" xfId="3165" xr:uid="{00000000-0005-0000-0000-0000EC1A0000}"/>
    <cellStyle name="Normal 5 4 2 4 2 2" xfId="7388" xr:uid="{00000000-0005-0000-0000-0000ED1A0000}"/>
    <cellStyle name="Normal 5 4 2 4 2 2 2" xfId="24271" xr:uid="{EC63A413-FB91-4EF9-B853-314009671B95}"/>
    <cellStyle name="Normal 5 4 2 4 2 2 3" xfId="15830" xr:uid="{41EBC647-56CF-4ECE-B183-F533C8C44A84}"/>
    <cellStyle name="Normal 5 4 2 4 2 3" xfId="20053" xr:uid="{096DB1FD-6FE9-4541-892B-6D1907B9D799}"/>
    <cellStyle name="Normal 5 4 2 4 2 4" xfId="11612" xr:uid="{2DD24883-68EE-4C1D-B2CA-7EEA93D63620}"/>
    <cellStyle name="Normal 5 4 2 4 3" xfId="5243" xr:uid="{00000000-0005-0000-0000-0000EE1A0000}"/>
    <cellStyle name="Normal 5 4 2 4 3 2" xfId="22126" xr:uid="{2BAFB17C-EECD-4FE0-A1BD-1E387D90016D}"/>
    <cellStyle name="Normal 5 4 2 4 3 3" xfId="13685" xr:uid="{FB546D17-04C1-495B-920C-09A10D24469F}"/>
    <cellStyle name="Normal 5 4 2 4 4" xfId="17908" xr:uid="{FEA06990-F59C-4BEA-9E85-E8F9A4FE8CE5}"/>
    <cellStyle name="Normal 5 4 2 4 5" xfId="9467" xr:uid="{BBA5D833-EE85-4014-933E-3C7817B21184}"/>
    <cellStyle name="Normal 5 4 2 5" xfId="1348" xr:uid="{00000000-0005-0000-0000-0000EF1A0000}"/>
    <cellStyle name="Normal 5 4 2 5 2" xfId="3578" xr:uid="{00000000-0005-0000-0000-0000F01A0000}"/>
    <cellStyle name="Normal 5 4 2 5 2 2" xfId="7801" xr:uid="{00000000-0005-0000-0000-0000F11A0000}"/>
    <cellStyle name="Normal 5 4 2 5 2 2 2" xfId="24684" xr:uid="{2A9DED7B-6C43-4CC3-A35A-AAD3CB354B33}"/>
    <cellStyle name="Normal 5 4 2 5 2 2 3" xfId="16243" xr:uid="{EF43498E-6D26-4F6D-BC40-8622A493BE8D}"/>
    <cellStyle name="Normal 5 4 2 5 2 3" xfId="20466" xr:uid="{D49E5070-1D32-42CE-8652-2782E80E0423}"/>
    <cellStyle name="Normal 5 4 2 5 2 4" xfId="12025" xr:uid="{E1090FAE-6F52-4C62-84F8-5C1829635F8A}"/>
    <cellStyle name="Normal 5 4 2 5 3" xfId="5656" xr:uid="{00000000-0005-0000-0000-0000F21A0000}"/>
    <cellStyle name="Normal 5 4 2 5 3 2" xfId="22539" xr:uid="{7CC5EFBF-A4F1-4950-92F6-077C97C86C6F}"/>
    <cellStyle name="Normal 5 4 2 5 3 3" xfId="14098" xr:uid="{55081D78-DE6E-4A33-843F-73AEE3865677}"/>
    <cellStyle name="Normal 5 4 2 5 4" xfId="18321" xr:uid="{ECDE87B0-4C71-4450-9FE3-E557D75C09E5}"/>
    <cellStyle name="Normal 5 4 2 5 5" xfId="9880" xr:uid="{62A27F6E-0AAF-4DE5-8755-64ACFACEF909}"/>
    <cellStyle name="Normal 5 4 2 6" xfId="1761" xr:uid="{00000000-0005-0000-0000-0000F31A0000}"/>
    <cellStyle name="Normal 5 4 2 6 2" xfId="3991" xr:uid="{00000000-0005-0000-0000-0000F41A0000}"/>
    <cellStyle name="Normal 5 4 2 6 2 2" xfId="8214" xr:uid="{00000000-0005-0000-0000-0000F51A0000}"/>
    <cellStyle name="Normal 5 4 2 6 2 2 2" xfId="25097" xr:uid="{3C25FE01-79DB-49AD-8AC2-67B5B076E60E}"/>
    <cellStyle name="Normal 5 4 2 6 2 2 3" xfId="16656" xr:uid="{52BA54AF-68E9-490C-92AF-23E142A6083E}"/>
    <cellStyle name="Normal 5 4 2 6 2 3" xfId="20879" xr:uid="{FC374FEC-534E-4A80-B30D-62C3B03B00AB}"/>
    <cellStyle name="Normal 5 4 2 6 2 4" xfId="12438" xr:uid="{CEBCF6FE-2111-4702-A055-515A0454712B}"/>
    <cellStyle name="Normal 5 4 2 6 3" xfId="6069" xr:uid="{00000000-0005-0000-0000-0000F61A0000}"/>
    <cellStyle name="Normal 5 4 2 6 3 2" xfId="22952" xr:uid="{BE76E8B2-0DB3-49CF-8D8C-9D5E450364FB}"/>
    <cellStyle name="Normal 5 4 2 6 3 3" xfId="14511" xr:uid="{67A668CC-0348-4C4A-B884-D79C8379B7A6}"/>
    <cellStyle name="Normal 5 4 2 6 4" xfId="18734" xr:uid="{374C90AA-5B0B-4227-BEC6-00DD5D7F831E}"/>
    <cellStyle name="Normal 5 4 2 6 5" xfId="10293" xr:uid="{430CBBE9-29AD-420F-9FB2-585199B06CE7}"/>
    <cellStyle name="Normal 5 4 2 7" xfId="2175" xr:uid="{00000000-0005-0000-0000-0000F71A0000}"/>
    <cellStyle name="Normal 5 4 2 7 2" xfId="4404" xr:uid="{00000000-0005-0000-0000-0000F81A0000}"/>
    <cellStyle name="Normal 5 4 2 7 2 2" xfId="8627" xr:uid="{00000000-0005-0000-0000-0000F91A0000}"/>
    <cellStyle name="Normal 5 4 2 7 2 2 2" xfId="25510" xr:uid="{D1BD1E75-F160-44F1-8F05-55D3EE55F813}"/>
    <cellStyle name="Normal 5 4 2 7 2 2 3" xfId="17069" xr:uid="{E3B943D7-435A-42FB-8303-A7D7B8F625E2}"/>
    <cellStyle name="Normal 5 4 2 7 2 3" xfId="21292" xr:uid="{6C755AE6-B85F-4B47-AD49-04F91EC27142}"/>
    <cellStyle name="Normal 5 4 2 7 2 4" xfId="12851" xr:uid="{EFD5AFE0-50D2-4980-90DA-7B50DB73F292}"/>
    <cellStyle name="Normal 5 4 2 7 3" xfId="6482" xr:uid="{00000000-0005-0000-0000-0000FA1A0000}"/>
    <cellStyle name="Normal 5 4 2 7 3 2" xfId="23365" xr:uid="{EF52E7E9-2C9E-4F96-8B28-878F3314BD9F}"/>
    <cellStyle name="Normal 5 4 2 7 3 3" xfId="14924" xr:uid="{9563D659-9746-4C58-9442-B85C50052477}"/>
    <cellStyle name="Normal 5 4 2 7 4" xfId="19147" xr:uid="{41DA26E3-7B95-446F-9224-0A9A3B89DD0B}"/>
    <cellStyle name="Normal 5 4 2 7 5" xfId="10706" xr:uid="{8DDC258F-49C9-4BEF-8145-CB84B5125E22}"/>
    <cellStyle name="Normal 5 4 2 8" xfId="2611" xr:uid="{00000000-0005-0000-0000-0000FB1A0000}"/>
    <cellStyle name="Normal 5 4 2 8 2" xfId="6895" xr:uid="{00000000-0005-0000-0000-0000FC1A0000}"/>
    <cellStyle name="Normal 5 4 2 8 2 2" xfId="23778" xr:uid="{AC3C6D8A-ED82-4D08-8488-71DA68664A58}"/>
    <cellStyle name="Normal 5 4 2 8 2 3" xfId="15337" xr:uid="{1D475499-46C6-4134-BCE9-78E0C2884283}"/>
    <cellStyle name="Normal 5 4 2 8 3" xfId="19560" xr:uid="{15333B76-1EFB-4A28-A378-8E985B2711F3}"/>
    <cellStyle name="Normal 5 4 2 8 4" xfId="11119" xr:uid="{3A9A4D61-9E4E-4D79-A006-720112EEBF44}"/>
    <cellStyle name="Normal 5 4 2 9" xfId="4830" xr:uid="{00000000-0005-0000-0000-0000FD1A0000}"/>
    <cellStyle name="Normal 5 4 2 9 2" xfId="21713" xr:uid="{3F4260E4-E996-4422-9516-365BFF477684}"/>
    <cellStyle name="Normal 5 4 2 9 3" xfId="13272" xr:uid="{BBB52534-BC52-41D5-B048-15507EB474B7}"/>
    <cellStyle name="Normal 5 4 3" xfId="461" xr:uid="{00000000-0005-0000-0000-0000FE1A0000}"/>
    <cellStyle name="Normal 5 4 3 10" xfId="9058" xr:uid="{CB1A8D44-36AD-458D-A7D0-DFEE8090BED4}"/>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24276" xr:uid="{90FEF206-A71C-4838-BB8C-D07BF50866C2}"/>
    <cellStyle name="Normal 5 4 3 2 2 2 2 3" xfId="15835" xr:uid="{35F41153-AC72-456D-B3DD-94E8FFD4FC69}"/>
    <cellStyle name="Normal 5 4 3 2 2 2 3" xfId="20058" xr:uid="{E3995532-0C12-4AE6-A2EF-0282758D85D4}"/>
    <cellStyle name="Normal 5 4 3 2 2 2 4" xfId="11617" xr:uid="{85EC603D-AD47-4D73-A7A4-568669DE86F9}"/>
    <cellStyle name="Normal 5 4 3 2 2 3" xfId="5248" xr:uid="{00000000-0005-0000-0000-0000031B0000}"/>
    <cellStyle name="Normal 5 4 3 2 2 3 2" xfId="22131" xr:uid="{EA7C3356-1965-486B-B0B8-DB8D1783807A}"/>
    <cellStyle name="Normal 5 4 3 2 2 3 3" xfId="13690" xr:uid="{DF0EAF3B-6AC0-4A9C-B999-3327C2DD45E7}"/>
    <cellStyle name="Normal 5 4 3 2 2 4" xfId="17913" xr:uid="{9A828884-465C-4760-8D07-C406470CAEFC}"/>
    <cellStyle name="Normal 5 4 3 2 2 5" xfId="9472" xr:uid="{C45F506A-EF69-4E65-8D3C-D4A6E8CD9E4B}"/>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24689" xr:uid="{9AB85770-1F00-49F2-B312-FCE12B408012}"/>
    <cellStyle name="Normal 5 4 3 2 3 2 2 3" xfId="16248" xr:uid="{E20395C0-0FAE-4476-9C23-7E0FB7805B15}"/>
    <cellStyle name="Normal 5 4 3 2 3 2 3" xfId="20471" xr:uid="{C7B7D3A0-8947-409E-B75A-3E2B76450784}"/>
    <cellStyle name="Normal 5 4 3 2 3 2 4" xfId="12030" xr:uid="{47EA2F08-99CF-472A-B340-3AC512DDD11E}"/>
    <cellStyle name="Normal 5 4 3 2 3 3" xfId="5661" xr:uid="{00000000-0005-0000-0000-0000071B0000}"/>
    <cellStyle name="Normal 5 4 3 2 3 3 2" xfId="22544" xr:uid="{F949483A-1A4C-46FF-805A-7E0714E702D4}"/>
    <cellStyle name="Normal 5 4 3 2 3 3 3" xfId="14103" xr:uid="{D4F70E32-C700-430E-9F21-AE5BAE9DC83D}"/>
    <cellStyle name="Normal 5 4 3 2 3 4" xfId="18326" xr:uid="{14A6627A-72A3-4E02-8A9B-059F580CF3AC}"/>
    <cellStyle name="Normal 5 4 3 2 3 5" xfId="9885" xr:uid="{BE854E93-2672-45D3-B1C0-541E217D1C76}"/>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25102" xr:uid="{F552EA92-D830-4FEB-8F84-2C5C3090D2E9}"/>
    <cellStyle name="Normal 5 4 3 2 4 2 2 3" xfId="16661" xr:uid="{26158356-AD67-48AC-921A-D7BF618FE7DC}"/>
    <cellStyle name="Normal 5 4 3 2 4 2 3" xfId="20884" xr:uid="{7A3F6DDB-92F2-4AB7-B618-A27DD5D26681}"/>
    <cellStyle name="Normal 5 4 3 2 4 2 4" xfId="12443" xr:uid="{C43C49CB-D706-4DE3-8BDA-6D66BA01401F}"/>
    <cellStyle name="Normal 5 4 3 2 4 3" xfId="6074" xr:uid="{00000000-0005-0000-0000-00000B1B0000}"/>
    <cellStyle name="Normal 5 4 3 2 4 3 2" xfId="22957" xr:uid="{3E59303F-C960-4892-85D8-AF212BC9719A}"/>
    <cellStyle name="Normal 5 4 3 2 4 3 3" xfId="14516" xr:uid="{464935BE-07F7-4CCD-8267-31C5825102A9}"/>
    <cellStyle name="Normal 5 4 3 2 4 4" xfId="18739" xr:uid="{450CE514-8989-4409-8098-F89CA04B210C}"/>
    <cellStyle name="Normal 5 4 3 2 4 5" xfId="10298" xr:uid="{633B8C37-9B08-4DB7-9AD9-6EDA572BD45D}"/>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25515" xr:uid="{71673FB9-952E-4B71-AB2A-5321FC6B7CD2}"/>
    <cellStyle name="Normal 5 4 3 2 5 2 2 3" xfId="17074" xr:uid="{5743ED27-D792-44E8-87FB-F8832C64DC21}"/>
    <cellStyle name="Normal 5 4 3 2 5 2 3" xfId="21297" xr:uid="{4A261054-023F-45A8-9168-A6AE05F75CCE}"/>
    <cellStyle name="Normal 5 4 3 2 5 2 4" xfId="12856" xr:uid="{8DEA860E-97C5-4A0C-8D84-25674446AAA9}"/>
    <cellStyle name="Normal 5 4 3 2 5 3" xfId="6487" xr:uid="{00000000-0005-0000-0000-00000F1B0000}"/>
    <cellStyle name="Normal 5 4 3 2 5 3 2" xfId="23370" xr:uid="{EF8F028C-0FA6-4C10-B7FC-E6D90E2B3B4A}"/>
    <cellStyle name="Normal 5 4 3 2 5 3 3" xfId="14929" xr:uid="{25445F3B-EAB7-45EB-A598-1B5378E6313A}"/>
    <cellStyle name="Normal 5 4 3 2 5 4" xfId="19152" xr:uid="{B15A6924-8E9F-4985-A0FB-F74C33AD285A}"/>
    <cellStyle name="Normal 5 4 3 2 5 5" xfId="10711" xr:uid="{3384BEC3-867F-4F9B-B875-F31F05D761F9}"/>
    <cellStyle name="Normal 5 4 3 2 6" xfId="2616" xr:uid="{00000000-0005-0000-0000-0000101B0000}"/>
    <cellStyle name="Normal 5 4 3 2 6 2" xfId="6900" xr:uid="{00000000-0005-0000-0000-0000111B0000}"/>
    <cellStyle name="Normal 5 4 3 2 6 2 2" xfId="23783" xr:uid="{87168F65-DD6E-42C7-BC5D-EB123BB76115}"/>
    <cellStyle name="Normal 5 4 3 2 6 2 3" xfId="15342" xr:uid="{81DC4C8A-FA46-4ABA-948A-BC3C7EC76939}"/>
    <cellStyle name="Normal 5 4 3 2 6 3" xfId="19565" xr:uid="{C0C1E2DC-7D26-4737-88C1-FCA7060DF5EA}"/>
    <cellStyle name="Normal 5 4 3 2 6 4" xfId="11124" xr:uid="{813F8CD4-EA95-438E-8AD7-F6AEDEA881F9}"/>
    <cellStyle name="Normal 5 4 3 2 7" xfId="4835" xr:uid="{00000000-0005-0000-0000-0000121B0000}"/>
    <cellStyle name="Normal 5 4 3 2 7 2" xfId="21718" xr:uid="{021F4D3A-C374-4171-BC8E-8E00C168CC62}"/>
    <cellStyle name="Normal 5 4 3 2 7 3" xfId="13277" xr:uid="{A34A4DA2-7B01-48B4-BE42-E8CFFBD0338C}"/>
    <cellStyle name="Normal 5 4 3 2 8" xfId="17500" xr:uid="{25A583B7-B31E-4FB4-B0CC-E21C0DF81356}"/>
    <cellStyle name="Normal 5 4 3 2 9" xfId="9059" xr:uid="{5ED630EE-6973-4B84-B012-1BB448D2E79E}"/>
    <cellStyle name="Normal 5 4 3 3" xfId="935" xr:uid="{00000000-0005-0000-0000-0000131B0000}"/>
    <cellStyle name="Normal 5 4 3 3 2" xfId="3169" xr:uid="{00000000-0005-0000-0000-0000141B0000}"/>
    <cellStyle name="Normal 5 4 3 3 2 2" xfId="7392" xr:uid="{00000000-0005-0000-0000-0000151B0000}"/>
    <cellStyle name="Normal 5 4 3 3 2 2 2" xfId="24275" xr:uid="{932121A6-D8C2-410E-98BE-74E5B30E128E}"/>
    <cellStyle name="Normal 5 4 3 3 2 2 3" xfId="15834" xr:uid="{9474FFB0-F38E-4AFE-82DB-6A95C523C5BF}"/>
    <cellStyle name="Normal 5 4 3 3 2 3" xfId="20057" xr:uid="{14A4A25F-DF7D-4C5B-BC96-2A576B6831EA}"/>
    <cellStyle name="Normal 5 4 3 3 2 4" xfId="11616" xr:uid="{70FB6C88-65F4-4A1A-8406-11C00DEFC315}"/>
    <cellStyle name="Normal 5 4 3 3 3" xfId="5247" xr:uid="{00000000-0005-0000-0000-0000161B0000}"/>
    <cellStyle name="Normal 5 4 3 3 3 2" xfId="22130" xr:uid="{4C51DDE5-D125-488C-AD56-86A3F04FA110}"/>
    <cellStyle name="Normal 5 4 3 3 3 3" xfId="13689" xr:uid="{9B3D622F-72B1-4240-9F2A-2FB881CCB9B8}"/>
    <cellStyle name="Normal 5 4 3 3 4" xfId="17912" xr:uid="{CF3651D2-EACC-4DD9-907D-950E1E4EFFC7}"/>
    <cellStyle name="Normal 5 4 3 3 5" xfId="9471" xr:uid="{CA54ECDA-57B1-44F5-AC4E-417646218C93}"/>
    <cellStyle name="Normal 5 4 3 4" xfId="1352" xr:uid="{00000000-0005-0000-0000-0000171B0000}"/>
    <cellStyle name="Normal 5 4 3 4 2" xfId="3582" xr:uid="{00000000-0005-0000-0000-0000181B0000}"/>
    <cellStyle name="Normal 5 4 3 4 2 2" xfId="7805" xr:uid="{00000000-0005-0000-0000-0000191B0000}"/>
    <cellStyle name="Normal 5 4 3 4 2 2 2" xfId="24688" xr:uid="{41DC2C35-ECF7-4218-A67C-28840198B8E4}"/>
    <cellStyle name="Normal 5 4 3 4 2 2 3" xfId="16247" xr:uid="{529B9A14-CD1A-480B-BD54-5467DDFE04D2}"/>
    <cellStyle name="Normal 5 4 3 4 2 3" xfId="20470" xr:uid="{D8C05BB6-C2E1-4CE5-9CA0-76C332E7508D}"/>
    <cellStyle name="Normal 5 4 3 4 2 4" xfId="12029" xr:uid="{B394AD06-B57B-4A84-8B08-29C27EE368FF}"/>
    <cellStyle name="Normal 5 4 3 4 3" xfId="5660" xr:uid="{00000000-0005-0000-0000-00001A1B0000}"/>
    <cellStyle name="Normal 5 4 3 4 3 2" xfId="22543" xr:uid="{5422C173-0082-4912-AB2A-2AC068AA2E61}"/>
    <cellStyle name="Normal 5 4 3 4 3 3" xfId="14102" xr:uid="{DB917447-0F99-49DD-8119-F8ECD9EFE58D}"/>
    <cellStyle name="Normal 5 4 3 4 4" xfId="18325" xr:uid="{E74C93D8-30DB-47CE-B70A-CCA90E2678A9}"/>
    <cellStyle name="Normal 5 4 3 4 5" xfId="9884" xr:uid="{504561EE-7DA8-4C62-B0AF-01292875D857}"/>
    <cellStyle name="Normal 5 4 3 5" xfId="1765" xr:uid="{00000000-0005-0000-0000-00001B1B0000}"/>
    <cellStyle name="Normal 5 4 3 5 2" xfId="3995" xr:uid="{00000000-0005-0000-0000-00001C1B0000}"/>
    <cellStyle name="Normal 5 4 3 5 2 2" xfId="8218" xr:uid="{00000000-0005-0000-0000-00001D1B0000}"/>
    <cellStyle name="Normal 5 4 3 5 2 2 2" xfId="25101" xr:uid="{08A1C6AE-8AE9-4F83-A5F5-A5C66600CDA7}"/>
    <cellStyle name="Normal 5 4 3 5 2 2 3" xfId="16660" xr:uid="{B864EF9F-C48A-4688-89E4-BCD16F077221}"/>
    <cellStyle name="Normal 5 4 3 5 2 3" xfId="20883" xr:uid="{9153CC77-83AC-4EA5-A5EE-19A0531CF960}"/>
    <cellStyle name="Normal 5 4 3 5 2 4" xfId="12442" xr:uid="{B9EF398B-602A-4B26-9F48-40BEF7E082BB}"/>
    <cellStyle name="Normal 5 4 3 5 3" xfId="6073" xr:uid="{00000000-0005-0000-0000-00001E1B0000}"/>
    <cellStyle name="Normal 5 4 3 5 3 2" xfId="22956" xr:uid="{BF4D6276-C4BD-4063-A759-93747CDFC55F}"/>
    <cellStyle name="Normal 5 4 3 5 3 3" xfId="14515" xr:uid="{2F29E5CC-796B-463B-ADF0-FC0765224046}"/>
    <cellStyle name="Normal 5 4 3 5 4" xfId="18738" xr:uid="{B1B25BA2-D8B8-495E-BA75-F3FD76493AEB}"/>
    <cellStyle name="Normal 5 4 3 5 5" xfId="10297" xr:uid="{4C69DE26-E5B1-4C36-98EC-F9E96AC38AC0}"/>
    <cellStyle name="Normal 5 4 3 6" xfId="2179" xr:uid="{00000000-0005-0000-0000-00001F1B0000}"/>
    <cellStyle name="Normal 5 4 3 6 2" xfId="4408" xr:uid="{00000000-0005-0000-0000-0000201B0000}"/>
    <cellStyle name="Normal 5 4 3 6 2 2" xfId="8631" xr:uid="{00000000-0005-0000-0000-0000211B0000}"/>
    <cellStyle name="Normal 5 4 3 6 2 2 2" xfId="25514" xr:uid="{03CF2C1E-AD3A-4E17-AF0A-641F00C8A70C}"/>
    <cellStyle name="Normal 5 4 3 6 2 2 3" xfId="17073" xr:uid="{B2D67696-2FCC-4D70-A305-92F31ADE70CC}"/>
    <cellStyle name="Normal 5 4 3 6 2 3" xfId="21296" xr:uid="{1CF64FCE-FBDD-4066-9097-54B3BCD2693E}"/>
    <cellStyle name="Normal 5 4 3 6 2 4" xfId="12855" xr:uid="{2C33CD96-B51F-4E0B-A7FF-24BC80B963CC}"/>
    <cellStyle name="Normal 5 4 3 6 3" xfId="6486" xr:uid="{00000000-0005-0000-0000-0000221B0000}"/>
    <cellStyle name="Normal 5 4 3 6 3 2" xfId="23369" xr:uid="{AECC5327-F269-42F3-917C-8D3FEF7314DE}"/>
    <cellStyle name="Normal 5 4 3 6 3 3" xfId="14928" xr:uid="{0335D657-E0E7-48EF-9433-CB6048693995}"/>
    <cellStyle name="Normal 5 4 3 6 4" xfId="19151" xr:uid="{A68520FF-5ECB-4E3C-876E-1019E17A813E}"/>
    <cellStyle name="Normal 5 4 3 6 5" xfId="10710" xr:uid="{35163565-D16C-47C5-80A6-D182BACBABE9}"/>
    <cellStyle name="Normal 5 4 3 7" xfId="2615" xr:uid="{00000000-0005-0000-0000-0000231B0000}"/>
    <cellStyle name="Normal 5 4 3 7 2" xfId="6899" xr:uid="{00000000-0005-0000-0000-0000241B0000}"/>
    <cellStyle name="Normal 5 4 3 7 2 2" xfId="23782" xr:uid="{651A5CF7-5D60-4EDB-9B45-3074AB2B8ECF}"/>
    <cellStyle name="Normal 5 4 3 7 2 3" xfId="15341" xr:uid="{EC4C2A80-1575-4089-A6DA-04BAB0F6C80C}"/>
    <cellStyle name="Normal 5 4 3 7 3" xfId="19564" xr:uid="{2D9244AD-F49C-49A0-9B06-842A559EBB3E}"/>
    <cellStyle name="Normal 5 4 3 7 4" xfId="11123" xr:uid="{781FE3D1-A355-4E74-BEEA-B8D497507355}"/>
    <cellStyle name="Normal 5 4 3 8" xfId="4834" xr:uid="{00000000-0005-0000-0000-0000251B0000}"/>
    <cellStyle name="Normal 5 4 3 8 2" xfId="21717" xr:uid="{2294E2D4-7FB8-4E86-8619-EEAEED2CDFC4}"/>
    <cellStyle name="Normal 5 4 3 8 3" xfId="13276" xr:uid="{872CE78D-4D4D-4381-A6DE-4E1B945357F3}"/>
    <cellStyle name="Normal 5 4 3 9" xfId="17499" xr:uid="{9E1392E1-DA3E-48B1-A98F-80B20F947DA5}"/>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24277" xr:uid="{3E1F295E-4ABA-4754-B42B-06B2DF35899D}"/>
    <cellStyle name="Normal 5 4 4 2 2 2 3" xfId="15836" xr:uid="{86CBCBA4-DDDF-48AD-888C-3C7EC8FA18F3}"/>
    <cellStyle name="Normal 5 4 4 2 2 3" xfId="20059" xr:uid="{07681D6A-F73B-44F0-9807-9067CED40972}"/>
    <cellStyle name="Normal 5 4 4 2 2 4" xfId="11618" xr:uid="{BEE885CC-0D99-478C-A07A-1129E492C2DC}"/>
    <cellStyle name="Normal 5 4 4 2 3" xfId="5249" xr:uid="{00000000-0005-0000-0000-00002A1B0000}"/>
    <cellStyle name="Normal 5 4 4 2 3 2" xfId="22132" xr:uid="{FA0F3C27-3F17-4B90-ABCB-3CE62CADBF34}"/>
    <cellStyle name="Normal 5 4 4 2 3 3" xfId="13691" xr:uid="{09BF5E1F-4732-4595-80F6-BDD054AD9F60}"/>
    <cellStyle name="Normal 5 4 4 2 4" xfId="17914" xr:uid="{E5A35414-3F39-405A-BF1C-A0404FDFDD5E}"/>
    <cellStyle name="Normal 5 4 4 2 5" xfId="9473" xr:uid="{BBABE56E-10DF-4FE3-9AB1-BD01F83A501C}"/>
    <cellStyle name="Normal 5 4 4 3" xfId="1354" xr:uid="{00000000-0005-0000-0000-00002B1B0000}"/>
    <cellStyle name="Normal 5 4 4 3 2" xfId="3584" xr:uid="{00000000-0005-0000-0000-00002C1B0000}"/>
    <cellStyle name="Normal 5 4 4 3 2 2" xfId="7807" xr:uid="{00000000-0005-0000-0000-00002D1B0000}"/>
    <cellStyle name="Normal 5 4 4 3 2 2 2" xfId="24690" xr:uid="{1F753344-E68A-47C7-9199-AA402F303685}"/>
    <cellStyle name="Normal 5 4 4 3 2 2 3" xfId="16249" xr:uid="{5C554AED-05D8-4273-930B-C14A437F8106}"/>
    <cellStyle name="Normal 5 4 4 3 2 3" xfId="20472" xr:uid="{D90BF1F7-803E-40A5-AEB9-20DC5F51376F}"/>
    <cellStyle name="Normal 5 4 4 3 2 4" xfId="12031" xr:uid="{EE61FFF4-50E5-43BE-9468-6114F2D98186}"/>
    <cellStyle name="Normal 5 4 4 3 3" xfId="5662" xr:uid="{00000000-0005-0000-0000-00002E1B0000}"/>
    <cellStyle name="Normal 5 4 4 3 3 2" xfId="22545" xr:uid="{7A51EB0C-9659-49AD-8D52-169D7217B1F2}"/>
    <cellStyle name="Normal 5 4 4 3 3 3" xfId="14104" xr:uid="{77010AF8-F030-4940-8319-616565BF9026}"/>
    <cellStyle name="Normal 5 4 4 3 4" xfId="18327" xr:uid="{ACF6A144-71DF-4F9B-BCC6-590437529C93}"/>
    <cellStyle name="Normal 5 4 4 3 5" xfId="9886" xr:uid="{502DD4CC-4C88-4F60-A8D9-3DF653D68ADB}"/>
    <cellStyle name="Normal 5 4 4 4" xfId="1767" xr:uid="{00000000-0005-0000-0000-00002F1B0000}"/>
    <cellStyle name="Normal 5 4 4 4 2" xfId="3997" xr:uid="{00000000-0005-0000-0000-0000301B0000}"/>
    <cellStyle name="Normal 5 4 4 4 2 2" xfId="8220" xr:uid="{00000000-0005-0000-0000-0000311B0000}"/>
    <cellStyle name="Normal 5 4 4 4 2 2 2" xfId="25103" xr:uid="{29D83986-13FC-4718-9568-AF055F84257E}"/>
    <cellStyle name="Normal 5 4 4 4 2 2 3" xfId="16662" xr:uid="{92A35D6F-3E1C-4D83-8D53-39958437F284}"/>
    <cellStyle name="Normal 5 4 4 4 2 3" xfId="20885" xr:uid="{B1264B02-32B0-4FAE-BF71-29C8349CEB4D}"/>
    <cellStyle name="Normal 5 4 4 4 2 4" xfId="12444" xr:uid="{97E18B58-12EC-41B8-A84F-7C8124250C49}"/>
    <cellStyle name="Normal 5 4 4 4 3" xfId="6075" xr:uid="{00000000-0005-0000-0000-0000321B0000}"/>
    <cellStyle name="Normal 5 4 4 4 3 2" xfId="22958" xr:uid="{B330494C-DF43-4354-9817-67B617F1A91E}"/>
    <cellStyle name="Normal 5 4 4 4 3 3" xfId="14517" xr:uid="{6D26A4B9-C582-4C5D-B031-2B531CC8D86F}"/>
    <cellStyle name="Normal 5 4 4 4 4" xfId="18740" xr:uid="{1C6895FB-1D10-480B-98C8-CC5E902D9478}"/>
    <cellStyle name="Normal 5 4 4 4 5" xfId="10299" xr:uid="{FA08EC58-3EAC-4D8F-BDBD-3BCF8D5F5042}"/>
    <cellStyle name="Normal 5 4 4 5" xfId="2181" xr:uid="{00000000-0005-0000-0000-0000331B0000}"/>
    <cellStyle name="Normal 5 4 4 5 2" xfId="4410" xr:uid="{00000000-0005-0000-0000-0000341B0000}"/>
    <cellStyle name="Normal 5 4 4 5 2 2" xfId="8633" xr:uid="{00000000-0005-0000-0000-0000351B0000}"/>
    <cellStyle name="Normal 5 4 4 5 2 2 2" xfId="25516" xr:uid="{8346BE9A-7A49-44F5-8EA6-517C5B0AF790}"/>
    <cellStyle name="Normal 5 4 4 5 2 2 3" xfId="17075" xr:uid="{451D96A3-2957-4B74-9783-3070EAD21D50}"/>
    <cellStyle name="Normal 5 4 4 5 2 3" xfId="21298" xr:uid="{DE26E8FE-D97C-454B-8E09-9833B01D288C}"/>
    <cellStyle name="Normal 5 4 4 5 2 4" xfId="12857" xr:uid="{C0D2481C-0C36-468E-81EE-22BA47E8F1C9}"/>
    <cellStyle name="Normal 5 4 4 5 3" xfId="6488" xr:uid="{00000000-0005-0000-0000-0000361B0000}"/>
    <cellStyle name="Normal 5 4 4 5 3 2" xfId="23371" xr:uid="{35C8223F-FB2A-4503-A245-98BD46CE1EFF}"/>
    <cellStyle name="Normal 5 4 4 5 3 3" xfId="14930" xr:uid="{3FC79C93-C612-4012-9822-4B9B017DF0B7}"/>
    <cellStyle name="Normal 5 4 4 5 4" xfId="19153" xr:uid="{88195DB5-BCF7-4177-BF9C-001750542E61}"/>
    <cellStyle name="Normal 5 4 4 5 5" xfId="10712" xr:uid="{4D37B0C8-E17D-4277-9D58-FFFE77819AA9}"/>
    <cellStyle name="Normal 5 4 4 6" xfId="2617" xr:uid="{00000000-0005-0000-0000-0000371B0000}"/>
    <cellStyle name="Normal 5 4 4 6 2" xfId="6901" xr:uid="{00000000-0005-0000-0000-0000381B0000}"/>
    <cellStyle name="Normal 5 4 4 6 2 2" xfId="23784" xr:uid="{048E1A21-2F3A-414A-8B2C-7C14215312DE}"/>
    <cellStyle name="Normal 5 4 4 6 2 3" xfId="15343" xr:uid="{8CD3250C-9823-4855-BF06-444F826B3F3A}"/>
    <cellStyle name="Normal 5 4 4 6 3" xfId="19566" xr:uid="{4EAC9472-8F21-4F3F-A1AD-BE9EB150142C}"/>
    <cellStyle name="Normal 5 4 4 6 4" xfId="11125" xr:uid="{63B63481-6B25-49E5-96CB-BCCFDEB45AB9}"/>
    <cellStyle name="Normal 5 4 4 7" xfId="4836" xr:uid="{00000000-0005-0000-0000-0000391B0000}"/>
    <cellStyle name="Normal 5 4 4 7 2" xfId="21719" xr:uid="{095493F9-475D-4F5C-B28E-4F74A053EDDA}"/>
    <cellStyle name="Normal 5 4 4 7 3" xfId="13278" xr:uid="{2B30CA7A-375D-4422-8E01-EC438F616B92}"/>
    <cellStyle name="Normal 5 4 4 8" xfId="17501" xr:uid="{9898B8E1-E409-46B6-BD2D-362BA4AA7623}"/>
    <cellStyle name="Normal 5 4 4 9" xfId="9060" xr:uid="{86EC4C1D-D087-413E-BA88-A8879CAC1A08}"/>
    <cellStyle name="Normal 5 4 5" xfId="930" xr:uid="{00000000-0005-0000-0000-00003A1B0000}"/>
    <cellStyle name="Normal 5 4 5 2" xfId="3164" xr:uid="{00000000-0005-0000-0000-00003B1B0000}"/>
    <cellStyle name="Normal 5 4 5 2 2" xfId="7387" xr:uid="{00000000-0005-0000-0000-00003C1B0000}"/>
    <cellStyle name="Normal 5 4 5 2 2 2" xfId="24270" xr:uid="{B51AD4F5-CDB5-46E7-BB95-4E90EF8086C8}"/>
    <cellStyle name="Normal 5 4 5 2 2 3" xfId="15829" xr:uid="{1044D90E-7DD6-4D5D-AA3C-317C0575912E}"/>
    <cellStyle name="Normal 5 4 5 2 3" xfId="20052" xr:uid="{F9BEDEAD-8DB9-4254-91C1-F6C638D4266F}"/>
    <cellStyle name="Normal 5 4 5 2 4" xfId="11611" xr:uid="{ADD20029-9CB9-47EC-8632-D6C95EBE0C8A}"/>
    <cellStyle name="Normal 5 4 5 3" xfId="5242" xr:uid="{00000000-0005-0000-0000-00003D1B0000}"/>
    <cellStyle name="Normal 5 4 5 3 2" xfId="22125" xr:uid="{7B1CF894-0566-45A0-986E-BFD9D02B6832}"/>
    <cellStyle name="Normal 5 4 5 3 3" xfId="13684" xr:uid="{C3A285C3-D958-4985-BE61-349E360DCCEA}"/>
    <cellStyle name="Normal 5 4 5 4" xfId="17907" xr:uid="{525DCA6B-2724-4C4E-964C-F729F473E823}"/>
    <cellStyle name="Normal 5 4 5 5" xfId="9466" xr:uid="{6C3AF35F-6BE6-4266-B006-7F0635A0EA33}"/>
    <cellStyle name="Normal 5 4 6" xfId="1347" xr:uid="{00000000-0005-0000-0000-00003E1B0000}"/>
    <cellStyle name="Normal 5 4 6 2" xfId="3577" xr:uid="{00000000-0005-0000-0000-00003F1B0000}"/>
    <cellStyle name="Normal 5 4 6 2 2" xfId="7800" xr:uid="{00000000-0005-0000-0000-0000401B0000}"/>
    <cellStyle name="Normal 5 4 6 2 2 2" xfId="24683" xr:uid="{FF192547-9979-41F9-8BC2-30E3B8892D24}"/>
    <cellStyle name="Normal 5 4 6 2 2 3" xfId="16242" xr:uid="{047CE267-1F3B-42E5-ACE2-B360298DAF2C}"/>
    <cellStyle name="Normal 5 4 6 2 3" xfId="20465" xr:uid="{5EB9911D-219D-4BBA-891A-31C1A2D05AA3}"/>
    <cellStyle name="Normal 5 4 6 2 4" xfId="12024" xr:uid="{31227EDE-88A0-48E3-91D5-6DB2AB8E9093}"/>
    <cellStyle name="Normal 5 4 6 3" xfId="5655" xr:uid="{00000000-0005-0000-0000-0000411B0000}"/>
    <cellStyle name="Normal 5 4 6 3 2" xfId="22538" xr:uid="{6091B2F2-8403-490F-8870-1112D9BF463A}"/>
    <cellStyle name="Normal 5 4 6 3 3" xfId="14097" xr:uid="{0F52E749-69C1-4F95-AA4B-985FB7754C90}"/>
    <cellStyle name="Normal 5 4 6 4" xfId="18320" xr:uid="{D13C5435-A254-4946-9B99-F4D555DEBB6B}"/>
    <cellStyle name="Normal 5 4 6 5" xfId="9879" xr:uid="{A5025093-F509-4DE3-8638-4A035971848F}"/>
    <cellStyle name="Normal 5 4 7" xfId="1760" xr:uid="{00000000-0005-0000-0000-0000421B0000}"/>
    <cellStyle name="Normal 5 4 7 2" xfId="3990" xr:uid="{00000000-0005-0000-0000-0000431B0000}"/>
    <cellStyle name="Normal 5 4 7 2 2" xfId="8213" xr:uid="{00000000-0005-0000-0000-0000441B0000}"/>
    <cellStyle name="Normal 5 4 7 2 2 2" xfId="25096" xr:uid="{A1494A03-14EF-4E5F-9DB3-C314361F665D}"/>
    <cellStyle name="Normal 5 4 7 2 2 3" xfId="16655" xr:uid="{6C169B37-DEFC-4BB8-BBCB-0C0A21B7CC30}"/>
    <cellStyle name="Normal 5 4 7 2 3" xfId="20878" xr:uid="{C3259EBC-6182-4646-8398-C5810125E18B}"/>
    <cellStyle name="Normal 5 4 7 2 4" xfId="12437" xr:uid="{81E08266-8896-488C-A846-375358834EE2}"/>
    <cellStyle name="Normal 5 4 7 3" xfId="6068" xr:uid="{00000000-0005-0000-0000-0000451B0000}"/>
    <cellStyle name="Normal 5 4 7 3 2" xfId="22951" xr:uid="{39F9A9F1-B411-4B00-BED6-96226382E0DD}"/>
    <cellStyle name="Normal 5 4 7 3 3" xfId="14510" xr:uid="{0615CF0C-E657-417E-8267-AADE87377578}"/>
    <cellStyle name="Normal 5 4 7 4" xfId="18733" xr:uid="{8F45D244-839B-4FC6-AE2E-63105F76378D}"/>
    <cellStyle name="Normal 5 4 7 5" xfId="10292" xr:uid="{23706FA1-EEE9-48F9-A79D-7A008B28B45E}"/>
    <cellStyle name="Normal 5 4 8" xfId="2174" xr:uid="{00000000-0005-0000-0000-0000461B0000}"/>
    <cellStyle name="Normal 5 4 8 2" xfId="4403" xr:uid="{00000000-0005-0000-0000-0000471B0000}"/>
    <cellStyle name="Normal 5 4 8 2 2" xfId="8626" xr:uid="{00000000-0005-0000-0000-0000481B0000}"/>
    <cellStyle name="Normal 5 4 8 2 2 2" xfId="25509" xr:uid="{218781B0-6E1E-4D2F-90C0-5505F2FD6753}"/>
    <cellStyle name="Normal 5 4 8 2 2 3" xfId="17068" xr:uid="{349EEB0D-513E-4F90-A6AC-5AAA05A30114}"/>
    <cellStyle name="Normal 5 4 8 2 3" xfId="21291" xr:uid="{1B23A897-5CF4-4109-B1AC-93F213C67E8C}"/>
    <cellStyle name="Normal 5 4 8 2 4" xfId="12850" xr:uid="{F4D6DA26-B575-4168-A336-C28EE919157A}"/>
    <cellStyle name="Normal 5 4 8 3" xfId="6481" xr:uid="{00000000-0005-0000-0000-0000491B0000}"/>
    <cellStyle name="Normal 5 4 8 3 2" xfId="23364" xr:uid="{E2E43986-09EA-4772-A3ED-792B095DA1CE}"/>
    <cellStyle name="Normal 5 4 8 3 3" xfId="14923" xr:uid="{08367698-47B4-4320-91E8-A274019EF419}"/>
    <cellStyle name="Normal 5 4 8 4" xfId="19146" xr:uid="{BF034633-87E9-4143-9DDB-29454AF8D45D}"/>
    <cellStyle name="Normal 5 4 8 5" xfId="10705" xr:uid="{76DEA774-0D37-4176-A9BE-AD83994F5BC0}"/>
    <cellStyle name="Normal 5 4 9" xfId="2610" xr:uid="{00000000-0005-0000-0000-00004A1B0000}"/>
    <cellStyle name="Normal 5 4 9 2" xfId="6894" xr:uid="{00000000-0005-0000-0000-00004B1B0000}"/>
    <cellStyle name="Normal 5 4 9 2 2" xfId="23777" xr:uid="{6558E36A-5D58-4ABC-BF77-B466972514FE}"/>
    <cellStyle name="Normal 5 4 9 2 3" xfId="15336" xr:uid="{5BBBA0EA-C4CB-4F06-A3E2-29B8BB350791}"/>
    <cellStyle name="Normal 5 4 9 3" xfId="19559" xr:uid="{F9BBD6AB-F7C3-4FA9-897C-083ED75995BF}"/>
    <cellStyle name="Normal 5 4 9 4" xfId="11118" xr:uid="{05764BA0-1326-42D0-803D-88874BE5243E}"/>
    <cellStyle name="Normal 5 5" xfId="464" xr:uid="{00000000-0005-0000-0000-00004C1B0000}"/>
    <cellStyle name="Normal 5 5 10" xfId="17502" xr:uid="{61BDA19F-DE89-42C3-B84C-C74CED1BBD0C}"/>
    <cellStyle name="Normal 5 5 11" xfId="9061" xr:uid="{C1EF53A6-91EF-44FB-BAB7-EDF2D9FB1B7E}"/>
    <cellStyle name="Normal 5 5 2" xfId="465" xr:uid="{00000000-0005-0000-0000-00004D1B0000}"/>
    <cellStyle name="Normal 5 5 2 10" xfId="9062" xr:uid="{11594FFA-8696-448C-AEC7-B4B2E2C6B308}"/>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24280" xr:uid="{41A4FD7F-CAC3-4B5E-8C70-D2FD623611ED}"/>
    <cellStyle name="Normal 5 5 2 2 2 2 2 3" xfId="15839" xr:uid="{CBD6D5CF-B8D5-4D01-8DFA-90A6BF2728A5}"/>
    <cellStyle name="Normal 5 5 2 2 2 2 3" xfId="20062" xr:uid="{0513C45D-33BF-4CA3-902A-7AA345868BD2}"/>
    <cellStyle name="Normal 5 5 2 2 2 2 4" xfId="11621" xr:uid="{CBA3708D-4724-4FA5-807A-97EEEE08BB44}"/>
    <cellStyle name="Normal 5 5 2 2 2 3" xfId="5252" xr:uid="{00000000-0005-0000-0000-0000521B0000}"/>
    <cellStyle name="Normal 5 5 2 2 2 3 2" xfId="22135" xr:uid="{25EF0770-162A-477B-A2D9-9E369DF248A9}"/>
    <cellStyle name="Normal 5 5 2 2 2 3 3" xfId="13694" xr:uid="{8C5865EA-E6AF-4CFE-82E9-C64123262A73}"/>
    <cellStyle name="Normal 5 5 2 2 2 4" xfId="17917" xr:uid="{033362AF-59CA-4C36-84E8-0DF2B19073C4}"/>
    <cellStyle name="Normal 5 5 2 2 2 5" xfId="9476" xr:uid="{390A6D64-E406-4E58-8A4D-C03F128802DD}"/>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24693" xr:uid="{DBC55885-A99E-4E60-A426-D182788DF720}"/>
    <cellStyle name="Normal 5 5 2 2 3 2 2 3" xfId="16252" xr:uid="{A785AD89-EA32-49D7-B2B9-A61651E984F9}"/>
    <cellStyle name="Normal 5 5 2 2 3 2 3" xfId="20475" xr:uid="{F98E5E46-F72A-4AD8-8210-6C498B27EAFF}"/>
    <cellStyle name="Normal 5 5 2 2 3 2 4" xfId="12034" xr:uid="{C0AE8005-3E34-4ECD-9E96-D14DB29D4D76}"/>
    <cellStyle name="Normal 5 5 2 2 3 3" xfId="5665" xr:uid="{00000000-0005-0000-0000-0000561B0000}"/>
    <cellStyle name="Normal 5 5 2 2 3 3 2" xfId="22548" xr:uid="{99B0E939-320B-4C24-887B-6FC9E20A8EB2}"/>
    <cellStyle name="Normal 5 5 2 2 3 3 3" xfId="14107" xr:uid="{5B5CF13D-EC28-4203-A8DC-180A9CE2B473}"/>
    <cellStyle name="Normal 5 5 2 2 3 4" xfId="18330" xr:uid="{2AEA419D-8F21-4C65-A9FB-42323F43918A}"/>
    <cellStyle name="Normal 5 5 2 2 3 5" xfId="9889" xr:uid="{DBD4A0A2-E6BE-42F4-9C33-AD4F435131EB}"/>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25106" xr:uid="{1223BFBE-0295-423A-B744-5E52CE8E9565}"/>
    <cellStyle name="Normal 5 5 2 2 4 2 2 3" xfId="16665" xr:uid="{243FADEA-6EF3-497F-841D-E857B0EFD0F8}"/>
    <cellStyle name="Normal 5 5 2 2 4 2 3" xfId="20888" xr:uid="{E3E286FC-D084-45F6-A706-3534A3B34484}"/>
    <cellStyle name="Normal 5 5 2 2 4 2 4" xfId="12447" xr:uid="{05BC059D-1C21-4226-8632-E68D9FAE860F}"/>
    <cellStyle name="Normal 5 5 2 2 4 3" xfId="6078" xr:uid="{00000000-0005-0000-0000-00005A1B0000}"/>
    <cellStyle name="Normal 5 5 2 2 4 3 2" xfId="22961" xr:uid="{04464D5E-EAF8-49D7-801D-F66BAEC7B5AD}"/>
    <cellStyle name="Normal 5 5 2 2 4 3 3" xfId="14520" xr:uid="{3FB53983-C888-486C-B184-BD8AEC45FA04}"/>
    <cellStyle name="Normal 5 5 2 2 4 4" xfId="18743" xr:uid="{76545C76-EE65-43A3-819E-A5122E09805E}"/>
    <cellStyle name="Normal 5 5 2 2 4 5" xfId="10302" xr:uid="{F9D712C2-5DF2-4B65-8636-CE9B10702258}"/>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25519" xr:uid="{05DBD20B-DB68-43E3-91D2-9F04B026087E}"/>
    <cellStyle name="Normal 5 5 2 2 5 2 2 3" xfId="17078" xr:uid="{4C429445-B185-4F04-B2CD-4C0D257CADE5}"/>
    <cellStyle name="Normal 5 5 2 2 5 2 3" xfId="21301" xr:uid="{F0C1EF16-497F-4D8C-876B-B95A746E3F8D}"/>
    <cellStyle name="Normal 5 5 2 2 5 2 4" xfId="12860" xr:uid="{AC525283-A11C-4C66-95CB-3B85BDC0040B}"/>
    <cellStyle name="Normal 5 5 2 2 5 3" xfId="6491" xr:uid="{00000000-0005-0000-0000-00005E1B0000}"/>
    <cellStyle name="Normal 5 5 2 2 5 3 2" xfId="23374" xr:uid="{501DB805-E504-4C15-A573-7F6B0847CD93}"/>
    <cellStyle name="Normal 5 5 2 2 5 3 3" xfId="14933" xr:uid="{702A3929-16C7-4767-9070-3F7DE947B117}"/>
    <cellStyle name="Normal 5 5 2 2 5 4" xfId="19156" xr:uid="{4A961C9C-B1D3-496F-9C0F-F568B9556EE2}"/>
    <cellStyle name="Normal 5 5 2 2 5 5" xfId="10715" xr:uid="{F2B51874-564C-42AD-A8DF-6C9F439BC3EE}"/>
    <cellStyle name="Normal 5 5 2 2 6" xfId="2620" xr:uid="{00000000-0005-0000-0000-00005F1B0000}"/>
    <cellStyle name="Normal 5 5 2 2 6 2" xfId="6904" xr:uid="{00000000-0005-0000-0000-0000601B0000}"/>
    <cellStyle name="Normal 5 5 2 2 6 2 2" xfId="23787" xr:uid="{D8B1CAFB-254D-4C95-971C-6DC591E4F618}"/>
    <cellStyle name="Normal 5 5 2 2 6 2 3" xfId="15346" xr:uid="{DF11886B-CB0E-4F96-80A3-790EF2E331CA}"/>
    <cellStyle name="Normal 5 5 2 2 6 3" xfId="19569" xr:uid="{58E744CE-F617-412C-806C-40B4CA7427EC}"/>
    <cellStyle name="Normal 5 5 2 2 6 4" xfId="11128" xr:uid="{0363EC65-BA2B-4AB2-9BCF-B03093FAA836}"/>
    <cellStyle name="Normal 5 5 2 2 7" xfId="4839" xr:uid="{00000000-0005-0000-0000-0000611B0000}"/>
    <cellStyle name="Normal 5 5 2 2 7 2" xfId="21722" xr:uid="{39B29859-6D4C-4B49-AEE8-461F64FBDC10}"/>
    <cellStyle name="Normal 5 5 2 2 7 3" xfId="13281" xr:uid="{CB431EC0-8C7D-486D-971A-C3E48B6E15F7}"/>
    <cellStyle name="Normal 5 5 2 2 8" xfId="17504" xr:uid="{A1CD5852-15C8-40E0-AFF3-B0DAC065F96D}"/>
    <cellStyle name="Normal 5 5 2 2 9" xfId="9063" xr:uid="{6467EA19-6756-4685-BD3D-B4DDFEC0583E}"/>
    <cellStyle name="Normal 5 5 2 3" xfId="939" xr:uid="{00000000-0005-0000-0000-0000621B0000}"/>
    <cellStyle name="Normal 5 5 2 3 2" xfId="3173" xr:uid="{00000000-0005-0000-0000-0000631B0000}"/>
    <cellStyle name="Normal 5 5 2 3 2 2" xfId="7396" xr:uid="{00000000-0005-0000-0000-0000641B0000}"/>
    <cellStyle name="Normal 5 5 2 3 2 2 2" xfId="24279" xr:uid="{44DF4062-776A-4CD3-ABAE-D5FB25A53095}"/>
    <cellStyle name="Normal 5 5 2 3 2 2 3" xfId="15838" xr:uid="{059A2AB3-FEF2-49DB-A11F-619ABEA7FC0B}"/>
    <cellStyle name="Normal 5 5 2 3 2 3" xfId="20061" xr:uid="{AADFF68A-FDEB-4BF6-8DDC-A3FFD1CA7F43}"/>
    <cellStyle name="Normal 5 5 2 3 2 4" xfId="11620" xr:uid="{12671731-FF43-4474-82C4-38FC7BA25D17}"/>
    <cellStyle name="Normal 5 5 2 3 3" xfId="5251" xr:uid="{00000000-0005-0000-0000-0000651B0000}"/>
    <cellStyle name="Normal 5 5 2 3 3 2" xfId="22134" xr:uid="{7BC25BCF-F373-476E-A28A-D582F46E26E2}"/>
    <cellStyle name="Normal 5 5 2 3 3 3" xfId="13693" xr:uid="{FB57E2BD-663F-4711-88AA-B7C3D96B2DDC}"/>
    <cellStyle name="Normal 5 5 2 3 4" xfId="17916" xr:uid="{DEE2F48A-2E00-4E3E-AE0D-4BE6C766FF84}"/>
    <cellStyle name="Normal 5 5 2 3 5" xfId="9475" xr:uid="{921E3DF0-B210-42F2-ACE0-8AF69CA42A8E}"/>
    <cellStyle name="Normal 5 5 2 4" xfId="1356" xr:uid="{00000000-0005-0000-0000-0000661B0000}"/>
    <cellStyle name="Normal 5 5 2 4 2" xfId="3586" xr:uid="{00000000-0005-0000-0000-0000671B0000}"/>
    <cellStyle name="Normal 5 5 2 4 2 2" xfId="7809" xr:uid="{00000000-0005-0000-0000-0000681B0000}"/>
    <cellStyle name="Normal 5 5 2 4 2 2 2" xfId="24692" xr:uid="{F57081A9-80DE-4A43-BAF6-97FFAD3BFE09}"/>
    <cellStyle name="Normal 5 5 2 4 2 2 3" xfId="16251" xr:uid="{399505E2-2A91-4B62-B157-312E4626408D}"/>
    <cellStyle name="Normal 5 5 2 4 2 3" xfId="20474" xr:uid="{C1843881-A45E-4263-8448-9F3A249E8C46}"/>
    <cellStyle name="Normal 5 5 2 4 2 4" xfId="12033" xr:uid="{BA2CAE6C-B55C-4A6B-B323-94E61436668A}"/>
    <cellStyle name="Normal 5 5 2 4 3" xfId="5664" xr:uid="{00000000-0005-0000-0000-0000691B0000}"/>
    <cellStyle name="Normal 5 5 2 4 3 2" xfId="22547" xr:uid="{67FD15BD-1F08-4E00-B41A-BCE45028D77D}"/>
    <cellStyle name="Normal 5 5 2 4 3 3" xfId="14106" xr:uid="{70BCF8B4-E621-433D-944A-A653BC78F663}"/>
    <cellStyle name="Normal 5 5 2 4 4" xfId="18329" xr:uid="{12BCEA2D-4C2B-4AB6-A6E7-AB7517D6E87F}"/>
    <cellStyle name="Normal 5 5 2 4 5" xfId="9888" xr:uid="{5A81ACD0-F502-44BC-B607-C1C54F8DEA61}"/>
    <cellStyle name="Normal 5 5 2 5" xfId="1769" xr:uid="{00000000-0005-0000-0000-00006A1B0000}"/>
    <cellStyle name="Normal 5 5 2 5 2" xfId="3999" xr:uid="{00000000-0005-0000-0000-00006B1B0000}"/>
    <cellStyle name="Normal 5 5 2 5 2 2" xfId="8222" xr:uid="{00000000-0005-0000-0000-00006C1B0000}"/>
    <cellStyle name="Normal 5 5 2 5 2 2 2" xfId="25105" xr:uid="{0F4DD198-8CBA-432C-B79D-92D4D9561FF0}"/>
    <cellStyle name="Normal 5 5 2 5 2 2 3" xfId="16664" xr:uid="{111C7B43-52B5-4E7A-9152-BC8FCEE617DA}"/>
    <cellStyle name="Normal 5 5 2 5 2 3" xfId="20887" xr:uid="{5B43D441-F1B3-4A4B-8C9F-3F4AABCB7837}"/>
    <cellStyle name="Normal 5 5 2 5 2 4" xfId="12446" xr:uid="{19A01C55-D59C-4FE6-9E20-36916D4C7B3B}"/>
    <cellStyle name="Normal 5 5 2 5 3" xfId="6077" xr:uid="{00000000-0005-0000-0000-00006D1B0000}"/>
    <cellStyle name="Normal 5 5 2 5 3 2" xfId="22960" xr:uid="{81FF4F42-0C0F-4F4F-BF0F-526B2372B76E}"/>
    <cellStyle name="Normal 5 5 2 5 3 3" xfId="14519" xr:uid="{D007B292-372B-4372-84C8-29E7541C39A1}"/>
    <cellStyle name="Normal 5 5 2 5 4" xfId="18742" xr:uid="{CA0B4253-CBBF-4200-9F0C-E335C37404D6}"/>
    <cellStyle name="Normal 5 5 2 5 5" xfId="10301" xr:uid="{FE71DE8C-3CFB-47D0-8B1C-4C2D35FED043}"/>
    <cellStyle name="Normal 5 5 2 6" xfId="2183" xr:uid="{00000000-0005-0000-0000-00006E1B0000}"/>
    <cellStyle name="Normal 5 5 2 6 2" xfId="4412" xr:uid="{00000000-0005-0000-0000-00006F1B0000}"/>
    <cellStyle name="Normal 5 5 2 6 2 2" xfId="8635" xr:uid="{00000000-0005-0000-0000-0000701B0000}"/>
    <cellStyle name="Normal 5 5 2 6 2 2 2" xfId="25518" xr:uid="{6A2EB3C0-B9E1-43B3-8462-8DBCCD8C24C2}"/>
    <cellStyle name="Normal 5 5 2 6 2 2 3" xfId="17077" xr:uid="{6FC9389F-0C5B-4B6E-8076-96CDD7391123}"/>
    <cellStyle name="Normal 5 5 2 6 2 3" xfId="21300" xr:uid="{864E505D-A995-4295-A290-B184E8786669}"/>
    <cellStyle name="Normal 5 5 2 6 2 4" xfId="12859" xr:uid="{C07CA430-6E2A-426B-A8F5-2C24B6E2A141}"/>
    <cellStyle name="Normal 5 5 2 6 3" xfId="6490" xr:uid="{00000000-0005-0000-0000-0000711B0000}"/>
    <cellStyle name="Normal 5 5 2 6 3 2" xfId="23373" xr:uid="{C8C1B12B-FE9C-4712-B345-75EC180CA41B}"/>
    <cellStyle name="Normal 5 5 2 6 3 3" xfId="14932" xr:uid="{196A7C87-E296-4F96-A30B-C5CAF44FB34E}"/>
    <cellStyle name="Normal 5 5 2 6 4" xfId="19155" xr:uid="{2FEADC3C-2D90-4D57-A768-617E6311F667}"/>
    <cellStyle name="Normal 5 5 2 6 5" xfId="10714" xr:uid="{993D1703-5D98-4C2A-A761-932038A6BDA3}"/>
    <cellStyle name="Normal 5 5 2 7" xfId="2619" xr:uid="{00000000-0005-0000-0000-0000721B0000}"/>
    <cellStyle name="Normal 5 5 2 7 2" xfId="6903" xr:uid="{00000000-0005-0000-0000-0000731B0000}"/>
    <cellStyle name="Normal 5 5 2 7 2 2" xfId="23786" xr:uid="{AC81AA9D-E904-4245-87AD-C421BA214484}"/>
    <cellStyle name="Normal 5 5 2 7 2 3" xfId="15345" xr:uid="{69D3E2C4-7D49-4C90-86A7-3BEB5A8527B9}"/>
    <cellStyle name="Normal 5 5 2 7 3" xfId="19568" xr:uid="{48378568-889C-4627-97EE-F133E61EE872}"/>
    <cellStyle name="Normal 5 5 2 7 4" xfId="11127" xr:uid="{0D18076C-AF16-4CD2-82E6-A08E8B768471}"/>
    <cellStyle name="Normal 5 5 2 8" xfId="4838" xr:uid="{00000000-0005-0000-0000-0000741B0000}"/>
    <cellStyle name="Normal 5 5 2 8 2" xfId="21721" xr:uid="{5E88E3CA-9081-44FB-93A9-E5A77C847500}"/>
    <cellStyle name="Normal 5 5 2 8 3" xfId="13280" xr:uid="{89C8F139-D26C-4EDD-A443-77A9D12AD31A}"/>
    <cellStyle name="Normal 5 5 2 9" xfId="17503" xr:uid="{7D456B5C-99FF-48D1-A95A-BF29187F0E4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24281" xr:uid="{99C22ECE-C5DB-422A-A27B-471C72B1A723}"/>
    <cellStyle name="Normal 5 5 3 2 2 2 3" xfId="15840" xr:uid="{449BCAAE-2E5F-46C0-86F6-85C6862F4CA2}"/>
    <cellStyle name="Normal 5 5 3 2 2 3" xfId="20063" xr:uid="{2B7B005D-F398-4FB5-906D-E31533840936}"/>
    <cellStyle name="Normal 5 5 3 2 2 4" xfId="11622" xr:uid="{394D0F03-2A7D-4FA8-B3BA-2C2959036464}"/>
    <cellStyle name="Normal 5 5 3 2 3" xfId="5253" xr:uid="{00000000-0005-0000-0000-0000791B0000}"/>
    <cellStyle name="Normal 5 5 3 2 3 2" xfId="22136" xr:uid="{F356867F-F4EF-4DA8-942E-0215AA087F81}"/>
    <cellStyle name="Normal 5 5 3 2 3 3" xfId="13695" xr:uid="{CB252802-7778-440F-92A6-3FD2DC76949D}"/>
    <cellStyle name="Normal 5 5 3 2 4" xfId="17918" xr:uid="{8348A151-90F9-4992-A970-0B2C653DEA1F}"/>
    <cellStyle name="Normal 5 5 3 2 5" xfId="9477" xr:uid="{BDA39DE2-4CFD-41DD-965A-B24FA49E7E38}"/>
    <cellStyle name="Normal 5 5 3 3" xfId="1358" xr:uid="{00000000-0005-0000-0000-00007A1B0000}"/>
    <cellStyle name="Normal 5 5 3 3 2" xfId="3588" xr:uid="{00000000-0005-0000-0000-00007B1B0000}"/>
    <cellStyle name="Normal 5 5 3 3 2 2" xfId="7811" xr:uid="{00000000-0005-0000-0000-00007C1B0000}"/>
    <cellStyle name="Normal 5 5 3 3 2 2 2" xfId="24694" xr:uid="{0443A4AF-BDE5-4C34-B9BC-61EE7E3CA4EB}"/>
    <cellStyle name="Normal 5 5 3 3 2 2 3" xfId="16253" xr:uid="{795F238B-CA31-423B-A180-9998CCA24617}"/>
    <cellStyle name="Normal 5 5 3 3 2 3" xfId="20476" xr:uid="{6E087463-F7CD-480D-9E73-F912BF91F9D9}"/>
    <cellStyle name="Normal 5 5 3 3 2 4" xfId="12035" xr:uid="{731A164E-E151-47E1-8DCA-84A09A47A1E4}"/>
    <cellStyle name="Normal 5 5 3 3 3" xfId="5666" xr:uid="{00000000-0005-0000-0000-00007D1B0000}"/>
    <cellStyle name="Normal 5 5 3 3 3 2" xfId="22549" xr:uid="{A944474A-7A2E-4241-8F67-38BC1364D614}"/>
    <cellStyle name="Normal 5 5 3 3 3 3" xfId="14108" xr:uid="{19291271-05A9-4723-AF4F-3EE398E664F1}"/>
    <cellStyle name="Normal 5 5 3 3 4" xfId="18331" xr:uid="{7EDBDC4A-8389-4D81-8A6C-595F6D84F0EE}"/>
    <cellStyle name="Normal 5 5 3 3 5" xfId="9890" xr:uid="{B0526722-74EF-4AB8-9451-405C1BDB7166}"/>
    <cellStyle name="Normal 5 5 3 4" xfId="1771" xr:uid="{00000000-0005-0000-0000-00007E1B0000}"/>
    <cellStyle name="Normal 5 5 3 4 2" xfId="4001" xr:uid="{00000000-0005-0000-0000-00007F1B0000}"/>
    <cellStyle name="Normal 5 5 3 4 2 2" xfId="8224" xr:uid="{00000000-0005-0000-0000-0000801B0000}"/>
    <cellStyle name="Normal 5 5 3 4 2 2 2" xfId="25107" xr:uid="{9743A19A-1C6F-41C7-86F6-5DBF34A5491F}"/>
    <cellStyle name="Normal 5 5 3 4 2 2 3" xfId="16666" xr:uid="{A391CF2C-302D-4000-88FE-8BBEBA16BC17}"/>
    <cellStyle name="Normal 5 5 3 4 2 3" xfId="20889" xr:uid="{78156D6B-7875-4A3F-A8EE-7149C26B12A2}"/>
    <cellStyle name="Normal 5 5 3 4 2 4" xfId="12448" xr:uid="{23C43095-E7CC-40D3-8127-3EF2484A24BE}"/>
    <cellStyle name="Normal 5 5 3 4 3" xfId="6079" xr:uid="{00000000-0005-0000-0000-0000811B0000}"/>
    <cellStyle name="Normal 5 5 3 4 3 2" xfId="22962" xr:uid="{E97BDE69-CDF5-4439-8EB2-C7DE3C64ECCC}"/>
    <cellStyle name="Normal 5 5 3 4 3 3" xfId="14521" xr:uid="{15DF93D4-2894-465A-A11F-074C9996379E}"/>
    <cellStyle name="Normal 5 5 3 4 4" xfId="18744" xr:uid="{757AE93A-6BD4-426B-814E-DE1B71B51492}"/>
    <cellStyle name="Normal 5 5 3 4 5" xfId="10303" xr:uid="{1AFAA672-F5EA-4612-9B45-694363D63196}"/>
    <cellStyle name="Normal 5 5 3 5" xfId="2185" xr:uid="{00000000-0005-0000-0000-0000821B0000}"/>
    <cellStyle name="Normal 5 5 3 5 2" xfId="4414" xr:uid="{00000000-0005-0000-0000-0000831B0000}"/>
    <cellStyle name="Normal 5 5 3 5 2 2" xfId="8637" xr:uid="{00000000-0005-0000-0000-0000841B0000}"/>
    <cellStyle name="Normal 5 5 3 5 2 2 2" xfId="25520" xr:uid="{4B8A55F5-D5BA-4044-880D-7B68D1ADD7F9}"/>
    <cellStyle name="Normal 5 5 3 5 2 2 3" xfId="17079" xr:uid="{250CC2C4-6C09-47F9-B911-DC976F9BF394}"/>
    <cellStyle name="Normal 5 5 3 5 2 3" xfId="21302" xr:uid="{DF94DEB1-5633-495B-B816-8293D78C00EB}"/>
    <cellStyle name="Normal 5 5 3 5 2 4" xfId="12861" xr:uid="{A31C573B-68B2-4D38-80D6-EA7858E80952}"/>
    <cellStyle name="Normal 5 5 3 5 3" xfId="6492" xr:uid="{00000000-0005-0000-0000-0000851B0000}"/>
    <cellStyle name="Normal 5 5 3 5 3 2" xfId="23375" xr:uid="{E325A8CD-4263-4F15-B74C-678E00518318}"/>
    <cellStyle name="Normal 5 5 3 5 3 3" xfId="14934" xr:uid="{F92C1B4F-E3BE-4AC9-BBAE-0A06CFFCD6BC}"/>
    <cellStyle name="Normal 5 5 3 5 4" xfId="19157" xr:uid="{8DA79038-A009-4D89-8397-57F3351F1CB5}"/>
    <cellStyle name="Normal 5 5 3 5 5" xfId="10716" xr:uid="{D8137884-85B7-42D4-867E-695B48E42EF7}"/>
    <cellStyle name="Normal 5 5 3 6" xfId="2621" xr:uid="{00000000-0005-0000-0000-0000861B0000}"/>
    <cellStyle name="Normal 5 5 3 6 2" xfId="6905" xr:uid="{00000000-0005-0000-0000-0000871B0000}"/>
    <cellStyle name="Normal 5 5 3 6 2 2" xfId="23788" xr:uid="{83B78FA0-3E07-415B-89D3-B35A29EFA382}"/>
    <cellStyle name="Normal 5 5 3 6 2 3" xfId="15347" xr:uid="{A646DE71-0C61-450F-809B-9A0871C1D3D8}"/>
    <cellStyle name="Normal 5 5 3 6 3" xfId="19570" xr:uid="{167A99AA-1437-4DE9-B5C6-D8CD514F5F0E}"/>
    <cellStyle name="Normal 5 5 3 6 4" xfId="11129" xr:uid="{A9AF6818-9ACB-4341-BA8B-E14DB9BA2D6A}"/>
    <cellStyle name="Normal 5 5 3 7" xfId="4840" xr:uid="{00000000-0005-0000-0000-0000881B0000}"/>
    <cellStyle name="Normal 5 5 3 7 2" xfId="21723" xr:uid="{5ED04C22-0617-4592-B194-29E87BECD73F}"/>
    <cellStyle name="Normal 5 5 3 7 3" xfId="13282" xr:uid="{5272A4BA-89B1-4308-93A6-84ABF8252484}"/>
    <cellStyle name="Normal 5 5 3 8" xfId="17505" xr:uid="{7271D286-30C0-45DE-B55A-962E21AF470A}"/>
    <cellStyle name="Normal 5 5 3 9" xfId="9064" xr:uid="{8F30BD12-D3A6-421A-9DE9-5D44F9B7C5A5}"/>
    <cellStyle name="Normal 5 5 4" xfId="938" xr:uid="{00000000-0005-0000-0000-0000891B0000}"/>
    <cellStyle name="Normal 5 5 4 2" xfId="3172" xr:uid="{00000000-0005-0000-0000-00008A1B0000}"/>
    <cellStyle name="Normal 5 5 4 2 2" xfId="7395" xr:uid="{00000000-0005-0000-0000-00008B1B0000}"/>
    <cellStyle name="Normal 5 5 4 2 2 2" xfId="24278" xr:uid="{CA6F6469-35CB-484A-8EB1-4ED1802736FF}"/>
    <cellStyle name="Normal 5 5 4 2 2 3" xfId="15837" xr:uid="{CACFE082-93C2-441A-A019-69705027533F}"/>
    <cellStyle name="Normal 5 5 4 2 3" xfId="20060" xr:uid="{DC16FC6D-C5D4-4692-A6C7-D4C8DF04BEC5}"/>
    <cellStyle name="Normal 5 5 4 2 4" xfId="11619" xr:uid="{9AE5FEE2-6C7A-4C1D-A69A-F1890E4E4AB0}"/>
    <cellStyle name="Normal 5 5 4 3" xfId="5250" xr:uid="{00000000-0005-0000-0000-00008C1B0000}"/>
    <cellStyle name="Normal 5 5 4 3 2" xfId="22133" xr:uid="{2CBDDC8F-C13C-4FDE-B515-36EBCA39E5F6}"/>
    <cellStyle name="Normal 5 5 4 3 3" xfId="13692" xr:uid="{C1CE11C3-0550-468A-9D9E-41F50EF874CE}"/>
    <cellStyle name="Normal 5 5 4 4" xfId="17915" xr:uid="{C6046622-F4CE-486A-82A3-2D2E52BFCF1C}"/>
    <cellStyle name="Normal 5 5 4 5" xfId="9474" xr:uid="{4FBE5F29-DA54-4F2F-9F40-78AD550DC6C9}"/>
    <cellStyle name="Normal 5 5 5" xfId="1355" xr:uid="{00000000-0005-0000-0000-00008D1B0000}"/>
    <cellStyle name="Normal 5 5 5 2" xfId="3585" xr:uid="{00000000-0005-0000-0000-00008E1B0000}"/>
    <cellStyle name="Normal 5 5 5 2 2" xfId="7808" xr:uid="{00000000-0005-0000-0000-00008F1B0000}"/>
    <cellStyle name="Normal 5 5 5 2 2 2" xfId="24691" xr:uid="{FEA53839-29B1-45FA-8D9B-714215754305}"/>
    <cellStyle name="Normal 5 5 5 2 2 3" xfId="16250" xr:uid="{55FA49CD-5761-45B4-AA26-CF94FCCF389A}"/>
    <cellStyle name="Normal 5 5 5 2 3" xfId="20473" xr:uid="{226F8200-F8C3-4C59-941F-572411D29EED}"/>
    <cellStyle name="Normal 5 5 5 2 4" xfId="12032" xr:uid="{54EF9710-4AEC-4044-BB64-F32939DB69A9}"/>
    <cellStyle name="Normal 5 5 5 3" xfId="5663" xr:uid="{00000000-0005-0000-0000-0000901B0000}"/>
    <cellStyle name="Normal 5 5 5 3 2" xfId="22546" xr:uid="{A04679A9-C997-4599-9230-19995CE65C8D}"/>
    <cellStyle name="Normal 5 5 5 3 3" xfId="14105" xr:uid="{084DAE16-0336-4B78-BF9C-91CD1DF01C63}"/>
    <cellStyle name="Normal 5 5 5 4" xfId="18328" xr:uid="{B4400821-0F70-4F4C-9CC5-56CFA1ACA865}"/>
    <cellStyle name="Normal 5 5 5 5" xfId="9887" xr:uid="{651E0146-5E6C-4984-8FFC-4C6726B69723}"/>
    <cellStyle name="Normal 5 5 6" xfId="1768" xr:uid="{00000000-0005-0000-0000-0000911B0000}"/>
    <cellStyle name="Normal 5 5 6 2" xfId="3998" xr:uid="{00000000-0005-0000-0000-0000921B0000}"/>
    <cellStyle name="Normal 5 5 6 2 2" xfId="8221" xr:uid="{00000000-0005-0000-0000-0000931B0000}"/>
    <cellStyle name="Normal 5 5 6 2 2 2" xfId="25104" xr:uid="{DCD43FF3-0229-4930-A84C-104029530F14}"/>
    <cellStyle name="Normal 5 5 6 2 2 3" xfId="16663" xr:uid="{0CE5FCFB-2208-4BAE-AD36-4ECE7D8AE023}"/>
    <cellStyle name="Normal 5 5 6 2 3" xfId="20886" xr:uid="{13DD3DFA-AEA8-4492-909C-62D68579F2E7}"/>
    <cellStyle name="Normal 5 5 6 2 4" xfId="12445" xr:uid="{4356B2C3-8EB8-48C6-B985-39658AF9B7D2}"/>
    <cellStyle name="Normal 5 5 6 3" xfId="6076" xr:uid="{00000000-0005-0000-0000-0000941B0000}"/>
    <cellStyle name="Normal 5 5 6 3 2" xfId="22959" xr:uid="{0A3599A0-8706-4D3D-82EC-C778CF5F7D09}"/>
    <cellStyle name="Normal 5 5 6 3 3" xfId="14518" xr:uid="{5B714A0E-D329-46AD-B931-609771413003}"/>
    <cellStyle name="Normal 5 5 6 4" xfId="18741" xr:uid="{264D629C-5701-498D-A7F2-EFFBB1CFE71D}"/>
    <cellStyle name="Normal 5 5 6 5" xfId="10300" xr:uid="{1AA909C9-C760-4ADB-91BE-EDF5DE9D1964}"/>
    <cellStyle name="Normal 5 5 7" xfId="2182" xr:uid="{00000000-0005-0000-0000-0000951B0000}"/>
    <cellStyle name="Normal 5 5 7 2" xfId="4411" xr:uid="{00000000-0005-0000-0000-0000961B0000}"/>
    <cellStyle name="Normal 5 5 7 2 2" xfId="8634" xr:uid="{00000000-0005-0000-0000-0000971B0000}"/>
    <cellStyle name="Normal 5 5 7 2 2 2" xfId="25517" xr:uid="{78F023C8-2EEE-4F58-8FE0-173DC91A869B}"/>
    <cellStyle name="Normal 5 5 7 2 2 3" xfId="17076" xr:uid="{A73CD64A-A479-4B0C-AD60-4B87C31E1DE4}"/>
    <cellStyle name="Normal 5 5 7 2 3" xfId="21299" xr:uid="{A5C57449-E9F2-4DC4-9FD5-A6727FCAE941}"/>
    <cellStyle name="Normal 5 5 7 2 4" xfId="12858" xr:uid="{C9AF1790-E0D0-438E-8B12-F7B4DBFAB080}"/>
    <cellStyle name="Normal 5 5 7 3" xfId="6489" xr:uid="{00000000-0005-0000-0000-0000981B0000}"/>
    <cellStyle name="Normal 5 5 7 3 2" xfId="23372" xr:uid="{8C18E05A-9C64-4292-8089-0801EED092DC}"/>
    <cellStyle name="Normal 5 5 7 3 3" xfId="14931" xr:uid="{1E744387-F972-42D8-A59F-D07E0D9277A0}"/>
    <cellStyle name="Normal 5 5 7 4" xfId="19154" xr:uid="{1DFDC21A-E818-456B-9E45-81BFB9783387}"/>
    <cellStyle name="Normal 5 5 7 5" xfId="10713" xr:uid="{2CA969E0-3735-42DF-A71B-7C7B19F3DD65}"/>
    <cellStyle name="Normal 5 5 8" xfId="2618" xr:uid="{00000000-0005-0000-0000-0000991B0000}"/>
    <cellStyle name="Normal 5 5 8 2" xfId="6902" xr:uid="{00000000-0005-0000-0000-00009A1B0000}"/>
    <cellStyle name="Normal 5 5 8 2 2" xfId="23785" xr:uid="{8AE4B184-441D-48E6-BF67-7CB53115174F}"/>
    <cellStyle name="Normal 5 5 8 2 3" xfId="15344" xr:uid="{A6F4C2B8-EAAA-4DA3-AC41-5DADE454545A}"/>
    <cellStyle name="Normal 5 5 8 3" xfId="19567" xr:uid="{F6C739C2-7DBE-4FBE-B941-48381ED93934}"/>
    <cellStyle name="Normal 5 5 8 4" xfId="11126" xr:uid="{C8B1305D-01BA-468D-B1A1-3343BB8A136F}"/>
    <cellStyle name="Normal 5 5 9" xfId="4837" xr:uid="{00000000-0005-0000-0000-00009B1B0000}"/>
    <cellStyle name="Normal 5 5 9 2" xfId="21720" xr:uid="{5106D42F-88EF-4EE4-BC09-9871265FF65A}"/>
    <cellStyle name="Normal 5 5 9 3" xfId="13279" xr:uid="{6BE75E56-40FC-4406-854F-091F77993965}"/>
    <cellStyle name="Normal 5 6" xfId="468" xr:uid="{00000000-0005-0000-0000-00009C1B0000}"/>
    <cellStyle name="Normal 5 6 10" xfId="9065" xr:uid="{8A20E33A-6BDA-4DBF-851F-CBB12A3DF748}"/>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24283" xr:uid="{81E08DCB-0C3E-43FE-88EB-F1AE589E159E}"/>
    <cellStyle name="Normal 5 6 2 2 2 2 3" xfId="15842" xr:uid="{A9B1205B-4D7F-4F9F-8F11-54C19D54C564}"/>
    <cellStyle name="Normal 5 6 2 2 2 3" xfId="20065" xr:uid="{A6B879E2-4C64-4798-ABED-EA0694C60748}"/>
    <cellStyle name="Normal 5 6 2 2 2 4" xfId="11624" xr:uid="{560B05F5-0E9A-4CBB-AA0B-5D77488F5023}"/>
    <cellStyle name="Normal 5 6 2 2 3" xfId="5255" xr:uid="{00000000-0005-0000-0000-0000A11B0000}"/>
    <cellStyle name="Normal 5 6 2 2 3 2" xfId="22138" xr:uid="{E031D91C-8ACE-468F-857B-D5ED4A21EE3F}"/>
    <cellStyle name="Normal 5 6 2 2 3 3" xfId="13697" xr:uid="{EA814F56-2FC7-42E8-99E0-575D8508C9F3}"/>
    <cellStyle name="Normal 5 6 2 2 4" xfId="17920" xr:uid="{94B42C2F-A925-4668-BB70-47CBB7EFA891}"/>
    <cellStyle name="Normal 5 6 2 2 5" xfId="9479" xr:uid="{B295A4CD-10DC-4A8F-AC6C-4A46042C7D21}"/>
    <cellStyle name="Normal 5 6 2 3" xfId="1360" xr:uid="{00000000-0005-0000-0000-0000A21B0000}"/>
    <cellStyle name="Normal 5 6 2 3 2" xfId="3590" xr:uid="{00000000-0005-0000-0000-0000A31B0000}"/>
    <cellStyle name="Normal 5 6 2 3 2 2" xfId="7813" xr:uid="{00000000-0005-0000-0000-0000A41B0000}"/>
    <cellStyle name="Normal 5 6 2 3 2 2 2" xfId="24696" xr:uid="{9AC174B6-CDF7-45BC-99E9-B44606071F8E}"/>
    <cellStyle name="Normal 5 6 2 3 2 2 3" xfId="16255" xr:uid="{EFB2C4AE-D104-4D06-9DC2-BA014BD1F1A6}"/>
    <cellStyle name="Normal 5 6 2 3 2 3" xfId="20478" xr:uid="{C389D751-5AA4-485E-96AB-926BF9DBA51E}"/>
    <cellStyle name="Normal 5 6 2 3 2 4" xfId="12037" xr:uid="{4011A44E-DEB6-46CA-91FC-AFEE87B24884}"/>
    <cellStyle name="Normal 5 6 2 3 3" xfId="5668" xr:uid="{00000000-0005-0000-0000-0000A51B0000}"/>
    <cellStyle name="Normal 5 6 2 3 3 2" xfId="22551" xr:uid="{FD0CC1E4-232A-4631-B9AA-868FF470F4F1}"/>
    <cellStyle name="Normal 5 6 2 3 3 3" xfId="14110" xr:uid="{E02E3684-3999-4760-81AE-32CA5CF3B1AD}"/>
    <cellStyle name="Normal 5 6 2 3 4" xfId="18333" xr:uid="{377C7901-D688-4F31-952D-035D4927B698}"/>
    <cellStyle name="Normal 5 6 2 3 5" xfId="9892" xr:uid="{1E779825-4736-4F5F-A3B4-C66A827E7C88}"/>
    <cellStyle name="Normal 5 6 2 4" xfId="1773" xr:uid="{00000000-0005-0000-0000-0000A61B0000}"/>
    <cellStyle name="Normal 5 6 2 4 2" xfId="4003" xr:uid="{00000000-0005-0000-0000-0000A71B0000}"/>
    <cellStyle name="Normal 5 6 2 4 2 2" xfId="8226" xr:uid="{00000000-0005-0000-0000-0000A81B0000}"/>
    <cellStyle name="Normal 5 6 2 4 2 2 2" xfId="25109" xr:uid="{F3361B2B-2390-452B-AC38-A72B6220AA0D}"/>
    <cellStyle name="Normal 5 6 2 4 2 2 3" xfId="16668" xr:uid="{1FC21E4B-0DA3-4F71-B5BF-BC4AEEB77C0D}"/>
    <cellStyle name="Normal 5 6 2 4 2 3" xfId="20891" xr:uid="{55CFF625-5FAC-4094-9C6A-36C40D382B4D}"/>
    <cellStyle name="Normal 5 6 2 4 2 4" xfId="12450" xr:uid="{824A683D-77B6-4595-97E3-2014BE1949E6}"/>
    <cellStyle name="Normal 5 6 2 4 3" xfId="6081" xr:uid="{00000000-0005-0000-0000-0000A91B0000}"/>
    <cellStyle name="Normal 5 6 2 4 3 2" xfId="22964" xr:uid="{86E93698-8557-47B6-8CAB-932C41AAB449}"/>
    <cellStyle name="Normal 5 6 2 4 3 3" xfId="14523" xr:uid="{6350C4C7-58FA-464A-ADF3-742279A5BE52}"/>
    <cellStyle name="Normal 5 6 2 4 4" xfId="18746" xr:uid="{5FA1E3AE-A463-4B83-A59C-7F7042ABE653}"/>
    <cellStyle name="Normal 5 6 2 4 5" xfId="10305" xr:uid="{C61628F5-96A0-4E25-A6AD-5FA97FBC9D8D}"/>
    <cellStyle name="Normal 5 6 2 5" xfId="2187" xr:uid="{00000000-0005-0000-0000-0000AA1B0000}"/>
    <cellStyle name="Normal 5 6 2 5 2" xfId="4416" xr:uid="{00000000-0005-0000-0000-0000AB1B0000}"/>
    <cellStyle name="Normal 5 6 2 5 2 2" xfId="8639" xr:uid="{00000000-0005-0000-0000-0000AC1B0000}"/>
    <cellStyle name="Normal 5 6 2 5 2 2 2" xfId="25522" xr:uid="{4AAE534E-D7DC-4B5B-9A0B-D116E3FFB75A}"/>
    <cellStyle name="Normal 5 6 2 5 2 2 3" xfId="17081" xr:uid="{F165D43F-4BC7-4B2B-9D09-B4E121E9B55D}"/>
    <cellStyle name="Normal 5 6 2 5 2 3" xfId="21304" xr:uid="{1A5A72C0-12F7-419E-9D46-70E1C5485DEA}"/>
    <cellStyle name="Normal 5 6 2 5 2 4" xfId="12863" xr:uid="{F7CD0DA1-78B3-48EF-AC34-1BB85169A432}"/>
    <cellStyle name="Normal 5 6 2 5 3" xfId="6494" xr:uid="{00000000-0005-0000-0000-0000AD1B0000}"/>
    <cellStyle name="Normal 5 6 2 5 3 2" xfId="23377" xr:uid="{AD5890E8-68E7-40E5-BCB1-451F1A8BE2FE}"/>
    <cellStyle name="Normal 5 6 2 5 3 3" xfId="14936" xr:uid="{1D357E16-D973-492B-AFDE-0EB81E69B971}"/>
    <cellStyle name="Normal 5 6 2 5 4" xfId="19159" xr:uid="{FE1D4BC6-5C17-4819-9F86-D68339E88D7F}"/>
    <cellStyle name="Normal 5 6 2 5 5" xfId="10718" xr:uid="{48290954-7EBA-4544-A354-9B7070AF81E5}"/>
    <cellStyle name="Normal 5 6 2 6" xfId="2623" xr:uid="{00000000-0005-0000-0000-0000AE1B0000}"/>
    <cellStyle name="Normal 5 6 2 6 2" xfId="6907" xr:uid="{00000000-0005-0000-0000-0000AF1B0000}"/>
    <cellStyle name="Normal 5 6 2 6 2 2" xfId="23790" xr:uid="{2B221CC7-DD4B-48B0-B876-A3AB97ED05D8}"/>
    <cellStyle name="Normal 5 6 2 6 2 3" xfId="15349" xr:uid="{1AB7C396-F11B-4D16-81B5-35CFEB2B4404}"/>
    <cellStyle name="Normal 5 6 2 6 3" xfId="19572" xr:uid="{A1105D8D-56BF-4818-B473-9252766918BD}"/>
    <cellStyle name="Normal 5 6 2 6 4" xfId="11131" xr:uid="{001C2FC9-DC93-442C-B9D7-E0A4940F7C51}"/>
    <cellStyle name="Normal 5 6 2 7" xfId="4842" xr:uid="{00000000-0005-0000-0000-0000B01B0000}"/>
    <cellStyle name="Normal 5 6 2 7 2" xfId="21725" xr:uid="{7A5D426F-DE19-45D6-BE52-6127E6ABE71C}"/>
    <cellStyle name="Normal 5 6 2 7 3" xfId="13284" xr:uid="{E2CE9E40-7F5A-4838-B280-37FFA8519D1D}"/>
    <cellStyle name="Normal 5 6 2 8" xfId="17507" xr:uid="{768320E4-CEB3-46EC-81E9-3665CFF1F5BD}"/>
    <cellStyle name="Normal 5 6 2 9" xfId="9066" xr:uid="{D9D1D01E-ED18-4A79-A8DB-E03EBAF47A21}"/>
    <cellStyle name="Normal 5 6 3" xfId="942" xr:uid="{00000000-0005-0000-0000-0000B11B0000}"/>
    <cellStyle name="Normal 5 6 3 2" xfId="3176" xr:uid="{00000000-0005-0000-0000-0000B21B0000}"/>
    <cellStyle name="Normal 5 6 3 2 2" xfId="7399" xr:uid="{00000000-0005-0000-0000-0000B31B0000}"/>
    <cellStyle name="Normal 5 6 3 2 2 2" xfId="24282" xr:uid="{25053E41-93A3-496E-97C7-AF96C43B0842}"/>
    <cellStyle name="Normal 5 6 3 2 2 3" xfId="15841" xr:uid="{A0658AAF-123C-4E87-AE92-214CDB3F2265}"/>
    <cellStyle name="Normal 5 6 3 2 3" xfId="20064" xr:uid="{DC4FE0B9-D2B5-43CE-88E6-0131490EDC93}"/>
    <cellStyle name="Normal 5 6 3 2 4" xfId="11623" xr:uid="{D9546D94-9B70-48AF-905B-05E0F99D97CA}"/>
    <cellStyle name="Normal 5 6 3 3" xfId="5254" xr:uid="{00000000-0005-0000-0000-0000B41B0000}"/>
    <cellStyle name="Normal 5 6 3 3 2" xfId="22137" xr:uid="{0FBBEBAA-1FD3-469F-A5F4-DAADE671707C}"/>
    <cellStyle name="Normal 5 6 3 3 3" xfId="13696" xr:uid="{3B2AA6AC-06CD-4ACF-B0AC-C0942D20820D}"/>
    <cellStyle name="Normal 5 6 3 4" xfId="17919" xr:uid="{6C5A8EB4-4D5E-4575-8E90-B49CF1F4C216}"/>
    <cellStyle name="Normal 5 6 3 5" xfId="9478" xr:uid="{A2473132-EC49-4B4C-9A12-2CD333C69879}"/>
    <cellStyle name="Normal 5 6 4" xfId="1359" xr:uid="{00000000-0005-0000-0000-0000B51B0000}"/>
    <cellStyle name="Normal 5 6 4 2" xfId="3589" xr:uid="{00000000-0005-0000-0000-0000B61B0000}"/>
    <cellStyle name="Normal 5 6 4 2 2" xfId="7812" xr:uid="{00000000-0005-0000-0000-0000B71B0000}"/>
    <cellStyle name="Normal 5 6 4 2 2 2" xfId="24695" xr:uid="{71D3BFDC-AC79-4A04-8375-01FE3E5DF299}"/>
    <cellStyle name="Normal 5 6 4 2 2 3" xfId="16254" xr:uid="{6647861D-20C2-4F4B-B166-1597690ED878}"/>
    <cellStyle name="Normal 5 6 4 2 3" xfId="20477" xr:uid="{512BFD17-2A8F-42F3-9B82-70E97F1E6438}"/>
    <cellStyle name="Normal 5 6 4 2 4" xfId="12036" xr:uid="{C004C45F-51D7-4D27-BD34-FA47EB6333EE}"/>
    <cellStyle name="Normal 5 6 4 3" xfId="5667" xr:uid="{00000000-0005-0000-0000-0000B81B0000}"/>
    <cellStyle name="Normal 5 6 4 3 2" xfId="22550" xr:uid="{3FADF0A7-B7E2-4C36-961E-34417389C9DE}"/>
    <cellStyle name="Normal 5 6 4 3 3" xfId="14109" xr:uid="{D0946A56-A439-46A2-B3B6-8FC814485167}"/>
    <cellStyle name="Normal 5 6 4 4" xfId="18332" xr:uid="{1264CD57-F3C4-4439-91D7-C28767DE2E1D}"/>
    <cellStyle name="Normal 5 6 4 5" xfId="9891" xr:uid="{49B9319D-2D93-4C71-BBCE-FA6577CFBF3E}"/>
    <cellStyle name="Normal 5 6 5" xfId="1772" xr:uid="{00000000-0005-0000-0000-0000B91B0000}"/>
    <cellStyle name="Normal 5 6 5 2" xfId="4002" xr:uid="{00000000-0005-0000-0000-0000BA1B0000}"/>
    <cellStyle name="Normal 5 6 5 2 2" xfId="8225" xr:uid="{00000000-0005-0000-0000-0000BB1B0000}"/>
    <cellStyle name="Normal 5 6 5 2 2 2" xfId="25108" xr:uid="{41BDC884-0FA4-4F16-A42A-BC4B8B643BD2}"/>
    <cellStyle name="Normal 5 6 5 2 2 3" xfId="16667" xr:uid="{F79FD895-17FB-4327-A93A-4280FA157DBF}"/>
    <cellStyle name="Normal 5 6 5 2 3" xfId="20890" xr:uid="{6A19C3C5-D39A-4D54-AC3C-428D75D86BF3}"/>
    <cellStyle name="Normal 5 6 5 2 4" xfId="12449" xr:uid="{D64F9841-310F-48C2-A352-21C04F41DBA1}"/>
    <cellStyle name="Normal 5 6 5 3" xfId="6080" xr:uid="{00000000-0005-0000-0000-0000BC1B0000}"/>
    <cellStyle name="Normal 5 6 5 3 2" xfId="22963" xr:uid="{F3220440-88ED-4B16-8E06-BAB3F2E8ACAF}"/>
    <cellStyle name="Normal 5 6 5 3 3" xfId="14522" xr:uid="{3216033D-4407-495B-8F28-19FAD794CCDD}"/>
    <cellStyle name="Normal 5 6 5 4" xfId="18745" xr:uid="{A1C94C6A-9442-47F6-9CF9-F973CBE6AF07}"/>
    <cellStyle name="Normal 5 6 5 5" xfId="10304" xr:uid="{35D7FCFC-6F11-40E2-8A90-D2CFC8ADE50E}"/>
    <cellStyle name="Normal 5 6 6" xfId="2186" xr:uid="{00000000-0005-0000-0000-0000BD1B0000}"/>
    <cellStyle name="Normal 5 6 6 2" xfId="4415" xr:uid="{00000000-0005-0000-0000-0000BE1B0000}"/>
    <cellStyle name="Normal 5 6 6 2 2" xfId="8638" xr:uid="{00000000-0005-0000-0000-0000BF1B0000}"/>
    <cellStyle name="Normal 5 6 6 2 2 2" xfId="25521" xr:uid="{04D37ADE-3EBE-48EF-893E-608296D306E7}"/>
    <cellStyle name="Normal 5 6 6 2 2 3" xfId="17080" xr:uid="{BC8B1E5F-D62A-4A95-B8A9-F68BA9239173}"/>
    <cellStyle name="Normal 5 6 6 2 3" xfId="21303" xr:uid="{FDA9AB2D-6FA0-4C67-884E-0B5CC2C87BCA}"/>
    <cellStyle name="Normal 5 6 6 2 4" xfId="12862" xr:uid="{BED61A39-37C9-4789-8277-C3CF28DB033D}"/>
    <cellStyle name="Normal 5 6 6 3" xfId="6493" xr:uid="{00000000-0005-0000-0000-0000C01B0000}"/>
    <cellStyle name="Normal 5 6 6 3 2" xfId="23376" xr:uid="{154D29E1-7DA9-4E6B-8DFB-81F5C36CCFBF}"/>
    <cellStyle name="Normal 5 6 6 3 3" xfId="14935" xr:uid="{7DCBFC51-9050-4674-808F-66C97AAD4B44}"/>
    <cellStyle name="Normal 5 6 6 4" xfId="19158" xr:uid="{E0344646-7AA0-41A0-AAE0-75B945936F39}"/>
    <cellStyle name="Normal 5 6 6 5" xfId="10717" xr:uid="{B9E0E95C-5672-4B57-959D-536F7F42F9DB}"/>
    <cellStyle name="Normal 5 6 7" xfId="2622" xr:uid="{00000000-0005-0000-0000-0000C11B0000}"/>
    <cellStyle name="Normal 5 6 7 2" xfId="6906" xr:uid="{00000000-0005-0000-0000-0000C21B0000}"/>
    <cellStyle name="Normal 5 6 7 2 2" xfId="23789" xr:uid="{A204F4B4-93F7-468C-832D-0F27D60E6F24}"/>
    <cellStyle name="Normal 5 6 7 2 3" xfId="15348" xr:uid="{B85C8026-35F7-40B2-8082-367180E70392}"/>
    <cellStyle name="Normal 5 6 7 3" xfId="19571" xr:uid="{7733E643-24C5-4233-AF4A-AE37BFFDDD02}"/>
    <cellStyle name="Normal 5 6 7 4" xfId="11130" xr:uid="{488EF083-B932-4BBE-831B-902A01C34D76}"/>
    <cellStyle name="Normal 5 6 8" xfId="4841" xr:uid="{00000000-0005-0000-0000-0000C31B0000}"/>
    <cellStyle name="Normal 5 6 8 2" xfId="21724" xr:uid="{1948A6DD-177B-4F28-B635-4782680201C5}"/>
    <cellStyle name="Normal 5 6 8 3" xfId="13283" xr:uid="{B47E8A28-6A7D-444D-8C93-0EAA197F2845}"/>
    <cellStyle name="Normal 5 6 9" xfId="17506" xr:uid="{54ACB134-326D-4093-868F-EA3B5E23F25C}"/>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24284" xr:uid="{24D5EBF2-18AD-4313-B5AD-8BBFE83B5BED}"/>
    <cellStyle name="Normal 5 7 2 2 2 3" xfId="15843" xr:uid="{23F56EC6-8EE0-40A1-951F-82BC8082FEB1}"/>
    <cellStyle name="Normal 5 7 2 2 3" xfId="20066" xr:uid="{5D578A23-9C8A-42AA-AA76-F9874D822DBF}"/>
    <cellStyle name="Normal 5 7 2 2 4" xfId="11625" xr:uid="{B4882049-C706-4950-9EFF-C8263CBE2AEA}"/>
    <cellStyle name="Normal 5 7 2 3" xfId="5256" xr:uid="{00000000-0005-0000-0000-0000C81B0000}"/>
    <cellStyle name="Normal 5 7 2 3 2" xfId="22139" xr:uid="{51B1A391-02DF-4E7D-A5B9-3A25B982D457}"/>
    <cellStyle name="Normal 5 7 2 3 3" xfId="13698" xr:uid="{7A8727EF-F053-4C3B-9961-2FE442425978}"/>
    <cellStyle name="Normal 5 7 2 4" xfId="17921" xr:uid="{681AA456-BF0C-4BD2-984B-4043E9F42934}"/>
    <cellStyle name="Normal 5 7 2 5" xfId="9480" xr:uid="{C91696A6-F827-4EF3-B086-9DC2B79CBE3C}"/>
    <cellStyle name="Normal 5 7 3" xfId="1361" xr:uid="{00000000-0005-0000-0000-0000C91B0000}"/>
    <cellStyle name="Normal 5 7 3 2" xfId="3591" xr:uid="{00000000-0005-0000-0000-0000CA1B0000}"/>
    <cellStyle name="Normal 5 7 3 2 2" xfId="7814" xr:uid="{00000000-0005-0000-0000-0000CB1B0000}"/>
    <cellStyle name="Normal 5 7 3 2 2 2" xfId="24697" xr:uid="{4AF208EE-211E-41D2-BF7D-7D5FEE27DBE4}"/>
    <cellStyle name="Normal 5 7 3 2 2 3" xfId="16256" xr:uid="{B448154F-383F-4452-AC5B-31A00CC50052}"/>
    <cellStyle name="Normal 5 7 3 2 3" xfId="20479" xr:uid="{767BEFCA-BEA2-4D14-B411-D9ACDA7560DF}"/>
    <cellStyle name="Normal 5 7 3 2 4" xfId="12038" xr:uid="{50BC728D-38E8-4508-AE25-192B06DC338B}"/>
    <cellStyle name="Normal 5 7 3 3" xfId="5669" xr:uid="{00000000-0005-0000-0000-0000CC1B0000}"/>
    <cellStyle name="Normal 5 7 3 3 2" xfId="22552" xr:uid="{2E0C9BCF-BAE2-47F0-B9DB-10F18C308AD8}"/>
    <cellStyle name="Normal 5 7 3 3 3" xfId="14111" xr:uid="{0FAD09A3-824E-43BF-81A8-DC1B36A8D34C}"/>
    <cellStyle name="Normal 5 7 3 4" xfId="18334" xr:uid="{A81E96A2-E431-4AFC-8B9C-B0D06E96BB3C}"/>
    <cellStyle name="Normal 5 7 3 5" xfId="9893" xr:uid="{152ED6E2-A59C-4F2F-A7A0-1238DE21D309}"/>
    <cellStyle name="Normal 5 7 4" xfId="1774" xr:uid="{00000000-0005-0000-0000-0000CD1B0000}"/>
    <cellStyle name="Normal 5 7 4 2" xfId="4004" xr:uid="{00000000-0005-0000-0000-0000CE1B0000}"/>
    <cellStyle name="Normal 5 7 4 2 2" xfId="8227" xr:uid="{00000000-0005-0000-0000-0000CF1B0000}"/>
    <cellStyle name="Normal 5 7 4 2 2 2" xfId="25110" xr:uid="{BDA6F1B2-6A27-4BF5-9580-2544E0CF5C29}"/>
    <cellStyle name="Normal 5 7 4 2 2 3" xfId="16669" xr:uid="{487E9ED7-C8AD-4B28-BE0F-779D45005DD3}"/>
    <cellStyle name="Normal 5 7 4 2 3" xfId="20892" xr:uid="{EC1C8D2B-0AE3-4DCB-B8F7-EFA563CFD0DC}"/>
    <cellStyle name="Normal 5 7 4 2 4" xfId="12451" xr:uid="{1311FB9A-E09E-4A48-94E3-9D5209B30B5F}"/>
    <cellStyle name="Normal 5 7 4 3" xfId="6082" xr:uid="{00000000-0005-0000-0000-0000D01B0000}"/>
    <cellStyle name="Normal 5 7 4 3 2" xfId="22965" xr:uid="{FB0449C4-B42E-439B-9344-1BD7A05A5602}"/>
    <cellStyle name="Normal 5 7 4 3 3" xfId="14524" xr:uid="{8365352C-46AE-4480-9414-50E5262AAB29}"/>
    <cellStyle name="Normal 5 7 4 4" xfId="18747" xr:uid="{299E8D48-C2C9-4D5D-90AA-51D2F7AFFA57}"/>
    <cellStyle name="Normal 5 7 4 5" xfId="10306" xr:uid="{986D906C-F92A-4B0F-BDDB-691912CD39F1}"/>
    <cellStyle name="Normal 5 7 5" xfId="2188" xr:uid="{00000000-0005-0000-0000-0000D11B0000}"/>
    <cellStyle name="Normal 5 7 5 2" xfId="4417" xr:uid="{00000000-0005-0000-0000-0000D21B0000}"/>
    <cellStyle name="Normal 5 7 5 2 2" xfId="8640" xr:uid="{00000000-0005-0000-0000-0000D31B0000}"/>
    <cellStyle name="Normal 5 7 5 2 2 2" xfId="25523" xr:uid="{D28ACF9B-8456-4B64-A684-3CE0F7AA8DA7}"/>
    <cellStyle name="Normal 5 7 5 2 2 3" xfId="17082" xr:uid="{676B2E06-BD3E-4EF4-8082-163EE070857E}"/>
    <cellStyle name="Normal 5 7 5 2 3" xfId="21305" xr:uid="{C39F32CD-0594-439B-9FAA-CBD0CD321CEC}"/>
    <cellStyle name="Normal 5 7 5 2 4" xfId="12864" xr:uid="{C14B379C-8880-4181-AFFD-05CADA9BD36A}"/>
    <cellStyle name="Normal 5 7 5 3" xfId="6495" xr:uid="{00000000-0005-0000-0000-0000D41B0000}"/>
    <cellStyle name="Normal 5 7 5 3 2" xfId="23378" xr:uid="{844CBB31-26AA-48DA-AF88-D1FE3F79A2CE}"/>
    <cellStyle name="Normal 5 7 5 3 3" xfId="14937" xr:uid="{33E895B1-3E19-44D2-99DE-44DDDA4B41AA}"/>
    <cellStyle name="Normal 5 7 5 4" xfId="19160" xr:uid="{86C73EAE-F077-4C4F-B956-1D1DFF0BD1F4}"/>
    <cellStyle name="Normal 5 7 5 5" xfId="10719" xr:uid="{2CB93969-A5AD-4264-A52B-C4850621B36E}"/>
    <cellStyle name="Normal 5 7 6" xfId="2624" xr:uid="{00000000-0005-0000-0000-0000D51B0000}"/>
    <cellStyle name="Normal 5 7 6 2" xfId="6908" xr:uid="{00000000-0005-0000-0000-0000D61B0000}"/>
    <cellStyle name="Normal 5 7 6 2 2" xfId="23791" xr:uid="{11F844EF-DDE1-4BB2-95A8-65F5BACD13B6}"/>
    <cellStyle name="Normal 5 7 6 2 3" xfId="15350" xr:uid="{DF412E13-F454-4B86-9E58-79E68E1E8EFF}"/>
    <cellStyle name="Normal 5 7 6 3" xfId="19573" xr:uid="{F01F6226-44A8-4417-91FC-95CC59273484}"/>
    <cellStyle name="Normal 5 7 6 4" xfId="11132" xr:uid="{8FD02F53-1ED0-4D81-B875-951705790593}"/>
    <cellStyle name="Normal 5 7 7" xfId="4843" xr:uid="{00000000-0005-0000-0000-0000D71B0000}"/>
    <cellStyle name="Normal 5 7 7 2" xfId="21726" xr:uid="{75D954F3-BF46-4AC6-912A-60FDE16B955D}"/>
    <cellStyle name="Normal 5 7 7 3" xfId="13285" xr:uid="{1E5AE4EF-2CE3-42A4-B823-8E2CA9364DB7}"/>
    <cellStyle name="Normal 5 7 8" xfId="17508" xr:uid="{DDC19050-D9FE-40C1-9A0D-D6008BFBDA29}"/>
    <cellStyle name="Normal 5 7 9" xfId="9067" xr:uid="{7F59FFEE-9388-41C5-A649-CA707B879CC8}"/>
    <cellStyle name="Normal 5 8" xfId="880" xr:uid="{00000000-0005-0000-0000-0000D81B0000}"/>
    <cellStyle name="Normal 5 8 2" xfId="3115" xr:uid="{00000000-0005-0000-0000-0000D91B0000}"/>
    <cellStyle name="Normal 5 8 2 2" xfId="7338" xr:uid="{00000000-0005-0000-0000-0000DA1B0000}"/>
    <cellStyle name="Normal 5 8 2 2 2" xfId="24221" xr:uid="{12E1AEDB-E4FF-4A7E-BD76-2B250972B7B5}"/>
    <cellStyle name="Normal 5 8 2 2 3" xfId="15780" xr:uid="{B890DC4B-39D3-4B84-86F5-27FE0F171F01}"/>
    <cellStyle name="Normal 5 8 2 3" xfId="20003" xr:uid="{2D46BD1F-516F-4E3F-8734-1C50EF14C565}"/>
    <cellStyle name="Normal 5 8 2 4" xfId="11562" xr:uid="{A85D21F9-AC29-4A13-B3B2-B12F88C1F300}"/>
    <cellStyle name="Normal 5 8 3" xfId="5193" xr:uid="{00000000-0005-0000-0000-0000DB1B0000}"/>
    <cellStyle name="Normal 5 8 3 2" xfId="22076" xr:uid="{1BC7246D-DB39-47F7-8FA2-5F54837A336E}"/>
    <cellStyle name="Normal 5 8 3 3" xfId="13635" xr:uid="{169D46F3-90DA-4FD6-9D1B-57B086A99D7F}"/>
    <cellStyle name="Normal 5 8 4" xfId="17858" xr:uid="{A5D0D572-4A57-441C-9F99-E47A022456AA}"/>
    <cellStyle name="Normal 5 8 5" xfId="9417" xr:uid="{CEF14D8E-01C1-40D3-BE2D-ED43E7817542}"/>
    <cellStyle name="Normal 5 9" xfId="1298" xr:uid="{00000000-0005-0000-0000-0000DC1B0000}"/>
    <cellStyle name="Normal 5 9 2" xfId="3528" xr:uid="{00000000-0005-0000-0000-0000DD1B0000}"/>
    <cellStyle name="Normal 5 9 2 2" xfId="7751" xr:uid="{00000000-0005-0000-0000-0000DE1B0000}"/>
    <cellStyle name="Normal 5 9 2 2 2" xfId="24634" xr:uid="{2FA3BCAE-6B86-45E8-8F60-0E97FF1AEBF7}"/>
    <cellStyle name="Normal 5 9 2 2 3" xfId="16193" xr:uid="{91816DD6-0AA5-47F9-A59A-8526CC8B4ABC}"/>
    <cellStyle name="Normal 5 9 2 3" xfId="20416" xr:uid="{28B012F5-33D3-4D67-8C4B-840E7B04BE7A}"/>
    <cellStyle name="Normal 5 9 2 4" xfId="11975" xr:uid="{0A67AAD1-56A8-4F04-BF3A-07C5F4F0E2FE}"/>
    <cellStyle name="Normal 5 9 3" xfId="5606" xr:uid="{00000000-0005-0000-0000-0000DF1B0000}"/>
    <cellStyle name="Normal 5 9 3 2" xfId="22489" xr:uid="{6E79732F-24AD-4E57-BFF0-5E44E4880A04}"/>
    <cellStyle name="Normal 5 9 3 3" xfId="14048" xr:uid="{CACD5347-C533-406F-828D-E6E2A617B489}"/>
    <cellStyle name="Normal 5 9 4" xfId="18271" xr:uid="{CB5BF9A1-0838-465D-ACBF-BC6A4B28644A}"/>
    <cellStyle name="Normal 5 9 5" xfId="9830" xr:uid="{214727B6-5A93-4ECA-B7E2-52E10CB5588E}"/>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25524" xr:uid="{BB47A19E-37F3-4B17-AE9A-77C65EFCFD18}"/>
    <cellStyle name="Normal 8 10 2 2 3" xfId="17083" xr:uid="{7D1D62CE-9880-4768-90DC-6D740D820798}"/>
    <cellStyle name="Normal 8 10 2 3" xfId="21306" xr:uid="{5303F39B-7303-4BE4-9F21-0DBF3F929DA7}"/>
    <cellStyle name="Normal 8 10 2 4" xfId="12865" xr:uid="{0F7CA041-30ED-4273-889E-1499A1A10ED0}"/>
    <cellStyle name="Normal 8 10 3" xfId="6496" xr:uid="{00000000-0005-0000-0000-0000EB1B0000}"/>
    <cellStyle name="Normal 8 10 3 2" xfId="23379" xr:uid="{FB91007D-F450-4050-AA36-748569E70B06}"/>
    <cellStyle name="Normal 8 10 3 3" xfId="14938" xr:uid="{EA6E6CE9-80E5-4624-86FA-CA8113AF7B09}"/>
    <cellStyle name="Normal 8 10 4" xfId="19161" xr:uid="{A57A70A5-74DE-4116-BD0F-419E9531AC1D}"/>
    <cellStyle name="Normal 8 10 5" xfId="10720" xr:uid="{804CAF06-6660-4827-9688-AC51DF11FB60}"/>
    <cellStyle name="Normal 8 11" xfId="2625" xr:uid="{00000000-0005-0000-0000-0000EC1B0000}"/>
    <cellStyle name="Normal 8 11 2" xfId="6909" xr:uid="{00000000-0005-0000-0000-0000ED1B0000}"/>
    <cellStyle name="Normal 8 11 2 2" xfId="23792" xr:uid="{DA2B1FF2-EB69-4EBA-BF8E-94A7BFFE40AD}"/>
    <cellStyle name="Normal 8 11 2 3" xfId="15351" xr:uid="{B7249286-2114-415A-A112-CFA0DE4C1E69}"/>
    <cellStyle name="Normal 8 11 3" xfId="19574" xr:uid="{0B99E353-0072-4C1E-8F98-C4D79F5D7210}"/>
    <cellStyle name="Normal 8 11 4" xfId="11133" xr:uid="{90B36D62-7132-4C73-9462-62168C4D9C81}"/>
    <cellStyle name="Normal 8 12" xfId="4844" xr:uid="{00000000-0005-0000-0000-0000EE1B0000}"/>
    <cellStyle name="Normal 8 12 2" xfId="21727" xr:uid="{35804F47-C789-4B28-A0D5-FA99C52967BF}"/>
    <cellStyle name="Normal 8 12 3" xfId="13286" xr:uid="{EF166A23-B041-49FD-87A3-C8DAE7B937A2}"/>
    <cellStyle name="Normal 8 13" xfId="17509" xr:uid="{281B872B-D181-460D-BAF0-9B979814C6A8}"/>
    <cellStyle name="Normal 8 14" xfId="9068" xr:uid="{F5AC79B0-F8B4-4604-8C94-74254E279254}"/>
    <cellStyle name="Normal 8 2" xfId="479" xr:uid="{00000000-0005-0000-0000-0000EF1B0000}"/>
    <cellStyle name="Normal 8 2 10" xfId="2626" xr:uid="{00000000-0005-0000-0000-0000F01B0000}"/>
    <cellStyle name="Normal 8 2 10 2" xfId="6910" xr:uid="{00000000-0005-0000-0000-0000F11B0000}"/>
    <cellStyle name="Normal 8 2 10 2 2" xfId="23793" xr:uid="{2CEC7B69-AECA-4832-9B0F-CE0A75E6F6E6}"/>
    <cellStyle name="Normal 8 2 10 2 3" xfId="15352" xr:uid="{63A66633-0DD0-4F8C-B196-C27A950C8C9A}"/>
    <cellStyle name="Normal 8 2 10 3" xfId="19575" xr:uid="{EE70F74B-6AAC-421F-8B15-5D6C756763E6}"/>
    <cellStyle name="Normal 8 2 10 4" xfId="11134" xr:uid="{E4C5F50E-E32F-491F-9A9C-6AC34589A752}"/>
    <cellStyle name="Normal 8 2 11" xfId="4845" xr:uid="{00000000-0005-0000-0000-0000F21B0000}"/>
    <cellStyle name="Normal 8 2 11 2" xfId="21728" xr:uid="{16C04800-B267-4733-B4B3-56DBBE5E93AB}"/>
    <cellStyle name="Normal 8 2 11 3" xfId="13287" xr:uid="{A4F1B324-F925-4DEA-8A22-AA22ADFF846A}"/>
    <cellStyle name="Normal 8 2 12" xfId="17510" xr:uid="{05F549D9-D28B-4B06-B2FA-E6F80ADA1B2D}"/>
    <cellStyle name="Normal 8 2 13" xfId="9069" xr:uid="{CD6DEC86-DBBB-4F22-8F99-8E2C70C6895D}"/>
    <cellStyle name="Normal 8 2 2" xfId="480" xr:uid="{00000000-0005-0000-0000-0000F31B0000}"/>
    <cellStyle name="Normal 8 2 2 10" xfId="4846" xr:uid="{00000000-0005-0000-0000-0000F41B0000}"/>
    <cellStyle name="Normal 8 2 2 10 2" xfId="21729" xr:uid="{51E51C51-260E-412A-938C-E7B33ADFD3A6}"/>
    <cellStyle name="Normal 8 2 2 10 3" xfId="13288" xr:uid="{25E55C05-1CB4-450A-B002-C4E841565D1B}"/>
    <cellStyle name="Normal 8 2 2 11" xfId="17511" xr:uid="{B2431DB3-DB8A-458C-AFF5-2D674DB95B4B}"/>
    <cellStyle name="Normal 8 2 2 12" xfId="9070" xr:uid="{E313691B-0031-4A48-89A2-4E2ACA2B1862}"/>
    <cellStyle name="Normal 8 2 2 2" xfId="481" xr:uid="{00000000-0005-0000-0000-0000F51B0000}"/>
    <cellStyle name="Normal 8 2 2 2 10" xfId="17512" xr:uid="{EC224B86-4788-4DB8-890A-468313D7E1EA}"/>
    <cellStyle name="Normal 8 2 2 2 11" xfId="9071" xr:uid="{0744F2B2-BDA1-4A9C-AE02-F0508771FE44}"/>
    <cellStyle name="Normal 8 2 2 2 2" xfId="482" xr:uid="{00000000-0005-0000-0000-0000F61B0000}"/>
    <cellStyle name="Normal 8 2 2 2 2 10" xfId="9072" xr:uid="{846CA9F5-24AF-45DA-97AD-6A3EA7D8C0C2}"/>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24290" xr:uid="{101D0F5F-168F-41DF-A7F3-A6D92E6DECE3}"/>
    <cellStyle name="Normal 8 2 2 2 2 2 2 2 2 3" xfId="15849" xr:uid="{BF422009-D969-4EAD-B816-2354FA900773}"/>
    <cellStyle name="Normal 8 2 2 2 2 2 2 2 3" xfId="20072" xr:uid="{923CA8F5-383B-4DC7-B569-BEDEA4557ACB}"/>
    <cellStyle name="Normal 8 2 2 2 2 2 2 2 4" xfId="11631" xr:uid="{CE5CFC31-F85B-4ED7-B7EC-AE1676D159F0}"/>
    <cellStyle name="Normal 8 2 2 2 2 2 2 3" xfId="5262" xr:uid="{00000000-0005-0000-0000-0000FB1B0000}"/>
    <cellStyle name="Normal 8 2 2 2 2 2 2 3 2" xfId="22145" xr:uid="{A6F695FB-99D8-41DE-93A6-E0CE79E8799C}"/>
    <cellStyle name="Normal 8 2 2 2 2 2 2 3 3" xfId="13704" xr:uid="{2E8F6B4C-EE7E-4A94-AEE9-36E6286F41A7}"/>
    <cellStyle name="Normal 8 2 2 2 2 2 2 4" xfId="17927" xr:uid="{7CA3006C-FEB3-4AC0-ADD3-C0119F6F192A}"/>
    <cellStyle name="Normal 8 2 2 2 2 2 2 5" xfId="9486" xr:uid="{0F7006BA-B4E8-47C8-92DE-4215B45C05A1}"/>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24703" xr:uid="{C9CF61EB-2A6D-4B70-9316-28D611667C38}"/>
    <cellStyle name="Normal 8 2 2 2 2 2 3 2 2 3" xfId="16262" xr:uid="{08B4F681-7186-483D-9217-FEABC4419D7B}"/>
    <cellStyle name="Normal 8 2 2 2 2 2 3 2 3" xfId="20485" xr:uid="{572AD100-30F9-4B43-A8BE-C98DB1809F38}"/>
    <cellStyle name="Normal 8 2 2 2 2 2 3 2 4" xfId="12044" xr:uid="{72827992-6D42-401A-9C0F-63F8BFF37E94}"/>
    <cellStyle name="Normal 8 2 2 2 2 2 3 3" xfId="5675" xr:uid="{00000000-0005-0000-0000-0000FF1B0000}"/>
    <cellStyle name="Normal 8 2 2 2 2 2 3 3 2" xfId="22558" xr:uid="{2FF13C2F-4536-4F8D-9628-F8A475A7866E}"/>
    <cellStyle name="Normal 8 2 2 2 2 2 3 3 3" xfId="14117" xr:uid="{1E9C1CFE-CD66-4C14-B249-7D303838AB32}"/>
    <cellStyle name="Normal 8 2 2 2 2 2 3 4" xfId="18340" xr:uid="{75EE9D61-351E-4B8D-8CE1-51A6665A897F}"/>
    <cellStyle name="Normal 8 2 2 2 2 2 3 5" xfId="9899" xr:uid="{3B4AB2E1-3D57-4877-AF46-BAA8762FE5CF}"/>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25116" xr:uid="{8C84C306-ED1F-44C0-AF69-9EE05D6FC947}"/>
    <cellStyle name="Normal 8 2 2 2 2 2 4 2 2 3" xfId="16675" xr:uid="{CAA3D6E5-F4E3-447D-80B5-474A353D416C}"/>
    <cellStyle name="Normal 8 2 2 2 2 2 4 2 3" xfId="20898" xr:uid="{E04B9CE8-6725-4E39-AC72-E0C50187E7B6}"/>
    <cellStyle name="Normal 8 2 2 2 2 2 4 2 4" xfId="12457" xr:uid="{EF5707AF-9384-4C3D-867F-AFEB0B4D3D23}"/>
    <cellStyle name="Normal 8 2 2 2 2 2 4 3" xfId="6088" xr:uid="{00000000-0005-0000-0000-0000031C0000}"/>
    <cellStyle name="Normal 8 2 2 2 2 2 4 3 2" xfId="22971" xr:uid="{5BF97C68-8B8A-45C0-AE40-82F362E6E600}"/>
    <cellStyle name="Normal 8 2 2 2 2 2 4 3 3" xfId="14530" xr:uid="{282BA71A-69F0-404F-8D35-C0F8B7950D94}"/>
    <cellStyle name="Normal 8 2 2 2 2 2 4 4" xfId="18753" xr:uid="{5F538B83-1CC7-4FA8-A1C1-EFDF3C1B2E47}"/>
    <cellStyle name="Normal 8 2 2 2 2 2 4 5" xfId="10312" xr:uid="{0819586C-2D28-470C-8D1C-4456A8422C63}"/>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25529" xr:uid="{7DDA543D-A88B-4438-8DA1-62B7EF2005A5}"/>
    <cellStyle name="Normal 8 2 2 2 2 2 5 2 2 3" xfId="17088" xr:uid="{AE87A9DA-137C-481C-8F1F-CBB8671ADB82}"/>
    <cellStyle name="Normal 8 2 2 2 2 2 5 2 3" xfId="21311" xr:uid="{FD7125F2-E2EA-426A-A754-5D56997E7F71}"/>
    <cellStyle name="Normal 8 2 2 2 2 2 5 2 4" xfId="12870" xr:uid="{EBBE182E-1F72-4FD5-BA61-349C18C19320}"/>
    <cellStyle name="Normal 8 2 2 2 2 2 5 3" xfId="6501" xr:uid="{00000000-0005-0000-0000-0000071C0000}"/>
    <cellStyle name="Normal 8 2 2 2 2 2 5 3 2" xfId="23384" xr:uid="{E3AAA085-76CD-4AE7-B361-98BE7CAB08C5}"/>
    <cellStyle name="Normal 8 2 2 2 2 2 5 3 3" xfId="14943" xr:uid="{F8A0C947-BFAF-4D14-AB10-2D2E483C491E}"/>
    <cellStyle name="Normal 8 2 2 2 2 2 5 4" xfId="19166" xr:uid="{95B4692C-8228-4E41-8D12-B77A8821421D}"/>
    <cellStyle name="Normal 8 2 2 2 2 2 5 5" xfId="10725" xr:uid="{FBD9FBE9-7AE1-456F-A84B-F0FD9804E49F}"/>
    <cellStyle name="Normal 8 2 2 2 2 2 6" xfId="2630" xr:uid="{00000000-0005-0000-0000-0000081C0000}"/>
    <cellStyle name="Normal 8 2 2 2 2 2 6 2" xfId="6914" xr:uid="{00000000-0005-0000-0000-0000091C0000}"/>
    <cellStyle name="Normal 8 2 2 2 2 2 6 2 2" xfId="23797" xr:uid="{FD49E0EB-C364-4C92-BAF3-709C0A62725A}"/>
    <cellStyle name="Normal 8 2 2 2 2 2 6 2 3" xfId="15356" xr:uid="{25BF0F2A-D124-4EB9-B6A8-B1907F75817C}"/>
    <cellStyle name="Normal 8 2 2 2 2 2 6 3" xfId="19579" xr:uid="{05E779C3-7121-42C9-8931-F125387AAFC9}"/>
    <cellStyle name="Normal 8 2 2 2 2 2 6 4" xfId="11138" xr:uid="{6DCEF897-1FD5-43EE-AAC1-0505B5697E83}"/>
    <cellStyle name="Normal 8 2 2 2 2 2 7" xfId="4849" xr:uid="{00000000-0005-0000-0000-00000A1C0000}"/>
    <cellStyle name="Normal 8 2 2 2 2 2 7 2" xfId="21732" xr:uid="{0E81346E-21E0-46B2-9F1A-056CC319CDB6}"/>
    <cellStyle name="Normal 8 2 2 2 2 2 7 3" xfId="13291" xr:uid="{EC4FE512-969D-4A5B-95E4-C8A626BB5888}"/>
    <cellStyle name="Normal 8 2 2 2 2 2 8" xfId="17514" xr:uid="{2F17C94A-EF9E-4E95-BA77-B40CAC5CB654}"/>
    <cellStyle name="Normal 8 2 2 2 2 2 9" xfId="9073" xr:uid="{EC09922E-81EF-4525-9B98-B82A9C4B929E}"/>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24289" xr:uid="{5C9083BE-3C5E-4826-BED2-2AA090B8A4F5}"/>
    <cellStyle name="Normal 8 2 2 2 2 3 2 2 3" xfId="15848" xr:uid="{ABBF22FC-C8C9-448B-8C27-D7FB958DF693}"/>
    <cellStyle name="Normal 8 2 2 2 2 3 2 3" xfId="20071" xr:uid="{8D803D41-AF1A-47F2-A9D7-26017757B121}"/>
    <cellStyle name="Normal 8 2 2 2 2 3 2 4" xfId="11630" xr:uid="{77A0862A-C196-4641-B181-CA48F6EB3FB5}"/>
    <cellStyle name="Normal 8 2 2 2 2 3 3" xfId="5261" xr:uid="{00000000-0005-0000-0000-00000E1C0000}"/>
    <cellStyle name="Normal 8 2 2 2 2 3 3 2" xfId="22144" xr:uid="{A9CD8A20-BF12-46AE-842A-9E42D14D1767}"/>
    <cellStyle name="Normal 8 2 2 2 2 3 3 3" xfId="13703" xr:uid="{52B1E534-45ED-4C2E-AECB-A03AFD01B94D}"/>
    <cellStyle name="Normal 8 2 2 2 2 3 4" xfId="17926" xr:uid="{7D45E40F-1E40-4511-8721-260F29103F4D}"/>
    <cellStyle name="Normal 8 2 2 2 2 3 5" xfId="9485" xr:uid="{D641032E-8DAA-4128-9999-C942F5A73A7B}"/>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24702" xr:uid="{4E17A345-2096-4B53-AF52-5F07B7F81B08}"/>
    <cellStyle name="Normal 8 2 2 2 2 4 2 2 3" xfId="16261" xr:uid="{8B92D708-FF96-410D-A9BA-08EC91C9738E}"/>
    <cellStyle name="Normal 8 2 2 2 2 4 2 3" xfId="20484" xr:uid="{62AD38A0-45F4-4F08-969E-982F2D0D070C}"/>
    <cellStyle name="Normal 8 2 2 2 2 4 2 4" xfId="12043" xr:uid="{F4A11ACB-9FA4-4562-9774-67B73D95D69F}"/>
    <cellStyle name="Normal 8 2 2 2 2 4 3" xfId="5674" xr:uid="{00000000-0005-0000-0000-0000121C0000}"/>
    <cellStyle name="Normal 8 2 2 2 2 4 3 2" xfId="22557" xr:uid="{209E50D2-A8A9-4FC2-A224-11DA4C56534C}"/>
    <cellStyle name="Normal 8 2 2 2 2 4 3 3" xfId="14116" xr:uid="{B685F915-D716-4DBF-94F5-681BBC20700B}"/>
    <cellStyle name="Normal 8 2 2 2 2 4 4" xfId="18339" xr:uid="{ABD1E9BE-3C27-491F-8662-C64B60291EB1}"/>
    <cellStyle name="Normal 8 2 2 2 2 4 5" xfId="9898" xr:uid="{55AB73F7-DA29-47A2-BC2F-001C6F7FCFEE}"/>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25115" xr:uid="{5DE4CC2D-A0BE-411E-9309-699A64D94198}"/>
    <cellStyle name="Normal 8 2 2 2 2 5 2 2 3" xfId="16674" xr:uid="{7EEF15A3-6667-4AEE-86E0-455185A47DCE}"/>
    <cellStyle name="Normal 8 2 2 2 2 5 2 3" xfId="20897" xr:uid="{D651E6E0-D2A5-4EA9-827C-7ECA16C33342}"/>
    <cellStyle name="Normal 8 2 2 2 2 5 2 4" xfId="12456" xr:uid="{BE849043-3229-4D40-A987-BE9DAC4781D6}"/>
    <cellStyle name="Normal 8 2 2 2 2 5 3" xfId="6087" xr:uid="{00000000-0005-0000-0000-0000161C0000}"/>
    <cellStyle name="Normal 8 2 2 2 2 5 3 2" xfId="22970" xr:uid="{9309F2BB-DAFE-4216-89AA-261A3D84BCC9}"/>
    <cellStyle name="Normal 8 2 2 2 2 5 3 3" xfId="14529" xr:uid="{8D09D79F-B57D-4134-89EA-9152A6002E1B}"/>
    <cellStyle name="Normal 8 2 2 2 2 5 4" xfId="18752" xr:uid="{CCF15FEB-37D5-4191-BF8B-40C9005A890F}"/>
    <cellStyle name="Normal 8 2 2 2 2 5 5" xfId="10311" xr:uid="{CD900FB9-111A-481A-B2E0-4853E46BCFB2}"/>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25528" xr:uid="{52307355-DF7D-4F78-BAAA-4265C03AA99F}"/>
    <cellStyle name="Normal 8 2 2 2 2 6 2 2 3" xfId="17087" xr:uid="{1CE55514-5C35-4087-9ED8-9C6FE9A8CEB4}"/>
    <cellStyle name="Normal 8 2 2 2 2 6 2 3" xfId="21310" xr:uid="{0BC3B3C6-A7C7-437D-9921-BD80E895CBA0}"/>
    <cellStyle name="Normal 8 2 2 2 2 6 2 4" xfId="12869" xr:uid="{14E91FF4-E928-4873-853C-365287246644}"/>
    <cellStyle name="Normal 8 2 2 2 2 6 3" xfId="6500" xr:uid="{00000000-0005-0000-0000-00001A1C0000}"/>
    <cellStyle name="Normal 8 2 2 2 2 6 3 2" xfId="23383" xr:uid="{F11E5756-9B08-43B7-842C-680372A0F628}"/>
    <cellStyle name="Normal 8 2 2 2 2 6 3 3" xfId="14942" xr:uid="{32214016-43C8-485B-A203-3E796302BA17}"/>
    <cellStyle name="Normal 8 2 2 2 2 6 4" xfId="19165" xr:uid="{9B12B61E-9BFD-40E3-8E3B-E48B6CDF11FF}"/>
    <cellStyle name="Normal 8 2 2 2 2 6 5" xfId="10724" xr:uid="{CA349971-780F-4A5E-AA20-13E18508DC03}"/>
    <cellStyle name="Normal 8 2 2 2 2 7" xfId="2629" xr:uid="{00000000-0005-0000-0000-00001B1C0000}"/>
    <cellStyle name="Normal 8 2 2 2 2 7 2" xfId="6913" xr:uid="{00000000-0005-0000-0000-00001C1C0000}"/>
    <cellStyle name="Normal 8 2 2 2 2 7 2 2" xfId="23796" xr:uid="{62DF374F-F91D-4470-BAF4-AB1754A2C2F0}"/>
    <cellStyle name="Normal 8 2 2 2 2 7 2 3" xfId="15355" xr:uid="{360F3C97-5D27-4766-B60A-42EB71CCE98A}"/>
    <cellStyle name="Normal 8 2 2 2 2 7 3" xfId="19578" xr:uid="{1F6A9CC2-E2E8-44B8-8B80-0EA798C0B33B}"/>
    <cellStyle name="Normal 8 2 2 2 2 7 4" xfId="11137" xr:uid="{FBB52E2D-62AB-4B7B-9180-8F5D5CF42D83}"/>
    <cellStyle name="Normal 8 2 2 2 2 8" xfId="4848" xr:uid="{00000000-0005-0000-0000-00001D1C0000}"/>
    <cellStyle name="Normal 8 2 2 2 2 8 2" xfId="21731" xr:uid="{98DE8F66-F9CA-44C2-985A-4F41FC1C21D3}"/>
    <cellStyle name="Normal 8 2 2 2 2 8 3" xfId="13290" xr:uid="{C81F0FD5-564E-44F4-A7E5-14304556AF02}"/>
    <cellStyle name="Normal 8 2 2 2 2 9" xfId="17513" xr:uid="{77B18F8C-B095-4D15-A82D-57C13E829BE7}"/>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24291" xr:uid="{25153C17-40D9-4648-89DC-472EACD1E866}"/>
    <cellStyle name="Normal 8 2 2 2 3 2 2 2 3" xfId="15850" xr:uid="{F2607FF9-2200-47D5-83CA-9134FABA53B1}"/>
    <cellStyle name="Normal 8 2 2 2 3 2 2 3" xfId="20073" xr:uid="{82DE2966-E00F-4899-97D2-A44ACFFE7DC3}"/>
    <cellStyle name="Normal 8 2 2 2 3 2 2 4" xfId="11632" xr:uid="{C0639B48-C0C2-4E5B-B47E-113D7F6FA4C7}"/>
    <cellStyle name="Normal 8 2 2 2 3 2 3" xfId="5263" xr:uid="{00000000-0005-0000-0000-0000221C0000}"/>
    <cellStyle name="Normal 8 2 2 2 3 2 3 2" xfId="22146" xr:uid="{A528A063-71C3-44AC-93B3-F08BD982D9A6}"/>
    <cellStyle name="Normal 8 2 2 2 3 2 3 3" xfId="13705" xr:uid="{87D0437A-84D4-4435-95D7-B7ACA874D2DF}"/>
    <cellStyle name="Normal 8 2 2 2 3 2 4" xfId="17928" xr:uid="{9630EA4E-0461-47D0-9C25-2947B702E9BB}"/>
    <cellStyle name="Normal 8 2 2 2 3 2 5" xfId="9487" xr:uid="{7D9CCAA0-5146-4B29-A6AB-5FE81FB866E3}"/>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24704" xr:uid="{97FA38C4-4B3B-4507-858D-3CC69617B9B4}"/>
    <cellStyle name="Normal 8 2 2 2 3 3 2 2 3" xfId="16263" xr:uid="{073FE524-B7E5-4926-A757-16A56EA5B9A7}"/>
    <cellStyle name="Normal 8 2 2 2 3 3 2 3" xfId="20486" xr:uid="{6EECAF03-D27C-4B6E-AEB5-2C8A8E911EF0}"/>
    <cellStyle name="Normal 8 2 2 2 3 3 2 4" xfId="12045" xr:uid="{BACBD03E-459F-403F-87B6-8BD2A5EFBAC1}"/>
    <cellStyle name="Normal 8 2 2 2 3 3 3" xfId="5676" xr:uid="{00000000-0005-0000-0000-0000261C0000}"/>
    <cellStyle name="Normal 8 2 2 2 3 3 3 2" xfId="22559" xr:uid="{B87AA120-A3EC-4AF5-8344-8168ECB46E0F}"/>
    <cellStyle name="Normal 8 2 2 2 3 3 3 3" xfId="14118" xr:uid="{C0EDD505-C8C8-4C5F-B3DB-04A1376DADBD}"/>
    <cellStyle name="Normal 8 2 2 2 3 3 4" xfId="18341" xr:uid="{7D954352-D9EF-4687-9280-4A0C1B98B2DE}"/>
    <cellStyle name="Normal 8 2 2 2 3 3 5" xfId="9900" xr:uid="{00D927B6-F793-4150-8FB1-FCCEC34784CB}"/>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25117" xr:uid="{39386C36-B09F-4FD9-AFA9-27516E14CC84}"/>
    <cellStyle name="Normal 8 2 2 2 3 4 2 2 3" xfId="16676" xr:uid="{16A373CA-9CBA-4290-AD14-FF5B0EF4821F}"/>
    <cellStyle name="Normal 8 2 2 2 3 4 2 3" xfId="20899" xr:uid="{C97AFDCE-251E-4C2F-A1CE-8883E2EA63D4}"/>
    <cellStyle name="Normal 8 2 2 2 3 4 2 4" xfId="12458" xr:uid="{21D38A73-8D0B-4E17-BB7B-B43052360E54}"/>
    <cellStyle name="Normal 8 2 2 2 3 4 3" xfId="6089" xr:uid="{00000000-0005-0000-0000-00002A1C0000}"/>
    <cellStyle name="Normal 8 2 2 2 3 4 3 2" xfId="22972" xr:uid="{984F8043-E513-418A-8A90-191530427750}"/>
    <cellStyle name="Normal 8 2 2 2 3 4 3 3" xfId="14531" xr:uid="{9B73C4CE-E7BF-4AE8-801E-F9108A5320D0}"/>
    <cellStyle name="Normal 8 2 2 2 3 4 4" xfId="18754" xr:uid="{02DFF5FD-F444-460E-A9BC-510816E4D4F3}"/>
    <cellStyle name="Normal 8 2 2 2 3 4 5" xfId="10313" xr:uid="{E7713CDC-9437-4F80-A780-6836C9F2797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25530" xr:uid="{3E96A575-B2F3-4DC4-91B0-2EEF0CCBEE75}"/>
    <cellStyle name="Normal 8 2 2 2 3 5 2 2 3" xfId="17089" xr:uid="{587E4645-FE5B-416E-BD96-6A55202AE1E2}"/>
    <cellStyle name="Normal 8 2 2 2 3 5 2 3" xfId="21312" xr:uid="{F839FAC8-7FEB-4229-8543-D86093C9BCD9}"/>
    <cellStyle name="Normal 8 2 2 2 3 5 2 4" xfId="12871" xr:uid="{29368E8B-645C-4870-8EBE-E6342C68143D}"/>
    <cellStyle name="Normal 8 2 2 2 3 5 3" xfId="6502" xr:uid="{00000000-0005-0000-0000-00002E1C0000}"/>
    <cellStyle name="Normal 8 2 2 2 3 5 3 2" xfId="23385" xr:uid="{D9D85FA0-0DDF-4B9A-93F7-5D8C600F6EED}"/>
    <cellStyle name="Normal 8 2 2 2 3 5 3 3" xfId="14944" xr:uid="{2CFDD153-56FC-4041-A55E-8EA712E209A1}"/>
    <cellStyle name="Normal 8 2 2 2 3 5 4" xfId="19167" xr:uid="{AE53C23E-66AB-440E-92F1-8889FF373160}"/>
    <cellStyle name="Normal 8 2 2 2 3 5 5" xfId="10726" xr:uid="{DAF3869A-DFFA-4D10-AF89-13E57D02906E}"/>
    <cellStyle name="Normal 8 2 2 2 3 6" xfId="2631" xr:uid="{00000000-0005-0000-0000-00002F1C0000}"/>
    <cellStyle name="Normal 8 2 2 2 3 6 2" xfId="6915" xr:uid="{00000000-0005-0000-0000-0000301C0000}"/>
    <cellStyle name="Normal 8 2 2 2 3 6 2 2" xfId="23798" xr:uid="{C8008235-38D5-4B74-9F9C-D7604DD30839}"/>
    <cellStyle name="Normal 8 2 2 2 3 6 2 3" xfId="15357" xr:uid="{7EDB15CE-E02F-4D31-9E8C-48ADBFC2C308}"/>
    <cellStyle name="Normal 8 2 2 2 3 6 3" xfId="19580" xr:uid="{644B742A-5AB5-4CCE-BF5B-EA4033DFBE9E}"/>
    <cellStyle name="Normal 8 2 2 2 3 6 4" xfId="11139" xr:uid="{DB83B1D1-98D2-4EA8-93A0-7445612C9770}"/>
    <cellStyle name="Normal 8 2 2 2 3 7" xfId="4850" xr:uid="{00000000-0005-0000-0000-0000311C0000}"/>
    <cellStyle name="Normal 8 2 2 2 3 7 2" xfId="21733" xr:uid="{ACD5CF85-09B4-41E3-8BCC-6ED101F74012}"/>
    <cellStyle name="Normal 8 2 2 2 3 7 3" xfId="13292" xr:uid="{1E8C1D2A-80E8-4FDF-8AA5-E6EA048465D9}"/>
    <cellStyle name="Normal 8 2 2 2 3 8" xfId="17515" xr:uid="{80319F26-FBC3-4C52-96E7-A11FA54988C1}"/>
    <cellStyle name="Normal 8 2 2 2 3 9" xfId="9074" xr:uid="{A7029E88-E5E7-43E2-A598-5E9B4DC26A4D}"/>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24288" xr:uid="{E74811EF-4091-4855-AD09-79DB7A69BA43}"/>
    <cellStyle name="Normal 8 2 2 2 4 2 2 3" xfId="15847" xr:uid="{F5F221BD-2EB0-4580-A448-B476CDDB9EE4}"/>
    <cellStyle name="Normal 8 2 2 2 4 2 3" xfId="20070" xr:uid="{4FD9E137-885E-46F4-95D5-9B4531E9CAAF}"/>
    <cellStyle name="Normal 8 2 2 2 4 2 4" xfId="11629" xr:uid="{5D17F5D1-3315-4131-9087-5A3BB974FC28}"/>
    <cellStyle name="Normal 8 2 2 2 4 3" xfId="5260" xr:uid="{00000000-0005-0000-0000-0000351C0000}"/>
    <cellStyle name="Normal 8 2 2 2 4 3 2" xfId="22143" xr:uid="{DEEAFC92-7234-4A87-B4E2-372A8B70BB13}"/>
    <cellStyle name="Normal 8 2 2 2 4 3 3" xfId="13702" xr:uid="{0EA8EC9D-78E6-4F79-8A59-0A50DE32C29A}"/>
    <cellStyle name="Normal 8 2 2 2 4 4" xfId="17925" xr:uid="{AC96EA4B-F0B9-4BF2-BA4F-10EE2EA627B3}"/>
    <cellStyle name="Normal 8 2 2 2 4 5" xfId="9484" xr:uid="{7326CE04-5A28-4DE3-933B-F5C0D82F0FAF}"/>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24701" xr:uid="{BCF0611F-882D-4D25-9A49-E49A363ACA54}"/>
    <cellStyle name="Normal 8 2 2 2 5 2 2 3" xfId="16260" xr:uid="{9CD5DE72-3057-4D1B-A627-3914AD6785C4}"/>
    <cellStyle name="Normal 8 2 2 2 5 2 3" xfId="20483" xr:uid="{57874D1A-E4A4-4B72-949F-A064D80ED1DD}"/>
    <cellStyle name="Normal 8 2 2 2 5 2 4" xfId="12042" xr:uid="{46C64E28-F452-4303-97A9-68726E3EC772}"/>
    <cellStyle name="Normal 8 2 2 2 5 3" xfId="5673" xr:uid="{00000000-0005-0000-0000-0000391C0000}"/>
    <cellStyle name="Normal 8 2 2 2 5 3 2" xfId="22556" xr:uid="{624C8A0E-0367-455F-9DE4-7280F6845EF7}"/>
    <cellStyle name="Normal 8 2 2 2 5 3 3" xfId="14115" xr:uid="{F83BEDFE-9D3F-4E42-80A3-0634F98650EF}"/>
    <cellStyle name="Normal 8 2 2 2 5 4" xfId="18338" xr:uid="{947533AF-FA5C-44E7-BCC0-AEAAB9E1D915}"/>
    <cellStyle name="Normal 8 2 2 2 5 5" xfId="9897" xr:uid="{69245A55-7E1C-4BF0-81FB-A39674DFC5B9}"/>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25114" xr:uid="{BC304162-7856-4249-ADE0-2252E0FEB8A9}"/>
    <cellStyle name="Normal 8 2 2 2 6 2 2 3" xfId="16673" xr:uid="{33958E70-D5DA-4E4B-A1B5-4E12762DF784}"/>
    <cellStyle name="Normal 8 2 2 2 6 2 3" xfId="20896" xr:uid="{D3930109-7741-419F-935A-6244448FD4B7}"/>
    <cellStyle name="Normal 8 2 2 2 6 2 4" xfId="12455" xr:uid="{06176AD6-B770-46C9-B211-345CB80544D5}"/>
    <cellStyle name="Normal 8 2 2 2 6 3" xfId="6086" xr:uid="{00000000-0005-0000-0000-00003D1C0000}"/>
    <cellStyle name="Normal 8 2 2 2 6 3 2" xfId="22969" xr:uid="{AAAABC56-33CA-4658-B792-1FC6F3A157D4}"/>
    <cellStyle name="Normal 8 2 2 2 6 3 3" xfId="14528" xr:uid="{4DDDE250-DEA6-42AD-8173-F48F2C6C34E9}"/>
    <cellStyle name="Normal 8 2 2 2 6 4" xfId="18751" xr:uid="{7CFCBD1F-85FC-4B20-805A-550395A0842C}"/>
    <cellStyle name="Normal 8 2 2 2 6 5" xfId="10310" xr:uid="{81390019-1472-4A2B-8018-E4E2BC7A06BC}"/>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25527" xr:uid="{E25473BF-BD93-4829-A5AF-1D91DBAEC81E}"/>
    <cellStyle name="Normal 8 2 2 2 7 2 2 3" xfId="17086" xr:uid="{BB26AEA1-7256-4815-B457-F36F2BAD9E1F}"/>
    <cellStyle name="Normal 8 2 2 2 7 2 3" xfId="21309" xr:uid="{41054C73-3E5F-4C84-AFAF-75F8928455AF}"/>
    <cellStyle name="Normal 8 2 2 2 7 2 4" xfId="12868" xr:uid="{C8801E78-5DD1-477D-96DC-6D3730B01E0E}"/>
    <cellStyle name="Normal 8 2 2 2 7 3" xfId="6499" xr:uid="{00000000-0005-0000-0000-0000411C0000}"/>
    <cellStyle name="Normal 8 2 2 2 7 3 2" xfId="23382" xr:uid="{57521F28-E9CB-4394-A15B-B45011C6A0E3}"/>
    <cellStyle name="Normal 8 2 2 2 7 3 3" xfId="14941" xr:uid="{6E34EED7-0BAC-4082-B920-A1D0823BE41C}"/>
    <cellStyle name="Normal 8 2 2 2 7 4" xfId="19164" xr:uid="{FCEBA97B-6AF4-467C-A9BC-4DDB56054B8D}"/>
    <cellStyle name="Normal 8 2 2 2 7 5" xfId="10723" xr:uid="{8A685A82-5298-443D-B71F-E32D61B475E1}"/>
    <cellStyle name="Normal 8 2 2 2 8" xfId="2628" xr:uid="{00000000-0005-0000-0000-0000421C0000}"/>
    <cellStyle name="Normal 8 2 2 2 8 2" xfId="6912" xr:uid="{00000000-0005-0000-0000-0000431C0000}"/>
    <cellStyle name="Normal 8 2 2 2 8 2 2" xfId="23795" xr:uid="{C26BD2DE-E184-4421-9222-3F98B43C72CA}"/>
    <cellStyle name="Normal 8 2 2 2 8 2 3" xfId="15354" xr:uid="{A7EAF28B-2569-4254-BCDC-A75301233C94}"/>
    <cellStyle name="Normal 8 2 2 2 8 3" xfId="19577" xr:uid="{3EF6434D-4824-4E80-BA43-6CF8685DE05C}"/>
    <cellStyle name="Normal 8 2 2 2 8 4" xfId="11136" xr:uid="{D7968291-2847-4E6A-82E5-C32370FB62A5}"/>
    <cellStyle name="Normal 8 2 2 2 9" xfId="4847" xr:uid="{00000000-0005-0000-0000-0000441C0000}"/>
    <cellStyle name="Normal 8 2 2 2 9 2" xfId="21730" xr:uid="{AAF8C56D-4644-4110-A129-1F48F7426FB2}"/>
    <cellStyle name="Normal 8 2 2 2 9 3" xfId="13289" xr:uid="{794925FC-7BBB-4559-B94D-4B9FBA5EAF67}"/>
    <cellStyle name="Normal 8 2 2 3" xfId="485" xr:uid="{00000000-0005-0000-0000-0000451C0000}"/>
    <cellStyle name="Normal 8 2 2 3 10" xfId="9075" xr:uid="{8F6AF92A-2891-4D73-96B0-FC6C98FF115D}"/>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24293" xr:uid="{AF8493BF-59A2-4CA5-BEE9-18AB1E2C3779}"/>
    <cellStyle name="Normal 8 2 2 3 2 2 2 2 3" xfId="15852" xr:uid="{6FFCC3E3-E1B3-49B5-8E3A-0D9632A2B3E4}"/>
    <cellStyle name="Normal 8 2 2 3 2 2 2 3" xfId="20075" xr:uid="{57E613CB-C432-41AE-BF30-A4D4A9BC1208}"/>
    <cellStyle name="Normal 8 2 2 3 2 2 2 4" xfId="11634" xr:uid="{CA892CDF-B469-43B4-8E73-E79EFB3FEE6A}"/>
    <cellStyle name="Normal 8 2 2 3 2 2 3" xfId="5265" xr:uid="{00000000-0005-0000-0000-00004A1C0000}"/>
    <cellStyle name="Normal 8 2 2 3 2 2 3 2" xfId="22148" xr:uid="{A8B632B6-0210-4C20-B5FD-5313CD26D707}"/>
    <cellStyle name="Normal 8 2 2 3 2 2 3 3" xfId="13707" xr:uid="{C774D418-10F1-4DC2-B6BA-FC86EE8A93FF}"/>
    <cellStyle name="Normal 8 2 2 3 2 2 4" xfId="17930" xr:uid="{7BE04345-E085-4B91-82A1-D0A638C493A8}"/>
    <cellStyle name="Normal 8 2 2 3 2 2 5" xfId="9489" xr:uid="{C27A8EC3-69AF-49BA-8947-BFA1C43B2742}"/>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24706" xr:uid="{FD60C131-A675-48D4-BCA0-4398D0FC9EAE}"/>
    <cellStyle name="Normal 8 2 2 3 2 3 2 2 3" xfId="16265" xr:uid="{4D2E00CD-8174-447A-A005-1CB3654E15A2}"/>
    <cellStyle name="Normal 8 2 2 3 2 3 2 3" xfId="20488" xr:uid="{5C4C6FEF-92A0-4B81-B3B6-70EA64CB8BB9}"/>
    <cellStyle name="Normal 8 2 2 3 2 3 2 4" xfId="12047" xr:uid="{98791608-C3F2-4B47-AFAA-67A5896B9AE1}"/>
    <cellStyle name="Normal 8 2 2 3 2 3 3" xfId="5678" xr:uid="{00000000-0005-0000-0000-00004E1C0000}"/>
    <cellStyle name="Normal 8 2 2 3 2 3 3 2" xfId="22561" xr:uid="{DBBBC4D8-6017-42CB-A0C5-EF971387C0DA}"/>
    <cellStyle name="Normal 8 2 2 3 2 3 3 3" xfId="14120" xr:uid="{8C9E5AED-EBB0-4FBC-A000-2C1B451168F9}"/>
    <cellStyle name="Normal 8 2 2 3 2 3 4" xfId="18343" xr:uid="{A28590AF-9CEB-4124-8DD4-DA46C6EB0EF0}"/>
    <cellStyle name="Normal 8 2 2 3 2 3 5" xfId="9902" xr:uid="{2C6EE54F-C81D-4855-8297-46688BFE1E6A}"/>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25119" xr:uid="{DD8822E0-E85A-4924-BB64-A5F323B5B0AE}"/>
    <cellStyle name="Normal 8 2 2 3 2 4 2 2 3" xfId="16678" xr:uid="{01369228-12C8-450F-9154-8427FB8B6A33}"/>
    <cellStyle name="Normal 8 2 2 3 2 4 2 3" xfId="20901" xr:uid="{A5A50497-C2B8-4B2D-A3CC-9193FC11F1E7}"/>
    <cellStyle name="Normal 8 2 2 3 2 4 2 4" xfId="12460" xr:uid="{D8AD358E-F2A5-4B10-97E2-DFF52E18446F}"/>
    <cellStyle name="Normal 8 2 2 3 2 4 3" xfId="6091" xr:uid="{00000000-0005-0000-0000-0000521C0000}"/>
    <cellStyle name="Normal 8 2 2 3 2 4 3 2" xfId="22974" xr:uid="{80FB98CE-C708-4850-8C37-568760F5BBAE}"/>
    <cellStyle name="Normal 8 2 2 3 2 4 3 3" xfId="14533" xr:uid="{934AB39B-8DF6-42CB-8C35-7C90E5DCDEA0}"/>
    <cellStyle name="Normal 8 2 2 3 2 4 4" xfId="18756" xr:uid="{60237413-77F7-4111-B9C7-06FA4050DBAC}"/>
    <cellStyle name="Normal 8 2 2 3 2 4 5" xfId="10315" xr:uid="{11772A99-AA48-4839-8573-2285E41038A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25532" xr:uid="{2EAA0258-E10B-4F9F-A52D-0ECEF21B3671}"/>
    <cellStyle name="Normal 8 2 2 3 2 5 2 2 3" xfId="17091" xr:uid="{A6E085EA-F4D5-4B50-ADC1-FA57C1D50764}"/>
    <cellStyle name="Normal 8 2 2 3 2 5 2 3" xfId="21314" xr:uid="{1F50AEF9-EB3F-45D3-B2B8-36CB87CD0A8A}"/>
    <cellStyle name="Normal 8 2 2 3 2 5 2 4" xfId="12873" xr:uid="{9ED6173A-59BA-4280-AF35-E569A1C4296E}"/>
    <cellStyle name="Normal 8 2 2 3 2 5 3" xfId="6504" xr:uid="{00000000-0005-0000-0000-0000561C0000}"/>
    <cellStyle name="Normal 8 2 2 3 2 5 3 2" xfId="23387" xr:uid="{204B31A1-E05F-47E7-9AD2-5723BE261E1B}"/>
    <cellStyle name="Normal 8 2 2 3 2 5 3 3" xfId="14946" xr:uid="{1367F7ED-5449-438D-B479-22638EF1DC16}"/>
    <cellStyle name="Normal 8 2 2 3 2 5 4" xfId="19169" xr:uid="{FE262F02-7756-48F6-B03D-0CA24442CFF2}"/>
    <cellStyle name="Normal 8 2 2 3 2 5 5" xfId="10728" xr:uid="{E1E403FD-8B2B-4939-82AE-91652034A8DD}"/>
    <cellStyle name="Normal 8 2 2 3 2 6" xfId="2633" xr:uid="{00000000-0005-0000-0000-0000571C0000}"/>
    <cellStyle name="Normal 8 2 2 3 2 6 2" xfId="6917" xr:uid="{00000000-0005-0000-0000-0000581C0000}"/>
    <cellStyle name="Normal 8 2 2 3 2 6 2 2" xfId="23800" xr:uid="{47F4553E-7122-443E-A1D7-26F41368D90D}"/>
    <cellStyle name="Normal 8 2 2 3 2 6 2 3" xfId="15359" xr:uid="{EC4EDB1E-3166-46F3-9668-824017B59F95}"/>
    <cellStyle name="Normal 8 2 2 3 2 6 3" xfId="19582" xr:uid="{157E545A-C511-40C8-88BC-8927819D6B24}"/>
    <cellStyle name="Normal 8 2 2 3 2 6 4" xfId="11141" xr:uid="{18CBFDFA-4331-4B11-84CA-004A70BDD786}"/>
    <cellStyle name="Normal 8 2 2 3 2 7" xfId="4852" xr:uid="{00000000-0005-0000-0000-0000591C0000}"/>
    <cellStyle name="Normal 8 2 2 3 2 7 2" xfId="21735" xr:uid="{E4A9F2AD-6A03-4FE0-8F0C-BF94794F2B2C}"/>
    <cellStyle name="Normal 8 2 2 3 2 7 3" xfId="13294" xr:uid="{FA0BE12C-DC69-4E32-99A5-5219B80B4E8F}"/>
    <cellStyle name="Normal 8 2 2 3 2 8" xfId="17517" xr:uid="{5F53BB69-91FC-46A8-A937-EECC34EEF4C5}"/>
    <cellStyle name="Normal 8 2 2 3 2 9" xfId="9076" xr:uid="{533C1E7C-5F25-41F6-9B0D-83314DF29A4F}"/>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24292" xr:uid="{C44FBDB3-5433-4019-B921-515391AEBDF7}"/>
    <cellStyle name="Normal 8 2 2 3 3 2 2 3" xfId="15851" xr:uid="{C7BCE4BB-0301-4AC7-A017-77943C46BE88}"/>
    <cellStyle name="Normal 8 2 2 3 3 2 3" xfId="20074" xr:uid="{E40018DC-EAB4-457B-A90D-F732BAA4E049}"/>
    <cellStyle name="Normal 8 2 2 3 3 2 4" xfId="11633" xr:uid="{3592ED00-229E-4DB8-A02F-3ACBA537211B}"/>
    <cellStyle name="Normal 8 2 2 3 3 3" xfId="5264" xr:uid="{00000000-0005-0000-0000-00005D1C0000}"/>
    <cellStyle name="Normal 8 2 2 3 3 3 2" xfId="22147" xr:uid="{70D519AB-CD8A-4865-8F8B-11C8C9E198D8}"/>
    <cellStyle name="Normal 8 2 2 3 3 3 3" xfId="13706" xr:uid="{A045862F-1533-48C0-97EB-4B44E8E680E4}"/>
    <cellStyle name="Normal 8 2 2 3 3 4" xfId="17929" xr:uid="{0B99BB28-43E1-428B-A09B-DA538ED61F5E}"/>
    <cellStyle name="Normal 8 2 2 3 3 5" xfId="9488" xr:uid="{9351A20F-0DF0-458C-85F5-ECFD421E9DAC}"/>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24705" xr:uid="{AFDCC2F6-281C-4284-964C-F8A23F5AB3D5}"/>
    <cellStyle name="Normal 8 2 2 3 4 2 2 3" xfId="16264" xr:uid="{49ED38F2-7D62-4B77-8065-61A3A94C2D71}"/>
    <cellStyle name="Normal 8 2 2 3 4 2 3" xfId="20487" xr:uid="{31E0C785-6AD4-4AC9-82F5-305AE521A4EA}"/>
    <cellStyle name="Normal 8 2 2 3 4 2 4" xfId="12046" xr:uid="{55579933-CF03-4D2C-A4FC-3BA635122C3D}"/>
    <cellStyle name="Normal 8 2 2 3 4 3" xfId="5677" xr:uid="{00000000-0005-0000-0000-0000611C0000}"/>
    <cellStyle name="Normal 8 2 2 3 4 3 2" xfId="22560" xr:uid="{0AE64214-1D96-4F9E-A296-C3218DC24AA0}"/>
    <cellStyle name="Normal 8 2 2 3 4 3 3" xfId="14119" xr:uid="{4637D6E8-014C-41A4-98EF-795F070F3C91}"/>
    <cellStyle name="Normal 8 2 2 3 4 4" xfId="18342" xr:uid="{9B66F33F-AF5D-4836-BD9E-E0B5EC88E27C}"/>
    <cellStyle name="Normal 8 2 2 3 4 5" xfId="9901" xr:uid="{4A6B9BE4-1729-47E0-8E6A-512FA903D25B}"/>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25118" xr:uid="{A5D64113-D809-4CAF-9EEC-BEFE9EEBA70C}"/>
    <cellStyle name="Normal 8 2 2 3 5 2 2 3" xfId="16677" xr:uid="{C6F7D380-3A84-4084-9ADC-886AD77D5BE2}"/>
    <cellStyle name="Normal 8 2 2 3 5 2 3" xfId="20900" xr:uid="{EA812BC8-1CB1-4D6B-A20B-506B59FBD012}"/>
    <cellStyle name="Normal 8 2 2 3 5 2 4" xfId="12459" xr:uid="{3E4F1F4E-640B-4D31-8983-DCC0E36EACA1}"/>
    <cellStyle name="Normal 8 2 2 3 5 3" xfId="6090" xr:uid="{00000000-0005-0000-0000-0000651C0000}"/>
    <cellStyle name="Normal 8 2 2 3 5 3 2" xfId="22973" xr:uid="{DBAB1749-2C0E-48FF-9324-8A97B6282FAE}"/>
    <cellStyle name="Normal 8 2 2 3 5 3 3" xfId="14532" xr:uid="{5E1D401B-3F9E-4861-B3CD-2B9142129953}"/>
    <cellStyle name="Normal 8 2 2 3 5 4" xfId="18755" xr:uid="{6DBA117F-1347-4AD9-9943-092B63683ED1}"/>
    <cellStyle name="Normal 8 2 2 3 5 5" xfId="10314" xr:uid="{94F0BABF-ACB8-4F47-9A5D-D59AA3DDB2CE}"/>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25531" xr:uid="{1FF1CF55-EE45-4E84-9060-C7A1D5D79A70}"/>
    <cellStyle name="Normal 8 2 2 3 6 2 2 3" xfId="17090" xr:uid="{5F12C12C-634A-4DAD-B753-4150C7C2B647}"/>
    <cellStyle name="Normal 8 2 2 3 6 2 3" xfId="21313" xr:uid="{AA9E5992-3560-481F-85E5-E6AF8E75524D}"/>
    <cellStyle name="Normal 8 2 2 3 6 2 4" xfId="12872" xr:uid="{2577549B-3889-4F0C-A14B-5C9E8D60B086}"/>
    <cellStyle name="Normal 8 2 2 3 6 3" xfId="6503" xr:uid="{00000000-0005-0000-0000-0000691C0000}"/>
    <cellStyle name="Normal 8 2 2 3 6 3 2" xfId="23386" xr:uid="{937A5B67-BD97-4853-B72C-5AFB971011DB}"/>
    <cellStyle name="Normal 8 2 2 3 6 3 3" xfId="14945" xr:uid="{FADA3147-7466-4587-BCC3-0B420A64DA5F}"/>
    <cellStyle name="Normal 8 2 2 3 6 4" xfId="19168" xr:uid="{2E93C8B5-ED3A-402A-B548-E01FCE8DF190}"/>
    <cellStyle name="Normal 8 2 2 3 6 5" xfId="10727" xr:uid="{20219B3F-88DC-470E-BC06-CD3B47552C59}"/>
    <cellStyle name="Normal 8 2 2 3 7" xfId="2632" xr:uid="{00000000-0005-0000-0000-00006A1C0000}"/>
    <cellStyle name="Normal 8 2 2 3 7 2" xfId="6916" xr:uid="{00000000-0005-0000-0000-00006B1C0000}"/>
    <cellStyle name="Normal 8 2 2 3 7 2 2" xfId="23799" xr:uid="{9DF4DE48-DEF3-4B9D-97D2-6B1515C1771A}"/>
    <cellStyle name="Normal 8 2 2 3 7 2 3" xfId="15358" xr:uid="{BD3DF52D-1AE9-41F8-A2A7-2A5ECA882C39}"/>
    <cellStyle name="Normal 8 2 2 3 7 3" xfId="19581" xr:uid="{1453CC05-EBA8-47AF-A538-57B396E566CD}"/>
    <cellStyle name="Normal 8 2 2 3 7 4" xfId="11140" xr:uid="{4C8E06E5-A822-49BF-A7E8-14C470D16176}"/>
    <cellStyle name="Normal 8 2 2 3 8" xfId="4851" xr:uid="{00000000-0005-0000-0000-00006C1C0000}"/>
    <cellStyle name="Normal 8 2 2 3 8 2" xfId="21734" xr:uid="{421A1E54-54BB-403F-A3EE-EA98112A6EF1}"/>
    <cellStyle name="Normal 8 2 2 3 8 3" xfId="13293" xr:uid="{77445CCE-08AE-472D-AE41-972B6479D8A2}"/>
    <cellStyle name="Normal 8 2 2 3 9" xfId="17516" xr:uid="{3E7CC901-1C3A-4CD8-B272-4FC9F853848B}"/>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24294" xr:uid="{F82EC98B-D936-45D3-9236-DFF48B709A0D}"/>
    <cellStyle name="Normal 8 2 2 4 2 2 2 3" xfId="15853" xr:uid="{8CA9A1CB-1EB1-4E6C-82F6-1C41F86749AA}"/>
    <cellStyle name="Normal 8 2 2 4 2 2 3" xfId="20076" xr:uid="{FB5D86A6-87F9-4874-915C-51F8D943A46B}"/>
    <cellStyle name="Normal 8 2 2 4 2 2 4" xfId="11635" xr:uid="{8160448E-5CE8-4BBB-A5D8-55C1503622D3}"/>
    <cellStyle name="Normal 8 2 2 4 2 3" xfId="5266" xr:uid="{00000000-0005-0000-0000-0000711C0000}"/>
    <cellStyle name="Normal 8 2 2 4 2 3 2" xfId="22149" xr:uid="{BEA23256-9BB8-439B-9536-58C504280DF3}"/>
    <cellStyle name="Normal 8 2 2 4 2 3 3" xfId="13708" xr:uid="{23C349BF-9E8F-42F7-86E6-01A332887501}"/>
    <cellStyle name="Normal 8 2 2 4 2 4" xfId="17931" xr:uid="{A861A1EA-35B7-4A97-9E17-1A1B715E7367}"/>
    <cellStyle name="Normal 8 2 2 4 2 5" xfId="9490" xr:uid="{4E8419F4-B570-467E-801C-4BCC0EF19AF7}"/>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24707" xr:uid="{E0D5AE17-E21D-4026-9062-76500C3AB8E3}"/>
    <cellStyle name="Normal 8 2 2 4 3 2 2 3" xfId="16266" xr:uid="{09B36B70-9ECA-4D4F-AD10-0AB949003156}"/>
    <cellStyle name="Normal 8 2 2 4 3 2 3" xfId="20489" xr:uid="{AF4E2E9C-3AED-493F-99F4-BD0978175872}"/>
    <cellStyle name="Normal 8 2 2 4 3 2 4" xfId="12048" xr:uid="{1A21852B-0F18-4B89-9E1C-6AEDD0090580}"/>
    <cellStyle name="Normal 8 2 2 4 3 3" xfId="5679" xr:uid="{00000000-0005-0000-0000-0000751C0000}"/>
    <cellStyle name="Normal 8 2 2 4 3 3 2" xfId="22562" xr:uid="{4A67FC03-A84A-4857-8B3D-021E2BEFDEF9}"/>
    <cellStyle name="Normal 8 2 2 4 3 3 3" xfId="14121" xr:uid="{C6A26D64-ED4E-4B10-92B4-FB2D938C3623}"/>
    <cellStyle name="Normal 8 2 2 4 3 4" xfId="18344" xr:uid="{F79B20BB-35A5-4CEC-994D-AAD9EA0CB627}"/>
    <cellStyle name="Normal 8 2 2 4 3 5" xfId="9903" xr:uid="{0CFE71C6-967C-406A-ACE5-309EE7125D20}"/>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25120" xr:uid="{4653580D-1169-4754-B5C8-1FAA745AE51E}"/>
    <cellStyle name="Normal 8 2 2 4 4 2 2 3" xfId="16679" xr:uid="{5F2F9DEE-9E4D-44A5-8F84-325767B7EF1B}"/>
    <cellStyle name="Normal 8 2 2 4 4 2 3" xfId="20902" xr:uid="{500191F9-3D05-4A39-969B-889DEE0B2F3A}"/>
    <cellStyle name="Normal 8 2 2 4 4 2 4" xfId="12461" xr:uid="{FC04DA22-3A9F-42E8-8AE7-FE5C5D7B707F}"/>
    <cellStyle name="Normal 8 2 2 4 4 3" xfId="6092" xr:uid="{00000000-0005-0000-0000-0000791C0000}"/>
    <cellStyle name="Normal 8 2 2 4 4 3 2" xfId="22975" xr:uid="{692A2F84-2480-4CD6-BF61-EDB93731B7A9}"/>
    <cellStyle name="Normal 8 2 2 4 4 3 3" xfId="14534" xr:uid="{24A0AD83-FA0E-457C-B739-FC1AD8E4E4CA}"/>
    <cellStyle name="Normal 8 2 2 4 4 4" xfId="18757" xr:uid="{3355A14B-034A-4C81-A839-AB6683088C1E}"/>
    <cellStyle name="Normal 8 2 2 4 4 5" xfId="10316" xr:uid="{48775730-506A-49F1-A020-0B877518BF8B}"/>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25533" xr:uid="{3083AABD-7CD0-4105-AFF3-61C8C54C4FBB}"/>
    <cellStyle name="Normal 8 2 2 4 5 2 2 3" xfId="17092" xr:uid="{55222885-7F29-4972-AE0D-997BFC10D41C}"/>
    <cellStyle name="Normal 8 2 2 4 5 2 3" xfId="21315" xr:uid="{CACCAF06-9B84-4E4D-9B06-5743095BB4B2}"/>
    <cellStyle name="Normal 8 2 2 4 5 2 4" xfId="12874" xr:uid="{548B7BAB-72B5-44E1-89D3-89F94EE7BD0B}"/>
    <cellStyle name="Normal 8 2 2 4 5 3" xfId="6505" xr:uid="{00000000-0005-0000-0000-00007D1C0000}"/>
    <cellStyle name="Normal 8 2 2 4 5 3 2" xfId="23388" xr:uid="{8D089008-D6A3-49A4-824E-D3C0D0BDCDB2}"/>
    <cellStyle name="Normal 8 2 2 4 5 3 3" xfId="14947" xr:uid="{E235C8C6-4742-40EC-A221-AF7AF40D11F3}"/>
    <cellStyle name="Normal 8 2 2 4 5 4" xfId="19170" xr:uid="{5C646CFD-AA69-43F9-83D4-181670D77218}"/>
    <cellStyle name="Normal 8 2 2 4 5 5" xfId="10729" xr:uid="{6E42AAD5-9D6B-4E08-8581-4E46E05AF056}"/>
    <cellStyle name="Normal 8 2 2 4 6" xfId="2634" xr:uid="{00000000-0005-0000-0000-00007E1C0000}"/>
    <cellStyle name="Normal 8 2 2 4 6 2" xfId="6918" xr:uid="{00000000-0005-0000-0000-00007F1C0000}"/>
    <cellStyle name="Normal 8 2 2 4 6 2 2" xfId="23801" xr:uid="{090963B7-46AF-42BC-9226-0970921517F6}"/>
    <cellStyle name="Normal 8 2 2 4 6 2 3" xfId="15360" xr:uid="{C3C4F45C-1B22-40E0-90D5-D359FD41EAE1}"/>
    <cellStyle name="Normal 8 2 2 4 6 3" xfId="19583" xr:uid="{02CA7B1B-495E-49EF-8099-CB8A049ABAA7}"/>
    <cellStyle name="Normal 8 2 2 4 6 4" xfId="11142" xr:uid="{421B5CA3-B049-4B1C-A9DA-B143A0D82C59}"/>
    <cellStyle name="Normal 8 2 2 4 7" xfId="4853" xr:uid="{00000000-0005-0000-0000-0000801C0000}"/>
    <cellStyle name="Normal 8 2 2 4 7 2" xfId="21736" xr:uid="{3E7FEFB1-9A11-45BC-9402-A3D447B50A4D}"/>
    <cellStyle name="Normal 8 2 2 4 7 3" xfId="13295" xr:uid="{240ED60A-321B-4F3E-BAE7-AFB23C3242D5}"/>
    <cellStyle name="Normal 8 2 2 4 8" xfId="17518" xr:uid="{47D9D92D-CABB-4249-A042-E0D19B82AAFE}"/>
    <cellStyle name="Normal 8 2 2 4 9" xfId="9077" xr:uid="{2FA2953E-31CC-4A3D-B06D-F566E3914C48}"/>
    <cellStyle name="Normal 8 2 2 5" xfId="947" xr:uid="{00000000-0005-0000-0000-0000811C0000}"/>
    <cellStyle name="Normal 8 2 2 5 2" xfId="3181" xr:uid="{00000000-0005-0000-0000-0000821C0000}"/>
    <cellStyle name="Normal 8 2 2 5 2 2" xfId="7404" xr:uid="{00000000-0005-0000-0000-0000831C0000}"/>
    <cellStyle name="Normal 8 2 2 5 2 2 2" xfId="24287" xr:uid="{9B780A2A-2877-4C7A-9B49-4BB38010D357}"/>
    <cellStyle name="Normal 8 2 2 5 2 2 3" xfId="15846" xr:uid="{BCB7AD40-82CC-4662-8141-90D70E375CEE}"/>
    <cellStyle name="Normal 8 2 2 5 2 3" xfId="20069" xr:uid="{3172DDC7-F510-475E-9BF2-C28D5FF3B8B4}"/>
    <cellStyle name="Normal 8 2 2 5 2 4" xfId="11628" xr:uid="{2F7A1F95-79F7-452C-98B0-C938256A9756}"/>
    <cellStyle name="Normal 8 2 2 5 3" xfId="5259" xr:uid="{00000000-0005-0000-0000-0000841C0000}"/>
    <cellStyle name="Normal 8 2 2 5 3 2" xfId="22142" xr:uid="{88EE1026-00BD-4A68-82A9-E5D091967AC0}"/>
    <cellStyle name="Normal 8 2 2 5 3 3" xfId="13701" xr:uid="{0A15BDAA-6D59-410B-A0D9-251398839D70}"/>
    <cellStyle name="Normal 8 2 2 5 4" xfId="17924" xr:uid="{725ABF2E-49E5-4141-89E3-B63083491B98}"/>
    <cellStyle name="Normal 8 2 2 5 5" xfId="9483" xr:uid="{5DB5663E-B029-479B-A093-332D2025C093}"/>
    <cellStyle name="Normal 8 2 2 6" xfId="1364" xr:uid="{00000000-0005-0000-0000-0000851C0000}"/>
    <cellStyle name="Normal 8 2 2 6 2" xfId="3594" xr:uid="{00000000-0005-0000-0000-0000861C0000}"/>
    <cellStyle name="Normal 8 2 2 6 2 2" xfId="7817" xr:uid="{00000000-0005-0000-0000-0000871C0000}"/>
    <cellStyle name="Normal 8 2 2 6 2 2 2" xfId="24700" xr:uid="{AA8C448D-0F6B-4E6C-87BD-08AFD0E0EC28}"/>
    <cellStyle name="Normal 8 2 2 6 2 2 3" xfId="16259" xr:uid="{86422023-6E6D-4BEF-BB2D-BDE365F0169D}"/>
    <cellStyle name="Normal 8 2 2 6 2 3" xfId="20482" xr:uid="{6A84A503-1E6B-4E9A-A5D4-227F4F0F4AB8}"/>
    <cellStyle name="Normal 8 2 2 6 2 4" xfId="12041" xr:uid="{E7486C72-2F26-4A99-8C27-9CB906BD5881}"/>
    <cellStyle name="Normal 8 2 2 6 3" xfId="5672" xr:uid="{00000000-0005-0000-0000-0000881C0000}"/>
    <cellStyle name="Normal 8 2 2 6 3 2" xfId="22555" xr:uid="{696FEDDE-D765-491A-B700-A3838C8851E6}"/>
    <cellStyle name="Normal 8 2 2 6 3 3" xfId="14114" xr:uid="{0222109D-E0D2-4C30-AAD0-AEA1755E84FF}"/>
    <cellStyle name="Normal 8 2 2 6 4" xfId="18337" xr:uid="{E56277D3-EE6D-41F4-86F8-59C448611011}"/>
    <cellStyle name="Normal 8 2 2 6 5" xfId="9896" xr:uid="{AD4EA1BF-081D-49C9-A7DD-69AD15CDA991}"/>
    <cellStyle name="Normal 8 2 2 7" xfId="1777" xr:uid="{00000000-0005-0000-0000-0000891C0000}"/>
    <cellStyle name="Normal 8 2 2 7 2" xfId="4007" xr:uid="{00000000-0005-0000-0000-00008A1C0000}"/>
    <cellStyle name="Normal 8 2 2 7 2 2" xfId="8230" xr:uid="{00000000-0005-0000-0000-00008B1C0000}"/>
    <cellStyle name="Normal 8 2 2 7 2 2 2" xfId="25113" xr:uid="{96F19AB3-FBD6-41DD-A88D-6306E63661E9}"/>
    <cellStyle name="Normal 8 2 2 7 2 2 3" xfId="16672" xr:uid="{43CFAAFD-CB8D-4A4F-BDD1-3A3DFC10402C}"/>
    <cellStyle name="Normal 8 2 2 7 2 3" xfId="20895" xr:uid="{3240585D-6033-4264-A352-A55F24B0AD2F}"/>
    <cellStyle name="Normal 8 2 2 7 2 4" xfId="12454" xr:uid="{BFE3668B-1622-4E2A-B5D0-E38BFD3DF23A}"/>
    <cellStyle name="Normal 8 2 2 7 3" xfId="6085" xr:uid="{00000000-0005-0000-0000-00008C1C0000}"/>
    <cellStyle name="Normal 8 2 2 7 3 2" xfId="22968" xr:uid="{AC5C2CA2-537A-4EF9-8A43-5EC87B4F3D63}"/>
    <cellStyle name="Normal 8 2 2 7 3 3" xfId="14527" xr:uid="{0BF15CCC-7D7B-4DA7-8F10-9B3F3833F709}"/>
    <cellStyle name="Normal 8 2 2 7 4" xfId="18750" xr:uid="{BC93986B-C31A-47C9-9428-3A991EDB4E79}"/>
    <cellStyle name="Normal 8 2 2 7 5" xfId="10309" xr:uid="{4A2819AE-0EEF-42E9-9E3F-00DCDEED412A}"/>
    <cellStyle name="Normal 8 2 2 8" xfId="2191" xr:uid="{00000000-0005-0000-0000-00008D1C0000}"/>
    <cellStyle name="Normal 8 2 2 8 2" xfId="4420" xr:uid="{00000000-0005-0000-0000-00008E1C0000}"/>
    <cellStyle name="Normal 8 2 2 8 2 2" xfId="8643" xr:uid="{00000000-0005-0000-0000-00008F1C0000}"/>
    <cellStyle name="Normal 8 2 2 8 2 2 2" xfId="25526" xr:uid="{8895E588-FC08-4D3E-BE4A-6560F9A26ED4}"/>
    <cellStyle name="Normal 8 2 2 8 2 2 3" xfId="17085" xr:uid="{9AFE9414-01DF-42F9-AA01-DA2434C22BCA}"/>
    <cellStyle name="Normal 8 2 2 8 2 3" xfId="21308" xr:uid="{A8D1ECC6-C644-4A19-B4AD-74F26D7F9862}"/>
    <cellStyle name="Normal 8 2 2 8 2 4" xfId="12867" xr:uid="{9562188A-B384-4523-BE26-AC6F0A34168B}"/>
    <cellStyle name="Normal 8 2 2 8 3" xfId="6498" xr:uid="{00000000-0005-0000-0000-0000901C0000}"/>
    <cellStyle name="Normal 8 2 2 8 3 2" xfId="23381" xr:uid="{9DD58785-7F9A-4245-AD16-F3713265E6C4}"/>
    <cellStyle name="Normal 8 2 2 8 3 3" xfId="14940" xr:uid="{6968A5AF-6BDB-434D-BF6D-92CC60568C3F}"/>
    <cellStyle name="Normal 8 2 2 8 4" xfId="19163" xr:uid="{CB9A9021-B76C-4F35-9579-4A651FE71DEE}"/>
    <cellStyle name="Normal 8 2 2 8 5" xfId="10722" xr:uid="{2D41CB4B-DE70-4451-867C-A2BEB9FD36CA}"/>
    <cellStyle name="Normal 8 2 2 9" xfId="2627" xr:uid="{00000000-0005-0000-0000-0000911C0000}"/>
    <cellStyle name="Normal 8 2 2 9 2" xfId="6911" xr:uid="{00000000-0005-0000-0000-0000921C0000}"/>
    <cellStyle name="Normal 8 2 2 9 2 2" xfId="23794" xr:uid="{C9EB19EF-C26D-4119-8BDC-67CD218B441D}"/>
    <cellStyle name="Normal 8 2 2 9 2 3" xfId="15353" xr:uid="{2AEFEEC6-4E27-446D-92E4-E67FC489CAA2}"/>
    <cellStyle name="Normal 8 2 2 9 3" xfId="19576" xr:uid="{230739AC-2CA7-4093-ABF1-8258021F14C4}"/>
    <cellStyle name="Normal 8 2 2 9 4" xfId="11135" xr:uid="{69657D27-769C-423F-BA44-954D352CF5FD}"/>
    <cellStyle name="Normal 8 2 3" xfId="488" xr:uid="{00000000-0005-0000-0000-0000931C0000}"/>
    <cellStyle name="Normal 8 2 3 10" xfId="17519" xr:uid="{92C721D3-480F-4A68-813F-580464AF9F4D}"/>
    <cellStyle name="Normal 8 2 3 11" xfId="9078" xr:uid="{2E084197-0B68-4FDD-8EF0-2D731A49D3D2}"/>
    <cellStyle name="Normal 8 2 3 2" xfId="489" xr:uid="{00000000-0005-0000-0000-0000941C0000}"/>
    <cellStyle name="Normal 8 2 3 2 10" xfId="9079" xr:uid="{BA86D69B-1705-4A91-BC02-1F93F2026F2B}"/>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24297" xr:uid="{2BF4D6EA-F2EA-4320-B4DB-2AC76A38CE80}"/>
    <cellStyle name="Normal 8 2 3 2 2 2 2 2 3" xfId="15856" xr:uid="{74000ECF-F199-4086-8B60-307C88822A15}"/>
    <cellStyle name="Normal 8 2 3 2 2 2 2 3" xfId="20079" xr:uid="{E3048C2C-3B75-4F63-9050-C00282404582}"/>
    <cellStyle name="Normal 8 2 3 2 2 2 2 4" xfId="11638" xr:uid="{25D37B8D-C04C-4AEB-8685-366A13FAFE80}"/>
    <cellStyle name="Normal 8 2 3 2 2 2 3" xfId="5269" xr:uid="{00000000-0005-0000-0000-0000991C0000}"/>
    <cellStyle name="Normal 8 2 3 2 2 2 3 2" xfId="22152" xr:uid="{393F2603-CC47-4EF1-8E08-B1FE2DE5B1AE}"/>
    <cellStyle name="Normal 8 2 3 2 2 2 3 3" xfId="13711" xr:uid="{11DF13A0-4638-4CA4-82BA-0F234A357979}"/>
    <cellStyle name="Normal 8 2 3 2 2 2 4" xfId="17934" xr:uid="{C0BED356-E65C-45A4-8995-96D393B02719}"/>
    <cellStyle name="Normal 8 2 3 2 2 2 5" xfId="9493" xr:uid="{0E5B0959-AC93-4FD6-BA5A-4047DEFBF9B5}"/>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24710" xr:uid="{4B1662CB-7C69-4FAC-A913-4B5474E814B2}"/>
    <cellStyle name="Normal 8 2 3 2 2 3 2 2 3" xfId="16269" xr:uid="{1AAF0240-B53A-4AB0-A09A-8B44F4FF05BA}"/>
    <cellStyle name="Normal 8 2 3 2 2 3 2 3" xfId="20492" xr:uid="{F2BA7273-0951-4D25-A322-564102B0ADED}"/>
    <cellStyle name="Normal 8 2 3 2 2 3 2 4" xfId="12051" xr:uid="{BB8ADFF6-62CF-4C78-8E2C-8C9A7EA80D6A}"/>
    <cellStyle name="Normal 8 2 3 2 2 3 3" xfId="5682" xr:uid="{00000000-0005-0000-0000-00009D1C0000}"/>
    <cellStyle name="Normal 8 2 3 2 2 3 3 2" xfId="22565" xr:uid="{A14222D2-66FF-42AC-9522-D5E5B025CAB1}"/>
    <cellStyle name="Normal 8 2 3 2 2 3 3 3" xfId="14124" xr:uid="{35E43505-0D02-429D-8BCE-A29A9EAAE3F7}"/>
    <cellStyle name="Normal 8 2 3 2 2 3 4" xfId="18347" xr:uid="{CB1F0A21-C9AB-414E-8299-73931B5B7791}"/>
    <cellStyle name="Normal 8 2 3 2 2 3 5" xfId="9906" xr:uid="{890748B8-D1C7-49F2-BEDE-384041CBA83B}"/>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25123" xr:uid="{320B96C6-5A2A-4129-A07D-9BB6C54A1821}"/>
    <cellStyle name="Normal 8 2 3 2 2 4 2 2 3" xfId="16682" xr:uid="{301FDDCB-540F-4575-9528-BFDFBD6F73D7}"/>
    <cellStyle name="Normal 8 2 3 2 2 4 2 3" xfId="20905" xr:uid="{2F55C1AF-565D-4362-8801-9B5792B1B866}"/>
    <cellStyle name="Normal 8 2 3 2 2 4 2 4" xfId="12464" xr:uid="{36B3E658-7019-42DD-BFD6-018EB99D9A9F}"/>
    <cellStyle name="Normal 8 2 3 2 2 4 3" xfId="6095" xr:uid="{00000000-0005-0000-0000-0000A11C0000}"/>
    <cellStyle name="Normal 8 2 3 2 2 4 3 2" xfId="22978" xr:uid="{705F9938-DDCC-4DBE-88DA-46657EAB8778}"/>
    <cellStyle name="Normal 8 2 3 2 2 4 3 3" xfId="14537" xr:uid="{F8B362C7-F69F-48BA-9576-10269AF9CE88}"/>
    <cellStyle name="Normal 8 2 3 2 2 4 4" xfId="18760" xr:uid="{670FC663-FB13-4800-B56A-0EDBC5CBE7FB}"/>
    <cellStyle name="Normal 8 2 3 2 2 4 5" xfId="10319" xr:uid="{ECF5E355-0054-4429-B727-CBE1229B20E7}"/>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25536" xr:uid="{5C932874-B1E3-4B50-9634-E4DF8D52C60A}"/>
    <cellStyle name="Normal 8 2 3 2 2 5 2 2 3" xfId="17095" xr:uid="{9E413A2F-5D2C-4A36-911F-5993689A6B00}"/>
    <cellStyle name="Normal 8 2 3 2 2 5 2 3" xfId="21318" xr:uid="{69A4A83A-052B-44DA-8A2D-9FE30F2A5CB8}"/>
    <cellStyle name="Normal 8 2 3 2 2 5 2 4" xfId="12877" xr:uid="{7D36C0B8-DBF1-4B6D-8420-7CADBF8EAF3A}"/>
    <cellStyle name="Normal 8 2 3 2 2 5 3" xfId="6508" xr:uid="{00000000-0005-0000-0000-0000A51C0000}"/>
    <cellStyle name="Normal 8 2 3 2 2 5 3 2" xfId="23391" xr:uid="{E2BF61A4-F26B-46CD-8676-2C09FBD4894B}"/>
    <cellStyle name="Normal 8 2 3 2 2 5 3 3" xfId="14950" xr:uid="{47E016BD-4D75-4657-BC64-23DF433B77BC}"/>
    <cellStyle name="Normal 8 2 3 2 2 5 4" xfId="19173" xr:uid="{A30C3D7C-FCE6-4B10-AA6E-63A07C18F5CA}"/>
    <cellStyle name="Normal 8 2 3 2 2 5 5" xfId="10732" xr:uid="{BE3E9338-BB51-40C5-8B24-72C0E17537E9}"/>
    <cellStyle name="Normal 8 2 3 2 2 6" xfId="2637" xr:uid="{00000000-0005-0000-0000-0000A61C0000}"/>
    <cellStyle name="Normal 8 2 3 2 2 6 2" xfId="6921" xr:uid="{00000000-0005-0000-0000-0000A71C0000}"/>
    <cellStyle name="Normal 8 2 3 2 2 6 2 2" xfId="23804" xr:uid="{8A71A691-4BEE-4370-8380-8DC6F5AEA7DC}"/>
    <cellStyle name="Normal 8 2 3 2 2 6 2 3" xfId="15363" xr:uid="{FFED6740-1267-4A9A-89E1-3555B1CA6EB8}"/>
    <cellStyle name="Normal 8 2 3 2 2 6 3" xfId="19586" xr:uid="{C991CA4A-7945-486F-8F3A-E90BFEAD3076}"/>
    <cellStyle name="Normal 8 2 3 2 2 6 4" xfId="11145" xr:uid="{25BA7109-E915-4684-9DBE-1A7E7A004198}"/>
    <cellStyle name="Normal 8 2 3 2 2 7" xfId="4856" xr:uid="{00000000-0005-0000-0000-0000A81C0000}"/>
    <cellStyle name="Normal 8 2 3 2 2 7 2" xfId="21739" xr:uid="{1963F2D4-286E-4DCC-BE0F-FFA6DD93793E}"/>
    <cellStyle name="Normal 8 2 3 2 2 7 3" xfId="13298" xr:uid="{5C5332E6-5812-42BF-9173-BEE89D9DE787}"/>
    <cellStyle name="Normal 8 2 3 2 2 8" xfId="17521" xr:uid="{0A4CE4CF-4EDD-4DB7-A446-5F8C7D9F52A8}"/>
    <cellStyle name="Normal 8 2 3 2 2 9" xfId="9080" xr:uid="{4AFC86C9-D2F3-465E-8512-C922E2921DE5}"/>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24296" xr:uid="{31A9FD25-08D5-4AC3-AACB-1C8FF46B14C6}"/>
    <cellStyle name="Normal 8 2 3 2 3 2 2 3" xfId="15855" xr:uid="{E3047D19-00C1-4493-8684-B1E478E81422}"/>
    <cellStyle name="Normal 8 2 3 2 3 2 3" xfId="20078" xr:uid="{17B28D70-1A13-489A-9614-6EAD9C6AFDCE}"/>
    <cellStyle name="Normal 8 2 3 2 3 2 4" xfId="11637" xr:uid="{A7C620B6-B329-4FF2-8857-523DBAE1197A}"/>
    <cellStyle name="Normal 8 2 3 2 3 3" xfId="5268" xr:uid="{00000000-0005-0000-0000-0000AC1C0000}"/>
    <cellStyle name="Normal 8 2 3 2 3 3 2" xfId="22151" xr:uid="{C2739CF1-8BAD-46FD-A6BF-C4ECDE7EDD13}"/>
    <cellStyle name="Normal 8 2 3 2 3 3 3" xfId="13710" xr:uid="{21351926-A26B-4E39-AA9F-C828C8857556}"/>
    <cellStyle name="Normal 8 2 3 2 3 4" xfId="17933" xr:uid="{0CB8BED6-B448-4C00-A460-1A703D2FB036}"/>
    <cellStyle name="Normal 8 2 3 2 3 5" xfId="9492" xr:uid="{B76C1F4A-BC11-4584-BE67-30226B2D736C}"/>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24709" xr:uid="{FBF0FE56-0A02-4D8E-8155-B35904BAD734}"/>
    <cellStyle name="Normal 8 2 3 2 4 2 2 3" xfId="16268" xr:uid="{68C0CEDA-680E-4A09-8C10-2721B473513B}"/>
    <cellStyle name="Normal 8 2 3 2 4 2 3" xfId="20491" xr:uid="{223F7E79-4A04-4DBE-85FC-990FBB9FCE6E}"/>
    <cellStyle name="Normal 8 2 3 2 4 2 4" xfId="12050" xr:uid="{4D096E39-4377-4352-85C7-235EEABBA686}"/>
    <cellStyle name="Normal 8 2 3 2 4 3" xfId="5681" xr:uid="{00000000-0005-0000-0000-0000B01C0000}"/>
    <cellStyle name="Normal 8 2 3 2 4 3 2" xfId="22564" xr:uid="{1136AF18-A9A1-4A6F-9E9C-D8E72B5E1D9F}"/>
    <cellStyle name="Normal 8 2 3 2 4 3 3" xfId="14123" xr:uid="{0AB3BCA9-8A52-45A4-9507-7161089EB8F5}"/>
    <cellStyle name="Normal 8 2 3 2 4 4" xfId="18346" xr:uid="{984BFECF-10C8-4948-8F06-E6ACB788219E}"/>
    <cellStyle name="Normal 8 2 3 2 4 5" xfId="9905" xr:uid="{0F44DE3F-CD4E-4069-9F1A-4E18F69ADC63}"/>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25122" xr:uid="{10EBC644-455C-4CBF-82BC-6A7C6115F59D}"/>
    <cellStyle name="Normal 8 2 3 2 5 2 2 3" xfId="16681" xr:uid="{07836949-64F3-4DA7-ABC2-726122AA3377}"/>
    <cellStyle name="Normal 8 2 3 2 5 2 3" xfId="20904" xr:uid="{02767288-C940-487F-B272-1A04727A8BF7}"/>
    <cellStyle name="Normal 8 2 3 2 5 2 4" xfId="12463" xr:uid="{B06FE12B-CD04-4626-AEEF-DA6392FFC686}"/>
    <cellStyle name="Normal 8 2 3 2 5 3" xfId="6094" xr:uid="{00000000-0005-0000-0000-0000B41C0000}"/>
    <cellStyle name="Normal 8 2 3 2 5 3 2" xfId="22977" xr:uid="{79C283AD-DF39-4B3C-8515-2DBD4D75DB7C}"/>
    <cellStyle name="Normal 8 2 3 2 5 3 3" xfId="14536" xr:uid="{52C41A85-FEB4-417A-8F82-5DE18976A3CC}"/>
    <cellStyle name="Normal 8 2 3 2 5 4" xfId="18759" xr:uid="{B93BD7B1-6719-4417-AF2C-1CB70ECBFDF9}"/>
    <cellStyle name="Normal 8 2 3 2 5 5" xfId="10318" xr:uid="{0F372DA6-B04A-4278-8DF6-4D08A0F53C9D}"/>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25535" xr:uid="{45EE82E9-A3D3-493A-A726-268FA6B85619}"/>
    <cellStyle name="Normal 8 2 3 2 6 2 2 3" xfId="17094" xr:uid="{6075507E-FB5D-49DE-876A-C8FF575A8711}"/>
    <cellStyle name="Normal 8 2 3 2 6 2 3" xfId="21317" xr:uid="{617D95DF-21DB-4893-9798-71FC052C0622}"/>
    <cellStyle name="Normal 8 2 3 2 6 2 4" xfId="12876" xr:uid="{E2683004-40E6-44F3-A86D-D56FF4D1C1EB}"/>
    <cellStyle name="Normal 8 2 3 2 6 3" xfId="6507" xr:uid="{00000000-0005-0000-0000-0000B81C0000}"/>
    <cellStyle name="Normal 8 2 3 2 6 3 2" xfId="23390" xr:uid="{105819AF-95B1-4CDE-BEB7-76A47C50360B}"/>
    <cellStyle name="Normal 8 2 3 2 6 3 3" xfId="14949" xr:uid="{AF8B5E5C-6B66-467E-9F6E-1F8920D551F3}"/>
    <cellStyle name="Normal 8 2 3 2 6 4" xfId="19172" xr:uid="{84B7FB74-B11A-43C8-AC2E-D10D6C45762A}"/>
    <cellStyle name="Normal 8 2 3 2 6 5" xfId="10731" xr:uid="{BDB75978-0861-4809-BFC8-2685D9D0E504}"/>
    <cellStyle name="Normal 8 2 3 2 7" xfId="2636" xr:uid="{00000000-0005-0000-0000-0000B91C0000}"/>
    <cellStyle name="Normal 8 2 3 2 7 2" xfId="6920" xr:uid="{00000000-0005-0000-0000-0000BA1C0000}"/>
    <cellStyle name="Normal 8 2 3 2 7 2 2" xfId="23803" xr:uid="{BA0FEF3A-2F79-4209-840F-3DD922EE397A}"/>
    <cellStyle name="Normal 8 2 3 2 7 2 3" xfId="15362" xr:uid="{A6DBC948-C791-4E13-A157-918E5D24CB55}"/>
    <cellStyle name="Normal 8 2 3 2 7 3" xfId="19585" xr:uid="{BE9193FF-0D09-48EF-A24D-8AE6404ACD47}"/>
    <cellStyle name="Normal 8 2 3 2 7 4" xfId="11144" xr:uid="{3C427733-BB13-4FB0-927E-FECA027EF000}"/>
    <cellStyle name="Normal 8 2 3 2 8" xfId="4855" xr:uid="{00000000-0005-0000-0000-0000BB1C0000}"/>
    <cellStyle name="Normal 8 2 3 2 8 2" xfId="21738" xr:uid="{A7AAB3B0-CA36-4CEC-9E72-B63B016669FE}"/>
    <cellStyle name="Normal 8 2 3 2 8 3" xfId="13297" xr:uid="{F24B4814-64D9-47C3-8C5D-29FBA30AAB7D}"/>
    <cellStyle name="Normal 8 2 3 2 9" xfId="17520" xr:uid="{1BB04368-F48A-4F1F-81F7-ACCF8A7325BE}"/>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24298" xr:uid="{528A008E-5432-4258-A9A3-C57BABAD1F8A}"/>
    <cellStyle name="Normal 8 2 3 3 2 2 2 3" xfId="15857" xr:uid="{EDE62FDC-B94B-416A-9607-9F93315E2264}"/>
    <cellStyle name="Normal 8 2 3 3 2 2 3" xfId="20080" xr:uid="{D3BC5E65-6995-479F-964E-2357E4E0A161}"/>
    <cellStyle name="Normal 8 2 3 3 2 2 4" xfId="11639" xr:uid="{527582B7-30A6-43CA-8853-D81E64E93961}"/>
    <cellStyle name="Normal 8 2 3 3 2 3" xfId="5270" xr:uid="{00000000-0005-0000-0000-0000C01C0000}"/>
    <cellStyle name="Normal 8 2 3 3 2 3 2" xfId="22153" xr:uid="{D2DD4011-93B3-42B8-A73D-D0E13D47B601}"/>
    <cellStyle name="Normal 8 2 3 3 2 3 3" xfId="13712" xr:uid="{A8187829-BB7E-4D53-9BB9-92A28BCA5987}"/>
    <cellStyle name="Normal 8 2 3 3 2 4" xfId="17935" xr:uid="{93A1FBEE-D980-48FB-8EA1-6ABD260FB5B3}"/>
    <cellStyle name="Normal 8 2 3 3 2 5" xfId="9494" xr:uid="{57566EF5-E032-42B9-B5D6-E2DBC82C9774}"/>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24711" xr:uid="{65E15C17-F61A-46E7-8799-21045876FCF6}"/>
    <cellStyle name="Normal 8 2 3 3 3 2 2 3" xfId="16270" xr:uid="{C7A50FC9-C329-4AC2-B406-4B2054812279}"/>
    <cellStyle name="Normal 8 2 3 3 3 2 3" xfId="20493" xr:uid="{F384D1EE-1FDA-442E-807A-07A13D6A6AA0}"/>
    <cellStyle name="Normal 8 2 3 3 3 2 4" xfId="12052" xr:uid="{ADE07618-3B80-4C06-ABB3-C123B3A1E9D3}"/>
    <cellStyle name="Normal 8 2 3 3 3 3" xfId="5683" xr:uid="{00000000-0005-0000-0000-0000C41C0000}"/>
    <cellStyle name="Normal 8 2 3 3 3 3 2" xfId="22566" xr:uid="{B3930D54-5A78-4699-8F8A-582CC8FC2CE2}"/>
    <cellStyle name="Normal 8 2 3 3 3 3 3" xfId="14125" xr:uid="{BC0811DA-F9D3-4C19-B6DC-5DF91E8F9E7F}"/>
    <cellStyle name="Normal 8 2 3 3 3 4" xfId="18348" xr:uid="{4F82E06E-A139-4258-B744-71521A2CB2EE}"/>
    <cellStyle name="Normal 8 2 3 3 3 5" xfId="9907" xr:uid="{4CD726C6-6EEF-4286-8D40-5BD279BC3D1F}"/>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25124" xr:uid="{7027168D-7FA6-4FDD-8D90-4D46418E6148}"/>
    <cellStyle name="Normal 8 2 3 3 4 2 2 3" xfId="16683" xr:uid="{0176C29F-186A-45B7-9AD9-27F4BEFDD2A5}"/>
    <cellStyle name="Normal 8 2 3 3 4 2 3" xfId="20906" xr:uid="{9418ECE7-6032-4635-983C-6813E5CF87E7}"/>
    <cellStyle name="Normal 8 2 3 3 4 2 4" xfId="12465" xr:uid="{F14FC4DD-FF06-445F-B0E7-EF64BFF970B8}"/>
    <cellStyle name="Normal 8 2 3 3 4 3" xfId="6096" xr:uid="{00000000-0005-0000-0000-0000C81C0000}"/>
    <cellStyle name="Normal 8 2 3 3 4 3 2" xfId="22979" xr:uid="{151FAFCD-B58C-4B92-B39D-D8BA0510D9FC}"/>
    <cellStyle name="Normal 8 2 3 3 4 3 3" xfId="14538" xr:uid="{ABDD0F65-4B95-4C2D-B931-3A8A9837D108}"/>
    <cellStyle name="Normal 8 2 3 3 4 4" xfId="18761" xr:uid="{D16CACA3-59FB-464E-83DE-3924A2128B62}"/>
    <cellStyle name="Normal 8 2 3 3 4 5" xfId="10320" xr:uid="{5FBD4B8E-B956-45D5-9453-5D57B0C73CF0}"/>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25537" xr:uid="{1C7F2301-ACB0-47C6-9455-38FECCE359DB}"/>
    <cellStyle name="Normal 8 2 3 3 5 2 2 3" xfId="17096" xr:uid="{34281723-FEC9-4CDB-9FD9-DDF048C4A854}"/>
    <cellStyle name="Normal 8 2 3 3 5 2 3" xfId="21319" xr:uid="{6C133059-3A5C-4E3C-8294-87601C1C1ED4}"/>
    <cellStyle name="Normal 8 2 3 3 5 2 4" xfId="12878" xr:uid="{35180A59-0642-4349-B52B-64C6CE8ECEAB}"/>
    <cellStyle name="Normal 8 2 3 3 5 3" xfId="6509" xr:uid="{00000000-0005-0000-0000-0000CC1C0000}"/>
    <cellStyle name="Normal 8 2 3 3 5 3 2" xfId="23392" xr:uid="{281AE291-992B-45F4-9DF2-88B4A97CAF56}"/>
    <cellStyle name="Normal 8 2 3 3 5 3 3" xfId="14951" xr:uid="{DE135D12-307D-4C3B-81ED-7B5202DD8B8E}"/>
    <cellStyle name="Normal 8 2 3 3 5 4" xfId="19174" xr:uid="{71CC23DC-F34E-4D7D-A642-A6FCF4095872}"/>
    <cellStyle name="Normal 8 2 3 3 5 5" xfId="10733" xr:uid="{4ECB60A5-94FF-4821-9964-E1ABB5A7E572}"/>
    <cellStyle name="Normal 8 2 3 3 6" xfId="2638" xr:uid="{00000000-0005-0000-0000-0000CD1C0000}"/>
    <cellStyle name="Normal 8 2 3 3 6 2" xfId="6922" xr:uid="{00000000-0005-0000-0000-0000CE1C0000}"/>
    <cellStyle name="Normal 8 2 3 3 6 2 2" xfId="23805" xr:uid="{64CB47F2-49AA-4DC6-9A87-3EF2D9BE1B5C}"/>
    <cellStyle name="Normal 8 2 3 3 6 2 3" xfId="15364" xr:uid="{4BB72745-37BA-41A6-B73D-FC5C65C1BF4D}"/>
    <cellStyle name="Normal 8 2 3 3 6 3" xfId="19587" xr:uid="{010004F6-30B9-4088-94A7-A6EBF8FD5297}"/>
    <cellStyle name="Normal 8 2 3 3 6 4" xfId="11146" xr:uid="{31E0EB30-3F7D-4E54-B54A-392C01504BC3}"/>
    <cellStyle name="Normal 8 2 3 3 7" xfId="4857" xr:uid="{00000000-0005-0000-0000-0000CF1C0000}"/>
    <cellStyle name="Normal 8 2 3 3 7 2" xfId="21740" xr:uid="{00AA1295-BF03-455C-AB0F-C0EBBDDFAF1A}"/>
    <cellStyle name="Normal 8 2 3 3 7 3" xfId="13299" xr:uid="{44906380-54F5-4F12-8572-87BA48154012}"/>
    <cellStyle name="Normal 8 2 3 3 8" xfId="17522" xr:uid="{B16C439F-48B5-40E7-B5D1-52ADC5289101}"/>
    <cellStyle name="Normal 8 2 3 3 9" xfId="9081" xr:uid="{90C01A58-8FB8-4720-89CC-DC9435B6818A}"/>
    <cellStyle name="Normal 8 2 3 4" xfId="955" xr:uid="{00000000-0005-0000-0000-0000D01C0000}"/>
    <cellStyle name="Normal 8 2 3 4 2" xfId="3189" xr:uid="{00000000-0005-0000-0000-0000D11C0000}"/>
    <cellStyle name="Normal 8 2 3 4 2 2" xfId="7412" xr:uid="{00000000-0005-0000-0000-0000D21C0000}"/>
    <cellStyle name="Normal 8 2 3 4 2 2 2" xfId="24295" xr:uid="{7A2128E8-497A-414F-A1B8-543222104C80}"/>
    <cellStyle name="Normal 8 2 3 4 2 2 3" xfId="15854" xr:uid="{77F9F720-1273-4D4C-9393-A918F5A1B509}"/>
    <cellStyle name="Normal 8 2 3 4 2 3" xfId="20077" xr:uid="{BCDE33AF-196B-4B7A-A310-B55C9EB42881}"/>
    <cellStyle name="Normal 8 2 3 4 2 4" xfId="11636" xr:uid="{4E9708BD-3B2B-4DFA-816E-4E0B46C9CAFB}"/>
    <cellStyle name="Normal 8 2 3 4 3" xfId="5267" xr:uid="{00000000-0005-0000-0000-0000D31C0000}"/>
    <cellStyle name="Normal 8 2 3 4 3 2" xfId="22150" xr:uid="{6CAFD92C-73E0-4B4B-B3A3-DF4C25232A8F}"/>
    <cellStyle name="Normal 8 2 3 4 3 3" xfId="13709" xr:uid="{B4B8AF62-75CC-45B7-8510-CB751500B3F3}"/>
    <cellStyle name="Normal 8 2 3 4 4" xfId="17932" xr:uid="{43906A7A-0C0B-45E1-9707-50A4903503BB}"/>
    <cellStyle name="Normal 8 2 3 4 5" xfId="9491" xr:uid="{9E1DDE79-7948-4E73-8D17-8932185F8D2A}"/>
    <cellStyle name="Normal 8 2 3 5" xfId="1372" xr:uid="{00000000-0005-0000-0000-0000D41C0000}"/>
    <cellStyle name="Normal 8 2 3 5 2" xfId="3602" xr:uid="{00000000-0005-0000-0000-0000D51C0000}"/>
    <cellStyle name="Normal 8 2 3 5 2 2" xfId="7825" xr:uid="{00000000-0005-0000-0000-0000D61C0000}"/>
    <cellStyle name="Normal 8 2 3 5 2 2 2" xfId="24708" xr:uid="{8CF9E7C9-6CB9-4D8B-A849-E4C3D6602EB3}"/>
    <cellStyle name="Normal 8 2 3 5 2 2 3" xfId="16267" xr:uid="{737F77D1-D8C5-425A-8055-5E8CC47131AF}"/>
    <cellStyle name="Normal 8 2 3 5 2 3" xfId="20490" xr:uid="{3F6E87C8-E4CF-4820-AA66-655DE0C6B73E}"/>
    <cellStyle name="Normal 8 2 3 5 2 4" xfId="12049" xr:uid="{39625403-6994-4A7A-91CF-58C26B72F1CD}"/>
    <cellStyle name="Normal 8 2 3 5 3" xfId="5680" xr:uid="{00000000-0005-0000-0000-0000D71C0000}"/>
    <cellStyle name="Normal 8 2 3 5 3 2" xfId="22563" xr:uid="{35FC68BE-A443-4CAF-AD78-A0707B84CADB}"/>
    <cellStyle name="Normal 8 2 3 5 3 3" xfId="14122" xr:uid="{33272B03-C728-4715-8A26-0C033BE72B46}"/>
    <cellStyle name="Normal 8 2 3 5 4" xfId="18345" xr:uid="{C5DA4C6D-2F34-472F-A1C9-5921DACE9D74}"/>
    <cellStyle name="Normal 8 2 3 5 5" xfId="9904" xr:uid="{E4DFADAA-1831-4AA0-A592-446CDFA4B8B3}"/>
    <cellStyle name="Normal 8 2 3 6" xfId="1785" xr:uid="{00000000-0005-0000-0000-0000D81C0000}"/>
    <cellStyle name="Normal 8 2 3 6 2" xfId="4015" xr:uid="{00000000-0005-0000-0000-0000D91C0000}"/>
    <cellStyle name="Normal 8 2 3 6 2 2" xfId="8238" xr:uid="{00000000-0005-0000-0000-0000DA1C0000}"/>
    <cellStyle name="Normal 8 2 3 6 2 2 2" xfId="25121" xr:uid="{226C9A9E-AAE6-4D3C-8BE0-39DE6E2663BB}"/>
    <cellStyle name="Normal 8 2 3 6 2 2 3" xfId="16680" xr:uid="{5C76F784-B598-404D-8DCA-3209B350D46F}"/>
    <cellStyle name="Normal 8 2 3 6 2 3" xfId="20903" xr:uid="{52ACADAC-6E02-4730-A31D-D2A03E83DF65}"/>
    <cellStyle name="Normal 8 2 3 6 2 4" xfId="12462" xr:uid="{A1FD570B-35DC-47B9-9A46-2DADDD2B2567}"/>
    <cellStyle name="Normal 8 2 3 6 3" xfId="6093" xr:uid="{00000000-0005-0000-0000-0000DB1C0000}"/>
    <cellStyle name="Normal 8 2 3 6 3 2" xfId="22976" xr:uid="{939B51C1-119B-46A9-99FB-479A3E51CA2D}"/>
    <cellStyle name="Normal 8 2 3 6 3 3" xfId="14535" xr:uid="{B09CFBAA-3EB5-4C76-A75B-27B6A7FEE582}"/>
    <cellStyle name="Normal 8 2 3 6 4" xfId="18758" xr:uid="{5A9670A6-9A38-46DF-8033-593097A6A028}"/>
    <cellStyle name="Normal 8 2 3 6 5" xfId="10317" xr:uid="{F3BA758F-8100-4A87-B29C-502D6DBADFF5}"/>
    <cellStyle name="Normal 8 2 3 7" xfId="2199" xr:uid="{00000000-0005-0000-0000-0000DC1C0000}"/>
    <cellStyle name="Normal 8 2 3 7 2" xfId="4428" xr:uid="{00000000-0005-0000-0000-0000DD1C0000}"/>
    <cellStyle name="Normal 8 2 3 7 2 2" xfId="8651" xr:uid="{00000000-0005-0000-0000-0000DE1C0000}"/>
    <cellStyle name="Normal 8 2 3 7 2 2 2" xfId="25534" xr:uid="{2E54012D-111E-4484-8511-470E19C8C3DA}"/>
    <cellStyle name="Normal 8 2 3 7 2 2 3" xfId="17093" xr:uid="{22EBBDC5-7529-4058-A715-D20113A12D02}"/>
    <cellStyle name="Normal 8 2 3 7 2 3" xfId="21316" xr:uid="{9B570875-699C-4B8F-82BD-5EDD1FF08E63}"/>
    <cellStyle name="Normal 8 2 3 7 2 4" xfId="12875" xr:uid="{71D02016-441F-45C9-9926-7F0EBB0A971F}"/>
    <cellStyle name="Normal 8 2 3 7 3" xfId="6506" xr:uid="{00000000-0005-0000-0000-0000DF1C0000}"/>
    <cellStyle name="Normal 8 2 3 7 3 2" xfId="23389" xr:uid="{8F7A6D62-83B2-4C76-A72E-E8BEE2882AC1}"/>
    <cellStyle name="Normal 8 2 3 7 3 3" xfId="14948" xr:uid="{D21A2FA8-9E6B-4AD3-BA03-DD5483A29C14}"/>
    <cellStyle name="Normal 8 2 3 7 4" xfId="19171" xr:uid="{A52E72EC-90E3-436B-97BE-B08E1DA9ABEE}"/>
    <cellStyle name="Normal 8 2 3 7 5" xfId="10730" xr:uid="{3B1796BC-2838-4D4A-9101-E79464A4031A}"/>
    <cellStyle name="Normal 8 2 3 8" xfId="2635" xr:uid="{00000000-0005-0000-0000-0000E01C0000}"/>
    <cellStyle name="Normal 8 2 3 8 2" xfId="6919" xr:uid="{00000000-0005-0000-0000-0000E11C0000}"/>
    <cellStyle name="Normal 8 2 3 8 2 2" xfId="23802" xr:uid="{D46344C4-2FFB-4048-A03E-21D5183E05CB}"/>
    <cellStyle name="Normal 8 2 3 8 2 3" xfId="15361" xr:uid="{13DD3203-B240-4CD9-9554-C86A24565274}"/>
    <cellStyle name="Normal 8 2 3 8 3" xfId="19584" xr:uid="{FFE46DEE-FDD6-4EE7-97CD-BAC5D50168FB}"/>
    <cellStyle name="Normal 8 2 3 8 4" xfId="11143" xr:uid="{A5659951-B85F-408C-BE70-386A6DE012C3}"/>
    <cellStyle name="Normal 8 2 3 9" xfId="4854" xr:uid="{00000000-0005-0000-0000-0000E21C0000}"/>
    <cellStyle name="Normal 8 2 3 9 2" xfId="21737" xr:uid="{53342F0A-831A-40E6-A7BC-ED5A7E850EE5}"/>
    <cellStyle name="Normal 8 2 3 9 3" xfId="13296" xr:uid="{A9B5DBE3-27D5-4170-94F7-8121C62653BC}"/>
    <cellStyle name="Normal 8 2 4" xfId="492" xr:uid="{00000000-0005-0000-0000-0000E31C0000}"/>
    <cellStyle name="Normal 8 2 4 10" xfId="9082" xr:uid="{91F40710-C3A8-491F-95B5-9E678AAEA361}"/>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24300" xr:uid="{048EC3E4-E885-4748-8A35-45FCA7BBCB80}"/>
    <cellStyle name="Normal 8 2 4 2 2 2 2 3" xfId="15859" xr:uid="{CCD46222-1028-485C-B517-6B5629898D48}"/>
    <cellStyle name="Normal 8 2 4 2 2 2 3" xfId="20082" xr:uid="{31A874D4-36F9-4E08-8D2C-CF6100F98F67}"/>
    <cellStyle name="Normal 8 2 4 2 2 2 4" xfId="11641" xr:uid="{D4A5BA80-68B5-488E-BA4F-B258363A5C25}"/>
    <cellStyle name="Normal 8 2 4 2 2 3" xfId="5272" xr:uid="{00000000-0005-0000-0000-0000E81C0000}"/>
    <cellStyle name="Normal 8 2 4 2 2 3 2" xfId="22155" xr:uid="{CC230606-089C-47E1-AA86-EFB1365795EC}"/>
    <cellStyle name="Normal 8 2 4 2 2 3 3" xfId="13714" xr:uid="{5129B588-A825-4D6A-B3E7-0AC72DF8F42F}"/>
    <cellStyle name="Normal 8 2 4 2 2 4" xfId="17937" xr:uid="{F3B971AE-4A2A-4DE3-A994-0A8FB4BC93FF}"/>
    <cellStyle name="Normal 8 2 4 2 2 5" xfId="9496" xr:uid="{4007B4D1-D101-4B07-A396-6EC216C4AF71}"/>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24713" xr:uid="{6CEEC706-3948-461E-B56C-314BF5C2432B}"/>
    <cellStyle name="Normal 8 2 4 2 3 2 2 3" xfId="16272" xr:uid="{CBF87541-F489-47E8-B3A0-67720EBF91AD}"/>
    <cellStyle name="Normal 8 2 4 2 3 2 3" xfId="20495" xr:uid="{AA8DD746-471B-4F93-87F6-12924949C0AC}"/>
    <cellStyle name="Normal 8 2 4 2 3 2 4" xfId="12054" xr:uid="{B38065A0-7CD0-42CC-9990-8216BC403640}"/>
    <cellStyle name="Normal 8 2 4 2 3 3" xfId="5685" xr:uid="{00000000-0005-0000-0000-0000EC1C0000}"/>
    <cellStyle name="Normal 8 2 4 2 3 3 2" xfId="22568" xr:uid="{105D35C0-622C-44A1-8458-61CF84863CB5}"/>
    <cellStyle name="Normal 8 2 4 2 3 3 3" xfId="14127" xr:uid="{29215F6E-1CE2-4ED3-BE80-60A8765CB5BC}"/>
    <cellStyle name="Normal 8 2 4 2 3 4" xfId="18350" xr:uid="{C7B61762-EB32-4993-9F3B-289C77B81D0E}"/>
    <cellStyle name="Normal 8 2 4 2 3 5" xfId="9909" xr:uid="{E30B3214-444E-45AE-B272-63CC62BF3FD2}"/>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25126" xr:uid="{54949874-6EC9-4751-9CFF-36B697B019D4}"/>
    <cellStyle name="Normal 8 2 4 2 4 2 2 3" xfId="16685" xr:uid="{7802A74C-492A-4901-9D51-E3CEA6600DB7}"/>
    <cellStyle name="Normal 8 2 4 2 4 2 3" xfId="20908" xr:uid="{0EF9A5EE-A399-4223-968A-9D400F897F21}"/>
    <cellStyle name="Normal 8 2 4 2 4 2 4" xfId="12467" xr:uid="{434F7FF0-B00F-4F02-AE43-4A0ECBDCB77D}"/>
    <cellStyle name="Normal 8 2 4 2 4 3" xfId="6098" xr:uid="{00000000-0005-0000-0000-0000F01C0000}"/>
    <cellStyle name="Normal 8 2 4 2 4 3 2" xfId="22981" xr:uid="{79D863AD-C8E8-485B-8897-A0CA33846843}"/>
    <cellStyle name="Normal 8 2 4 2 4 3 3" xfId="14540" xr:uid="{912E4D52-4448-4523-90F3-B66BF6898B91}"/>
    <cellStyle name="Normal 8 2 4 2 4 4" xfId="18763" xr:uid="{39D5FCD5-284F-427F-A3F5-F49BEAB141A8}"/>
    <cellStyle name="Normal 8 2 4 2 4 5" xfId="10322" xr:uid="{D87FF6E2-11EA-45C4-876D-58B432BC8CCD}"/>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25539" xr:uid="{37E726CD-AE65-4D2A-9BC7-7032B82380E7}"/>
    <cellStyle name="Normal 8 2 4 2 5 2 2 3" xfId="17098" xr:uid="{FF3D4C14-6DB8-4F35-BDA9-F613C757DE29}"/>
    <cellStyle name="Normal 8 2 4 2 5 2 3" xfId="21321" xr:uid="{D554B0EB-2560-40E8-967E-94833F1E5D73}"/>
    <cellStyle name="Normal 8 2 4 2 5 2 4" xfId="12880" xr:uid="{439DD34B-F5CF-4E91-B1E5-7C9A34E0DA2C}"/>
    <cellStyle name="Normal 8 2 4 2 5 3" xfId="6511" xr:uid="{00000000-0005-0000-0000-0000F41C0000}"/>
    <cellStyle name="Normal 8 2 4 2 5 3 2" xfId="23394" xr:uid="{51A205BA-4760-4553-B177-70E5D5759763}"/>
    <cellStyle name="Normal 8 2 4 2 5 3 3" xfId="14953" xr:uid="{57AAB856-5991-4A15-A96B-F395644E3956}"/>
    <cellStyle name="Normal 8 2 4 2 5 4" xfId="19176" xr:uid="{173D0DF5-9282-4DC9-895C-6BD7D02042CF}"/>
    <cellStyle name="Normal 8 2 4 2 5 5" xfId="10735" xr:uid="{18853F7A-233F-48FF-894A-A6083B853C9B}"/>
    <cellStyle name="Normal 8 2 4 2 6" xfId="2640" xr:uid="{00000000-0005-0000-0000-0000F51C0000}"/>
    <cellStyle name="Normal 8 2 4 2 6 2" xfId="6924" xr:uid="{00000000-0005-0000-0000-0000F61C0000}"/>
    <cellStyle name="Normal 8 2 4 2 6 2 2" xfId="23807" xr:uid="{E12BDB91-F67E-4C04-AC6F-C1BC9DC11EAB}"/>
    <cellStyle name="Normal 8 2 4 2 6 2 3" xfId="15366" xr:uid="{CEDEC12C-BA83-4C9C-B3AF-3958BAFAC9BC}"/>
    <cellStyle name="Normal 8 2 4 2 6 3" xfId="19589" xr:uid="{6245A2D5-86CB-4844-AC73-F20A05A97E34}"/>
    <cellStyle name="Normal 8 2 4 2 6 4" xfId="11148" xr:uid="{3B687433-4469-45BA-9750-01BC467022AB}"/>
    <cellStyle name="Normal 8 2 4 2 7" xfId="4859" xr:uid="{00000000-0005-0000-0000-0000F71C0000}"/>
    <cellStyle name="Normal 8 2 4 2 7 2" xfId="21742" xr:uid="{7E4E67FE-1413-4750-9A59-D4899AC933F6}"/>
    <cellStyle name="Normal 8 2 4 2 7 3" xfId="13301" xr:uid="{3CF1F6D7-CEB4-4671-9676-5ADEE8FC2A1E}"/>
    <cellStyle name="Normal 8 2 4 2 8" xfId="17524" xr:uid="{A639BB01-6B9A-437F-8AB8-9C0F6DE173ED}"/>
    <cellStyle name="Normal 8 2 4 2 9" xfId="9083" xr:uid="{B642986B-C652-4781-A876-485EC45741CF}"/>
    <cellStyle name="Normal 8 2 4 3" xfId="959" xr:uid="{00000000-0005-0000-0000-0000F81C0000}"/>
    <cellStyle name="Normal 8 2 4 3 2" xfId="3193" xr:uid="{00000000-0005-0000-0000-0000F91C0000}"/>
    <cellStyle name="Normal 8 2 4 3 2 2" xfId="7416" xr:uid="{00000000-0005-0000-0000-0000FA1C0000}"/>
    <cellStyle name="Normal 8 2 4 3 2 2 2" xfId="24299" xr:uid="{DF65C107-1FBE-46C8-A080-6623034B3878}"/>
    <cellStyle name="Normal 8 2 4 3 2 2 3" xfId="15858" xr:uid="{D6078C94-AE51-4B82-8183-DA977F5AED87}"/>
    <cellStyle name="Normal 8 2 4 3 2 3" xfId="20081" xr:uid="{F26EDD40-6EC4-4DE0-B58A-D551E4C7FFB0}"/>
    <cellStyle name="Normal 8 2 4 3 2 4" xfId="11640" xr:uid="{A5ED4567-DC87-4227-8232-76153FE908AE}"/>
    <cellStyle name="Normal 8 2 4 3 3" xfId="5271" xr:uid="{00000000-0005-0000-0000-0000FB1C0000}"/>
    <cellStyle name="Normal 8 2 4 3 3 2" xfId="22154" xr:uid="{A1DD000B-594C-4A1D-B1DE-41991B781496}"/>
    <cellStyle name="Normal 8 2 4 3 3 3" xfId="13713" xr:uid="{D132411E-C4DE-4E7C-B275-18169EE613FB}"/>
    <cellStyle name="Normal 8 2 4 3 4" xfId="17936" xr:uid="{E7D590B0-72F5-4916-9B24-2521DC0B37C7}"/>
    <cellStyle name="Normal 8 2 4 3 5" xfId="9495" xr:uid="{3C1FA2A4-3194-4046-B492-853203187806}"/>
    <cellStyle name="Normal 8 2 4 4" xfId="1376" xr:uid="{00000000-0005-0000-0000-0000FC1C0000}"/>
    <cellStyle name="Normal 8 2 4 4 2" xfId="3606" xr:uid="{00000000-0005-0000-0000-0000FD1C0000}"/>
    <cellStyle name="Normal 8 2 4 4 2 2" xfId="7829" xr:uid="{00000000-0005-0000-0000-0000FE1C0000}"/>
    <cellStyle name="Normal 8 2 4 4 2 2 2" xfId="24712" xr:uid="{E91B11D4-506A-417B-AD55-66DA5E4437EF}"/>
    <cellStyle name="Normal 8 2 4 4 2 2 3" xfId="16271" xr:uid="{3DCD6A66-CA58-4103-B489-503522EBA849}"/>
    <cellStyle name="Normal 8 2 4 4 2 3" xfId="20494" xr:uid="{963EBF0F-01B0-46F9-BA11-EA81A3BCC2FC}"/>
    <cellStyle name="Normal 8 2 4 4 2 4" xfId="12053" xr:uid="{6CB5531C-193E-467F-A3A1-33E5C0082D64}"/>
    <cellStyle name="Normal 8 2 4 4 3" xfId="5684" xr:uid="{00000000-0005-0000-0000-0000FF1C0000}"/>
    <cellStyle name="Normal 8 2 4 4 3 2" xfId="22567" xr:uid="{A584F4A6-4FDC-49FA-855B-5FA6360805F2}"/>
    <cellStyle name="Normal 8 2 4 4 3 3" xfId="14126" xr:uid="{D47F6FBB-BB44-4644-B787-A12B29EBF136}"/>
    <cellStyle name="Normal 8 2 4 4 4" xfId="18349" xr:uid="{6244AF2E-8663-48B1-9EE6-4B93D5BFBDA2}"/>
    <cellStyle name="Normal 8 2 4 4 5" xfId="9908" xr:uid="{8FB9E9D6-5BF4-4858-AABA-4C221A0B30EC}"/>
    <cellStyle name="Normal 8 2 4 5" xfId="1789" xr:uid="{00000000-0005-0000-0000-0000001D0000}"/>
    <cellStyle name="Normal 8 2 4 5 2" xfId="4019" xr:uid="{00000000-0005-0000-0000-0000011D0000}"/>
    <cellStyle name="Normal 8 2 4 5 2 2" xfId="8242" xr:uid="{00000000-0005-0000-0000-0000021D0000}"/>
    <cellStyle name="Normal 8 2 4 5 2 2 2" xfId="25125" xr:uid="{A24A1CDA-C184-4DA1-8DB8-F63CF70636EC}"/>
    <cellStyle name="Normal 8 2 4 5 2 2 3" xfId="16684" xr:uid="{8A11D884-1761-4923-8E41-6228BFCA185C}"/>
    <cellStyle name="Normal 8 2 4 5 2 3" xfId="20907" xr:uid="{9FBEE952-53AA-4D62-92FB-EEC1B2CB9B01}"/>
    <cellStyle name="Normal 8 2 4 5 2 4" xfId="12466" xr:uid="{272DC2D1-FEBF-41E8-AE78-D393C3AFD542}"/>
    <cellStyle name="Normal 8 2 4 5 3" xfId="6097" xr:uid="{00000000-0005-0000-0000-0000031D0000}"/>
    <cellStyle name="Normal 8 2 4 5 3 2" xfId="22980" xr:uid="{90619FCC-A029-41D8-94CA-893F7AF99F23}"/>
    <cellStyle name="Normal 8 2 4 5 3 3" xfId="14539" xr:uid="{89E1E5A7-5ED8-4554-8B13-5D1799E51632}"/>
    <cellStyle name="Normal 8 2 4 5 4" xfId="18762" xr:uid="{F56E8615-F55A-4E8E-B7BC-ECE70DE71E52}"/>
    <cellStyle name="Normal 8 2 4 5 5" xfId="10321" xr:uid="{86E1F41D-F49A-4E06-849D-9366EA64D041}"/>
    <cellStyle name="Normal 8 2 4 6" xfId="2203" xr:uid="{00000000-0005-0000-0000-0000041D0000}"/>
    <cellStyle name="Normal 8 2 4 6 2" xfId="4432" xr:uid="{00000000-0005-0000-0000-0000051D0000}"/>
    <cellStyle name="Normal 8 2 4 6 2 2" xfId="8655" xr:uid="{00000000-0005-0000-0000-0000061D0000}"/>
    <cellStyle name="Normal 8 2 4 6 2 2 2" xfId="25538" xr:uid="{D3BAA1A0-5B19-41DC-9C55-04DF8A8AD419}"/>
    <cellStyle name="Normal 8 2 4 6 2 2 3" xfId="17097" xr:uid="{BD98AC3E-6637-4951-8D82-3A3030B32FE7}"/>
    <cellStyle name="Normal 8 2 4 6 2 3" xfId="21320" xr:uid="{3FABB47C-8D79-4FB9-9919-3090D6B16145}"/>
    <cellStyle name="Normal 8 2 4 6 2 4" xfId="12879" xr:uid="{03C5D145-8461-49E6-A6C6-877BB26142AE}"/>
    <cellStyle name="Normal 8 2 4 6 3" xfId="6510" xr:uid="{00000000-0005-0000-0000-0000071D0000}"/>
    <cellStyle name="Normal 8 2 4 6 3 2" xfId="23393" xr:uid="{EC1D3981-2BB5-4838-B37F-4976BEECC71A}"/>
    <cellStyle name="Normal 8 2 4 6 3 3" xfId="14952" xr:uid="{DFFEAAC3-036D-4DC2-935F-11A094DE0678}"/>
    <cellStyle name="Normal 8 2 4 6 4" xfId="19175" xr:uid="{6DF912D0-9434-4621-869B-FA239ADD75DA}"/>
    <cellStyle name="Normal 8 2 4 6 5" xfId="10734" xr:uid="{51295F8F-DDC3-4C0B-ADA0-E1730655C720}"/>
    <cellStyle name="Normal 8 2 4 7" xfId="2639" xr:uid="{00000000-0005-0000-0000-0000081D0000}"/>
    <cellStyle name="Normal 8 2 4 7 2" xfId="6923" xr:uid="{00000000-0005-0000-0000-0000091D0000}"/>
    <cellStyle name="Normal 8 2 4 7 2 2" xfId="23806" xr:uid="{7B0B8511-1632-49A8-9726-0A3367E29DB6}"/>
    <cellStyle name="Normal 8 2 4 7 2 3" xfId="15365" xr:uid="{E297FBC8-BCAF-483C-B699-45B9C8B1809B}"/>
    <cellStyle name="Normal 8 2 4 7 3" xfId="19588" xr:uid="{B036F662-7DE9-478D-9456-F500C30AE6EC}"/>
    <cellStyle name="Normal 8 2 4 7 4" xfId="11147" xr:uid="{209C6397-BA59-4DCF-A623-D9B4D74A9D4E}"/>
    <cellStyle name="Normal 8 2 4 8" xfId="4858" xr:uid="{00000000-0005-0000-0000-00000A1D0000}"/>
    <cellStyle name="Normal 8 2 4 8 2" xfId="21741" xr:uid="{2C5E1853-8DD7-4E71-8448-2D2E521E7504}"/>
    <cellStyle name="Normal 8 2 4 8 3" xfId="13300" xr:uid="{90D94901-1FE5-40D8-A565-F1E46DB373C8}"/>
    <cellStyle name="Normal 8 2 4 9" xfId="17523" xr:uid="{3C31E529-0A82-4ACF-A556-28406F4C426A}"/>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24301" xr:uid="{F443119D-9A8F-4C18-B028-0AD39D40E260}"/>
    <cellStyle name="Normal 8 2 5 2 2 2 3" xfId="15860" xr:uid="{D85B34BC-3422-4FDF-BD45-D34925AEE8D2}"/>
    <cellStyle name="Normal 8 2 5 2 2 3" xfId="20083" xr:uid="{B4B99BCE-5F3B-46AF-9439-B58DB73C3946}"/>
    <cellStyle name="Normal 8 2 5 2 2 4" xfId="11642" xr:uid="{86CBF03D-516D-4A76-830A-ECB46A501345}"/>
    <cellStyle name="Normal 8 2 5 2 3" xfId="5273" xr:uid="{00000000-0005-0000-0000-00000F1D0000}"/>
    <cellStyle name="Normal 8 2 5 2 3 2" xfId="22156" xr:uid="{00966129-7D51-4CEE-850E-8DCD44CCF15C}"/>
    <cellStyle name="Normal 8 2 5 2 3 3" xfId="13715" xr:uid="{F3DF869A-DC5B-410A-8F49-CB37D649E9C3}"/>
    <cellStyle name="Normal 8 2 5 2 4" xfId="17938" xr:uid="{62839ECF-9B49-422D-811C-0DC5654380F3}"/>
    <cellStyle name="Normal 8 2 5 2 5" xfId="9497" xr:uid="{643D47F9-52B9-4881-BF1F-F31DCD8083C4}"/>
    <cellStyle name="Normal 8 2 5 3" xfId="1378" xr:uid="{00000000-0005-0000-0000-0000101D0000}"/>
    <cellStyle name="Normal 8 2 5 3 2" xfId="3608" xr:uid="{00000000-0005-0000-0000-0000111D0000}"/>
    <cellStyle name="Normal 8 2 5 3 2 2" xfId="7831" xr:uid="{00000000-0005-0000-0000-0000121D0000}"/>
    <cellStyle name="Normal 8 2 5 3 2 2 2" xfId="24714" xr:uid="{D472B74E-C3F3-4463-BC3C-AA62BA6239B8}"/>
    <cellStyle name="Normal 8 2 5 3 2 2 3" xfId="16273" xr:uid="{361CBC89-103E-499C-98A0-4E4B2E633269}"/>
    <cellStyle name="Normal 8 2 5 3 2 3" xfId="20496" xr:uid="{0C5CE804-7DD6-4CA9-8118-E1DE975E9630}"/>
    <cellStyle name="Normal 8 2 5 3 2 4" xfId="12055" xr:uid="{EECBB11C-5F01-4698-8A02-F023261CCA6C}"/>
    <cellStyle name="Normal 8 2 5 3 3" xfId="5686" xr:uid="{00000000-0005-0000-0000-0000131D0000}"/>
    <cellStyle name="Normal 8 2 5 3 3 2" xfId="22569" xr:uid="{62298EF6-B472-4ADD-92BC-2C56194ACB2E}"/>
    <cellStyle name="Normal 8 2 5 3 3 3" xfId="14128" xr:uid="{DD02BE86-6845-4A1E-A552-33673AB77D8F}"/>
    <cellStyle name="Normal 8 2 5 3 4" xfId="18351" xr:uid="{60FF751C-F6E3-4505-BC95-D78A27DEF7B2}"/>
    <cellStyle name="Normal 8 2 5 3 5" xfId="9910" xr:uid="{C6D66BD3-CD0E-421A-AECC-D4769F62CFBF}"/>
    <cellStyle name="Normal 8 2 5 4" xfId="1791" xr:uid="{00000000-0005-0000-0000-0000141D0000}"/>
    <cellStyle name="Normal 8 2 5 4 2" xfId="4021" xr:uid="{00000000-0005-0000-0000-0000151D0000}"/>
    <cellStyle name="Normal 8 2 5 4 2 2" xfId="8244" xr:uid="{00000000-0005-0000-0000-0000161D0000}"/>
    <cellStyle name="Normal 8 2 5 4 2 2 2" xfId="25127" xr:uid="{87F06353-88E3-452D-BA2E-5F3D3488BF97}"/>
    <cellStyle name="Normal 8 2 5 4 2 2 3" xfId="16686" xr:uid="{40DA96BE-24D2-412E-906F-BDE45F384BA3}"/>
    <cellStyle name="Normal 8 2 5 4 2 3" xfId="20909" xr:uid="{676B128D-D316-4DB6-AC37-1441365B21EE}"/>
    <cellStyle name="Normal 8 2 5 4 2 4" xfId="12468" xr:uid="{280DBDBD-C1B0-4ECB-B2BB-2F63CF2BF49F}"/>
    <cellStyle name="Normal 8 2 5 4 3" xfId="6099" xr:uid="{00000000-0005-0000-0000-0000171D0000}"/>
    <cellStyle name="Normal 8 2 5 4 3 2" xfId="22982" xr:uid="{DB70A079-1A6D-448D-9970-A8C2D5A0FA3C}"/>
    <cellStyle name="Normal 8 2 5 4 3 3" xfId="14541" xr:uid="{231458C3-A166-474D-A4D6-EF0A0D05AF25}"/>
    <cellStyle name="Normal 8 2 5 4 4" xfId="18764" xr:uid="{8A708E25-75CB-457E-BC8F-D3386381E3C2}"/>
    <cellStyle name="Normal 8 2 5 4 5" xfId="10323" xr:uid="{DBD9BA6F-7755-4E05-92E8-386965D16FC4}"/>
    <cellStyle name="Normal 8 2 5 5" xfId="2205" xr:uid="{00000000-0005-0000-0000-0000181D0000}"/>
    <cellStyle name="Normal 8 2 5 5 2" xfId="4434" xr:uid="{00000000-0005-0000-0000-0000191D0000}"/>
    <cellStyle name="Normal 8 2 5 5 2 2" xfId="8657" xr:uid="{00000000-0005-0000-0000-00001A1D0000}"/>
    <cellStyle name="Normal 8 2 5 5 2 2 2" xfId="25540" xr:uid="{2F03F8DA-DE1D-4921-BADA-4BE9DCF1A82F}"/>
    <cellStyle name="Normal 8 2 5 5 2 2 3" xfId="17099" xr:uid="{82C037E2-F48E-4B2C-887C-587E5BDB7039}"/>
    <cellStyle name="Normal 8 2 5 5 2 3" xfId="21322" xr:uid="{0044C9F3-BF51-4590-A9D8-89EA89560E0E}"/>
    <cellStyle name="Normal 8 2 5 5 2 4" xfId="12881" xr:uid="{D17880E2-A570-4984-89BC-21C4E03587C0}"/>
    <cellStyle name="Normal 8 2 5 5 3" xfId="6512" xr:uid="{00000000-0005-0000-0000-00001B1D0000}"/>
    <cellStyle name="Normal 8 2 5 5 3 2" xfId="23395" xr:uid="{E0CA3939-DF7C-4479-966E-F32EC5B9BED0}"/>
    <cellStyle name="Normal 8 2 5 5 3 3" xfId="14954" xr:uid="{37E0E65A-7A9D-4C40-BD93-8DB9BC4A7833}"/>
    <cellStyle name="Normal 8 2 5 5 4" xfId="19177" xr:uid="{24F92984-4347-498A-9F69-F1AACB704A9F}"/>
    <cellStyle name="Normal 8 2 5 5 5" xfId="10736" xr:uid="{FE191163-AF35-4FE9-8CDD-709C16CEB3F2}"/>
    <cellStyle name="Normal 8 2 5 6" xfId="2641" xr:uid="{00000000-0005-0000-0000-00001C1D0000}"/>
    <cellStyle name="Normal 8 2 5 6 2" xfId="6925" xr:uid="{00000000-0005-0000-0000-00001D1D0000}"/>
    <cellStyle name="Normal 8 2 5 6 2 2" xfId="23808" xr:uid="{C4076CC7-D549-4416-A7B3-29BACDA10F83}"/>
    <cellStyle name="Normal 8 2 5 6 2 3" xfId="15367" xr:uid="{DF9F8B6D-07DF-4CA8-AA66-AB92D0771D02}"/>
    <cellStyle name="Normal 8 2 5 6 3" xfId="19590" xr:uid="{5F1D360D-290A-4B88-8CF1-D9E5C17FE0C2}"/>
    <cellStyle name="Normal 8 2 5 6 4" xfId="11149" xr:uid="{DE8A565D-BB12-4C27-A480-59A77C05D67A}"/>
    <cellStyle name="Normal 8 2 5 7" xfId="4860" xr:uid="{00000000-0005-0000-0000-00001E1D0000}"/>
    <cellStyle name="Normal 8 2 5 7 2" xfId="21743" xr:uid="{E3DF06D6-AD85-471A-A39F-992F53D2A282}"/>
    <cellStyle name="Normal 8 2 5 7 3" xfId="13302" xr:uid="{4B328732-AB86-48B5-B6FB-2B57E3CA40DB}"/>
    <cellStyle name="Normal 8 2 5 8" xfId="17525" xr:uid="{E2D2FE6E-C609-4C7A-828B-853D5B6FE705}"/>
    <cellStyle name="Normal 8 2 5 9" xfId="9084" xr:uid="{FB5690D0-2449-4B90-B5C9-15D869DD9922}"/>
    <cellStyle name="Normal 8 2 6" xfId="946" xr:uid="{00000000-0005-0000-0000-00001F1D0000}"/>
    <cellStyle name="Normal 8 2 6 2" xfId="3180" xr:uid="{00000000-0005-0000-0000-0000201D0000}"/>
    <cellStyle name="Normal 8 2 6 2 2" xfId="7403" xr:uid="{00000000-0005-0000-0000-0000211D0000}"/>
    <cellStyle name="Normal 8 2 6 2 2 2" xfId="24286" xr:uid="{1C1B349D-F498-4F2C-90B2-3B71750B9D44}"/>
    <cellStyle name="Normal 8 2 6 2 2 3" xfId="15845" xr:uid="{26982861-6D72-46CF-8ACF-EDC34E91D492}"/>
    <cellStyle name="Normal 8 2 6 2 3" xfId="20068" xr:uid="{C61DB82A-1D47-4984-B34F-AB5F15346850}"/>
    <cellStyle name="Normal 8 2 6 2 4" xfId="11627" xr:uid="{40B5E781-5F88-4F13-A156-BD5B39C44CBF}"/>
    <cellStyle name="Normal 8 2 6 3" xfId="5258" xr:uid="{00000000-0005-0000-0000-0000221D0000}"/>
    <cellStyle name="Normal 8 2 6 3 2" xfId="22141" xr:uid="{51E5CFDE-C239-404B-8D17-02B09B49D5BE}"/>
    <cellStyle name="Normal 8 2 6 3 3" xfId="13700" xr:uid="{1D68FAE4-EF59-4A5E-AAAD-9459001CC277}"/>
    <cellStyle name="Normal 8 2 6 4" xfId="17923" xr:uid="{61CC5EEF-6FC9-47FC-9EF2-030D67FA1270}"/>
    <cellStyle name="Normal 8 2 6 5" xfId="9482" xr:uid="{B8C39E8B-FA0B-4653-AB41-FAA8CFADF446}"/>
    <cellStyle name="Normal 8 2 7" xfId="1363" xr:uid="{00000000-0005-0000-0000-0000231D0000}"/>
    <cellStyle name="Normal 8 2 7 2" xfId="3593" xr:uid="{00000000-0005-0000-0000-0000241D0000}"/>
    <cellStyle name="Normal 8 2 7 2 2" xfId="7816" xr:uid="{00000000-0005-0000-0000-0000251D0000}"/>
    <cellStyle name="Normal 8 2 7 2 2 2" xfId="24699" xr:uid="{004783D5-63A2-406F-83A1-D81858C926EE}"/>
    <cellStyle name="Normal 8 2 7 2 2 3" xfId="16258" xr:uid="{E3835510-B630-4588-9F2F-0C6B8D0A8E7B}"/>
    <cellStyle name="Normal 8 2 7 2 3" xfId="20481" xr:uid="{24F0854D-75EC-42D5-9384-F89F7655B131}"/>
    <cellStyle name="Normal 8 2 7 2 4" xfId="12040" xr:uid="{69A1FEB1-0069-4EC4-939A-13A014851555}"/>
    <cellStyle name="Normal 8 2 7 3" xfId="5671" xr:uid="{00000000-0005-0000-0000-0000261D0000}"/>
    <cellStyle name="Normal 8 2 7 3 2" xfId="22554" xr:uid="{176213B6-11A8-4F9B-B39B-5BF8E99CA2A8}"/>
    <cellStyle name="Normal 8 2 7 3 3" xfId="14113" xr:uid="{10A854EF-0563-465D-9B09-235DEC099732}"/>
    <cellStyle name="Normal 8 2 7 4" xfId="18336" xr:uid="{2B05A311-A8B6-4EC3-8B33-7F76E12A7246}"/>
    <cellStyle name="Normal 8 2 7 5" xfId="9895" xr:uid="{4E48F528-151E-4C80-8CA4-DEF469C20709}"/>
    <cellStyle name="Normal 8 2 8" xfId="1776" xr:uid="{00000000-0005-0000-0000-0000271D0000}"/>
    <cellStyle name="Normal 8 2 8 2" xfId="4006" xr:uid="{00000000-0005-0000-0000-0000281D0000}"/>
    <cellStyle name="Normal 8 2 8 2 2" xfId="8229" xr:uid="{00000000-0005-0000-0000-0000291D0000}"/>
    <cellStyle name="Normal 8 2 8 2 2 2" xfId="25112" xr:uid="{4B4731A3-08AD-4EB6-8AF4-C02B848D1CB3}"/>
    <cellStyle name="Normal 8 2 8 2 2 3" xfId="16671" xr:uid="{0D9DEF57-0B8F-4F9D-B14F-E54312E11572}"/>
    <cellStyle name="Normal 8 2 8 2 3" xfId="20894" xr:uid="{4474EBD9-BCA0-4DF0-893D-627EC5D458D8}"/>
    <cellStyle name="Normal 8 2 8 2 4" xfId="12453" xr:uid="{3D1A3BEC-6CB4-41D5-AE78-7FE0FB1D2F0A}"/>
    <cellStyle name="Normal 8 2 8 3" xfId="6084" xr:uid="{00000000-0005-0000-0000-00002A1D0000}"/>
    <cellStyle name="Normal 8 2 8 3 2" xfId="22967" xr:uid="{34328871-6CC4-4E3D-A69F-E5F934D1D834}"/>
    <cellStyle name="Normal 8 2 8 3 3" xfId="14526" xr:uid="{83694B77-5DAF-4D27-9D8B-BD37FBEEAAE5}"/>
    <cellStyle name="Normal 8 2 8 4" xfId="18749" xr:uid="{5A9F9528-45FD-4148-BCA7-D43211D3974C}"/>
    <cellStyle name="Normal 8 2 8 5" xfId="10308" xr:uid="{2A6D1FFD-204F-425B-AC9D-FBA42D9C39B5}"/>
    <cellStyle name="Normal 8 2 9" xfId="2190" xr:uid="{00000000-0005-0000-0000-00002B1D0000}"/>
    <cellStyle name="Normal 8 2 9 2" xfId="4419" xr:uid="{00000000-0005-0000-0000-00002C1D0000}"/>
    <cellStyle name="Normal 8 2 9 2 2" xfId="8642" xr:uid="{00000000-0005-0000-0000-00002D1D0000}"/>
    <cellStyle name="Normal 8 2 9 2 2 2" xfId="25525" xr:uid="{6DD0F240-F25C-4E6D-BF0C-ED8C670DB246}"/>
    <cellStyle name="Normal 8 2 9 2 2 3" xfId="17084" xr:uid="{284C5C44-02BE-4430-BA05-676FF289416D}"/>
    <cellStyle name="Normal 8 2 9 2 3" xfId="21307" xr:uid="{98F35409-617D-4958-A232-A6BD95DC3B12}"/>
    <cellStyle name="Normal 8 2 9 2 4" xfId="12866" xr:uid="{6FA0F4C5-ECB3-43EE-A61E-56F214F75BFD}"/>
    <cellStyle name="Normal 8 2 9 3" xfId="6497" xr:uid="{00000000-0005-0000-0000-00002E1D0000}"/>
    <cellStyle name="Normal 8 2 9 3 2" xfId="23380" xr:uid="{8A42CE3F-BC4F-489B-AEE2-75D64A1C9705}"/>
    <cellStyle name="Normal 8 2 9 3 3" xfId="14939" xr:uid="{B1865084-818B-4B95-8FF1-430098BB021F}"/>
    <cellStyle name="Normal 8 2 9 4" xfId="19162" xr:uid="{AD8D21B9-EB5D-4655-B2B2-D5CAA2DB570C}"/>
    <cellStyle name="Normal 8 2 9 5" xfId="10721" xr:uid="{A7F4C244-791F-4183-9AEF-42860536A72C}"/>
    <cellStyle name="Normal 8 3" xfId="495" xr:uid="{00000000-0005-0000-0000-00002F1D0000}"/>
    <cellStyle name="Normal 8 3 10" xfId="4861" xr:uid="{00000000-0005-0000-0000-0000301D0000}"/>
    <cellStyle name="Normal 8 3 10 2" xfId="21744" xr:uid="{C1EC6A3C-2AC6-419A-A04E-A940CB77D7C5}"/>
    <cellStyle name="Normal 8 3 10 3" xfId="13303" xr:uid="{1CA1F257-9C7D-4CDC-A7EA-3EBF8E3F6E0F}"/>
    <cellStyle name="Normal 8 3 11" xfId="17526" xr:uid="{B3CCC71A-8E59-4C8E-A418-9D30105F8367}"/>
    <cellStyle name="Normal 8 3 12" xfId="9085" xr:uid="{17AC289B-EB0E-4FDE-8342-8829A72E002B}"/>
    <cellStyle name="Normal 8 3 2" xfId="496" xr:uid="{00000000-0005-0000-0000-0000311D0000}"/>
    <cellStyle name="Normal 8 3 2 10" xfId="17527" xr:uid="{7EFE279D-40A7-4036-A021-F1F5175FF19C}"/>
    <cellStyle name="Normal 8 3 2 11" xfId="9086" xr:uid="{A34C802C-1B03-44C0-A45A-5695CA445FCF}"/>
    <cellStyle name="Normal 8 3 2 2" xfId="497" xr:uid="{00000000-0005-0000-0000-0000321D0000}"/>
    <cellStyle name="Normal 8 3 2 2 10" xfId="9087" xr:uid="{5A0F94DB-1F17-4B2D-95B0-9EB604BD4659}"/>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24305" xr:uid="{A9AF7B33-0367-4125-B348-AF704C42B4F9}"/>
    <cellStyle name="Normal 8 3 2 2 2 2 2 2 3" xfId="15864" xr:uid="{A987EA66-2281-42B6-ABAF-0A6C29BACA1F}"/>
    <cellStyle name="Normal 8 3 2 2 2 2 2 3" xfId="20087" xr:uid="{326BB8C8-4E9C-4333-A10E-28ECEC4F5549}"/>
    <cellStyle name="Normal 8 3 2 2 2 2 2 4" xfId="11646" xr:uid="{9E6697A6-14D5-4791-9395-BB21A14738CF}"/>
    <cellStyle name="Normal 8 3 2 2 2 2 3" xfId="5277" xr:uid="{00000000-0005-0000-0000-0000371D0000}"/>
    <cellStyle name="Normal 8 3 2 2 2 2 3 2" xfId="22160" xr:uid="{BFD85592-0F51-4DD9-B864-AEBD57E846C1}"/>
    <cellStyle name="Normal 8 3 2 2 2 2 3 3" xfId="13719" xr:uid="{AE1EF9C0-4E1D-41D9-9062-263957D1DCDE}"/>
    <cellStyle name="Normal 8 3 2 2 2 2 4" xfId="17942" xr:uid="{085C4E83-037E-4214-9BB0-38D5237DEA43}"/>
    <cellStyle name="Normal 8 3 2 2 2 2 5" xfId="9501" xr:uid="{7EFDD287-23F6-4DEA-9BDB-805D14EE50B8}"/>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24718" xr:uid="{C9CA4FEE-EF4C-4DD8-BDDE-8507DB9F216D}"/>
    <cellStyle name="Normal 8 3 2 2 2 3 2 2 3" xfId="16277" xr:uid="{CC0E202F-25FC-459D-8867-23A8EB2AFA27}"/>
    <cellStyle name="Normal 8 3 2 2 2 3 2 3" xfId="20500" xr:uid="{402BAD95-B4DB-461C-B23A-286334E62900}"/>
    <cellStyle name="Normal 8 3 2 2 2 3 2 4" xfId="12059" xr:uid="{A00AF724-D8DE-4777-BC31-D2910E26DF9A}"/>
    <cellStyle name="Normal 8 3 2 2 2 3 3" xfId="5690" xr:uid="{00000000-0005-0000-0000-00003B1D0000}"/>
    <cellStyle name="Normal 8 3 2 2 2 3 3 2" xfId="22573" xr:uid="{BE6C5CE3-C404-4C87-9381-20818BBC2F22}"/>
    <cellStyle name="Normal 8 3 2 2 2 3 3 3" xfId="14132" xr:uid="{656E1170-170D-4B74-A975-C3E91430BBE4}"/>
    <cellStyle name="Normal 8 3 2 2 2 3 4" xfId="18355" xr:uid="{7EF565E6-A0B6-43BE-9A91-8F6D955C30AD}"/>
    <cellStyle name="Normal 8 3 2 2 2 3 5" xfId="9914" xr:uid="{B1DC6F4D-5F6D-44DF-8821-00AAC35BCA69}"/>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25131" xr:uid="{72CDA2BF-445D-477F-A614-81D97AE1803B}"/>
    <cellStyle name="Normal 8 3 2 2 2 4 2 2 3" xfId="16690" xr:uid="{CE5711B6-D115-4BD0-A782-18550C26204C}"/>
    <cellStyle name="Normal 8 3 2 2 2 4 2 3" xfId="20913" xr:uid="{B6448C4B-8E7E-433D-A077-ACE25AB29782}"/>
    <cellStyle name="Normal 8 3 2 2 2 4 2 4" xfId="12472" xr:uid="{AFCA9117-FDDB-4ADD-8A33-063FE091FBD8}"/>
    <cellStyle name="Normal 8 3 2 2 2 4 3" xfId="6103" xr:uid="{00000000-0005-0000-0000-00003F1D0000}"/>
    <cellStyle name="Normal 8 3 2 2 2 4 3 2" xfId="22986" xr:uid="{9BBD6DD5-298C-4940-8570-F00B5C8B23FF}"/>
    <cellStyle name="Normal 8 3 2 2 2 4 3 3" xfId="14545" xr:uid="{88667E69-F05D-483B-94CA-3164FD9B8428}"/>
    <cellStyle name="Normal 8 3 2 2 2 4 4" xfId="18768" xr:uid="{A0B980AB-2651-4326-8732-71AD74825D2B}"/>
    <cellStyle name="Normal 8 3 2 2 2 4 5" xfId="10327" xr:uid="{321CBC80-6BD6-49A5-8B55-D7526E1EF3CB}"/>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25544" xr:uid="{5E3754E4-55DD-4F2B-9ACF-E547C2E876E2}"/>
    <cellStyle name="Normal 8 3 2 2 2 5 2 2 3" xfId="17103" xr:uid="{46FAD800-5B71-478A-8FB5-7D54BF4F15FB}"/>
    <cellStyle name="Normal 8 3 2 2 2 5 2 3" xfId="21326" xr:uid="{A8A57550-C891-4D0D-A7BA-CE4F06D7DF49}"/>
    <cellStyle name="Normal 8 3 2 2 2 5 2 4" xfId="12885" xr:uid="{7E8E9819-54AD-4D98-9D49-95B7A6C364A9}"/>
    <cellStyle name="Normal 8 3 2 2 2 5 3" xfId="6516" xr:uid="{00000000-0005-0000-0000-0000431D0000}"/>
    <cellStyle name="Normal 8 3 2 2 2 5 3 2" xfId="23399" xr:uid="{A014FAB4-7ECD-437B-9977-46D8DEA86822}"/>
    <cellStyle name="Normal 8 3 2 2 2 5 3 3" xfId="14958" xr:uid="{A5417E04-6D88-442B-819C-168E53B10B1F}"/>
    <cellStyle name="Normal 8 3 2 2 2 5 4" xfId="19181" xr:uid="{30C92420-299E-4054-867E-9ED82C93007A}"/>
    <cellStyle name="Normal 8 3 2 2 2 5 5" xfId="10740" xr:uid="{341C9086-C228-462F-8C4F-E57E80C616E4}"/>
    <cellStyle name="Normal 8 3 2 2 2 6" xfId="2645" xr:uid="{00000000-0005-0000-0000-0000441D0000}"/>
    <cellStyle name="Normal 8 3 2 2 2 6 2" xfId="6929" xr:uid="{00000000-0005-0000-0000-0000451D0000}"/>
    <cellStyle name="Normal 8 3 2 2 2 6 2 2" xfId="23812" xr:uid="{A81E0207-FF18-4886-90B0-EFA7C38576A3}"/>
    <cellStyle name="Normal 8 3 2 2 2 6 2 3" xfId="15371" xr:uid="{A514E53B-5D2B-4E8F-AEC3-01B3DA8C8469}"/>
    <cellStyle name="Normal 8 3 2 2 2 6 3" xfId="19594" xr:uid="{E0908D92-42F0-4917-9CC6-7FBD4F3A98BC}"/>
    <cellStyle name="Normal 8 3 2 2 2 6 4" xfId="11153" xr:uid="{79ED0199-ADC0-419E-BF1B-20B373AB510A}"/>
    <cellStyle name="Normal 8 3 2 2 2 7" xfId="4864" xr:uid="{00000000-0005-0000-0000-0000461D0000}"/>
    <cellStyle name="Normal 8 3 2 2 2 7 2" xfId="21747" xr:uid="{A0384A75-EB96-4883-BB62-AFFE101CC73F}"/>
    <cellStyle name="Normal 8 3 2 2 2 7 3" xfId="13306" xr:uid="{373752C4-0F5F-4800-AA56-39A3DC09A147}"/>
    <cellStyle name="Normal 8 3 2 2 2 8" xfId="17529" xr:uid="{2D2AFF5A-F1CF-4917-BB5E-FC6875ACCA26}"/>
    <cellStyle name="Normal 8 3 2 2 2 9" xfId="9088" xr:uid="{711F4EEF-8E94-4C7B-BEB2-187FF8517935}"/>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24304" xr:uid="{F42C2FEC-D4D4-4724-AFD3-0BB05EB6016F}"/>
    <cellStyle name="Normal 8 3 2 2 3 2 2 3" xfId="15863" xr:uid="{50F4E81D-B962-4355-A396-6696E0F8EACC}"/>
    <cellStyle name="Normal 8 3 2 2 3 2 3" xfId="20086" xr:uid="{F7183D6C-427E-41A5-9962-220AC03A00AF}"/>
    <cellStyle name="Normal 8 3 2 2 3 2 4" xfId="11645" xr:uid="{4F5579DB-4B9B-494B-95E1-10C0D8F76849}"/>
    <cellStyle name="Normal 8 3 2 2 3 3" xfId="5276" xr:uid="{00000000-0005-0000-0000-00004A1D0000}"/>
    <cellStyle name="Normal 8 3 2 2 3 3 2" xfId="22159" xr:uid="{22957031-8CE2-4065-A822-5D83C955002F}"/>
    <cellStyle name="Normal 8 3 2 2 3 3 3" xfId="13718" xr:uid="{B62C6E8F-1123-4075-A9E7-DF56130CDA6F}"/>
    <cellStyle name="Normal 8 3 2 2 3 4" xfId="17941" xr:uid="{656B4C6D-4B42-4E29-89D5-17799C6B0E0A}"/>
    <cellStyle name="Normal 8 3 2 2 3 5" xfId="9500" xr:uid="{80461915-9F56-449F-94A9-8FFEE897C2E1}"/>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24717" xr:uid="{8E08B9BB-E7B7-4780-9E54-C8283221ECA5}"/>
    <cellStyle name="Normal 8 3 2 2 4 2 2 3" xfId="16276" xr:uid="{D22B6BDD-0C33-415E-B9BA-EC106CFFD905}"/>
    <cellStyle name="Normal 8 3 2 2 4 2 3" xfId="20499" xr:uid="{D30FD467-0EA0-4804-BBA2-30331724514D}"/>
    <cellStyle name="Normal 8 3 2 2 4 2 4" xfId="12058" xr:uid="{3157FD14-9338-42BE-B6DD-E85B93196972}"/>
    <cellStyle name="Normal 8 3 2 2 4 3" xfId="5689" xr:uid="{00000000-0005-0000-0000-00004E1D0000}"/>
    <cellStyle name="Normal 8 3 2 2 4 3 2" xfId="22572" xr:uid="{64A4B11B-FB7B-4376-97C8-0710A49DEB77}"/>
    <cellStyle name="Normal 8 3 2 2 4 3 3" xfId="14131" xr:uid="{5EED6CA8-6AC7-4E9C-B2BC-FB2F669630D3}"/>
    <cellStyle name="Normal 8 3 2 2 4 4" xfId="18354" xr:uid="{FB0E8DF0-DDF1-4140-85B6-4187E055CCA3}"/>
    <cellStyle name="Normal 8 3 2 2 4 5" xfId="9913" xr:uid="{4C4DB96E-C0BA-400C-BA4B-200BF57ED98C}"/>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25130" xr:uid="{F2185622-E4FB-4AB4-BF49-69C8E8553B0B}"/>
    <cellStyle name="Normal 8 3 2 2 5 2 2 3" xfId="16689" xr:uid="{13AD9A74-403D-4A67-B33E-35A8DC60299A}"/>
    <cellStyle name="Normal 8 3 2 2 5 2 3" xfId="20912" xr:uid="{59C0B8A4-41DD-4D8F-AC71-FBCBA595223A}"/>
    <cellStyle name="Normal 8 3 2 2 5 2 4" xfId="12471" xr:uid="{DA3C5921-FB7D-4096-8C9E-535F3470B963}"/>
    <cellStyle name="Normal 8 3 2 2 5 3" xfId="6102" xr:uid="{00000000-0005-0000-0000-0000521D0000}"/>
    <cellStyle name="Normal 8 3 2 2 5 3 2" xfId="22985" xr:uid="{83876EE0-E1D9-4476-A981-068049838BBC}"/>
    <cellStyle name="Normal 8 3 2 2 5 3 3" xfId="14544" xr:uid="{31091A88-9069-4726-ABFC-D6C785198D10}"/>
    <cellStyle name="Normal 8 3 2 2 5 4" xfId="18767" xr:uid="{27EA84DB-14BB-421A-8D24-188EDB87C3E3}"/>
    <cellStyle name="Normal 8 3 2 2 5 5" xfId="10326" xr:uid="{EEE71CA0-445E-4ED3-8B85-EAC309A26CFC}"/>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25543" xr:uid="{31773AB3-16AB-4546-AA90-9A075228E47D}"/>
    <cellStyle name="Normal 8 3 2 2 6 2 2 3" xfId="17102" xr:uid="{FD55D5DA-8E0D-49C9-BFF2-311270E5237F}"/>
    <cellStyle name="Normal 8 3 2 2 6 2 3" xfId="21325" xr:uid="{6FACF8A2-D031-4AD3-964A-E37582BBEDFE}"/>
    <cellStyle name="Normal 8 3 2 2 6 2 4" xfId="12884" xr:uid="{F005DA44-45F7-4455-A0CD-BD00B50C0C4B}"/>
    <cellStyle name="Normal 8 3 2 2 6 3" xfId="6515" xr:uid="{00000000-0005-0000-0000-0000561D0000}"/>
    <cellStyle name="Normal 8 3 2 2 6 3 2" xfId="23398" xr:uid="{CFE6DBA8-C701-4633-BA09-64B6D26E7317}"/>
    <cellStyle name="Normal 8 3 2 2 6 3 3" xfId="14957" xr:uid="{8F5F4A00-E4C5-4807-A120-202F87B668B6}"/>
    <cellStyle name="Normal 8 3 2 2 6 4" xfId="19180" xr:uid="{76793508-B073-455A-9F37-31AED4DD207F}"/>
    <cellStyle name="Normal 8 3 2 2 6 5" xfId="10739" xr:uid="{75D4819E-7A57-45D9-8915-6AD20E91E4DE}"/>
    <cellStyle name="Normal 8 3 2 2 7" xfId="2644" xr:uid="{00000000-0005-0000-0000-0000571D0000}"/>
    <cellStyle name="Normal 8 3 2 2 7 2" xfId="6928" xr:uid="{00000000-0005-0000-0000-0000581D0000}"/>
    <cellStyle name="Normal 8 3 2 2 7 2 2" xfId="23811" xr:uid="{E5DA7690-CE96-418A-B923-E59CAA7D135D}"/>
    <cellStyle name="Normal 8 3 2 2 7 2 3" xfId="15370" xr:uid="{8872CBAC-7710-4591-94FD-7AF3D2D7A760}"/>
    <cellStyle name="Normal 8 3 2 2 7 3" xfId="19593" xr:uid="{42D1CEB8-3ABD-419B-AF1F-8B4178D955AD}"/>
    <cellStyle name="Normal 8 3 2 2 7 4" xfId="11152" xr:uid="{43274101-E8E0-4522-ABBD-0A39A5773048}"/>
    <cellStyle name="Normal 8 3 2 2 8" xfId="4863" xr:uid="{00000000-0005-0000-0000-0000591D0000}"/>
    <cellStyle name="Normal 8 3 2 2 8 2" xfId="21746" xr:uid="{4DC5A31A-4CD6-4AAF-95DE-03C30FF76764}"/>
    <cellStyle name="Normal 8 3 2 2 8 3" xfId="13305" xr:uid="{CFB80597-3C25-4B30-8D28-807263B137D0}"/>
    <cellStyle name="Normal 8 3 2 2 9" xfId="17528" xr:uid="{4A067777-F3D3-45AD-9A77-040C9FDD7139}"/>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24306" xr:uid="{4EE0F2EA-337F-45D4-BA00-FF59F97E2BB7}"/>
    <cellStyle name="Normal 8 3 2 3 2 2 2 3" xfId="15865" xr:uid="{B265AEF8-1BAE-4C51-AFDA-A2E04C3EDF18}"/>
    <cellStyle name="Normal 8 3 2 3 2 2 3" xfId="20088" xr:uid="{0E7AE9FD-DD85-4C4F-BC03-F92527536E6F}"/>
    <cellStyle name="Normal 8 3 2 3 2 2 4" xfId="11647" xr:uid="{C45F50AB-F478-4C6B-BEBF-2959C79B7EF5}"/>
    <cellStyle name="Normal 8 3 2 3 2 3" xfId="5278" xr:uid="{00000000-0005-0000-0000-00005E1D0000}"/>
    <cellStyle name="Normal 8 3 2 3 2 3 2" xfId="22161" xr:uid="{4FE045EC-FA88-4203-BB5C-60CA96DAB023}"/>
    <cellStyle name="Normal 8 3 2 3 2 3 3" xfId="13720" xr:uid="{506BAA49-7B5B-4182-B9A7-8003496B3019}"/>
    <cellStyle name="Normal 8 3 2 3 2 4" xfId="17943" xr:uid="{87CC1E1A-DE79-4F94-A050-507B5E6306FB}"/>
    <cellStyle name="Normal 8 3 2 3 2 5" xfId="9502" xr:uid="{3A15F7A4-E5DD-4A53-88AD-B031012D0AE0}"/>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24719" xr:uid="{D6352824-E360-424B-A413-183AA40CE107}"/>
    <cellStyle name="Normal 8 3 2 3 3 2 2 3" xfId="16278" xr:uid="{F8208273-3F8D-4020-AD15-DACA4BEF0987}"/>
    <cellStyle name="Normal 8 3 2 3 3 2 3" xfId="20501" xr:uid="{C78293BA-C6F8-4ABE-AC31-80C93E4C360C}"/>
    <cellStyle name="Normal 8 3 2 3 3 2 4" xfId="12060" xr:uid="{CEF87294-1466-484E-B4EA-7FD5D4778BC2}"/>
    <cellStyle name="Normal 8 3 2 3 3 3" xfId="5691" xr:uid="{00000000-0005-0000-0000-0000621D0000}"/>
    <cellStyle name="Normal 8 3 2 3 3 3 2" xfId="22574" xr:uid="{26A52B0F-C3CE-4683-84C3-F6BE2A8A9A8E}"/>
    <cellStyle name="Normal 8 3 2 3 3 3 3" xfId="14133" xr:uid="{88D92223-638A-4354-BB05-FF6FDA05783A}"/>
    <cellStyle name="Normal 8 3 2 3 3 4" xfId="18356" xr:uid="{0B3B397D-006D-4937-A68F-96B65E91C4DE}"/>
    <cellStyle name="Normal 8 3 2 3 3 5" xfId="9915" xr:uid="{728FB514-231E-49E5-83B2-6209AC1CDD8D}"/>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25132" xr:uid="{80CF8DFD-E451-4333-86BF-6873B8BFB1D6}"/>
    <cellStyle name="Normal 8 3 2 3 4 2 2 3" xfId="16691" xr:uid="{021183F0-8DB3-4C71-901D-540B70CD05F9}"/>
    <cellStyle name="Normal 8 3 2 3 4 2 3" xfId="20914" xr:uid="{5B7B6E61-D5DD-4982-9CBA-68017FCB8A50}"/>
    <cellStyle name="Normal 8 3 2 3 4 2 4" xfId="12473" xr:uid="{9FDBEAE0-4EEC-4E96-B50E-576F463AE271}"/>
    <cellStyle name="Normal 8 3 2 3 4 3" xfId="6104" xr:uid="{00000000-0005-0000-0000-0000661D0000}"/>
    <cellStyle name="Normal 8 3 2 3 4 3 2" xfId="22987" xr:uid="{8531B653-68C7-4917-A9EA-8610E38E21EA}"/>
    <cellStyle name="Normal 8 3 2 3 4 3 3" xfId="14546" xr:uid="{8FF796D7-5DE2-487C-887A-C5EE63BDAD58}"/>
    <cellStyle name="Normal 8 3 2 3 4 4" xfId="18769" xr:uid="{779DBFA8-BBA3-4D22-AD16-74EFDA007996}"/>
    <cellStyle name="Normal 8 3 2 3 4 5" xfId="10328" xr:uid="{8A6D9EA7-D800-45D0-B97B-2BA11B46CF59}"/>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25545" xr:uid="{434E116E-2949-41F5-BA56-C90B636F21BA}"/>
    <cellStyle name="Normal 8 3 2 3 5 2 2 3" xfId="17104" xr:uid="{7B1D7818-28ED-4E9C-86BF-971068C0056E}"/>
    <cellStyle name="Normal 8 3 2 3 5 2 3" xfId="21327" xr:uid="{383D91AF-3C5C-4E81-A228-323C8A956613}"/>
    <cellStyle name="Normal 8 3 2 3 5 2 4" xfId="12886" xr:uid="{0ECE7AF9-51BC-4249-8ADF-7C3609F18839}"/>
    <cellStyle name="Normal 8 3 2 3 5 3" xfId="6517" xr:uid="{00000000-0005-0000-0000-00006A1D0000}"/>
    <cellStyle name="Normal 8 3 2 3 5 3 2" xfId="23400" xr:uid="{04111D51-2C4D-4547-ABF5-34165EFE2D95}"/>
    <cellStyle name="Normal 8 3 2 3 5 3 3" xfId="14959" xr:uid="{B6F53A9A-37A2-4216-8629-7F2BD38F9234}"/>
    <cellStyle name="Normal 8 3 2 3 5 4" xfId="19182" xr:uid="{493B2E0F-7E83-48E9-B57E-D821E43D6A05}"/>
    <cellStyle name="Normal 8 3 2 3 5 5" xfId="10741" xr:uid="{E6278C9B-8DF3-4E3F-AC6B-B12347FEB721}"/>
    <cellStyle name="Normal 8 3 2 3 6" xfId="2646" xr:uid="{00000000-0005-0000-0000-00006B1D0000}"/>
    <cellStyle name="Normal 8 3 2 3 6 2" xfId="6930" xr:uid="{00000000-0005-0000-0000-00006C1D0000}"/>
    <cellStyle name="Normal 8 3 2 3 6 2 2" xfId="23813" xr:uid="{98040126-AD5B-40C6-B400-176E0D98CC2D}"/>
    <cellStyle name="Normal 8 3 2 3 6 2 3" xfId="15372" xr:uid="{AD8C5AD3-C531-48FF-B5F6-C3571BA215AA}"/>
    <cellStyle name="Normal 8 3 2 3 6 3" xfId="19595" xr:uid="{FA35F4CC-2B89-4B22-A7DE-727EC431693B}"/>
    <cellStyle name="Normal 8 3 2 3 6 4" xfId="11154" xr:uid="{B2DBDCFE-25F5-42A3-83D4-32B8667E1208}"/>
    <cellStyle name="Normal 8 3 2 3 7" xfId="4865" xr:uid="{00000000-0005-0000-0000-00006D1D0000}"/>
    <cellStyle name="Normal 8 3 2 3 7 2" xfId="21748" xr:uid="{056F1B53-411B-4D70-AFB6-3945BF18FA3B}"/>
    <cellStyle name="Normal 8 3 2 3 7 3" xfId="13307" xr:uid="{04FF2AA3-882F-4C55-9ECB-396CF6739A9A}"/>
    <cellStyle name="Normal 8 3 2 3 8" xfId="17530" xr:uid="{F6F53021-D924-4FC5-A1AB-69F0F5DA932E}"/>
    <cellStyle name="Normal 8 3 2 3 9" xfId="9089" xr:uid="{460F6DE8-37B8-4769-AF9B-1CB86169CD7B}"/>
    <cellStyle name="Normal 8 3 2 4" xfId="963" xr:uid="{00000000-0005-0000-0000-00006E1D0000}"/>
    <cellStyle name="Normal 8 3 2 4 2" xfId="3197" xr:uid="{00000000-0005-0000-0000-00006F1D0000}"/>
    <cellStyle name="Normal 8 3 2 4 2 2" xfId="7420" xr:uid="{00000000-0005-0000-0000-0000701D0000}"/>
    <cellStyle name="Normal 8 3 2 4 2 2 2" xfId="24303" xr:uid="{466622E7-2012-44C0-B3BB-D0FC966D0DAD}"/>
    <cellStyle name="Normal 8 3 2 4 2 2 3" xfId="15862" xr:uid="{9C55C853-6C21-4CC8-B62D-3BEAA18D96DA}"/>
    <cellStyle name="Normal 8 3 2 4 2 3" xfId="20085" xr:uid="{D3CF8D67-922F-4E3E-B341-D12D09F1516C}"/>
    <cellStyle name="Normal 8 3 2 4 2 4" xfId="11644" xr:uid="{97D7000F-A6CE-405E-8DAD-DADCEF669E5B}"/>
    <cellStyle name="Normal 8 3 2 4 3" xfId="5275" xr:uid="{00000000-0005-0000-0000-0000711D0000}"/>
    <cellStyle name="Normal 8 3 2 4 3 2" xfId="22158" xr:uid="{1BF5389C-BA80-4E3B-858B-6900148512DE}"/>
    <cellStyle name="Normal 8 3 2 4 3 3" xfId="13717" xr:uid="{9807FC15-24ED-4EEE-850A-5C82519D1037}"/>
    <cellStyle name="Normal 8 3 2 4 4" xfId="17940" xr:uid="{41200A59-3500-4E3F-B468-48FD9A9B8764}"/>
    <cellStyle name="Normal 8 3 2 4 5" xfId="9499" xr:uid="{8CA16949-A6F2-4A04-8605-F5DE15376636}"/>
    <cellStyle name="Normal 8 3 2 5" xfId="1380" xr:uid="{00000000-0005-0000-0000-0000721D0000}"/>
    <cellStyle name="Normal 8 3 2 5 2" xfId="3610" xr:uid="{00000000-0005-0000-0000-0000731D0000}"/>
    <cellStyle name="Normal 8 3 2 5 2 2" xfId="7833" xr:uid="{00000000-0005-0000-0000-0000741D0000}"/>
    <cellStyle name="Normal 8 3 2 5 2 2 2" xfId="24716" xr:uid="{9A0DF447-9BE7-4894-A470-AD1CC8D8E052}"/>
    <cellStyle name="Normal 8 3 2 5 2 2 3" xfId="16275" xr:uid="{7C3324E3-07FA-45A6-B617-91150194E3AB}"/>
    <cellStyle name="Normal 8 3 2 5 2 3" xfId="20498" xr:uid="{0A936D87-6D00-4E59-B02D-7BD30B1BBA89}"/>
    <cellStyle name="Normal 8 3 2 5 2 4" xfId="12057" xr:uid="{5D88946D-84B5-4520-B2F0-6ACD1813B4C0}"/>
    <cellStyle name="Normal 8 3 2 5 3" xfId="5688" xr:uid="{00000000-0005-0000-0000-0000751D0000}"/>
    <cellStyle name="Normal 8 3 2 5 3 2" xfId="22571" xr:uid="{CADE0992-6E20-4F03-BE89-A95764680236}"/>
    <cellStyle name="Normal 8 3 2 5 3 3" xfId="14130" xr:uid="{350CEFC5-39BB-4995-95A8-99470F475F47}"/>
    <cellStyle name="Normal 8 3 2 5 4" xfId="18353" xr:uid="{1D2C24D9-EEBC-4A94-A082-8B03244C99A9}"/>
    <cellStyle name="Normal 8 3 2 5 5" xfId="9912" xr:uid="{5019F301-5C8E-4448-9ABD-9264CF73F736}"/>
    <cellStyle name="Normal 8 3 2 6" xfId="1793" xr:uid="{00000000-0005-0000-0000-0000761D0000}"/>
    <cellStyle name="Normal 8 3 2 6 2" xfId="4023" xr:uid="{00000000-0005-0000-0000-0000771D0000}"/>
    <cellStyle name="Normal 8 3 2 6 2 2" xfId="8246" xr:uid="{00000000-0005-0000-0000-0000781D0000}"/>
    <cellStyle name="Normal 8 3 2 6 2 2 2" xfId="25129" xr:uid="{65C932F2-F11E-42BF-BFA3-A2B8AEBAA479}"/>
    <cellStyle name="Normal 8 3 2 6 2 2 3" xfId="16688" xr:uid="{BFEC52B1-C231-45FD-B0EA-F9B6948CE99A}"/>
    <cellStyle name="Normal 8 3 2 6 2 3" xfId="20911" xr:uid="{972EA49E-69C4-485F-BB13-DFFE89A724AE}"/>
    <cellStyle name="Normal 8 3 2 6 2 4" xfId="12470" xr:uid="{AA9055C4-FD22-4C95-AEB0-967274C68179}"/>
    <cellStyle name="Normal 8 3 2 6 3" xfId="6101" xr:uid="{00000000-0005-0000-0000-0000791D0000}"/>
    <cellStyle name="Normal 8 3 2 6 3 2" xfId="22984" xr:uid="{B1DD2AF8-5599-4DCA-BA06-AB0F68BA4451}"/>
    <cellStyle name="Normal 8 3 2 6 3 3" xfId="14543" xr:uid="{7121AEF8-9538-4D16-8B26-FC84DCC2C0EA}"/>
    <cellStyle name="Normal 8 3 2 6 4" xfId="18766" xr:uid="{36DE2583-ABEB-4487-A030-CD57FCC14F69}"/>
    <cellStyle name="Normal 8 3 2 6 5" xfId="10325" xr:uid="{16843BB8-54B4-4DE8-98A4-D6C06E2A1173}"/>
    <cellStyle name="Normal 8 3 2 7" xfId="2207" xr:uid="{00000000-0005-0000-0000-00007A1D0000}"/>
    <cellStyle name="Normal 8 3 2 7 2" xfId="4436" xr:uid="{00000000-0005-0000-0000-00007B1D0000}"/>
    <cellStyle name="Normal 8 3 2 7 2 2" xfId="8659" xr:uid="{00000000-0005-0000-0000-00007C1D0000}"/>
    <cellStyle name="Normal 8 3 2 7 2 2 2" xfId="25542" xr:uid="{422C1C9D-D675-4299-B620-F34D5C369D43}"/>
    <cellStyle name="Normal 8 3 2 7 2 2 3" xfId="17101" xr:uid="{CDCFDC3B-0BB6-4F41-B3EC-8F1809F7F3FC}"/>
    <cellStyle name="Normal 8 3 2 7 2 3" xfId="21324" xr:uid="{127B141A-BE39-40C7-8FFA-608109F8EAF4}"/>
    <cellStyle name="Normal 8 3 2 7 2 4" xfId="12883" xr:uid="{E78D0E53-76AA-49E5-B85E-A68993369A03}"/>
    <cellStyle name="Normal 8 3 2 7 3" xfId="6514" xr:uid="{00000000-0005-0000-0000-00007D1D0000}"/>
    <cellStyle name="Normal 8 3 2 7 3 2" xfId="23397" xr:uid="{DFDF3740-4F40-49D2-A7BE-2E520B0495BB}"/>
    <cellStyle name="Normal 8 3 2 7 3 3" xfId="14956" xr:uid="{2C37DC20-4142-4AFB-A7A4-9E678EDD151F}"/>
    <cellStyle name="Normal 8 3 2 7 4" xfId="19179" xr:uid="{B206EAE3-114A-45B8-A2D0-C6ACCD5DD2F6}"/>
    <cellStyle name="Normal 8 3 2 7 5" xfId="10738" xr:uid="{0C921FB2-2BD6-4591-AE3E-E8875A058D44}"/>
    <cellStyle name="Normal 8 3 2 8" xfId="2643" xr:uid="{00000000-0005-0000-0000-00007E1D0000}"/>
    <cellStyle name="Normal 8 3 2 8 2" xfId="6927" xr:uid="{00000000-0005-0000-0000-00007F1D0000}"/>
    <cellStyle name="Normal 8 3 2 8 2 2" xfId="23810" xr:uid="{4378AF2E-BA16-4313-A409-B6FF2212EDFB}"/>
    <cellStyle name="Normal 8 3 2 8 2 3" xfId="15369" xr:uid="{4374EAC1-5113-41C7-80DF-BF72241D1193}"/>
    <cellStyle name="Normal 8 3 2 8 3" xfId="19592" xr:uid="{33551751-5A0C-4F81-8998-457EBCB47D40}"/>
    <cellStyle name="Normal 8 3 2 8 4" xfId="11151" xr:uid="{24B64580-D103-406D-8C21-85688E2D8B6E}"/>
    <cellStyle name="Normal 8 3 2 9" xfId="4862" xr:uid="{00000000-0005-0000-0000-0000801D0000}"/>
    <cellStyle name="Normal 8 3 2 9 2" xfId="21745" xr:uid="{6840AB75-96DB-46E6-BB60-10A5FC8EC2D7}"/>
    <cellStyle name="Normal 8 3 2 9 3" xfId="13304" xr:uid="{C06C916A-38A7-4A1D-96F9-FD880D1BAF6F}"/>
    <cellStyle name="Normal 8 3 3" xfId="500" xr:uid="{00000000-0005-0000-0000-0000811D0000}"/>
    <cellStyle name="Normal 8 3 3 10" xfId="9090" xr:uid="{420A27FD-FC89-4956-BDC2-80594CEC7E69}"/>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24308" xr:uid="{B75FCF2A-39F0-489A-BA86-135DDEC99EE8}"/>
    <cellStyle name="Normal 8 3 3 2 2 2 2 3" xfId="15867" xr:uid="{8CACADD3-2898-4C33-9BFD-5C129A9AC363}"/>
    <cellStyle name="Normal 8 3 3 2 2 2 3" xfId="20090" xr:uid="{E1008321-F65A-4616-BB9F-4DFE67E80F92}"/>
    <cellStyle name="Normal 8 3 3 2 2 2 4" xfId="11649" xr:uid="{C54161DC-DF02-4EF8-8559-46EDBA6839A6}"/>
    <cellStyle name="Normal 8 3 3 2 2 3" xfId="5280" xr:uid="{00000000-0005-0000-0000-0000861D0000}"/>
    <cellStyle name="Normal 8 3 3 2 2 3 2" xfId="22163" xr:uid="{056B0F0D-5A82-4C3C-8699-39318CD355F4}"/>
    <cellStyle name="Normal 8 3 3 2 2 3 3" xfId="13722" xr:uid="{D7A2D868-078B-49C6-B417-2783D0E8A63A}"/>
    <cellStyle name="Normal 8 3 3 2 2 4" xfId="17945" xr:uid="{9D9FC3DD-5375-4066-AF6E-C8044E9B239D}"/>
    <cellStyle name="Normal 8 3 3 2 2 5" xfId="9504" xr:uid="{6C68CEE3-5EFB-4A73-ABF4-F45A2477C22A}"/>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24721" xr:uid="{BA5DC9E1-0325-4757-BA0C-BC4E68712C1B}"/>
    <cellStyle name="Normal 8 3 3 2 3 2 2 3" xfId="16280" xr:uid="{61978DC7-8B0A-4234-A827-10530B41BBC3}"/>
    <cellStyle name="Normal 8 3 3 2 3 2 3" xfId="20503" xr:uid="{D0F44ED9-2E33-49CE-8C41-AD9B4275CEF0}"/>
    <cellStyle name="Normal 8 3 3 2 3 2 4" xfId="12062" xr:uid="{5BCA636A-EC3B-43CD-9D6D-CB435FA43723}"/>
    <cellStyle name="Normal 8 3 3 2 3 3" xfId="5693" xr:uid="{00000000-0005-0000-0000-00008A1D0000}"/>
    <cellStyle name="Normal 8 3 3 2 3 3 2" xfId="22576" xr:uid="{97D6FC19-39AE-4A88-B5CE-6C24C80C7344}"/>
    <cellStyle name="Normal 8 3 3 2 3 3 3" xfId="14135" xr:uid="{303DF3E4-3564-44A5-B6F7-DA3E983C064A}"/>
    <cellStyle name="Normal 8 3 3 2 3 4" xfId="18358" xr:uid="{C4661DA6-5DCF-4701-88E2-8A05DFF118A3}"/>
    <cellStyle name="Normal 8 3 3 2 3 5" xfId="9917" xr:uid="{2F668019-8A6C-48EE-BC23-580995C77466}"/>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25134" xr:uid="{C051AAD5-B712-4707-B91B-4AD98A7F089A}"/>
    <cellStyle name="Normal 8 3 3 2 4 2 2 3" xfId="16693" xr:uid="{8FA944C4-2A50-4ED3-8B69-8B55D1E5ED15}"/>
    <cellStyle name="Normal 8 3 3 2 4 2 3" xfId="20916" xr:uid="{1AC9096B-E7C8-4495-B60B-29FB87EE970A}"/>
    <cellStyle name="Normal 8 3 3 2 4 2 4" xfId="12475" xr:uid="{62F11A8F-D9D4-4F04-9CD2-F66578267A31}"/>
    <cellStyle name="Normal 8 3 3 2 4 3" xfId="6106" xr:uid="{00000000-0005-0000-0000-00008E1D0000}"/>
    <cellStyle name="Normal 8 3 3 2 4 3 2" xfId="22989" xr:uid="{2B0986E4-6547-498B-A7D5-A90E96426ECB}"/>
    <cellStyle name="Normal 8 3 3 2 4 3 3" xfId="14548" xr:uid="{52A4B05F-9A1B-4166-A239-AE044ADF0C67}"/>
    <cellStyle name="Normal 8 3 3 2 4 4" xfId="18771" xr:uid="{A05DAAA5-B1AA-41CC-AB55-21FF81B2CA3E}"/>
    <cellStyle name="Normal 8 3 3 2 4 5" xfId="10330" xr:uid="{42714D84-A6C9-4F9B-B4F5-101FF3B14766}"/>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25547" xr:uid="{907B92A3-FA08-4B4F-95F7-8614170F432D}"/>
    <cellStyle name="Normal 8 3 3 2 5 2 2 3" xfId="17106" xr:uid="{1ED3BB62-8212-4D72-A246-FB2032949DC5}"/>
    <cellStyle name="Normal 8 3 3 2 5 2 3" xfId="21329" xr:uid="{2705858F-D213-4F34-B1EA-375FCCD363F0}"/>
    <cellStyle name="Normal 8 3 3 2 5 2 4" xfId="12888" xr:uid="{EBF0F7DB-9335-4BEC-B00A-AD9A8D25033A}"/>
    <cellStyle name="Normal 8 3 3 2 5 3" xfId="6519" xr:uid="{00000000-0005-0000-0000-0000921D0000}"/>
    <cellStyle name="Normal 8 3 3 2 5 3 2" xfId="23402" xr:uid="{16E82540-CF8D-4BB2-BD57-75084831E922}"/>
    <cellStyle name="Normal 8 3 3 2 5 3 3" xfId="14961" xr:uid="{55337E52-E1EA-4079-A994-53DF5478CB71}"/>
    <cellStyle name="Normal 8 3 3 2 5 4" xfId="19184" xr:uid="{AE017C01-683F-422E-B7FC-B3DE0F0DAB07}"/>
    <cellStyle name="Normal 8 3 3 2 5 5" xfId="10743" xr:uid="{91D808B7-6DDA-46B8-8602-068002B10BE8}"/>
    <cellStyle name="Normal 8 3 3 2 6" xfId="2648" xr:uid="{00000000-0005-0000-0000-0000931D0000}"/>
    <cellStyle name="Normal 8 3 3 2 6 2" xfId="6932" xr:uid="{00000000-0005-0000-0000-0000941D0000}"/>
    <cellStyle name="Normal 8 3 3 2 6 2 2" xfId="23815" xr:uid="{61B15E24-509D-4CFB-9619-B09B70D72579}"/>
    <cellStyle name="Normal 8 3 3 2 6 2 3" xfId="15374" xr:uid="{30AD62AD-493D-4674-ACFD-10DEE67AF3D8}"/>
    <cellStyle name="Normal 8 3 3 2 6 3" xfId="19597" xr:uid="{9CB5D0F6-E7A0-406C-BE15-A4014E771A41}"/>
    <cellStyle name="Normal 8 3 3 2 6 4" xfId="11156" xr:uid="{2F80EBFE-6308-4EC0-B9C1-249304B7C35F}"/>
    <cellStyle name="Normal 8 3 3 2 7" xfId="4867" xr:uid="{00000000-0005-0000-0000-0000951D0000}"/>
    <cellStyle name="Normal 8 3 3 2 7 2" xfId="21750" xr:uid="{2EC1CC2D-C655-4FDE-8BB1-B8F891CA3E07}"/>
    <cellStyle name="Normal 8 3 3 2 7 3" xfId="13309" xr:uid="{CC8684AA-1B0B-4517-84E4-A589665EDA31}"/>
    <cellStyle name="Normal 8 3 3 2 8" xfId="17532" xr:uid="{2DB9AE7F-A685-479E-9E63-06C850CD0BA1}"/>
    <cellStyle name="Normal 8 3 3 2 9" xfId="9091" xr:uid="{9EC04330-C0E3-45C7-B192-1892E48F8731}"/>
    <cellStyle name="Normal 8 3 3 3" xfId="967" xr:uid="{00000000-0005-0000-0000-0000961D0000}"/>
    <cellStyle name="Normal 8 3 3 3 2" xfId="3201" xr:uid="{00000000-0005-0000-0000-0000971D0000}"/>
    <cellStyle name="Normal 8 3 3 3 2 2" xfId="7424" xr:uid="{00000000-0005-0000-0000-0000981D0000}"/>
    <cellStyle name="Normal 8 3 3 3 2 2 2" xfId="24307" xr:uid="{BD0E3166-4685-4EDC-8742-9C4002A566D7}"/>
    <cellStyle name="Normal 8 3 3 3 2 2 3" xfId="15866" xr:uid="{5EB2B62C-0FDE-423E-AFEB-4C06B003467B}"/>
    <cellStyle name="Normal 8 3 3 3 2 3" xfId="20089" xr:uid="{3AB44BC4-11E5-4834-8625-475B729ACCD2}"/>
    <cellStyle name="Normal 8 3 3 3 2 4" xfId="11648" xr:uid="{6D57F55C-62AD-40C5-B30A-1FCACC0062DA}"/>
    <cellStyle name="Normal 8 3 3 3 3" xfId="5279" xr:uid="{00000000-0005-0000-0000-0000991D0000}"/>
    <cellStyle name="Normal 8 3 3 3 3 2" xfId="22162" xr:uid="{2039AE1A-FA0E-4E65-B378-4B17DB03D106}"/>
    <cellStyle name="Normal 8 3 3 3 3 3" xfId="13721" xr:uid="{B436A62A-0ABC-4105-B57A-1763C93C2658}"/>
    <cellStyle name="Normal 8 3 3 3 4" xfId="17944" xr:uid="{18970672-DE18-47B5-8CD5-02258562D55F}"/>
    <cellStyle name="Normal 8 3 3 3 5" xfId="9503" xr:uid="{42893092-0AC0-4288-8FD0-A2F7FD5DB6DE}"/>
    <cellStyle name="Normal 8 3 3 4" xfId="1384" xr:uid="{00000000-0005-0000-0000-00009A1D0000}"/>
    <cellStyle name="Normal 8 3 3 4 2" xfId="3614" xr:uid="{00000000-0005-0000-0000-00009B1D0000}"/>
    <cellStyle name="Normal 8 3 3 4 2 2" xfId="7837" xr:uid="{00000000-0005-0000-0000-00009C1D0000}"/>
    <cellStyle name="Normal 8 3 3 4 2 2 2" xfId="24720" xr:uid="{4BF9941F-F696-4452-92E8-D03EF631F787}"/>
    <cellStyle name="Normal 8 3 3 4 2 2 3" xfId="16279" xr:uid="{A3A8F988-F5BE-4F18-B92F-F56A64897DC9}"/>
    <cellStyle name="Normal 8 3 3 4 2 3" xfId="20502" xr:uid="{AF49E1D8-3118-4B33-98D8-06583B92B3C6}"/>
    <cellStyle name="Normal 8 3 3 4 2 4" xfId="12061" xr:uid="{FFAEEE29-78EF-49CE-B190-7756FCE47D8E}"/>
    <cellStyle name="Normal 8 3 3 4 3" xfId="5692" xr:uid="{00000000-0005-0000-0000-00009D1D0000}"/>
    <cellStyle name="Normal 8 3 3 4 3 2" xfId="22575" xr:uid="{FA8DC093-09A4-4985-AC54-41C5A39B9929}"/>
    <cellStyle name="Normal 8 3 3 4 3 3" xfId="14134" xr:uid="{93B2E674-8B99-4454-8668-0F3F7D4E291E}"/>
    <cellStyle name="Normal 8 3 3 4 4" xfId="18357" xr:uid="{66C881D9-DFA0-4098-BE96-09193579D7BB}"/>
    <cellStyle name="Normal 8 3 3 4 5" xfId="9916" xr:uid="{2885F697-F45E-49FA-BC1C-A770928E1919}"/>
    <cellStyle name="Normal 8 3 3 5" xfId="1797" xr:uid="{00000000-0005-0000-0000-00009E1D0000}"/>
    <cellStyle name="Normal 8 3 3 5 2" xfId="4027" xr:uid="{00000000-0005-0000-0000-00009F1D0000}"/>
    <cellStyle name="Normal 8 3 3 5 2 2" xfId="8250" xr:uid="{00000000-0005-0000-0000-0000A01D0000}"/>
    <cellStyle name="Normal 8 3 3 5 2 2 2" xfId="25133" xr:uid="{A5242E9F-08AC-48D2-AC0D-2BCA692EBD68}"/>
    <cellStyle name="Normal 8 3 3 5 2 2 3" xfId="16692" xr:uid="{F1EEDA83-9766-42F4-84DC-70C622A1A1D6}"/>
    <cellStyle name="Normal 8 3 3 5 2 3" xfId="20915" xr:uid="{4A7E4886-D86D-4FCF-AB1E-D9B2FBAD3699}"/>
    <cellStyle name="Normal 8 3 3 5 2 4" xfId="12474" xr:uid="{4D0314BC-99BD-4810-8F41-319C6D6AB2A1}"/>
    <cellStyle name="Normal 8 3 3 5 3" xfId="6105" xr:uid="{00000000-0005-0000-0000-0000A11D0000}"/>
    <cellStyle name="Normal 8 3 3 5 3 2" xfId="22988" xr:uid="{818E960D-0EAD-4987-BE0C-DDF13A4D970E}"/>
    <cellStyle name="Normal 8 3 3 5 3 3" xfId="14547" xr:uid="{06B3E9E4-AC33-4367-81A7-ED9D551498A1}"/>
    <cellStyle name="Normal 8 3 3 5 4" xfId="18770" xr:uid="{5405F1CE-0D59-4E26-A1F9-2E04820A0F75}"/>
    <cellStyle name="Normal 8 3 3 5 5" xfId="10329" xr:uid="{6FABE7D9-EFA1-475B-AF5A-A6CC56D43621}"/>
    <cellStyle name="Normal 8 3 3 6" xfId="2211" xr:uid="{00000000-0005-0000-0000-0000A21D0000}"/>
    <cellStyle name="Normal 8 3 3 6 2" xfId="4440" xr:uid="{00000000-0005-0000-0000-0000A31D0000}"/>
    <cellStyle name="Normal 8 3 3 6 2 2" xfId="8663" xr:uid="{00000000-0005-0000-0000-0000A41D0000}"/>
    <cellStyle name="Normal 8 3 3 6 2 2 2" xfId="25546" xr:uid="{7739D3AC-BA07-4587-BFE7-054619278658}"/>
    <cellStyle name="Normal 8 3 3 6 2 2 3" xfId="17105" xr:uid="{2675B0CB-00DD-48CF-954C-2F905B6C562B}"/>
    <cellStyle name="Normal 8 3 3 6 2 3" xfId="21328" xr:uid="{377FB8E9-942E-4E47-A225-2695D8191ACB}"/>
    <cellStyle name="Normal 8 3 3 6 2 4" xfId="12887" xr:uid="{855CB982-D7BA-4CEB-97BA-D7DB3081F1DC}"/>
    <cellStyle name="Normal 8 3 3 6 3" xfId="6518" xr:uid="{00000000-0005-0000-0000-0000A51D0000}"/>
    <cellStyle name="Normal 8 3 3 6 3 2" xfId="23401" xr:uid="{4C93F62F-1414-427C-BB45-8C21A2DBE470}"/>
    <cellStyle name="Normal 8 3 3 6 3 3" xfId="14960" xr:uid="{F039A04B-90FA-4D88-9976-3688220610F3}"/>
    <cellStyle name="Normal 8 3 3 6 4" xfId="19183" xr:uid="{7E49C16B-EB88-4C45-943D-C7E1A4726211}"/>
    <cellStyle name="Normal 8 3 3 6 5" xfId="10742" xr:uid="{406D45A9-D820-492C-9A00-8267B24FD3D0}"/>
    <cellStyle name="Normal 8 3 3 7" xfId="2647" xr:uid="{00000000-0005-0000-0000-0000A61D0000}"/>
    <cellStyle name="Normal 8 3 3 7 2" xfId="6931" xr:uid="{00000000-0005-0000-0000-0000A71D0000}"/>
    <cellStyle name="Normal 8 3 3 7 2 2" xfId="23814" xr:uid="{90CB8BE3-20CC-41A8-9BC5-20174919E32C}"/>
    <cellStyle name="Normal 8 3 3 7 2 3" xfId="15373" xr:uid="{7D887DE9-4840-4EE9-853F-D91DC352D0B4}"/>
    <cellStyle name="Normal 8 3 3 7 3" xfId="19596" xr:uid="{4F99482B-E238-464B-9FD1-CA458DD6AE90}"/>
    <cellStyle name="Normal 8 3 3 7 4" xfId="11155" xr:uid="{9074B9D3-5C31-40BE-BF9D-CB3AA12AF2BF}"/>
    <cellStyle name="Normal 8 3 3 8" xfId="4866" xr:uid="{00000000-0005-0000-0000-0000A81D0000}"/>
    <cellStyle name="Normal 8 3 3 8 2" xfId="21749" xr:uid="{70A389B4-9E94-4D00-8BDA-3BC7AF0BCB40}"/>
    <cellStyle name="Normal 8 3 3 8 3" xfId="13308" xr:uid="{36E85D24-4059-4A71-B56C-13733C4E6B8D}"/>
    <cellStyle name="Normal 8 3 3 9" xfId="17531" xr:uid="{37A1DFA2-F74C-4B60-9195-765B22F72F7A}"/>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24309" xr:uid="{C1D0EC30-A4D2-4BFE-85B4-4D4402AB2898}"/>
    <cellStyle name="Normal 8 3 4 2 2 2 3" xfId="15868" xr:uid="{93FE322D-37E8-4ED7-B745-6DCD21A0D24D}"/>
    <cellStyle name="Normal 8 3 4 2 2 3" xfId="20091" xr:uid="{1163618F-05C0-4A15-9821-B0D963A47DBC}"/>
    <cellStyle name="Normal 8 3 4 2 2 4" xfId="11650" xr:uid="{24BC4EB1-5C5C-4026-9813-5586917FC448}"/>
    <cellStyle name="Normal 8 3 4 2 3" xfId="5281" xr:uid="{00000000-0005-0000-0000-0000AD1D0000}"/>
    <cellStyle name="Normal 8 3 4 2 3 2" xfId="22164" xr:uid="{D5B141D1-7A06-436B-9E76-FFA14D4CC349}"/>
    <cellStyle name="Normal 8 3 4 2 3 3" xfId="13723" xr:uid="{8C963286-BBD5-4710-80DF-958F7F7AE9FB}"/>
    <cellStyle name="Normal 8 3 4 2 4" xfId="17946" xr:uid="{7FBA7B01-A3B3-4AEB-824A-0282C03231D6}"/>
    <cellStyle name="Normal 8 3 4 2 5" xfId="9505" xr:uid="{E1FB2A5F-2BBC-4E03-8370-08C7208DF0B2}"/>
    <cellStyle name="Normal 8 3 4 3" xfId="1386" xr:uid="{00000000-0005-0000-0000-0000AE1D0000}"/>
    <cellStyle name="Normal 8 3 4 3 2" xfId="3616" xr:uid="{00000000-0005-0000-0000-0000AF1D0000}"/>
    <cellStyle name="Normal 8 3 4 3 2 2" xfId="7839" xr:uid="{00000000-0005-0000-0000-0000B01D0000}"/>
    <cellStyle name="Normal 8 3 4 3 2 2 2" xfId="24722" xr:uid="{021750E4-614E-40C1-97CB-B991C30B2C64}"/>
    <cellStyle name="Normal 8 3 4 3 2 2 3" xfId="16281" xr:uid="{95C11614-FD0A-466D-9E41-75F55E1B134A}"/>
    <cellStyle name="Normal 8 3 4 3 2 3" xfId="20504" xr:uid="{A2F4BE09-D3C4-43A7-A38D-A23579F2BFDF}"/>
    <cellStyle name="Normal 8 3 4 3 2 4" xfId="12063" xr:uid="{D8B12974-2498-49D1-AB2D-AC6D8EAAFFFB}"/>
    <cellStyle name="Normal 8 3 4 3 3" xfId="5694" xr:uid="{00000000-0005-0000-0000-0000B11D0000}"/>
    <cellStyle name="Normal 8 3 4 3 3 2" xfId="22577" xr:uid="{283DC6E1-E376-4EE8-B065-3B85932B8EF4}"/>
    <cellStyle name="Normal 8 3 4 3 3 3" xfId="14136" xr:uid="{79E424E2-B181-4FAD-BF63-F07641CD1845}"/>
    <cellStyle name="Normal 8 3 4 3 4" xfId="18359" xr:uid="{7927F099-F1AC-45C9-BCE2-C9D38C17F2C6}"/>
    <cellStyle name="Normal 8 3 4 3 5" xfId="9918" xr:uid="{F2B4C3B8-E08F-48A6-8624-533F5A0ABE0F}"/>
    <cellStyle name="Normal 8 3 4 4" xfId="1799" xr:uid="{00000000-0005-0000-0000-0000B21D0000}"/>
    <cellStyle name="Normal 8 3 4 4 2" xfId="4029" xr:uid="{00000000-0005-0000-0000-0000B31D0000}"/>
    <cellStyle name="Normal 8 3 4 4 2 2" xfId="8252" xr:uid="{00000000-0005-0000-0000-0000B41D0000}"/>
    <cellStyle name="Normal 8 3 4 4 2 2 2" xfId="25135" xr:uid="{9C3DA8BB-7A35-4A12-8EFC-ED24766FEC13}"/>
    <cellStyle name="Normal 8 3 4 4 2 2 3" xfId="16694" xr:uid="{05351ADC-299A-4A5F-99EB-C654300123F0}"/>
    <cellStyle name="Normal 8 3 4 4 2 3" xfId="20917" xr:uid="{6155C990-FFA8-4E58-8EF4-C6C1F93F6064}"/>
    <cellStyle name="Normal 8 3 4 4 2 4" xfId="12476" xr:uid="{7D2813D0-6AF0-48D7-A413-B6EF91691E1A}"/>
    <cellStyle name="Normal 8 3 4 4 3" xfId="6107" xr:uid="{00000000-0005-0000-0000-0000B51D0000}"/>
    <cellStyle name="Normal 8 3 4 4 3 2" xfId="22990" xr:uid="{DAC945B9-D5A4-412A-9282-E24AE8AC682C}"/>
    <cellStyle name="Normal 8 3 4 4 3 3" xfId="14549" xr:uid="{D9168FDA-0567-4E41-A827-C7A1637D6669}"/>
    <cellStyle name="Normal 8 3 4 4 4" xfId="18772" xr:uid="{F349447E-274A-47C2-9589-A59498D3B726}"/>
    <cellStyle name="Normal 8 3 4 4 5" xfId="10331" xr:uid="{066BEE98-12E8-4CF4-829D-94DB2DD77751}"/>
    <cellStyle name="Normal 8 3 4 5" xfId="2213" xr:uid="{00000000-0005-0000-0000-0000B61D0000}"/>
    <cellStyle name="Normal 8 3 4 5 2" xfId="4442" xr:uid="{00000000-0005-0000-0000-0000B71D0000}"/>
    <cellStyle name="Normal 8 3 4 5 2 2" xfId="8665" xr:uid="{00000000-0005-0000-0000-0000B81D0000}"/>
    <cellStyle name="Normal 8 3 4 5 2 2 2" xfId="25548" xr:uid="{FD39DE88-6B1A-4B59-B33F-F7EDD0FDF604}"/>
    <cellStyle name="Normal 8 3 4 5 2 2 3" xfId="17107" xr:uid="{2CE88B0A-5192-4D33-8920-B601445D6AF5}"/>
    <cellStyle name="Normal 8 3 4 5 2 3" xfId="21330" xr:uid="{410BB5EF-EEB0-4795-AA98-55A0A3A267EF}"/>
    <cellStyle name="Normal 8 3 4 5 2 4" xfId="12889" xr:uid="{8BB89E12-737A-47BF-B077-2FE1AFDAA127}"/>
    <cellStyle name="Normal 8 3 4 5 3" xfId="6520" xr:uid="{00000000-0005-0000-0000-0000B91D0000}"/>
    <cellStyle name="Normal 8 3 4 5 3 2" xfId="23403" xr:uid="{1937D885-8E32-48A2-9585-DCCD60D2E0F2}"/>
    <cellStyle name="Normal 8 3 4 5 3 3" xfId="14962" xr:uid="{BFE05F05-A05F-40DD-AB79-F2F1A2EA15CB}"/>
    <cellStyle name="Normal 8 3 4 5 4" xfId="19185" xr:uid="{958A791E-A98B-438E-B026-09AA0DA80294}"/>
    <cellStyle name="Normal 8 3 4 5 5" xfId="10744" xr:uid="{5F96EAB8-8EE0-4009-B1FA-9607976A74E7}"/>
    <cellStyle name="Normal 8 3 4 6" xfId="2649" xr:uid="{00000000-0005-0000-0000-0000BA1D0000}"/>
    <cellStyle name="Normal 8 3 4 6 2" xfId="6933" xr:uid="{00000000-0005-0000-0000-0000BB1D0000}"/>
    <cellStyle name="Normal 8 3 4 6 2 2" xfId="23816" xr:uid="{06DD6E7E-29CA-4223-A8D7-6456740CACFE}"/>
    <cellStyle name="Normal 8 3 4 6 2 3" xfId="15375" xr:uid="{E02D9635-6E2D-48FA-BC59-2971145E9E0B}"/>
    <cellStyle name="Normal 8 3 4 6 3" xfId="19598" xr:uid="{ECC5237C-C536-4DC0-AA23-59E27388A5D3}"/>
    <cellStyle name="Normal 8 3 4 6 4" xfId="11157" xr:uid="{787102C4-62CA-4C22-9994-F49B556BE47A}"/>
    <cellStyle name="Normal 8 3 4 7" xfId="4868" xr:uid="{00000000-0005-0000-0000-0000BC1D0000}"/>
    <cellStyle name="Normal 8 3 4 7 2" xfId="21751" xr:uid="{28B9EFA4-EEB8-4E02-8A1F-E7BC90A12C66}"/>
    <cellStyle name="Normal 8 3 4 7 3" xfId="13310" xr:uid="{31044146-F0A2-4232-B023-75636A291B06}"/>
    <cellStyle name="Normal 8 3 4 8" xfId="17533" xr:uid="{8EFCE606-96A2-4A0D-BBBD-1079E9963E1D}"/>
    <cellStyle name="Normal 8 3 4 9" xfId="9092" xr:uid="{8BFFAD69-084C-40A4-931F-ECC1083FE8D4}"/>
    <cellStyle name="Normal 8 3 5" xfId="962" xr:uid="{00000000-0005-0000-0000-0000BD1D0000}"/>
    <cellStyle name="Normal 8 3 5 2" xfId="3196" xr:uid="{00000000-0005-0000-0000-0000BE1D0000}"/>
    <cellStyle name="Normal 8 3 5 2 2" xfId="7419" xr:uid="{00000000-0005-0000-0000-0000BF1D0000}"/>
    <cellStyle name="Normal 8 3 5 2 2 2" xfId="24302" xr:uid="{6D6AC060-512D-486D-9E6C-DE71CE4882CA}"/>
    <cellStyle name="Normal 8 3 5 2 2 3" xfId="15861" xr:uid="{0C3D065D-92D5-4E99-B1D9-2BB61F0F6EA6}"/>
    <cellStyle name="Normal 8 3 5 2 3" xfId="20084" xr:uid="{CA9C07A7-594F-488F-93B6-AAC8251BA072}"/>
    <cellStyle name="Normal 8 3 5 2 4" xfId="11643" xr:uid="{13F2E8C8-8B51-4E2F-9F3B-365E80533550}"/>
    <cellStyle name="Normal 8 3 5 3" xfId="5274" xr:uid="{00000000-0005-0000-0000-0000C01D0000}"/>
    <cellStyle name="Normal 8 3 5 3 2" xfId="22157" xr:uid="{D119052E-391E-4F4E-A96B-FB515CA164D8}"/>
    <cellStyle name="Normal 8 3 5 3 3" xfId="13716" xr:uid="{0B932EF3-0198-4031-80FF-62DD37614FF9}"/>
    <cellStyle name="Normal 8 3 5 4" xfId="17939" xr:uid="{7A926951-EEFB-435A-9D8C-01BD890174FB}"/>
    <cellStyle name="Normal 8 3 5 5" xfId="9498" xr:uid="{30A0B4E9-BE3F-40D5-8B7D-6305F72AB0E1}"/>
    <cellStyle name="Normal 8 3 6" xfId="1379" xr:uid="{00000000-0005-0000-0000-0000C11D0000}"/>
    <cellStyle name="Normal 8 3 6 2" xfId="3609" xr:uid="{00000000-0005-0000-0000-0000C21D0000}"/>
    <cellStyle name="Normal 8 3 6 2 2" xfId="7832" xr:uid="{00000000-0005-0000-0000-0000C31D0000}"/>
    <cellStyle name="Normal 8 3 6 2 2 2" xfId="24715" xr:uid="{E668519D-DAC1-4A59-B417-025251317BB5}"/>
    <cellStyle name="Normal 8 3 6 2 2 3" xfId="16274" xr:uid="{AF31415A-B4A5-400F-A9CE-F05D5CBF4635}"/>
    <cellStyle name="Normal 8 3 6 2 3" xfId="20497" xr:uid="{58289738-B846-4570-87BF-78E1FD841BD3}"/>
    <cellStyle name="Normal 8 3 6 2 4" xfId="12056" xr:uid="{1681D46E-681F-424F-A880-E5171C2D4E88}"/>
    <cellStyle name="Normal 8 3 6 3" xfId="5687" xr:uid="{00000000-0005-0000-0000-0000C41D0000}"/>
    <cellStyle name="Normal 8 3 6 3 2" xfId="22570" xr:uid="{C4A9E8EE-AA77-460B-910A-EDA86F07FBFD}"/>
    <cellStyle name="Normal 8 3 6 3 3" xfId="14129" xr:uid="{D6FA113E-7592-47D3-AF13-ACC7BDCCBC5E}"/>
    <cellStyle name="Normal 8 3 6 4" xfId="18352" xr:uid="{3655D3BD-6CEF-403D-9719-A634E783183E}"/>
    <cellStyle name="Normal 8 3 6 5" xfId="9911" xr:uid="{5665EE8B-091F-4AB8-88A3-CB5D2BBF30E7}"/>
    <cellStyle name="Normal 8 3 7" xfId="1792" xr:uid="{00000000-0005-0000-0000-0000C51D0000}"/>
    <cellStyle name="Normal 8 3 7 2" xfId="4022" xr:uid="{00000000-0005-0000-0000-0000C61D0000}"/>
    <cellStyle name="Normal 8 3 7 2 2" xfId="8245" xr:uid="{00000000-0005-0000-0000-0000C71D0000}"/>
    <cellStyle name="Normal 8 3 7 2 2 2" xfId="25128" xr:uid="{16933EE1-DCA1-4470-94C5-DB78CC2CA4CD}"/>
    <cellStyle name="Normal 8 3 7 2 2 3" xfId="16687" xr:uid="{6F708079-4911-44FC-B21B-1B4F44DDCFE0}"/>
    <cellStyle name="Normal 8 3 7 2 3" xfId="20910" xr:uid="{2E53B3FE-B081-46FE-B6E0-6A0FB308A50B}"/>
    <cellStyle name="Normal 8 3 7 2 4" xfId="12469" xr:uid="{9C12D13C-FD92-4FF1-8F4B-76DF226D3996}"/>
    <cellStyle name="Normal 8 3 7 3" xfId="6100" xr:uid="{00000000-0005-0000-0000-0000C81D0000}"/>
    <cellStyle name="Normal 8 3 7 3 2" xfId="22983" xr:uid="{724D40D1-5C7B-440E-A672-FF49A076E4CF}"/>
    <cellStyle name="Normal 8 3 7 3 3" xfId="14542" xr:uid="{551F90A4-F292-413B-A55C-CEB9F72DEC3D}"/>
    <cellStyle name="Normal 8 3 7 4" xfId="18765" xr:uid="{D25B81B3-EE19-4262-BF92-30301BCEBB52}"/>
    <cellStyle name="Normal 8 3 7 5" xfId="10324" xr:uid="{92668AC4-FD96-4E7C-8FD3-C7167AA6CA7A}"/>
    <cellStyle name="Normal 8 3 8" xfId="2206" xr:uid="{00000000-0005-0000-0000-0000C91D0000}"/>
    <cellStyle name="Normal 8 3 8 2" xfId="4435" xr:uid="{00000000-0005-0000-0000-0000CA1D0000}"/>
    <cellStyle name="Normal 8 3 8 2 2" xfId="8658" xr:uid="{00000000-0005-0000-0000-0000CB1D0000}"/>
    <cellStyle name="Normal 8 3 8 2 2 2" xfId="25541" xr:uid="{B1D32818-1EC1-428D-A5BD-066EA0D7E46A}"/>
    <cellStyle name="Normal 8 3 8 2 2 3" xfId="17100" xr:uid="{6CC2D9CD-8F81-4F89-8207-D4932222555E}"/>
    <cellStyle name="Normal 8 3 8 2 3" xfId="21323" xr:uid="{C5AC5258-C28B-4682-AAD8-B53C9A5AF2B3}"/>
    <cellStyle name="Normal 8 3 8 2 4" xfId="12882" xr:uid="{2F8CD18B-1709-43C2-9A10-0D1813DCDF01}"/>
    <cellStyle name="Normal 8 3 8 3" xfId="6513" xr:uid="{00000000-0005-0000-0000-0000CC1D0000}"/>
    <cellStyle name="Normal 8 3 8 3 2" xfId="23396" xr:uid="{AAB61B29-75CE-46D5-8837-DBDBA4C7143E}"/>
    <cellStyle name="Normal 8 3 8 3 3" xfId="14955" xr:uid="{F3F1EB53-15E6-4120-A866-A1D70F8DD9D4}"/>
    <cellStyle name="Normal 8 3 8 4" xfId="19178" xr:uid="{F06BA36F-6DBC-41D0-B53D-38ED1D05B365}"/>
    <cellStyle name="Normal 8 3 8 5" xfId="10737" xr:uid="{59C3299A-98C3-489E-9102-DE74D6170B7D}"/>
    <cellStyle name="Normal 8 3 9" xfId="2642" xr:uid="{00000000-0005-0000-0000-0000CD1D0000}"/>
    <cellStyle name="Normal 8 3 9 2" xfId="6926" xr:uid="{00000000-0005-0000-0000-0000CE1D0000}"/>
    <cellStyle name="Normal 8 3 9 2 2" xfId="23809" xr:uid="{C06237B1-0D4A-4A4D-9CC9-A26A71C0C5BB}"/>
    <cellStyle name="Normal 8 3 9 2 3" xfId="15368" xr:uid="{3B2092AB-8C64-4B9C-9E09-A8197152FC8A}"/>
    <cellStyle name="Normal 8 3 9 3" xfId="19591" xr:uid="{A2C8C8DA-6364-42CC-B85D-3E29A4389770}"/>
    <cellStyle name="Normal 8 3 9 4" xfId="11150" xr:uid="{8556CBF9-1580-4AC5-8800-3C83F86778F1}"/>
    <cellStyle name="Normal 8 4" xfId="503" xr:uid="{00000000-0005-0000-0000-0000CF1D0000}"/>
    <cellStyle name="Normal 8 4 10" xfId="17534" xr:uid="{D8108E0D-387F-4356-AD30-7D5BCEF6D1A3}"/>
    <cellStyle name="Normal 8 4 11" xfId="9093" xr:uid="{EBCDA537-FE61-4146-9D20-D05C57ABDE2D}"/>
    <cellStyle name="Normal 8 4 2" xfId="504" xr:uid="{00000000-0005-0000-0000-0000D01D0000}"/>
    <cellStyle name="Normal 8 4 2 10" xfId="9094" xr:uid="{32CE2572-6EB0-4F12-AA8C-E719B65F1EF4}"/>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24312" xr:uid="{FA5DC948-9894-4C17-896F-7563B4F1CEB9}"/>
    <cellStyle name="Normal 8 4 2 2 2 2 2 3" xfId="15871" xr:uid="{4506B87C-B1D4-4AE1-807A-6DCCDB7C6600}"/>
    <cellStyle name="Normal 8 4 2 2 2 2 3" xfId="20094" xr:uid="{59E4AA4E-7DD8-4020-975F-CE742E3ED2E3}"/>
    <cellStyle name="Normal 8 4 2 2 2 2 4" xfId="11653" xr:uid="{60D655AE-AE77-403F-942B-C3BD56938AFE}"/>
    <cellStyle name="Normal 8 4 2 2 2 3" xfId="5284" xr:uid="{00000000-0005-0000-0000-0000D51D0000}"/>
    <cellStyle name="Normal 8 4 2 2 2 3 2" xfId="22167" xr:uid="{1FE9FB19-C706-4FCF-B48C-5E6C0EDEDC99}"/>
    <cellStyle name="Normal 8 4 2 2 2 3 3" xfId="13726" xr:uid="{77B20FC7-38CB-47D1-B13D-A2F7E5C0CA60}"/>
    <cellStyle name="Normal 8 4 2 2 2 4" xfId="17949" xr:uid="{8FA517B0-73B2-469A-A0A3-24C3C05BE4B7}"/>
    <cellStyle name="Normal 8 4 2 2 2 5" xfId="9508" xr:uid="{8CFC271E-36C7-4945-A3DA-6EC226465043}"/>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24725" xr:uid="{5165F1EB-F529-425E-9F10-F81D35D74938}"/>
    <cellStyle name="Normal 8 4 2 2 3 2 2 3" xfId="16284" xr:uid="{F7667187-2503-4DF3-9A97-FCB883202E23}"/>
    <cellStyle name="Normal 8 4 2 2 3 2 3" xfId="20507" xr:uid="{E32EAB37-4002-4B10-9D39-2DCF9434CD93}"/>
    <cellStyle name="Normal 8 4 2 2 3 2 4" xfId="12066" xr:uid="{5FA9360D-4187-4595-A140-786918CCBD6E}"/>
    <cellStyle name="Normal 8 4 2 2 3 3" xfId="5697" xr:uid="{00000000-0005-0000-0000-0000D91D0000}"/>
    <cellStyle name="Normal 8 4 2 2 3 3 2" xfId="22580" xr:uid="{1569C563-8F05-4100-800F-7697A4DA5B8B}"/>
    <cellStyle name="Normal 8 4 2 2 3 3 3" xfId="14139" xr:uid="{80536E42-55B1-4838-A1F4-13D38E628483}"/>
    <cellStyle name="Normal 8 4 2 2 3 4" xfId="18362" xr:uid="{EE9D2286-CFFB-4E34-8E71-67F5B5D1869C}"/>
    <cellStyle name="Normal 8 4 2 2 3 5" xfId="9921" xr:uid="{EB59ABC4-3573-4929-861E-EB147FD5AE2B}"/>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25138" xr:uid="{5050F09A-B5D9-46D9-8B8F-1E46BBC10C4F}"/>
    <cellStyle name="Normal 8 4 2 2 4 2 2 3" xfId="16697" xr:uid="{2AE8EE8F-7D3D-463B-A333-E07E620A17F1}"/>
    <cellStyle name="Normal 8 4 2 2 4 2 3" xfId="20920" xr:uid="{E7379747-4EA0-4B64-A227-160C1BA10BAD}"/>
    <cellStyle name="Normal 8 4 2 2 4 2 4" xfId="12479" xr:uid="{3C9D88D1-3D6C-4345-A5D8-09C2C10F8F12}"/>
    <cellStyle name="Normal 8 4 2 2 4 3" xfId="6110" xr:uid="{00000000-0005-0000-0000-0000DD1D0000}"/>
    <cellStyle name="Normal 8 4 2 2 4 3 2" xfId="22993" xr:uid="{0710EF47-CC07-4B83-B269-9209BB23CDD7}"/>
    <cellStyle name="Normal 8 4 2 2 4 3 3" xfId="14552" xr:uid="{D2D45DBD-F069-4B08-8FDA-B0C0A25BCA56}"/>
    <cellStyle name="Normal 8 4 2 2 4 4" xfId="18775" xr:uid="{B7B4E04B-DED0-45C0-B1F5-9C2F0654C714}"/>
    <cellStyle name="Normal 8 4 2 2 4 5" xfId="10334" xr:uid="{9A6D743E-069E-4A08-889A-0900850501AC}"/>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25551" xr:uid="{C79037C3-A7AE-4506-BABF-2E45ABEF3F25}"/>
    <cellStyle name="Normal 8 4 2 2 5 2 2 3" xfId="17110" xr:uid="{B6435C86-4180-4515-B580-A4603C2E702F}"/>
    <cellStyle name="Normal 8 4 2 2 5 2 3" xfId="21333" xr:uid="{5DAB9B03-091F-488F-ADC7-0C87039FEDA5}"/>
    <cellStyle name="Normal 8 4 2 2 5 2 4" xfId="12892" xr:uid="{D372EDCD-7C18-456A-A6F5-F19F2281C220}"/>
    <cellStyle name="Normal 8 4 2 2 5 3" xfId="6523" xr:uid="{00000000-0005-0000-0000-0000E11D0000}"/>
    <cellStyle name="Normal 8 4 2 2 5 3 2" xfId="23406" xr:uid="{0497A73E-D861-47D5-BF41-66679E971355}"/>
    <cellStyle name="Normal 8 4 2 2 5 3 3" xfId="14965" xr:uid="{2C1C9924-864A-4F39-AD55-D32462D9A5B8}"/>
    <cellStyle name="Normal 8 4 2 2 5 4" xfId="19188" xr:uid="{2D2D957D-C35C-4F36-8E12-0B3496BCCEC5}"/>
    <cellStyle name="Normal 8 4 2 2 5 5" xfId="10747" xr:uid="{AEC249F1-822B-4053-AA0B-1B5C45F32210}"/>
    <cellStyle name="Normal 8 4 2 2 6" xfId="2652" xr:uid="{00000000-0005-0000-0000-0000E21D0000}"/>
    <cellStyle name="Normal 8 4 2 2 6 2" xfId="6936" xr:uid="{00000000-0005-0000-0000-0000E31D0000}"/>
    <cellStyle name="Normal 8 4 2 2 6 2 2" xfId="23819" xr:uid="{1EC7C88A-15A6-45C2-AD06-86875896C113}"/>
    <cellStyle name="Normal 8 4 2 2 6 2 3" xfId="15378" xr:uid="{83542E6F-6D81-4A01-9503-6BECE71CB920}"/>
    <cellStyle name="Normal 8 4 2 2 6 3" xfId="19601" xr:uid="{146FB974-F032-4329-85FD-9DA9D35D7C2E}"/>
    <cellStyle name="Normal 8 4 2 2 6 4" xfId="11160" xr:uid="{5ED4BE17-C44C-4D94-B9C2-4D1FF8DA0BF9}"/>
    <cellStyle name="Normal 8 4 2 2 7" xfId="4871" xr:uid="{00000000-0005-0000-0000-0000E41D0000}"/>
    <cellStyle name="Normal 8 4 2 2 7 2" xfId="21754" xr:uid="{EADFF480-BD40-4499-9364-4E2B39805707}"/>
    <cellStyle name="Normal 8 4 2 2 7 3" xfId="13313" xr:uid="{8CBDD5DC-640A-44C9-932C-642EA0C0D79F}"/>
    <cellStyle name="Normal 8 4 2 2 8" xfId="17536" xr:uid="{E4DD166B-A875-4A87-B053-AF15D5F1B614}"/>
    <cellStyle name="Normal 8 4 2 2 9" xfId="9095" xr:uid="{EA19F365-38D8-4581-B425-CF67540F030A}"/>
    <cellStyle name="Normal 8 4 2 3" xfId="971" xr:uid="{00000000-0005-0000-0000-0000E51D0000}"/>
    <cellStyle name="Normal 8 4 2 3 2" xfId="3205" xr:uid="{00000000-0005-0000-0000-0000E61D0000}"/>
    <cellStyle name="Normal 8 4 2 3 2 2" xfId="7428" xr:uid="{00000000-0005-0000-0000-0000E71D0000}"/>
    <cellStyle name="Normal 8 4 2 3 2 2 2" xfId="24311" xr:uid="{7A8BE0F6-9CC4-404A-9282-94A061C252F9}"/>
    <cellStyle name="Normal 8 4 2 3 2 2 3" xfId="15870" xr:uid="{B6CD2EB4-BC8D-4098-80FB-2882FCC9E607}"/>
    <cellStyle name="Normal 8 4 2 3 2 3" xfId="20093" xr:uid="{C17EB4BE-E538-4856-8FD0-897966462115}"/>
    <cellStyle name="Normal 8 4 2 3 2 4" xfId="11652" xr:uid="{912DA3AD-F3D6-46F2-9279-9A858D800410}"/>
    <cellStyle name="Normal 8 4 2 3 3" xfId="5283" xr:uid="{00000000-0005-0000-0000-0000E81D0000}"/>
    <cellStyle name="Normal 8 4 2 3 3 2" xfId="22166" xr:uid="{436359FA-CE50-469E-A351-6274C3746A94}"/>
    <cellStyle name="Normal 8 4 2 3 3 3" xfId="13725" xr:uid="{CFD57F8D-2A9E-4DB9-99F5-813DB04BEF6E}"/>
    <cellStyle name="Normal 8 4 2 3 4" xfId="17948" xr:uid="{DEAEA682-0B0D-4983-A598-E2705ABB74A7}"/>
    <cellStyle name="Normal 8 4 2 3 5" xfId="9507" xr:uid="{A4CF81D7-D63D-440B-8BFB-777CE7159F6F}"/>
    <cellStyle name="Normal 8 4 2 4" xfId="1388" xr:uid="{00000000-0005-0000-0000-0000E91D0000}"/>
    <cellStyle name="Normal 8 4 2 4 2" xfId="3618" xr:uid="{00000000-0005-0000-0000-0000EA1D0000}"/>
    <cellStyle name="Normal 8 4 2 4 2 2" xfId="7841" xr:uid="{00000000-0005-0000-0000-0000EB1D0000}"/>
    <cellStyle name="Normal 8 4 2 4 2 2 2" xfId="24724" xr:uid="{FA049E78-7D8A-4BFE-A8B4-58FED20C0EB6}"/>
    <cellStyle name="Normal 8 4 2 4 2 2 3" xfId="16283" xr:uid="{BB22B9C6-1A1C-44EE-BA3A-8E71AC1EB70F}"/>
    <cellStyle name="Normal 8 4 2 4 2 3" xfId="20506" xr:uid="{97B9DCD8-9F2F-4315-9E39-2DAC5A161E6D}"/>
    <cellStyle name="Normal 8 4 2 4 2 4" xfId="12065" xr:uid="{C717AB09-6A21-44EE-A9DE-3C2C32F780CC}"/>
    <cellStyle name="Normal 8 4 2 4 3" xfId="5696" xr:uid="{00000000-0005-0000-0000-0000EC1D0000}"/>
    <cellStyle name="Normal 8 4 2 4 3 2" xfId="22579" xr:uid="{D32158F3-2A60-4642-B1FB-644D2E6B7960}"/>
    <cellStyle name="Normal 8 4 2 4 3 3" xfId="14138" xr:uid="{B5700C78-ED1E-4281-8E7A-F0659E7548FA}"/>
    <cellStyle name="Normal 8 4 2 4 4" xfId="18361" xr:uid="{98E86D3E-9C74-4749-A422-556E59DBC89D}"/>
    <cellStyle name="Normal 8 4 2 4 5" xfId="9920" xr:uid="{E6851C3F-EFC7-461B-94EA-CE5790C22A3C}"/>
    <cellStyle name="Normal 8 4 2 5" xfId="1801" xr:uid="{00000000-0005-0000-0000-0000ED1D0000}"/>
    <cellStyle name="Normal 8 4 2 5 2" xfId="4031" xr:uid="{00000000-0005-0000-0000-0000EE1D0000}"/>
    <cellStyle name="Normal 8 4 2 5 2 2" xfId="8254" xr:uid="{00000000-0005-0000-0000-0000EF1D0000}"/>
    <cellStyle name="Normal 8 4 2 5 2 2 2" xfId="25137" xr:uid="{C96FAC88-16DF-4262-BB5F-3B0F1DDDDCBA}"/>
    <cellStyle name="Normal 8 4 2 5 2 2 3" xfId="16696" xr:uid="{C980341D-D52E-4464-93E1-1E4AB02BDF89}"/>
    <cellStyle name="Normal 8 4 2 5 2 3" xfId="20919" xr:uid="{D8368012-48B6-4E09-A59F-824FDD863DF7}"/>
    <cellStyle name="Normal 8 4 2 5 2 4" xfId="12478" xr:uid="{BF31A79E-0875-4789-AEDE-124073843760}"/>
    <cellStyle name="Normal 8 4 2 5 3" xfId="6109" xr:uid="{00000000-0005-0000-0000-0000F01D0000}"/>
    <cellStyle name="Normal 8 4 2 5 3 2" xfId="22992" xr:uid="{CADB8825-E6AF-4CCD-BCAC-942C2ADB4FAF}"/>
    <cellStyle name="Normal 8 4 2 5 3 3" xfId="14551" xr:uid="{7B1273CA-25A8-4270-9BA9-4E9B5F102634}"/>
    <cellStyle name="Normal 8 4 2 5 4" xfId="18774" xr:uid="{A89D9D65-C5BA-4DED-A1AE-0DA6DAF7DB5B}"/>
    <cellStyle name="Normal 8 4 2 5 5" xfId="10333" xr:uid="{1C194263-9DEC-40C5-AB66-A4F6B5EADD5C}"/>
    <cellStyle name="Normal 8 4 2 6" xfId="2215" xr:uid="{00000000-0005-0000-0000-0000F11D0000}"/>
    <cellStyle name="Normal 8 4 2 6 2" xfId="4444" xr:uid="{00000000-0005-0000-0000-0000F21D0000}"/>
    <cellStyle name="Normal 8 4 2 6 2 2" xfId="8667" xr:uid="{00000000-0005-0000-0000-0000F31D0000}"/>
    <cellStyle name="Normal 8 4 2 6 2 2 2" xfId="25550" xr:uid="{259B21CE-A308-499A-9597-16FB9CB76167}"/>
    <cellStyle name="Normal 8 4 2 6 2 2 3" xfId="17109" xr:uid="{A83203E1-6CB5-4181-996C-BC79CD11B3FC}"/>
    <cellStyle name="Normal 8 4 2 6 2 3" xfId="21332" xr:uid="{47451449-B45E-4281-A909-D1F474B114A5}"/>
    <cellStyle name="Normal 8 4 2 6 2 4" xfId="12891" xr:uid="{DBF65D2C-0D12-4B9F-B45A-21E325993741}"/>
    <cellStyle name="Normal 8 4 2 6 3" xfId="6522" xr:uid="{00000000-0005-0000-0000-0000F41D0000}"/>
    <cellStyle name="Normal 8 4 2 6 3 2" xfId="23405" xr:uid="{1B01BA6E-160B-495B-8D40-5F8ED0E0C379}"/>
    <cellStyle name="Normal 8 4 2 6 3 3" xfId="14964" xr:uid="{F0278D73-ED10-4894-978B-9475D44467E6}"/>
    <cellStyle name="Normal 8 4 2 6 4" xfId="19187" xr:uid="{291C2189-BA65-43D3-8C45-7338EF642863}"/>
    <cellStyle name="Normal 8 4 2 6 5" xfId="10746" xr:uid="{CBD5568D-3742-418D-8B03-1369BDA3F296}"/>
    <cellStyle name="Normal 8 4 2 7" xfId="2651" xr:uid="{00000000-0005-0000-0000-0000F51D0000}"/>
    <cellStyle name="Normal 8 4 2 7 2" xfId="6935" xr:uid="{00000000-0005-0000-0000-0000F61D0000}"/>
    <cellStyle name="Normal 8 4 2 7 2 2" xfId="23818" xr:uid="{71AB5971-A678-4F2C-B1D7-9BB9CC476873}"/>
    <cellStyle name="Normal 8 4 2 7 2 3" xfId="15377" xr:uid="{58A710AD-245C-4ABF-8622-6AC238353022}"/>
    <cellStyle name="Normal 8 4 2 7 3" xfId="19600" xr:uid="{9246DB18-43FE-4A07-BB00-FA62F6173724}"/>
    <cellStyle name="Normal 8 4 2 7 4" xfId="11159" xr:uid="{7B53496C-2212-401E-94BC-96217B82E2E5}"/>
    <cellStyle name="Normal 8 4 2 8" xfId="4870" xr:uid="{00000000-0005-0000-0000-0000F71D0000}"/>
    <cellStyle name="Normal 8 4 2 8 2" xfId="21753" xr:uid="{E6D0085D-E4F4-4EE1-93E4-CBEE6A09A479}"/>
    <cellStyle name="Normal 8 4 2 8 3" xfId="13312" xr:uid="{DAF75BB6-5B95-4E52-BD7E-6BA25B5A73D6}"/>
    <cellStyle name="Normal 8 4 2 9" xfId="17535" xr:uid="{B0A9AE5F-500D-49E2-B642-4D60C9F53887}"/>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24313" xr:uid="{23BB5D7C-5C46-44DF-A24C-9B22B15AA135}"/>
    <cellStyle name="Normal 8 4 3 2 2 2 3" xfId="15872" xr:uid="{72EAFF19-5F1C-4BD6-993F-8C5CD9672083}"/>
    <cellStyle name="Normal 8 4 3 2 2 3" xfId="20095" xr:uid="{9BAA484F-F00D-4A46-ADFB-708B3FF44F7A}"/>
    <cellStyle name="Normal 8 4 3 2 2 4" xfId="11654" xr:uid="{EC9C176A-2BF8-40FF-B753-EB4A7D6001A9}"/>
    <cellStyle name="Normal 8 4 3 2 3" xfId="5285" xr:uid="{00000000-0005-0000-0000-0000FC1D0000}"/>
    <cellStyle name="Normal 8 4 3 2 3 2" xfId="22168" xr:uid="{D834C989-57E3-41F6-9EC6-C05A1FB948D8}"/>
    <cellStyle name="Normal 8 4 3 2 3 3" xfId="13727" xr:uid="{09E9B2B5-49DA-4A1E-AECE-21076E15A933}"/>
    <cellStyle name="Normal 8 4 3 2 4" xfId="17950" xr:uid="{0844DAB2-7BBB-4899-893C-23B25B8D9A00}"/>
    <cellStyle name="Normal 8 4 3 2 5" xfId="9509" xr:uid="{3C3D3C04-791C-4DCA-94F4-010F900C0AC8}"/>
    <cellStyle name="Normal 8 4 3 3" xfId="1390" xr:uid="{00000000-0005-0000-0000-0000FD1D0000}"/>
    <cellStyle name="Normal 8 4 3 3 2" xfId="3620" xr:uid="{00000000-0005-0000-0000-0000FE1D0000}"/>
    <cellStyle name="Normal 8 4 3 3 2 2" xfId="7843" xr:uid="{00000000-0005-0000-0000-0000FF1D0000}"/>
    <cellStyle name="Normal 8 4 3 3 2 2 2" xfId="24726" xr:uid="{E953B311-E60B-4E88-96C1-238859689EEB}"/>
    <cellStyle name="Normal 8 4 3 3 2 2 3" xfId="16285" xr:uid="{D6AB2E82-B64E-45C0-8003-B25F8EC15C56}"/>
    <cellStyle name="Normal 8 4 3 3 2 3" xfId="20508" xr:uid="{381BC7C5-12E1-449B-A86E-2020DAACF844}"/>
    <cellStyle name="Normal 8 4 3 3 2 4" xfId="12067" xr:uid="{E1F06D8F-E449-4A99-B6AF-488A4D518194}"/>
    <cellStyle name="Normal 8 4 3 3 3" xfId="5698" xr:uid="{00000000-0005-0000-0000-0000001E0000}"/>
    <cellStyle name="Normal 8 4 3 3 3 2" xfId="22581" xr:uid="{F79576E2-4364-4038-9627-79663A9B0A29}"/>
    <cellStyle name="Normal 8 4 3 3 3 3" xfId="14140" xr:uid="{C932487B-32A5-42FA-966D-7A2492947B0A}"/>
    <cellStyle name="Normal 8 4 3 3 4" xfId="18363" xr:uid="{67A89E26-AC11-4E1A-976D-D8C85A44E538}"/>
    <cellStyle name="Normal 8 4 3 3 5" xfId="9922" xr:uid="{AD35109A-839E-424D-952A-658DECBA17E9}"/>
    <cellStyle name="Normal 8 4 3 4" xfId="1803" xr:uid="{00000000-0005-0000-0000-0000011E0000}"/>
    <cellStyle name="Normal 8 4 3 4 2" xfId="4033" xr:uid="{00000000-0005-0000-0000-0000021E0000}"/>
    <cellStyle name="Normal 8 4 3 4 2 2" xfId="8256" xr:uid="{00000000-0005-0000-0000-0000031E0000}"/>
    <cellStyle name="Normal 8 4 3 4 2 2 2" xfId="25139" xr:uid="{83964BDF-AFB1-44E5-BF1F-AC7DF5583A80}"/>
    <cellStyle name="Normal 8 4 3 4 2 2 3" xfId="16698" xr:uid="{FEA58BC8-76CF-47B0-854E-ED6F548DF1C9}"/>
    <cellStyle name="Normal 8 4 3 4 2 3" xfId="20921" xr:uid="{10B3717B-4A18-4058-8CF6-0542EDFB2717}"/>
    <cellStyle name="Normal 8 4 3 4 2 4" xfId="12480" xr:uid="{508DE612-CB67-4885-A5D0-6C1C07414E29}"/>
    <cellStyle name="Normal 8 4 3 4 3" xfId="6111" xr:uid="{00000000-0005-0000-0000-0000041E0000}"/>
    <cellStyle name="Normal 8 4 3 4 3 2" xfId="22994" xr:uid="{E41457C0-DF80-4F73-83C1-7B575D194573}"/>
    <cellStyle name="Normal 8 4 3 4 3 3" xfId="14553" xr:uid="{8B944C2B-CE60-4BBF-BC5F-7F3A686FEFD2}"/>
    <cellStyle name="Normal 8 4 3 4 4" xfId="18776" xr:uid="{5FEC88C0-ACA1-4947-A9F5-A619B2D6E8D6}"/>
    <cellStyle name="Normal 8 4 3 4 5" xfId="10335" xr:uid="{D2BF3126-1689-402E-BF62-202CC9335B07}"/>
    <cellStyle name="Normal 8 4 3 5" xfId="2217" xr:uid="{00000000-0005-0000-0000-0000051E0000}"/>
    <cellStyle name="Normal 8 4 3 5 2" xfId="4446" xr:uid="{00000000-0005-0000-0000-0000061E0000}"/>
    <cellStyle name="Normal 8 4 3 5 2 2" xfId="8669" xr:uid="{00000000-0005-0000-0000-0000071E0000}"/>
    <cellStyle name="Normal 8 4 3 5 2 2 2" xfId="25552" xr:uid="{291DE382-2614-41D9-86CD-88959C77C9AD}"/>
    <cellStyle name="Normal 8 4 3 5 2 2 3" xfId="17111" xr:uid="{FE7FA51D-E01D-4F70-8803-3221D02D3997}"/>
    <cellStyle name="Normal 8 4 3 5 2 3" xfId="21334" xr:uid="{97395318-B952-44FE-BCF6-DDA78BE3E76A}"/>
    <cellStyle name="Normal 8 4 3 5 2 4" xfId="12893" xr:uid="{353D8AF8-86D2-49B4-A2B9-546080517249}"/>
    <cellStyle name="Normal 8 4 3 5 3" xfId="6524" xr:uid="{00000000-0005-0000-0000-0000081E0000}"/>
    <cellStyle name="Normal 8 4 3 5 3 2" xfId="23407" xr:uid="{5E9C5BD4-176D-447E-82AE-F3D770AD17B6}"/>
    <cellStyle name="Normal 8 4 3 5 3 3" xfId="14966" xr:uid="{C53176E5-289F-4A04-8BCD-ED780709B8E0}"/>
    <cellStyle name="Normal 8 4 3 5 4" xfId="19189" xr:uid="{1D2A6DD5-5757-4CFA-A890-C503A73DBCAB}"/>
    <cellStyle name="Normal 8 4 3 5 5" xfId="10748" xr:uid="{6F6872C9-44F5-4277-86DF-5F8F6C131FB3}"/>
    <cellStyle name="Normal 8 4 3 6" xfId="2653" xr:uid="{00000000-0005-0000-0000-0000091E0000}"/>
    <cellStyle name="Normal 8 4 3 6 2" xfId="6937" xr:uid="{00000000-0005-0000-0000-00000A1E0000}"/>
    <cellStyle name="Normal 8 4 3 6 2 2" xfId="23820" xr:uid="{2FD31A74-9CA1-4258-B1A5-1C114CC4FB71}"/>
    <cellStyle name="Normal 8 4 3 6 2 3" xfId="15379" xr:uid="{4D0BAE2A-C8F7-4AB1-9CC2-EFFA3454C6CF}"/>
    <cellStyle name="Normal 8 4 3 6 3" xfId="19602" xr:uid="{49FD3ADE-461C-4215-8661-8C719F7B90C6}"/>
    <cellStyle name="Normal 8 4 3 6 4" xfId="11161" xr:uid="{20E79771-1CDC-451E-976C-891E7B4719FD}"/>
    <cellStyle name="Normal 8 4 3 7" xfId="4872" xr:uid="{00000000-0005-0000-0000-00000B1E0000}"/>
    <cellStyle name="Normal 8 4 3 7 2" xfId="21755" xr:uid="{58F26047-06AF-4ED2-B808-565EDB141B74}"/>
    <cellStyle name="Normal 8 4 3 7 3" xfId="13314" xr:uid="{D378B56F-A96D-4D65-95EE-2A266A5C7BBC}"/>
    <cellStyle name="Normal 8 4 3 8" xfId="17537" xr:uid="{034068ED-AAD5-49F5-98BF-2861AE319E96}"/>
    <cellStyle name="Normal 8 4 3 9" xfId="9096" xr:uid="{156C86E4-2BA8-434D-86D2-0259E3F96B52}"/>
    <cellStyle name="Normal 8 4 4" xfId="970" xr:uid="{00000000-0005-0000-0000-00000C1E0000}"/>
    <cellStyle name="Normal 8 4 4 2" xfId="3204" xr:uid="{00000000-0005-0000-0000-00000D1E0000}"/>
    <cellStyle name="Normal 8 4 4 2 2" xfId="7427" xr:uid="{00000000-0005-0000-0000-00000E1E0000}"/>
    <cellStyle name="Normal 8 4 4 2 2 2" xfId="24310" xr:uid="{F3369980-A786-4702-99B7-9F236D527BFF}"/>
    <cellStyle name="Normal 8 4 4 2 2 3" xfId="15869" xr:uid="{20D31A78-B47B-4C4A-8395-36554C474D55}"/>
    <cellStyle name="Normal 8 4 4 2 3" xfId="20092" xr:uid="{30207162-0CE8-4756-8C47-796BE315774C}"/>
    <cellStyle name="Normal 8 4 4 2 4" xfId="11651" xr:uid="{18BCFA23-007B-49B1-9547-C948DDD23B3A}"/>
    <cellStyle name="Normal 8 4 4 3" xfId="5282" xr:uid="{00000000-0005-0000-0000-00000F1E0000}"/>
    <cellStyle name="Normal 8 4 4 3 2" xfId="22165" xr:uid="{994C9F4A-3473-4849-96EA-582733C4927D}"/>
    <cellStyle name="Normal 8 4 4 3 3" xfId="13724" xr:uid="{A4C82993-BD15-432F-ABCF-411CE09CB3C4}"/>
    <cellStyle name="Normal 8 4 4 4" xfId="17947" xr:uid="{7DABE719-6116-451C-ABF3-F0955882025E}"/>
    <cellStyle name="Normal 8 4 4 5" xfId="9506" xr:uid="{8CB04218-AA6A-4474-BE34-B82037799E5E}"/>
    <cellStyle name="Normal 8 4 5" xfId="1387" xr:uid="{00000000-0005-0000-0000-0000101E0000}"/>
    <cellStyle name="Normal 8 4 5 2" xfId="3617" xr:uid="{00000000-0005-0000-0000-0000111E0000}"/>
    <cellStyle name="Normal 8 4 5 2 2" xfId="7840" xr:uid="{00000000-0005-0000-0000-0000121E0000}"/>
    <cellStyle name="Normal 8 4 5 2 2 2" xfId="24723" xr:uid="{E8183FB0-086B-498E-B89C-C1F42B87CF31}"/>
    <cellStyle name="Normal 8 4 5 2 2 3" xfId="16282" xr:uid="{077C070E-A848-4321-89E4-4BC70D8C0E5B}"/>
    <cellStyle name="Normal 8 4 5 2 3" xfId="20505" xr:uid="{9EDD2E8E-E98D-48C8-95CB-9FAC8B5CA4BD}"/>
    <cellStyle name="Normal 8 4 5 2 4" xfId="12064" xr:uid="{ACCA4D10-F4ED-457F-A7D1-BF6F80AF829D}"/>
    <cellStyle name="Normal 8 4 5 3" xfId="5695" xr:uid="{00000000-0005-0000-0000-0000131E0000}"/>
    <cellStyle name="Normal 8 4 5 3 2" xfId="22578" xr:uid="{A0AB9AA7-8F00-499C-A6CE-4FE20A540620}"/>
    <cellStyle name="Normal 8 4 5 3 3" xfId="14137" xr:uid="{2987134A-5EE1-4474-84D9-929E9D4964C4}"/>
    <cellStyle name="Normal 8 4 5 4" xfId="18360" xr:uid="{A9A9D99D-7196-446B-BD67-FAE76C4C1DD6}"/>
    <cellStyle name="Normal 8 4 5 5" xfId="9919" xr:uid="{E7B70265-3F51-4863-9392-1BFC9644E7EC}"/>
    <cellStyle name="Normal 8 4 6" xfId="1800" xr:uid="{00000000-0005-0000-0000-0000141E0000}"/>
    <cellStyle name="Normal 8 4 6 2" xfId="4030" xr:uid="{00000000-0005-0000-0000-0000151E0000}"/>
    <cellStyle name="Normal 8 4 6 2 2" xfId="8253" xr:uid="{00000000-0005-0000-0000-0000161E0000}"/>
    <cellStyle name="Normal 8 4 6 2 2 2" xfId="25136" xr:uid="{65ECC027-AA59-450E-8149-E7B2B25A3D25}"/>
    <cellStyle name="Normal 8 4 6 2 2 3" xfId="16695" xr:uid="{627F529C-2926-46BF-B99C-3970BDBDD990}"/>
    <cellStyle name="Normal 8 4 6 2 3" xfId="20918" xr:uid="{A83EB93E-328F-4309-A9E0-C7AAA5AC606D}"/>
    <cellStyle name="Normal 8 4 6 2 4" xfId="12477" xr:uid="{3EBD0DFC-FDDF-44D7-BEA8-7F1356459E47}"/>
    <cellStyle name="Normal 8 4 6 3" xfId="6108" xr:uid="{00000000-0005-0000-0000-0000171E0000}"/>
    <cellStyle name="Normal 8 4 6 3 2" xfId="22991" xr:uid="{23F72AF3-9514-4DE8-8D7B-FC75A959417A}"/>
    <cellStyle name="Normal 8 4 6 3 3" xfId="14550" xr:uid="{BCA959F1-1594-44E3-B4E0-695DA5149239}"/>
    <cellStyle name="Normal 8 4 6 4" xfId="18773" xr:uid="{84C5004A-EE10-4508-8666-CFBDD4ADB103}"/>
    <cellStyle name="Normal 8 4 6 5" xfId="10332" xr:uid="{C4F61189-67F5-4C7A-9F43-CF13A07199C5}"/>
    <cellStyle name="Normal 8 4 7" xfId="2214" xr:uid="{00000000-0005-0000-0000-0000181E0000}"/>
    <cellStyle name="Normal 8 4 7 2" xfId="4443" xr:uid="{00000000-0005-0000-0000-0000191E0000}"/>
    <cellStyle name="Normal 8 4 7 2 2" xfId="8666" xr:uid="{00000000-0005-0000-0000-00001A1E0000}"/>
    <cellStyle name="Normal 8 4 7 2 2 2" xfId="25549" xr:uid="{FC41F40E-7BA5-4862-9B29-3C624BB4E03D}"/>
    <cellStyle name="Normal 8 4 7 2 2 3" xfId="17108" xr:uid="{AD4629B3-EF66-4B92-B179-31195240A991}"/>
    <cellStyle name="Normal 8 4 7 2 3" xfId="21331" xr:uid="{C1B244E0-4DF9-4C3B-AB21-E8638EFC6F10}"/>
    <cellStyle name="Normal 8 4 7 2 4" xfId="12890" xr:uid="{A173DADD-A21B-479F-9A30-C37979B659C8}"/>
    <cellStyle name="Normal 8 4 7 3" xfId="6521" xr:uid="{00000000-0005-0000-0000-00001B1E0000}"/>
    <cellStyle name="Normal 8 4 7 3 2" xfId="23404" xr:uid="{812C1639-FD5D-4F53-A1B6-73BF69641856}"/>
    <cellStyle name="Normal 8 4 7 3 3" xfId="14963" xr:uid="{3B54CDDD-246A-4BFA-BD43-D9B7D2AA22D9}"/>
    <cellStyle name="Normal 8 4 7 4" xfId="19186" xr:uid="{318E8633-1524-420D-95D7-5D9087904AAB}"/>
    <cellStyle name="Normal 8 4 7 5" xfId="10745" xr:uid="{60ACB0DA-4510-4E8C-8E1C-6B45EB5E50D7}"/>
    <cellStyle name="Normal 8 4 8" xfId="2650" xr:uid="{00000000-0005-0000-0000-00001C1E0000}"/>
    <cellStyle name="Normal 8 4 8 2" xfId="6934" xr:uid="{00000000-0005-0000-0000-00001D1E0000}"/>
    <cellStyle name="Normal 8 4 8 2 2" xfId="23817" xr:uid="{924F667A-97E7-4913-A179-080ABD3DB73F}"/>
    <cellStyle name="Normal 8 4 8 2 3" xfId="15376" xr:uid="{C77F2F15-3079-4173-B5CF-D218E5C5509F}"/>
    <cellStyle name="Normal 8 4 8 3" xfId="19599" xr:uid="{FE7571A8-32D9-42F0-BFDC-F1C38D3AF4E7}"/>
    <cellStyle name="Normal 8 4 8 4" xfId="11158" xr:uid="{1E2BA692-D15E-4E61-AD47-21F16DF5F7C5}"/>
    <cellStyle name="Normal 8 4 9" xfId="4869" xr:uid="{00000000-0005-0000-0000-00001E1E0000}"/>
    <cellStyle name="Normal 8 4 9 2" xfId="21752" xr:uid="{82126F0B-CC8B-45B7-96E9-8925EED65573}"/>
    <cellStyle name="Normal 8 4 9 3" xfId="13311" xr:uid="{F5A263BE-2AB1-4662-86C6-A54D4B72A149}"/>
    <cellStyle name="Normal 8 5" xfId="507" xr:uid="{00000000-0005-0000-0000-00001F1E0000}"/>
    <cellStyle name="Normal 8 5 10" xfId="9097" xr:uid="{5A39BDC9-669F-44F2-9F2D-663B20F87D5B}"/>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24315" xr:uid="{071C18C7-309A-4C3D-A977-E4161AF503A1}"/>
    <cellStyle name="Normal 8 5 2 2 2 2 3" xfId="15874" xr:uid="{6EBB9544-A8E8-47EA-AD3C-BBA16CCCE0B5}"/>
    <cellStyle name="Normal 8 5 2 2 2 3" xfId="20097" xr:uid="{46BD9C8E-8EB7-4BDA-B9B1-CD4F0A7725A1}"/>
    <cellStyle name="Normal 8 5 2 2 2 4" xfId="11656" xr:uid="{83269D5E-47B6-4E54-BA42-4F39C56CEC5F}"/>
    <cellStyle name="Normal 8 5 2 2 3" xfId="5287" xr:uid="{00000000-0005-0000-0000-0000241E0000}"/>
    <cellStyle name="Normal 8 5 2 2 3 2" xfId="22170" xr:uid="{34B2FEC1-EC0D-4EA0-9F86-1BD062624A0C}"/>
    <cellStyle name="Normal 8 5 2 2 3 3" xfId="13729" xr:uid="{A2A0F8FE-3DC0-4298-8C77-8CCCE8387D2D}"/>
    <cellStyle name="Normal 8 5 2 2 4" xfId="17952" xr:uid="{F291514B-D9CF-420F-AE6C-316FD568DC06}"/>
    <cellStyle name="Normal 8 5 2 2 5" xfId="9511" xr:uid="{888760A0-3EA2-4B88-9501-6E7A2F6CCE31}"/>
    <cellStyle name="Normal 8 5 2 3" xfId="1392" xr:uid="{00000000-0005-0000-0000-0000251E0000}"/>
    <cellStyle name="Normal 8 5 2 3 2" xfId="3622" xr:uid="{00000000-0005-0000-0000-0000261E0000}"/>
    <cellStyle name="Normal 8 5 2 3 2 2" xfId="7845" xr:uid="{00000000-0005-0000-0000-0000271E0000}"/>
    <cellStyle name="Normal 8 5 2 3 2 2 2" xfId="24728" xr:uid="{AAF1CEBC-9FF1-4F28-8ADB-401135342C56}"/>
    <cellStyle name="Normal 8 5 2 3 2 2 3" xfId="16287" xr:uid="{673ADD2A-3CCF-4A00-A5F2-6B574BAB0094}"/>
    <cellStyle name="Normal 8 5 2 3 2 3" xfId="20510" xr:uid="{914A0748-F536-4CD2-AF3A-83A4F9D05C9F}"/>
    <cellStyle name="Normal 8 5 2 3 2 4" xfId="12069" xr:uid="{BB1C9281-41AC-44E0-85C4-A6D3C443A76C}"/>
    <cellStyle name="Normal 8 5 2 3 3" xfId="5700" xr:uid="{00000000-0005-0000-0000-0000281E0000}"/>
    <cellStyle name="Normal 8 5 2 3 3 2" xfId="22583" xr:uid="{F48C6B2D-9F91-4505-B2B6-2DCC4CE9B369}"/>
    <cellStyle name="Normal 8 5 2 3 3 3" xfId="14142" xr:uid="{6913837F-8345-45A5-84B2-F3C7661A2CFB}"/>
    <cellStyle name="Normal 8 5 2 3 4" xfId="18365" xr:uid="{E2795B5F-25F6-4D9F-A936-4FFEA2B20275}"/>
    <cellStyle name="Normal 8 5 2 3 5" xfId="9924" xr:uid="{C50039D8-B986-4351-BFD6-C6CBFC3CD1F1}"/>
    <cellStyle name="Normal 8 5 2 4" xfId="1805" xr:uid="{00000000-0005-0000-0000-0000291E0000}"/>
    <cellStyle name="Normal 8 5 2 4 2" xfId="4035" xr:uid="{00000000-0005-0000-0000-00002A1E0000}"/>
    <cellStyle name="Normal 8 5 2 4 2 2" xfId="8258" xr:uid="{00000000-0005-0000-0000-00002B1E0000}"/>
    <cellStyle name="Normal 8 5 2 4 2 2 2" xfId="25141" xr:uid="{150D6A73-C32E-41E2-A946-CEC76D73BC64}"/>
    <cellStyle name="Normal 8 5 2 4 2 2 3" xfId="16700" xr:uid="{5C59020F-8400-465E-B0A0-565348B83A68}"/>
    <cellStyle name="Normal 8 5 2 4 2 3" xfId="20923" xr:uid="{E18B482D-B655-40A7-B0A5-CDD5EBD36586}"/>
    <cellStyle name="Normal 8 5 2 4 2 4" xfId="12482" xr:uid="{D6D87932-D4A0-4500-A4AF-7A36663C75FE}"/>
    <cellStyle name="Normal 8 5 2 4 3" xfId="6113" xr:uid="{00000000-0005-0000-0000-00002C1E0000}"/>
    <cellStyle name="Normal 8 5 2 4 3 2" xfId="22996" xr:uid="{35C1615F-5CD9-4724-A8C7-EA945813C4E2}"/>
    <cellStyle name="Normal 8 5 2 4 3 3" xfId="14555" xr:uid="{B0ABD007-CAEF-453A-9439-6FEA59F611EF}"/>
    <cellStyle name="Normal 8 5 2 4 4" xfId="18778" xr:uid="{02018C0F-0A78-4784-9131-2C0D43D3C392}"/>
    <cellStyle name="Normal 8 5 2 4 5" xfId="10337" xr:uid="{AFE21429-5CFF-4BC9-AFBF-2431EFD2D291}"/>
    <cellStyle name="Normal 8 5 2 5" xfId="2219" xr:uid="{00000000-0005-0000-0000-00002D1E0000}"/>
    <cellStyle name="Normal 8 5 2 5 2" xfId="4448" xr:uid="{00000000-0005-0000-0000-00002E1E0000}"/>
    <cellStyle name="Normal 8 5 2 5 2 2" xfId="8671" xr:uid="{00000000-0005-0000-0000-00002F1E0000}"/>
    <cellStyle name="Normal 8 5 2 5 2 2 2" xfId="25554" xr:uid="{D66EA5D1-AED4-4132-88B1-8CBB32FFA6FF}"/>
    <cellStyle name="Normal 8 5 2 5 2 2 3" xfId="17113" xr:uid="{7A58140D-CBC8-4478-9F8C-02F13A53713E}"/>
    <cellStyle name="Normal 8 5 2 5 2 3" xfId="21336" xr:uid="{113B0A4D-3D0C-4CC6-AC15-F412FFB087F1}"/>
    <cellStyle name="Normal 8 5 2 5 2 4" xfId="12895" xr:uid="{2D1BE027-2D52-4E60-B2E5-20DF3D42FFD0}"/>
    <cellStyle name="Normal 8 5 2 5 3" xfId="6526" xr:uid="{00000000-0005-0000-0000-0000301E0000}"/>
    <cellStyle name="Normal 8 5 2 5 3 2" xfId="23409" xr:uid="{E4F0057E-5C77-452F-8018-7FD97B1BB258}"/>
    <cellStyle name="Normal 8 5 2 5 3 3" xfId="14968" xr:uid="{56AB70F5-B2B2-4FB0-8B0E-893FE82E2BD3}"/>
    <cellStyle name="Normal 8 5 2 5 4" xfId="19191" xr:uid="{C3E485D9-8B7E-49DD-9F04-12C92DE13917}"/>
    <cellStyle name="Normal 8 5 2 5 5" xfId="10750" xr:uid="{6C8B6D82-EA44-425D-8BD0-DAC725BB95E6}"/>
    <cellStyle name="Normal 8 5 2 6" xfId="2655" xr:uid="{00000000-0005-0000-0000-0000311E0000}"/>
    <cellStyle name="Normal 8 5 2 6 2" xfId="6939" xr:uid="{00000000-0005-0000-0000-0000321E0000}"/>
    <cellStyle name="Normal 8 5 2 6 2 2" xfId="23822" xr:uid="{A2F6757D-5BD7-4DB8-BB50-54409D1CE3CA}"/>
    <cellStyle name="Normal 8 5 2 6 2 3" xfId="15381" xr:uid="{4111A00B-C191-434B-A5C1-3779E41906EC}"/>
    <cellStyle name="Normal 8 5 2 6 3" xfId="19604" xr:uid="{24635B79-426A-46E1-A694-C49F5F8021EB}"/>
    <cellStyle name="Normal 8 5 2 6 4" xfId="11163" xr:uid="{38245A6B-83AD-4BA1-B87E-0DE62528AD05}"/>
    <cellStyle name="Normal 8 5 2 7" xfId="4874" xr:uid="{00000000-0005-0000-0000-0000331E0000}"/>
    <cellStyle name="Normal 8 5 2 7 2" xfId="21757" xr:uid="{9D5DA020-D55D-48CD-BB4C-63A0A28018AD}"/>
    <cellStyle name="Normal 8 5 2 7 3" xfId="13316" xr:uid="{A45B71C1-7C14-4EF1-8484-3CEEC846F027}"/>
    <cellStyle name="Normal 8 5 2 8" xfId="17539" xr:uid="{93F59423-5B1E-4F77-A6D9-45C8AA1FCB52}"/>
    <cellStyle name="Normal 8 5 2 9" xfId="9098" xr:uid="{2F3390C3-AE29-4914-850C-FAC2DE259AB9}"/>
    <cellStyle name="Normal 8 5 3" xfId="974" xr:uid="{00000000-0005-0000-0000-0000341E0000}"/>
    <cellStyle name="Normal 8 5 3 2" xfId="3208" xr:uid="{00000000-0005-0000-0000-0000351E0000}"/>
    <cellStyle name="Normal 8 5 3 2 2" xfId="7431" xr:uid="{00000000-0005-0000-0000-0000361E0000}"/>
    <cellStyle name="Normal 8 5 3 2 2 2" xfId="24314" xr:uid="{F3A99FBE-2F52-4A16-8924-F1D277FFFBAA}"/>
    <cellStyle name="Normal 8 5 3 2 2 3" xfId="15873" xr:uid="{DB99EEBD-D009-493C-BF34-1BBC4B48D7C0}"/>
    <cellStyle name="Normal 8 5 3 2 3" xfId="20096" xr:uid="{A072CA74-A1C6-41BA-8F95-FB20C6AAB6D0}"/>
    <cellStyle name="Normal 8 5 3 2 4" xfId="11655" xr:uid="{7A4C90C9-594C-4571-951A-7AB5530DFD26}"/>
    <cellStyle name="Normal 8 5 3 3" xfId="5286" xr:uid="{00000000-0005-0000-0000-0000371E0000}"/>
    <cellStyle name="Normal 8 5 3 3 2" xfId="22169" xr:uid="{6FDE9BEE-77BB-4E44-A4B9-1F66C5E926CF}"/>
    <cellStyle name="Normal 8 5 3 3 3" xfId="13728" xr:uid="{BCA7A50C-7B0C-4E1E-ADB5-E41A0D08493F}"/>
    <cellStyle name="Normal 8 5 3 4" xfId="17951" xr:uid="{89472ADC-F215-4451-95CF-0FDE16145063}"/>
    <cellStyle name="Normal 8 5 3 5" xfId="9510" xr:uid="{5D054E08-260F-4EE7-AA7B-E5B8F2F3EE0E}"/>
    <cellStyle name="Normal 8 5 4" xfId="1391" xr:uid="{00000000-0005-0000-0000-0000381E0000}"/>
    <cellStyle name="Normal 8 5 4 2" xfId="3621" xr:uid="{00000000-0005-0000-0000-0000391E0000}"/>
    <cellStyle name="Normal 8 5 4 2 2" xfId="7844" xr:uid="{00000000-0005-0000-0000-00003A1E0000}"/>
    <cellStyle name="Normal 8 5 4 2 2 2" xfId="24727" xr:uid="{97411A44-D22D-4257-B6E6-13BC50206B77}"/>
    <cellStyle name="Normal 8 5 4 2 2 3" xfId="16286" xr:uid="{82B6FFAE-1CE9-4B8C-B430-25A44EC0CC52}"/>
    <cellStyle name="Normal 8 5 4 2 3" xfId="20509" xr:uid="{DD701E93-2939-4AAF-9F43-DB39FBFAE12C}"/>
    <cellStyle name="Normal 8 5 4 2 4" xfId="12068" xr:uid="{424511C5-A969-4A24-A0E4-6411E8C54E33}"/>
    <cellStyle name="Normal 8 5 4 3" xfId="5699" xr:uid="{00000000-0005-0000-0000-00003B1E0000}"/>
    <cellStyle name="Normal 8 5 4 3 2" xfId="22582" xr:uid="{77D3F902-E3AE-461E-86A8-1DBF20F20966}"/>
    <cellStyle name="Normal 8 5 4 3 3" xfId="14141" xr:uid="{185CCB8A-8887-4682-9D71-3F835EB41C51}"/>
    <cellStyle name="Normal 8 5 4 4" xfId="18364" xr:uid="{7CA66CC9-9452-40F4-AE8F-0D68A4298D2E}"/>
    <cellStyle name="Normal 8 5 4 5" xfId="9923" xr:uid="{04CBF8DB-C29A-4DFB-833A-2DAA70C28C03}"/>
    <cellStyle name="Normal 8 5 5" xfId="1804" xr:uid="{00000000-0005-0000-0000-00003C1E0000}"/>
    <cellStyle name="Normal 8 5 5 2" xfId="4034" xr:uid="{00000000-0005-0000-0000-00003D1E0000}"/>
    <cellStyle name="Normal 8 5 5 2 2" xfId="8257" xr:uid="{00000000-0005-0000-0000-00003E1E0000}"/>
    <cellStyle name="Normal 8 5 5 2 2 2" xfId="25140" xr:uid="{9ACB6DA0-E299-4DF8-A7ED-9F82E2FD9851}"/>
    <cellStyle name="Normal 8 5 5 2 2 3" xfId="16699" xr:uid="{EF8DA265-43E8-491B-BA5B-BC431B2C2164}"/>
    <cellStyle name="Normal 8 5 5 2 3" xfId="20922" xr:uid="{A711001C-17D2-4C41-8992-B2E09A48614C}"/>
    <cellStyle name="Normal 8 5 5 2 4" xfId="12481" xr:uid="{A2546660-230A-4B60-93BA-2BC9481707C2}"/>
    <cellStyle name="Normal 8 5 5 3" xfId="6112" xr:uid="{00000000-0005-0000-0000-00003F1E0000}"/>
    <cellStyle name="Normal 8 5 5 3 2" xfId="22995" xr:uid="{D9A9DEE9-04E7-4463-A2ED-69999F98C706}"/>
    <cellStyle name="Normal 8 5 5 3 3" xfId="14554" xr:uid="{88BD8886-6A0F-4848-914A-6EC1BFC75A0B}"/>
    <cellStyle name="Normal 8 5 5 4" xfId="18777" xr:uid="{8492E38E-342B-48EA-AB3F-3D5FEEEBCAAE}"/>
    <cellStyle name="Normal 8 5 5 5" xfId="10336" xr:uid="{40789A46-C6FB-4975-B181-54132047BDCA}"/>
    <cellStyle name="Normal 8 5 6" xfId="2218" xr:uid="{00000000-0005-0000-0000-0000401E0000}"/>
    <cellStyle name="Normal 8 5 6 2" xfId="4447" xr:uid="{00000000-0005-0000-0000-0000411E0000}"/>
    <cellStyle name="Normal 8 5 6 2 2" xfId="8670" xr:uid="{00000000-0005-0000-0000-0000421E0000}"/>
    <cellStyle name="Normal 8 5 6 2 2 2" xfId="25553" xr:uid="{28291E01-9B1E-49E8-AE73-37C976E66F46}"/>
    <cellStyle name="Normal 8 5 6 2 2 3" xfId="17112" xr:uid="{9FD80AA3-29B8-4C2A-B62D-03FA6F924A09}"/>
    <cellStyle name="Normal 8 5 6 2 3" xfId="21335" xr:uid="{01098DA1-F171-428F-8592-C2BF64D9A0F1}"/>
    <cellStyle name="Normal 8 5 6 2 4" xfId="12894" xr:uid="{3E7C6965-4AD4-4F8D-9C1A-10E364DAC4DE}"/>
    <cellStyle name="Normal 8 5 6 3" xfId="6525" xr:uid="{00000000-0005-0000-0000-0000431E0000}"/>
    <cellStyle name="Normal 8 5 6 3 2" xfId="23408" xr:uid="{F7BBD55A-06EC-475E-B987-320641A9C1B5}"/>
    <cellStyle name="Normal 8 5 6 3 3" xfId="14967" xr:uid="{9B6C4121-9A77-44D7-813D-0E975339F309}"/>
    <cellStyle name="Normal 8 5 6 4" xfId="19190" xr:uid="{DF60E857-367E-4B0A-9B48-E02BE6CCEBA3}"/>
    <cellStyle name="Normal 8 5 6 5" xfId="10749" xr:uid="{9E8136B3-1EB6-4B4F-B0E1-B2D42DAFE11D}"/>
    <cellStyle name="Normal 8 5 7" xfId="2654" xr:uid="{00000000-0005-0000-0000-0000441E0000}"/>
    <cellStyle name="Normal 8 5 7 2" xfId="6938" xr:uid="{00000000-0005-0000-0000-0000451E0000}"/>
    <cellStyle name="Normal 8 5 7 2 2" xfId="23821" xr:uid="{1BA423CF-B4FD-4E87-85B3-82754A660892}"/>
    <cellStyle name="Normal 8 5 7 2 3" xfId="15380" xr:uid="{7825ACBC-5436-4EA5-BE2D-6544F423B8FA}"/>
    <cellStyle name="Normal 8 5 7 3" xfId="19603" xr:uid="{C556951B-5CD8-4DA5-A99D-7AD2F523FBF5}"/>
    <cellStyle name="Normal 8 5 7 4" xfId="11162" xr:uid="{9DA10F54-BB8D-4C45-A0DA-84F0701322A1}"/>
    <cellStyle name="Normal 8 5 8" xfId="4873" xr:uid="{00000000-0005-0000-0000-0000461E0000}"/>
    <cellStyle name="Normal 8 5 8 2" xfId="21756" xr:uid="{3E8AECA2-5DE2-460F-AB7D-6F92CC84A3A9}"/>
    <cellStyle name="Normal 8 5 8 3" xfId="13315" xr:uid="{CACEB91E-72B3-476D-B5CA-34B59FF18AD0}"/>
    <cellStyle name="Normal 8 5 9" xfId="17538" xr:uid="{9BBFC605-DC33-41DA-98F2-5470A8F2E124}"/>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24316" xr:uid="{20B06B8B-76DB-4C23-A9E5-613DFC57045B}"/>
    <cellStyle name="Normal 8 6 2 2 2 3" xfId="15875" xr:uid="{A954DA34-79A2-4148-AFAE-0EC1CB5C1B55}"/>
    <cellStyle name="Normal 8 6 2 2 3" xfId="20098" xr:uid="{0F97DE62-2905-4754-9BBA-8063DCA05EED}"/>
    <cellStyle name="Normal 8 6 2 2 4" xfId="11657" xr:uid="{39D7384F-5342-4066-A5C6-37460E48F394}"/>
    <cellStyle name="Normal 8 6 2 3" xfId="5288" xr:uid="{00000000-0005-0000-0000-00004B1E0000}"/>
    <cellStyle name="Normal 8 6 2 3 2" xfId="22171" xr:uid="{5BE248E9-C072-4590-990D-CC3088985354}"/>
    <cellStyle name="Normal 8 6 2 3 3" xfId="13730" xr:uid="{E99B3D77-5A34-4E2D-8325-B2C81C319DA3}"/>
    <cellStyle name="Normal 8 6 2 4" xfId="17953" xr:uid="{4793BDC3-0E45-4E62-897E-DD8C614051D7}"/>
    <cellStyle name="Normal 8 6 2 5" xfId="9512" xr:uid="{B180DBED-95F6-49CB-84AB-9A6B541441D9}"/>
    <cellStyle name="Normal 8 6 3" xfId="1393" xr:uid="{00000000-0005-0000-0000-00004C1E0000}"/>
    <cellStyle name="Normal 8 6 3 2" xfId="3623" xr:uid="{00000000-0005-0000-0000-00004D1E0000}"/>
    <cellStyle name="Normal 8 6 3 2 2" xfId="7846" xr:uid="{00000000-0005-0000-0000-00004E1E0000}"/>
    <cellStyle name="Normal 8 6 3 2 2 2" xfId="24729" xr:uid="{CEB0EBC9-4ADE-4DFA-8E89-B58969775913}"/>
    <cellStyle name="Normal 8 6 3 2 2 3" xfId="16288" xr:uid="{A57D19C6-AB67-4055-84DC-A6724961CC0C}"/>
    <cellStyle name="Normal 8 6 3 2 3" xfId="20511" xr:uid="{24F08169-5881-4B49-9733-A867735FAA6E}"/>
    <cellStyle name="Normal 8 6 3 2 4" xfId="12070" xr:uid="{6F59DB19-EED2-4BBE-83C7-75DA341A390D}"/>
    <cellStyle name="Normal 8 6 3 3" xfId="5701" xr:uid="{00000000-0005-0000-0000-00004F1E0000}"/>
    <cellStyle name="Normal 8 6 3 3 2" xfId="22584" xr:uid="{B271B29D-136F-4278-A525-67290899D71E}"/>
    <cellStyle name="Normal 8 6 3 3 3" xfId="14143" xr:uid="{21C4B6CE-2C13-4357-A3D3-454BD0EAD95A}"/>
    <cellStyle name="Normal 8 6 3 4" xfId="18366" xr:uid="{29EC1B59-E958-4F72-AE95-6F9EB841C996}"/>
    <cellStyle name="Normal 8 6 3 5" xfId="9925" xr:uid="{A222F00C-2823-42E2-BA61-83548CEE7C4B}"/>
    <cellStyle name="Normal 8 6 4" xfId="1806" xr:uid="{00000000-0005-0000-0000-0000501E0000}"/>
    <cellStyle name="Normal 8 6 4 2" xfId="4036" xr:uid="{00000000-0005-0000-0000-0000511E0000}"/>
    <cellStyle name="Normal 8 6 4 2 2" xfId="8259" xr:uid="{00000000-0005-0000-0000-0000521E0000}"/>
    <cellStyle name="Normal 8 6 4 2 2 2" xfId="25142" xr:uid="{EA9B001F-CF26-49BF-9E4C-19C7D551745E}"/>
    <cellStyle name="Normal 8 6 4 2 2 3" xfId="16701" xr:uid="{8B2D53B2-2EEA-4273-A0C5-E13D5A377DE4}"/>
    <cellStyle name="Normal 8 6 4 2 3" xfId="20924" xr:uid="{5B92BB68-9BA3-4EF8-9D95-2E4CF87687C1}"/>
    <cellStyle name="Normal 8 6 4 2 4" xfId="12483" xr:uid="{22E92355-AD28-47FC-B951-9E5AA19D1AF7}"/>
    <cellStyle name="Normal 8 6 4 3" xfId="6114" xr:uid="{00000000-0005-0000-0000-0000531E0000}"/>
    <cellStyle name="Normal 8 6 4 3 2" xfId="22997" xr:uid="{4099D102-BBD9-4688-BBCF-8039661C7A4C}"/>
    <cellStyle name="Normal 8 6 4 3 3" xfId="14556" xr:uid="{AFF75C68-BE90-4033-B319-0BD6F35BE5FE}"/>
    <cellStyle name="Normal 8 6 4 4" xfId="18779" xr:uid="{3E2FBADB-3504-478F-B0AB-3A099FE49B81}"/>
    <cellStyle name="Normal 8 6 4 5" xfId="10338" xr:uid="{1B5270A0-E474-4C5B-B5C9-5B8EC7588D83}"/>
    <cellStyle name="Normal 8 6 5" xfId="2220" xr:uid="{00000000-0005-0000-0000-0000541E0000}"/>
    <cellStyle name="Normal 8 6 5 2" xfId="4449" xr:uid="{00000000-0005-0000-0000-0000551E0000}"/>
    <cellStyle name="Normal 8 6 5 2 2" xfId="8672" xr:uid="{00000000-0005-0000-0000-0000561E0000}"/>
    <cellStyle name="Normal 8 6 5 2 2 2" xfId="25555" xr:uid="{2F63A03C-F9D9-4D64-B655-896640D89FEF}"/>
    <cellStyle name="Normal 8 6 5 2 2 3" xfId="17114" xr:uid="{94A35E5B-4BFD-4409-B12B-5000C72BBDCE}"/>
    <cellStyle name="Normal 8 6 5 2 3" xfId="21337" xr:uid="{B09DE4C0-45EB-4A0C-9E2C-2AC6144A11B0}"/>
    <cellStyle name="Normal 8 6 5 2 4" xfId="12896" xr:uid="{D5A71D33-59B8-4A56-9D0C-678442C808EB}"/>
    <cellStyle name="Normal 8 6 5 3" xfId="6527" xr:uid="{00000000-0005-0000-0000-0000571E0000}"/>
    <cellStyle name="Normal 8 6 5 3 2" xfId="23410" xr:uid="{7649F83D-0735-43E1-886E-DB7B98C8FFFA}"/>
    <cellStyle name="Normal 8 6 5 3 3" xfId="14969" xr:uid="{CFED3DE9-8288-4CF7-8EF6-5B3DBDC8EFC7}"/>
    <cellStyle name="Normal 8 6 5 4" xfId="19192" xr:uid="{6EF468F8-3F44-4383-BC9C-CF37303593C3}"/>
    <cellStyle name="Normal 8 6 5 5" xfId="10751" xr:uid="{31A88E31-5F9A-45B6-A92B-8F60EA2DBCDF}"/>
    <cellStyle name="Normal 8 6 6" xfId="2656" xr:uid="{00000000-0005-0000-0000-0000581E0000}"/>
    <cellStyle name="Normal 8 6 6 2" xfId="6940" xr:uid="{00000000-0005-0000-0000-0000591E0000}"/>
    <cellStyle name="Normal 8 6 6 2 2" xfId="23823" xr:uid="{CE75ACE7-2C8B-440B-BD96-2A79D7333AAB}"/>
    <cellStyle name="Normal 8 6 6 2 3" xfId="15382" xr:uid="{52F6BA55-C453-49F7-8143-93955C683CF3}"/>
    <cellStyle name="Normal 8 6 6 3" xfId="19605" xr:uid="{99EA7E27-854C-4182-B873-63BB46BBFEDD}"/>
    <cellStyle name="Normal 8 6 6 4" xfId="11164" xr:uid="{EDA8DC53-6347-456C-B388-7E4ED650D75B}"/>
    <cellStyle name="Normal 8 6 7" xfId="4875" xr:uid="{00000000-0005-0000-0000-00005A1E0000}"/>
    <cellStyle name="Normal 8 6 7 2" xfId="21758" xr:uid="{0B2D0288-DF07-42C7-B21F-F64FE79E4A7F}"/>
    <cellStyle name="Normal 8 6 7 3" xfId="13317" xr:uid="{309999D5-C35C-4031-B7E3-A450AF6868DC}"/>
    <cellStyle name="Normal 8 6 8" xfId="17540" xr:uid="{1CAABD96-E5E7-4706-9DE9-7A89CD17C14C}"/>
    <cellStyle name="Normal 8 6 9" xfId="9099" xr:uid="{7956C72C-E7EE-47EC-AA88-F7D9997E70DF}"/>
    <cellStyle name="Normal 8 7" xfId="945" xr:uid="{00000000-0005-0000-0000-00005B1E0000}"/>
    <cellStyle name="Normal 8 7 2" xfId="3179" xr:uid="{00000000-0005-0000-0000-00005C1E0000}"/>
    <cellStyle name="Normal 8 7 2 2" xfId="7402" xr:uid="{00000000-0005-0000-0000-00005D1E0000}"/>
    <cellStyle name="Normal 8 7 2 2 2" xfId="24285" xr:uid="{D71A61B3-34F9-40CB-B62F-D6C748B710CD}"/>
    <cellStyle name="Normal 8 7 2 2 3" xfId="15844" xr:uid="{4F56519D-8EC3-45C1-8336-9F6E0D71D0BD}"/>
    <cellStyle name="Normal 8 7 2 3" xfId="20067" xr:uid="{93EC061B-45AE-49C6-B690-542EDD7AAE62}"/>
    <cellStyle name="Normal 8 7 2 4" xfId="11626" xr:uid="{CADFBB59-6650-408D-83E7-126EC4C593A2}"/>
    <cellStyle name="Normal 8 7 3" xfId="5257" xr:uid="{00000000-0005-0000-0000-00005E1E0000}"/>
    <cellStyle name="Normal 8 7 3 2" xfId="22140" xr:uid="{9116F2AF-CEF2-48B7-9850-C69653E6A510}"/>
    <cellStyle name="Normal 8 7 3 3" xfId="13699" xr:uid="{A6F16277-7570-4428-BFE6-34394C3F37F4}"/>
    <cellStyle name="Normal 8 7 4" xfId="17922" xr:uid="{58105F30-77DB-401D-A6CF-2FFD4500CF07}"/>
    <cellStyle name="Normal 8 7 5" xfId="9481" xr:uid="{3FB29135-FC96-465D-831F-537EE3632230}"/>
    <cellStyle name="Normal 8 8" xfId="1362" xr:uid="{00000000-0005-0000-0000-00005F1E0000}"/>
    <cellStyle name="Normal 8 8 2" xfId="3592" xr:uid="{00000000-0005-0000-0000-0000601E0000}"/>
    <cellStyle name="Normal 8 8 2 2" xfId="7815" xr:uid="{00000000-0005-0000-0000-0000611E0000}"/>
    <cellStyle name="Normal 8 8 2 2 2" xfId="24698" xr:uid="{76B17EBB-212F-4083-A94D-0B6C3E5C11BF}"/>
    <cellStyle name="Normal 8 8 2 2 3" xfId="16257" xr:uid="{215DEBE2-22F8-4B38-B177-17B282751A2A}"/>
    <cellStyle name="Normal 8 8 2 3" xfId="20480" xr:uid="{4A92A07B-BAF4-40C0-9C44-DC6B5F35D214}"/>
    <cellStyle name="Normal 8 8 2 4" xfId="12039" xr:uid="{8705CC0B-47BD-4921-B55B-1234A8C40845}"/>
    <cellStyle name="Normal 8 8 3" xfId="5670" xr:uid="{00000000-0005-0000-0000-0000621E0000}"/>
    <cellStyle name="Normal 8 8 3 2" xfId="22553" xr:uid="{019A311C-B5CA-4B3B-9811-C146DE976FA3}"/>
    <cellStyle name="Normal 8 8 3 3" xfId="14112" xr:uid="{D4EE0526-D190-49E3-B12D-845F52535760}"/>
    <cellStyle name="Normal 8 8 4" xfId="18335" xr:uid="{7724E3E3-BD1D-45F3-A5F0-A2D31E8286A0}"/>
    <cellStyle name="Normal 8 8 5" xfId="9894" xr:uid="{047D0737-4A4A-4935-BF8A-BE9E56F3CE93}"/>
    <cellStyle name="Normal 8 9" xfId="1775" xr:uid="{00000000-0005-0000-0000-0000631E0000}"/>
    <cellStyle name="Normal 8 9 2" xfId="4005" xr:uid="{00000000-0005-0000-0000-0000641E0000}"/>
    <cellStyle name="Normal 8 9 2 2" xfId="8228" xr:uid="{00000000-0005-0000-0000-0000651E0000}"/>
    <cellStyle name="Normal 8 9 2 2 2" xfId="25111" xr:uid="{3F086C0E-A5EF-461F-8ED6-553AB0CC3137}"/>
    <cellStyle name="Normal 8 9 2 2 3" xfId="16670" xr:uid="{958DD68F-ED72-416C-B607-F92F2B0B1978}"/>
    <cellStyle name="Normal 8 9 2 3" xfId="20893" xr:uid="{61AB447E-0D23-4F49-A337-61A246091B98}"/>
    <cellStyle name="Normal 8 9 2 4" xfId="12452" xr:uid="{583B7F55-EC31-49E4-A94A-6D9FB11FED83}"/>
    <cellStyle name="Normal 8 9 3" xfId="6083" xr:uid="{00000000-0005-0000-0000-0000661E0000}"/>
    <cellStyle name="Normal 8 9 3 2" xfId="22966" xr:uid="{A4B1F410-9180-4936-982D-D663BAB4332C}"/>
    <cellStyle name="Normal 8 9 3 3" xfId="14525" xr:uid="{86402F57-86B8-49F3-B7C3-A4A450314B36}"/>
    <cellStyle name="Normal 8 9 4" xfId="18748" xr:uid="{7543B9C2-4C0A-475A-9D31-7DAB9EE7EC6B}"/>
    <cellStyle name="Normal 8 9 5" xfId="10307" xr:uid="{26866B93-4342-4C48-9350-78E677729E3E}"/>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23824" xr:uid="{9EDD325E-3608-40A0-A532-2456C5192780}"/>
    <cellStyle name="Normal 9 2 10 2 3" xfId="15383" xr:uid="{B28B3D99-54EC-4AB5-A3C5-C0F65A35AAA3}"/>
    <cellStyle name="Normal 9 2 10 3" xfId="19606" xr:uid="{41AE7B9F-6A03-4496-B5C0-68918F6D3D64}"/>
    <cellStyle name="Normal 9 2 10 4" xfId="11165" xr:uid="{4A6CF627-9132-4BDB-A032-55E76343D4F1}"/>
    <cellStyle name="Normal 9 2 11" xfId="4876" xr:uid="{00000000-0005-0000-0000-00006B1E0000}"/>
    <cellStyle name="Normal 9 2 11 2" xfId="21759" xr:uid="{9C3D49E7-80BA-4CEA-B002-02E92AC90D68}"/>
    <cellStyle name="Normal 9 2 11 3" xfId="13318" xr:uid="{824B3BB4-9CD0-4EAB-A3C0-8E12B2D272E0}"/>
    <cellStyle name="Normal 9 2 12" xfId="17541" xr:uid="{7950ABF6-3ED6-47C3-94E8-725F91EC2A79}"/>
    <cellStyle name="Normal 9 2 13" xfId="9100" xr:uid="{2B1D9017-87F6-4964-8BCA-09E9E8DB48F0}"/>
    <cellStyle name="Normal 9 2 2" xfId="512" xr:uid="{00000000-0005-0000-0000-00006C1E0000}"/>
    <cellStyle name="Normal 9 2 2 10" xfId="4877" xr:uid="{00000000-0005-0000-0000-00006D1E0000}"/>
    <cellStyle name="Normal 9 2 2 10 2" xfId="21760" xr:uid="{D4A84E34-3453-4DCB-AAA0-9707884E7F60}"/>
    <cellStyle name="Normal 9 2 2 10 3" xfId="13319" xr:uid="{4E5C7138-8D96-462F-AEA0-21DCFA07CCB4}"/>
    <cellStyle name="Normal 9 2 2 11" xfId="17542" xr:uid="{1080CEC2-157E-4B83-BFC4-30813ACD6C57}"/>
    <cellStyle name="Normal 9 2 2 12" xfId="9101" xr:uid="{15863556-8D4D-4C80-8E3E-C135A639BD25}"/>
    <cellStyle name="Normal 9 2 2 2" xfId="513" xr:uid="{00000000-0005-0000-0000-00006E1E0000}"/>
    <cellStyle name="Normal 9 2 2 2 10" xfId="17543" xr:uid="{6F8A3622-5E57-40F1-89A6-804E9C719C61}"/>
    <cellStyle name="Normal 9 2 2 2 11" xfId="9102" xr:uid="{DE895E53-CD7E-4673-BE45-79B39FE29424}"/>
    <cellStyle name="Normal 9 2 2 2 2" xfId="514" xr:uid="{00000000-0005-0000-0000-00006F1E0000}"/>
    <cellStyle name="Normal 9 2 2 2 2 10" xfId="9103" xr:uid="{FBF90158-9BE0-4DD8-A0ED-EF6E411F8733}"/>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24321" xr:uid="{4EBB5579-251F-441C-A6BE-65B0C1B2506E}"/>
    <cellStyle name="Normal 9 2 2 2 2 2 2 2 2 3" xfId="15880" xr:uid="{69F6F1FF-391F-4DB6-9ED8-61088C6E1427}"/>
    <cellStyle name="Normal 9 2 2 2 2 2 2 2 3" xfId="20103" xr:uid="{703F83CA-E305-45A7-BAB4-FFA7BB815CF0}"/>
    <cellStyle name="Normal 9 2 2 2 2 2 2 2 4" xfId="11662" xr:uid="{881FF61D-B4EF-4C75-8CCC-A3637F6AFFF4}"/>
    <cellStyle name="Normal 9 2 2 2 2 2 2 3" xfId="5293" xr:uid="{00000000-0005-0000-0000-0000741E0000}"/>
    <cellStyle name="Normal 9 2 2 2 2 2 2 3 2" xfId="22176" xr:uid="{CEADE1A1-1B46-4232-8C91-E30360CEA36B}"/>
    <cellStyle name="Normal 9 2 2 2 2 2 2 3 3" xfId="13735" xr:uid="{785ADF04-9B60-4475-9DC4-98A168379882}"/>
    <cellStyle name="Normal 9 2 2 2 2 2 2 4" xfId="17958" xr:uid="{738EAFFA-19D2-48E1-8A4B-DD0AE0CE5365}"/>
    <cellStyle name="Normal 9 2 2 2 2 2 2 5" xfId="9517" xr:uid="{C79CC361-08A2-4F78-AFE6-B56828EF503E}"/>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24734" xr:uid="{7F5B16EF-CF4B-4594-B1F7-776AE772A0F4}"/>
    <cellStyle name="Normal 9 2 2 2 2 2 3 2 2 3" xfId="16293" xr:uid="{E8A6A00C-BA2D-4489-93A6-CEFE8ECB61F6}"/>
    <cellStyle name="Normal 9 2 2 2 2 2 3 2 3" xfId="20516" xr:uid="{AE834882-BDCB-459F-B6AA-E907122029BE}"/>
    <cellStyle name="Normal 9 2 2 2 2 2 3 2 4" xfId="12075" xr:uid="{0B0D8193-382C-4950-9095-8C047AF1ECAC}"/>
    <cellStyle name="Normal 9 2 2 2 2 2 3 3" xfId="5706" xr:uid="{00000000-0005-0000-0000-0000781E0000}"/>
    <cellStyle name="Normal 9 2 2 2 2 2 3 3 2" xfId="22589" xr:uid="{F0479112-71F3-4B5C-B08E-073B14516B9D}"/>
    <cellStyle name="Normal 9 2 2 2 2 2 3 3 3" xfId="14148" xr:uid="{16C2581A-B378-44E9-AE42-D0AC8246ADAF}"/>
    <cellStyle name="Normal 9 2 2 2 2 2 3 4" xfId="18371" xr:uid="{5BE19B5D-6692-48B4-88A8-3BE9BFE7661C}"/>
    <cellStyle name="Normal 9 2 2 2 2 2 3 5" xfId="9930" xr:uid="{A4F88972-C8C0-4F5E-BB95-E8531AB01548}"/>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25147" xr:uid="{5EFFE7FA-B3CF-4054-8554-9547BF03BCB6}"/>
    <cellStyle name="Normal 9 2 2 2 2 2 4 2 2 3" xfId="16706" xr:uid="{3F4E328F-78AC-4097-B3B1-E263E5468A42}"/>
    <cellStyle name="Normal 9 2 2 2 2 2 4 2 3" xfId="20929" xr:uid="{15F47E69-AFF6-4A3D-9FBF-418BAF9339F2}"/>
    <cellStyle name="Normal 9 2 2 2 2 2 4 2 4" xfId="12488" xr:uid="{A6C98126-86C2-47F2-BB0F-2749579A1000}"/>
    <cellStyle name="Normal 9 2 2 2 2 2 4 3" xfId="6119" xr:uid="{00000000-0005-0000-0000-00007C1E0000}"/>
    <cellStyle name="Normal 9 2 2 2 2 2 4 3 2" xfId="23002" xr:uid="{072E90D0-9F1A-42D7-BD37-30AF2F1A9E41}"/>
    <cellStyle name="Normal 9 2 2 2 2 2 4 3 3" xfId="14561" xr:uid="{C2E606E6-33EE-4E88-B1CA-87D733369664}"/>
    <cellStyle name="Normal 9 2 2 2 2 2 4 4" xfId="18784" xr:uid="{FF1901A2-35A1-436B-B1D3-9D3C92771F6E}"/>
    <cellStyle name="Normal 9 2 2 2 2 2 4 5" xfId="10343" xr:uid="{9B309592-442F-4237-8DAD-8DA0D34BA0BC}"/>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25560" xr:uid="{8291109F-E47D-44CE-A9CE-DBB01BDB8D75}"/>
    <cellStyle name="Normal 9 2 2 2 2 2 5 2 2 3" xfId="17119" xr:uid="{1360265D-B3C9-4BB1-B7E0-9B4A03CB0EE4}"/>
    <cellStyle name="Normal 9 2 2 2 2 2 5 2 3" xfId="21342" xr:uid="{DCE496D9-0937-4384-8489-F515AD340770}"/>
    <cellStyle name="Normal 9 2 2 2 2 2 5 2 4" xfId="12901" xr:uid="{D83A1FF7-01EF-4FC4-B4C0-F90EEDE07F5E}"/>
    <cellStyle name="Normal 9 2 2 2 2 2 5 3" xfId="6532" xr:uid="{00000000-0005-0000-0000-0000801E0000}"/>
    <cellStyle name="Normal 9 2 2 2 2 2 5 3 2" xfId="23415" xr:uid="{E297554B-8A10-48AC-8A64-00EDA05EF30E}"/>
    <cellStyle name="Normal 9 2 2 2 2 2 5 3 3" xfId="14974" xr:uid="{1FF59967-D1F7-40ED-9618-ECF4DA39E53B}"/>
    <cellStyle name="Normal 9 2 2 2 2 2 5 4" xfId="19197" xr:uid="{8DBE31F1-BCE1-4F11-BECF-132524CB47BC}"/>
    <cellStyle name="Normal 9 2 2 2 2 2 5 5" xfId="10756" xr:uid="{0E714620-CAF3-4E09-94AE-407B195506D3}"/>
    <cellStyle name="Normal 9 2 2 2 2 2 6" xfId="2661" xr:uid="{00000000-0005-0000-0000-0000811E0000}"/>
    <cellStyle name="Normal 9 2 2 2 2 2 6 2" xfId="6945" xr:uid="{00000000-0005-0000-0000-0000821E0000}"/>
    <cellStyle name="Normal 9 2 2 2 2 2 6 2 2" xfId="23828" xr:uid="{229662DD-D29B-4F94-802F-2D724448A011}"/>
    <cellStyle name="Normal 9 2 2 2 2 2 6 2 3" xfId="15387" xr:uid="{8E9F7D8F-2223-4C5B-A2F7-02FB999BE706}"/>
    <cellStyle name="Normal 9 2 2 2 2 2 6 3" xfId="19610" xr:uid="{9530A707-68B7-4231-8273-54AB8F9CC1A6}"/>
    <cellStyle name="Normal 9 2 2 2 2 2 6 4" xfId="11169" xr:uid="{5EE125BE-EA3E-49BF-AEE6-F289A301C2C3}"/>
    <cellStyle name="Normal 9 2 2 2 2 2 7" xfId="4880" xr:uid="{00000000-0005-0000-0000-0000831E0000}"/>
    <cellStyle name="Normal 9 2 2 2 2 2 7 2" xfId="21763" xr:uid="{AB17C066-37EB-4FDE-8656-478824A5F830}"/>
    <cellStyle name="Normal 9 2 2 2 2 2 7 3" xfId="13322" xr:uid="{B33A8A45-F5CB-4018-BA09-65FA6D0DECF8}"/>
    <cellStyle name="Normal 9 2 2 2 2 2 8" xfId="17545" xr:uid="{4AF2A889-BE73-4B6E-8E9D-1CDBEA5AA1C4}"/>
    <cellStyle name="Normal 9 2 2 2 2 2 9" xfId="9104" xr:uid="{87A292F6-C763-4C7D-B7ED-7F5BE2504EEF}"/>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24320" xr:uid="{F048A119-4106-46F7-B341-F3D48EE85269}"/>
    <cellStyle name="Normal 9 2 2 2 2 3 2 2 3" xfId="15879" xr:uid="{2CD41E33-F214-40EC-AE95-EA080FC45298}"/>
    <cellStyle name="Normal 9 2 2 2 2 3 2 3" xfId="20102" xr:uid="{86E8854F-A217-40FA-A311-69D6B60B926A}"/>
    <cellStyle name="Normal 9 2 2 2 2 3 2 4" xfId="11661" xr:uid="{5B740608-67D8-49DD-8547-BFDE47B2938A}"/>
    <cellStyle name="Normal 9 2 2 2 2 3 3" xfId="5292" xr:uid="{00000000-0005-0000-0000-0000871E0000}"/>
    <cellStyle name="Normal 9 2 2 2 2 3 3 2" xfId="22175" xr:uid="{C229D4FD-E842-403A-AE29-51DEDD9AEAC5}"/>
    <cellStyle name="Normal 9 2 2 2 2 3 3 3" xfId="13734" xr:uid="{A6DBB230-EEE4-47A1-A527-CB2942EBBEFE}"/>
    <cellStyle name="Normal 9 2 2 2 2 3 4" xfId="17957" xr:uid="{CFEB8C6C-04D8-4E42-9145-10E950566B59}"/>
    <cellStyle name="Normal 9 2 2 2 2 3 5" xfId="9516" xr:uid="{87F196F6-8040-4643-981A-01DDE4EE55B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24733" xr:uid="{B86303A3-6B43-48E4-A229-D2087C2F0C19}"/>
    <cellStyle name="Normal 9 2 2 2 2 4 2 2 3" xfId="16292" xr:uid="{1814D885-0AB3-45AF-BC54-660E57413DD0}"/>
    <cellStyle name="Normal 9 2 2 2 2 4 2 3" xfId="20515" xr:uid="{8E6D2381-599B-4780-9D90-B32181FC190F}"/>
    <cellStyle name="Normal 9 2 2 2 2 4 2 4" xfId="12074" xr:uid="{2B54955D-DC23-4A29-B3C5-A5952D58C163}"/>
    <cellStyle name="Normal 9 2 2 2 2 4 3" xfId="5705" xr:uid="{00000000-0005-0000-0000-00008B1E0000}"/>
    <cellStyle name="Normal 9 2 2 2 2 4 3 2" xfId="22588" xr:uid="{9A6C5280-E3B5-40D9-8B72-DD8C494FAE6E}"/>
    <cellStyle name="Normal 9 2 2 2 2 4 3 3" xfId="14147" xr:uid="{58137576-67A8-4ACE-8C8C-14794F1E45FE}"/>
    <cellStyle name="Normal 9 2 2 2 2 4 4" xfId="18370" xr:uid="{C81A90E2-64D1-449E-84D9-B1FF8260CDA3}"/>
    <cellStyle name="Normal 9 2 2 2 2 4 5" xfId="9929" xr:uid="{3774C87E-ED4E-4F9A-8297-68DCB71C821D}"/>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25146" xr:uid="{74D9662C-686D-4458-9911-20498C83BB25}"/>
    <cellStyle name="Normal 9 2 2 2 2 5 2 2 3" xfId="16705" xr:uid="{72D3DB6E-DE71-4A4D-9681-87AD5EF80A3B}"/>
    <cellStyle name="Normal 9 2 2 2 2 5 2 3" xfId="20928" xr:uid="{C5B89F07-22D6-4294-BF58-4A10CF344A88}"/>
    <cellStyle name="Normal 9 2 2 2 2 5 2 4" xfId="12487" xr:uid="{1DD99052-DBA9-4DB1-AE97-A57E3F661A3F}"/>
    <cellStyle name="Normal 9 2 2 2 2 5 3" xfId="6118" xr:uid="{00000000-0005-0000-0000-00008F1E0000}"/>
    <cellStyle name="Normal 9 2 2 2 2 5 3 2" xfId="23001" xr:uid="{BFBEAE9E-F099-47E0-B569-A9EF4962D26F}"/>
    <cellStyle name="Normal 9 2 2 2 2 5 3 3" xfId="14560" xr:uid="{8EC490EC-3606-4C8B-B494-0CBC7C1B4880}"/>
    <cellStyle name="Normal 9 2 2 2 2 5 4" xfId="18783" xr:uid="{FF656914-5F81-442F-B3F2-E64E21EF5C5E}"/>
    <cellStyle name="Normal 9 2 2 2 2 5 5" xfId="10342" xr:uid="{F4C87249-2D6D-468C-8E7C-E4F459D1FE71}"/>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25559" xr:uid="{B0B16A4A-C500-42E5-95D6-12AF7658D93D}"/>
    <cellStyle name="Normal 9 2 2 2 2 6 2 2 3" xfId="17118" xr:uid="{0F698589-C883-4957-AA2F-68789FABF1B1}"/>
    <cellStyle name="Normal 9 2 2 2 2 6 2 3" xfId="21341" xr:uid="{F573D192-1E7B-4EB7-91A7-359E18E5994C}"/>
    <cellStyle name="Normal 9 2 2 2 2 6 2 4" xfId="12900" xr:uid="{66A18BAB-557D-4464-B8D7-A10DF3CD9B9B}"/>
    <cellStyle name="Normal 9 2 2 2 2 6 3" xfId="6531" xr:uid="{00000000-0005-0000-0000-0000931E0000}"/>
    <cellStyle name="Normal 9 2 2 2 2 6 3 2" xfId="23414" xr:uid="{F8531951-0EB6-4DD1-B444-98A2B6425C45}"/>
    <cellStyle name="Normal 9 2 2 2 2 6 3 3" xfId="14973" xr:uid="{E3BB80D4-72E5-4DA4-A53F-8EA3604CE6F5}"/>
    <cellStyle name="Normal 9 2 2 2 2 6 4" xfId="19196" xr:uid="{B4308730-5908-4137-AB27-370DF854A746}"/>
    <cellStyle name="Normal 9 2 2 2 2 6 5" xfId="10755" xr:uid="{FF2B1BF2-7DFA-4CA9-8989-38259492CA4A}"/>
    <cellStyle name="Normal 9 2 2 2 2 7" xfId="2660" xr:uid="{00000000-0005-0000-0000-0000941E0000}"/>
    <cellStyle name="Normal 9 2 2 2 2 7 2" xfId="6944" xr:uid="{00000000-0005-0000-0000-0000951E0000}"/>
    <cellStyle name="Normal 9 2 2 2 2 7 2 2" xfId="23827" xr:uid="{BCC38E8A-7D1C-4227-B6DB-93EF67CD11AF}"/>
    <cellStyle name="Normal 9 2 2 2 2 7 2 3" xfId="15386" xr:uid="{586B3C6F-0F7D-4BF5-8BD9-76898CA50DFC}"/>
    <cellStyle name="Normal 9 2 2 2 2 7 3" xfId="19609" xr:uid="{8945DC79-F2E4-4AC1-B636-738AFCB5F96F}"/>
    <cellStyle name="Normal 9 2 2 2 2 7 4" xfId="11168" xr:uid="{92AD81FD-282C-469C-AAD9-468FDEA3CCD0}"/>
    <cellStyle name="Normal 9 2 2 2 2 8" xfId="4879" xr:uid="{00000000-0005-0000-0000-0000961E0000}"/>
    <cellStyle name="Normal 9 2 2 2 2 8 2" xfId="21762" xr:uid="{98891B8F-16AE-4A24-A657-C7F23C445890}"/>
    <cellStyle name="Normal 9 2 2 2 2 8 3" xfId="13321" xr:uid="{4F89D8E2-82D3-462C-A609-B3E2C96AB534}"/>
    <cellStyle name="Normal 9 2 2 2 2 9" xfId="17544" xr:uid="{71713B04-888E-45F8-84D5-8AE13132096D}"/>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24322" xr:uid="{A51EF616-DBC5-4246-8AA0-0787BFF51423}"/>
    <cellStyle name="Normal 9 2 2 2 3 2 2 2 3" xfId="15881" xr:uid="{2F5131BA-58D2-4C27-9848-C43DBC5D863F}"/>
    <cellStyle name="Normal 9 2 2 2 3 2 2 3" xfId="20104" xr:uid="{D6F00F23-8470-4786-85FE-326A8BB569BF}"/>
    <cellStyle name="Normal 9 2 2 2 3 2 2 4" xfId="11663" xr:uid="{DA4F1640-064C-43F2-B7EC-E68CD091F7B8}"/>
    <cellStyle name="Normal 9 2 2 2 3 2 3" xfId="5294" xr:uid="{00000000-0005-0000-0000-00009B1E0000}"/>
    <cellStyle name="Normal 9 2 2 2 3 2 3 2" xfId="22177" xr:uid="{A30793B4-C7F5-4541-A477-06979B7C9E75}"/>
    <cellStyle name="Normal 9 2 2 2 3 2 3 3" xfId="13736" xr:uid="{28ECB56E-5C1E-46A6-8503-890BAEC1267A}"/>
    <cellStyle name="Normal 9 2 2 2 3 2 4" xfId="17959" xr:uid="{B7339D17-59A8-43E6-B2A8-F63D551F93DA}"/>
    <cellStyle name="Normal 9 2 2 2 3 2 5" xfId="9518" xr:uid="{C73FB7C0-C1B0-423A-87A8-1D84966C566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24735" xr:uid="{809CBD2A-80A0-42E4-9CF6-FAA9C4BBF2B3}"/>
    <cellStyle name="Normal 9 2 2 2 3 3 2 2 3" xfId="16294" xr:uid="{15F9004B-A48D-4242-9B28-886918A07CB8}"/>
    <cellStyle name="Normal 9 2 2 2 3 3 2 3" xfId="20517" xr:uid="{E2030087-4267-4A4F-ABA1-29335A8FE7F1}"/>
    <cellStyle name="Normal 9 2 2 2 3 3 2 4" xfId="12076" xr:uid="{9EC81C05-6AA9-4F28-8A3A-129CFB040028}"/>
    <cellStyle name="Normal 9 2 2 2 3 3 3" xfId="5707" xr:uid="{00000000-0005-0000-0000-00009F1E0000}"/>
    <cellStyle name="Normal 9 2 2 2 3 3 3 2" xfId="22590" xr:uid="{AFBC654B-6739-4336-833A-9D8393157CCA}"/>
    <cellStyle name="Normal 9 2 2 2 3 3 3 3" xfId="14149" xr:uid="{EEE67766-7C4A-4958-AFE3-143B16283FBB}"/>
    <cellStyle name="Normal 9 2 2 2 3 3 4" xfId="18372" xr:uid="{960FFE18-3B8C-4C74-B0AE-69751BAF6534}"/>
    <cellStyle name="Normal 9 2 2 2 3 3 5" xfId="9931" xr:uid="{8DA4B295-0852-4BC6-9450-18DFB84D9942}"/>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25148" xr:uid="{7F8BC400-CFD7-47F7-8006-D3770FE84A8D}"/>
    <cellStyle name="Normal 9 2 2 2 3 4 2 2 3" xfId="16707" xr:uid="{924471A6-96E7-496C-A7B4-86E4C5328255}"/>
    <cellStyle name="Normal 9 2 2 2 3 4 2 3" xfId="20930" xr:uid="{6620FD2F-41C3-45DF-9B40-33356152A2E1}"/>
    <cellStyle name="Normal 9 2 2 2 3 4 2 4" xfId="12489" xr:uid="{5171C0C6-7B64-4089-9CFC-7A85C92D113E}"/>
    <cellStyle name="Normal 9 2 2 2 3 4 3" xfId="6120" xr:uid="{00000000-0005-0000-0000-0000A31E0000}"/>
    <cellStyle name="Normal 9 2 2 2 3 4 3 2" xfId="23003" xr:uid="{F3BF7B92-A389-4271-A643-DC0C7DB53485}"/>
    <cellStyle name="Normal 9 2 2 2 3 4 3 3" xfId="14562" xr:uid="{F34132CD-569C-47E7-9D6E-25D827595F25}"/>
    <cellStyle name="Normal 9 2 2 2 3 4 4" xfId="18785" xr:uid="{D39A0ECA-36E5-4A9C-B528-BC78F1EC6FDE}"/>
    <cellStyle name="Normal 9 2 2 2 3 4 5" xfId="10344" xr:uid="{157880A1-AAC2-40D0-B52A-4956297A6108}"/>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25561" xr:uid="{28439A32-0977-4529-9844-3E0301017FAA}"/>
    <cellStyle name="Normal 9 2 2 2 3 5 2 2 3" xfId="17120" xr:uid="{23F57F7D-71A3-44A1-8584-061530D96068}"/>
    <cellStyle name="Normal 9 2 2 2 3 5 2 3" xfId="21343" xr:uid="{441E848C-A810-45F0-BDCF-F30A327F79F5}"/>
    <cellStyle name="Normal 9 2 2 2 3 5 2 4" xfId="12902" xr:uid="{15E74FEB-A313-4A56-8BF5-7397D70359C6}"/>
    <cellStyle name="Normal 9 2 2 2 3 5 3" xfId="6533" xr:uid="{00000000-0005-0000-0000-0000A71E0000}"/>
    <cellStyle name="Normal 9 2 2 2 3 5 3 2" xfId="23416" xr:uid="{3078B73E-3982-4A40-A166-A3D707F927D7}"/>
    <cellStyle name="Normal 9 2 2 2 3 5 3 3" xfId="14975" xr:uid="{2AE3F682-FE7D-4D12-870E-F1B546360D34}"/>
    <cellStyle name="Normal 9 2 2 2 3 5 4" xfId="19198" xr:uid="{6D89550D-B9A7-44F3-A6B8-F16955C87B64}"/>
    <cellStyle name="Normal 9 2 2 2 3 5 5" xfId="10757" xr:uid="{5D72F9F3-47CC-4CDA-B2FA-4C2FB0AE535F}"/>
    <cellStyle name="Normal 9 2 2 2 3 6" xfId="2662" xr:uid="{00000000-0005-0000-0000-0000A81E0000}"/>
    <cellStyle name="Normal 9 2 2 2 3 6 2" xfId="6946" xr:uid="{00000000-0005-0000-0000-0000A91E0000}"/>
    <cellStyle name="Normal 9 2 2 2 3 6 2 2" xfId="23829" xr:uid="{4707437E-5D6C-49A2-B5F1-8E3795B1254A}"/>
    <cellStyle name="Normal 9 2 2 2 3 6 2 3" xfId="15388" xr:uid="{B9F5D5C5-871F-4BFB-91FE-B45AEA22102F}"/>
    <cellStyle name="Normal 9 2 2 2 3 6 3" xfId="19611" xr:uid="{CDB804EE-EE72-4BA5-AA24-6D9E1F211FC7}"/>
    <cellStyle name="Normal 9 2 2 2 3 6 4" xfId="11170" xr:uid="{6D3CF7F2-6E33-4A29-AE6C-23F5FF9AF5F8}"/>
    <cellStyle name="Normal 9 2 2 2 3 7" xfId="4881" xr:uid="{00000000-0005-0000-0000-0000AA1E0000}"/>
    <cellStyle name="Normal 9 2 2 2 3 7 2" xfId="21764" xr:uid="{D2F014A6-48DC-446D-8A79-BA8A38478252}"/>
    <cellStyle name="Normal 9 2 2 2 3 7 3" xfId="13323" xr:uid="{9073A317-36AB-4C92-BF43-86A41134B5FD}"/>
    <cellStyle name="Normal 9 2 2 2 3 8" xfId="17546" xr:uid="{8A6DF9AB-7F45-4FA4-B815-B21A7E4829BE}"/>
    <cellStyle name="Normal 9 2 2 2 3 9" xfId="9105" xr:uid="{E817CCB6-75EA-4352-9836-D47671819031}"/>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24319" xr:uid="{D4621C4E-7911-47A5-9C12-651C63F98ECC}"/>
    <cellStyle name="Normal 9 2 2 2 4 2 2 3" xfId="15878" xr:uid="{A6621DE9-728D-41D5-B4D0-B0524E77C4D0}"/>
    <cellStyle name="Normal 9 2 2 2 4 2 3" xfId="20101" xr:uid="{97036D71-1FA6-4E89-8B10-D21667EF0B28}"/>
    <cellStyle name="Normal 9 2 2 2 4 2 4" xfId="11660" xr:uid="{A8B10B82-F5DB-4C41-B141-6001E0157409}"/>
    <cellStyle name="Normal 9 2 2 2 4 3" xfId="5291" xr:uid="{00000000-0005-0000-0000-0000AE1E0000}"/>
    <cellStyle name="Normal 9 2 2 2 4 3 2" xfId="22174" xr:uid="{E47A9BEA-127B-4CBB-AAF4-03547F991A55}"/>
    <cellStyle name="Normal 9 2 2 2 4 3 3" xfId="13733" xr:uid="{64DC4D50-3E80-4FF8-AA07-16534382A3F9}"/>
    <cellStyle name="Normal 9 2 2 2 4 4" xfId="17956" xr:uid="{941E1E25-A6EC-4A0E-AAC1-94B65154888A}"/>
    <cellStyle name="Normal 9 2 2 2 4 5" xfId="9515" xr:uid="{F2ADB5F1-F779-46E6-9F60-0B52A5C47BF9}"/>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24732" xr:uid="{F8E94100-ADF1-4D81-92F0-150FFCDB21E2}"/>
    <cellStyle name="Normal 9 2 2 2 5 2 2 3" xfId="16291" xr:uid="{A2174AF2-E631-41C8-AE20-D3AC8539159D}"/>
    <cellStyle name="Normal 9 2 2 2 5 2 3" xfId="20514" xr:uid="{7E577EE5-97CF-4CFB-BF78-DE399C924892}"/>
    <cellStyle name="Normal 9 2 2 2 5 2 4" xfId="12073" xr:uid="{32ABDF1D-73FC-4F7D-BBFB-1BD132974FF0}"/>
    <cellStyle name="Normal 9 2 2 2 5 3" xfId="5704" xr:uid="{00000000-0005-0000-0000-0000B21E0000}"/>
    <cellStyle name="Normal 9 2 2 2 5 3 2" xfId="22587" xr:uid="{B51E6538-D60A-4E4E-A4F6-54900ECFB0B8}"/>
    <cellStyle name="Normal 9 2 2 2 5 3 3" xfId="14146" xr:uid="{133AEF5C-FDDB-4F9E-BF3C-90DA7CE1DF42}"/>
    <cellStyle name="Normal 9 2 2 2 5 4" xfId="18369" xr:uid="{8A5A461A-3EE5-42CA-873E-9D0264AF5FC8}"/>
    <cellStyle name="Normal 9 2 2 2 5 5" xfId="9928" xr:uid="{EC2BAE28-3022-4B23-859A-779DCDAC5DB8}"/>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25145" xr:uid="{EFCF8577-AD53-44DE-874A-4C77112518CC}"/>
    <cellStyle name="Normal 9 2 2 2 6 2 2 3" xfId="16704" xr:uid="{E80B0AF5-CB17-4FCA-940F-FE0EDA31CDD4}"/>
    <cellStyle name="Normal 9 2 2 2 6 2 3" xfId="20927" xr:uid="{67D2B076-4C1E-442B-8526-68748D8E021C}"/>
    <cellStyle name="Normal 9 2 2 2 6 2 4" xfId="12486" xr:uid="{2ED50F52-B661-4D51-87DC-2D88A496ECF1}"/>
    <cellStyle name="Normal 9 2 2 2 6 3" xfId="6117" xr:uid="{00000000-0005-0000-0000-0000B61E0000}"/>
    <cellStyle name="Normal 9 2 2 2 6 3 2" xfId="23000" xr:uid="{5A3236FE-3D6E-4854-A62D-FA47E6683EBD}"/>
    <cellStyle name="Normal 9 2 2 2 6 3 3" xfId="14559" xr:uid="{4C605F98-0691-4CB8-A7D4-E1F54BAC3B3D}"/>
    <cellStyle name="Normal 9 2 2 2 6 4" xfId="18782" xr:uid="{267EB3C6-7520-4D87-B9BC-DC5F41B7D742}"/>
    <cellStyle name="Normal 9 2 2 2 6 5" xfId="10341" xr:uid="{2116C24A-3101-4449-8871-D0AC25E4CD7E}"/>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25558" xr:uid="{500AF379-8765-4601-B963-4EF3869D6B00}"/>
    <cellStyle name="Normal 9 2 2 2 7 2 2 3" xfId="17117" xr:uid="{333F009D-5A67-4B3F-8F98-B598FB1C6309}"/>
    <cellStyle name="Normal 9 2 2 2 7 2 3" xfId="21340" xr:uid="{2723B73A-3986-4834-8A13-B663936ADA28}"/>
    <cellStyle name="Normal 9 2 2 2 7 2 4" xfId="12899" xr:uid="{44A0E7C4-BA25-456A-A45C-8201BD342989}"/>
    <cellStyle name="Normal 9 2 2 2 7 3" xfId="6530" xr:uid="{00000000-0005-0000-0000-0000BA1E0000}"/>
    <cellStyle name="Normal 9 2 2 2 7 3 2" xfId="23413" xr:uid="{AA64820F-96D6-4E37-B1A8-8998A2BD632B}"/>
    <cellStyle name="Normal 9 2 2 2 7 3 3" xfId="14972" xr:uid="{67B5480F-0993-4365-A0CF-7EBEA40E0B4E}"/>
    <cellStyle name="Normal 9 2 2 2 7 4" xfId="19195" xr:uid="{F21B3396-B468-452B-9EB1-A47A14F67C22}"/>
    <cellStyle name="Normal 9 2 2 2 7 5" xfId="10754" xr:uid="{50D48A75-B9D9-483F-9343-098EC0484582}"/>
    <cellStyle name="Normal 9 2 2 2 8" xfId="2659" xr:uid="{00000000-0005-0000-0000-0000BB1E0000}"/>
    <cellStyle name="Normal 9 2 2 2 8 2" xfId="6943" xr:uid="{00000000-0005-0000-0000-0000BC1E0000}"/>
    <cellStyle name="Normal 9 2 2 2 8 2 2" xfId="23826" xr:uid="{500ED151-172A-4A43-80B8-403AD782B4A1}"/>
    <cellStyle name="Normal 9 2 2 2 8 2 3" xfId="15385" xr:uid="{D896A3E8-110A-411C-AFFB-E688070D1D9D}"/>
    <cellStyle name="Normal 9 2 2 2 8 3" xfId="19608" xr:uid="{F9847F29-0079-4B05-A376-723CCB9D62EA}"/>
    <cellStyle name="Normal 9 2 2 2 8 4" xfId="11167" xr:uid="{B3D2AE03-2F90-4DE3-B5F0-B23903ED9A9A}"/>
    <cellStyle name="Normal 9 2 2 2 9" xfId="4878" xr:uid="{00000000-0005-0000-0000-0000BD1E0000}"/>
    <cellStyle name="Normal 9 2 2 2 9 2" xfId="21761" xr:uid="{E7DE0EDB-2A29-490E-AEB7-FE1F07C58EB6}"/>
    <cellStyle name="Normal 9 2 2 2 9 3" xfId="13320" xr:uid="{CB3597FA-E33C-42AE-8358-487A6E725F39}"/>
    <cellStyle name="Normal 9 2 2 3" xfId="517" xr:uid="{00000000-0005-0000-0000-0000BE1E0000}"/>
    <cellStyle name="Normal 9 2 2 3 10" xfId="9106" xr:uid="{B4D5279D-99A4-414D-9427-CF84102993E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24324" xr:uid="{90FA5AF7-217A-4F73-BF0A-FE0B7CAE28BD}"/>
    <cellStyle name="Normal 9 2 2 3 2 2 2 2 3" xfId="15883" xr:uid="{B57E699E-B753-4BBF-BE58-1081A6AA8B84}"/>
    <cellStyle name="Normal 9 2 2 3 2 2 2 3" xfId="20106" xr:uid="{44D99FE0-FA91-4ED4-BB31-2D494923ACC0}"/>
    <cellStyle name="Normal 9 2 2 3 2 2 2 4" xfId="11665" xr:uid="{F5ABF808-D553-4578-B41F-3F0E15088207}"/>
    <cellStyle name="Normal 9 2 2 3 2 2 3" xfId="5296" xr:uid="{00000000-0005-0000-0000-0000C31E0000}"/>
    <cellStyle name="Normal 9 2 2 3 2 2 3 2" xfId="22179" xr:uid="{D46B4CF7-3FD4-415A-AAFD-D63C5CC86002}"/>
    <cellStyle name="Normal 9 2 2 3 2 2 3 3" xfId="13738" xr:uid="{B76B1EEC-CD53-4789-B0D1-13B9074AEC01}"/>
    <cellStyle name="Normal 9 2 2 3 2 2 4" xfId="17961" xr:uid="{B9AA0900-65F5-4B41-A32C-163D09DED03F}"/>
    <cellStyle name="Normal 9 2 2 3 2 2 5" xfId="9520" xr:uid="{05745EE3-8782-4B8D-B76C-5547B33BD113}"/>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24737" xr:uid="{FF043D9C-650D-4E65-9FCC-D3069EFEFE20}"/>
    <cellStyle name="Normal 9 2 2 3 2 3 2 2 3" xfId="16296" xr:uid="{5644A144-492F-4DE1-8970-546A5051DA39}"/>
    <cellStyle name="Normal 9 2 2 3 2 3 2 3" xfId="20519" xr:uid="{8D853E38-B19F-44BA-AAA4-18B68D411261}"/>
    <cellStyle name="Normal 9 2 2 3 2 3 2 4" xfId="12078" xr:uid="{03482C68-4368-49F0-9ADB-EC26FFBB08F4}"/>
    <cellStyle name="Normal 9 2 2 3 2 3 3" xfId="5709" xr:uid="{00000000-0005-0000-0000-0000C71E0000}"/>
    <cellStyle name="Normal 9 2 2 3 2 3 3 2" xfId="22592" xr:uid="{296AFB00-41FE-4A00-93E4-398B4FEFE83D}"/>
    <cellStyle name="Normal 9 2 2 3 2 3 3 3" xfId="14151" xr:uid="{394DC6DE-0062-4E10-80AC-406A9A047360}"/>
    <cellStyle name="Normal 9 2 2 3 2 3 4" xfId="18374" xr:uid="{5C963600-01CA-418C-B5D4-594A27CF4B49}"/>
    <cellStyle name="Normal 9 2 2 3 2 3 5" xfId="9933" xr:uid="{3A013D50-D326-4253-A713-4001FB99B9DE}"/>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25150" xr:uid="{A0ACEF4B-F09B-4429-8DA5-1CB52CADE9F6}"/>
    <cellStyle name="Normal 9 2 2 3 2 4 2 2 3" xfId="16709" xr:uid="{7DE6BF98-8F77-47B8-8338-19A367EFE093}"/>
    <cellStyle name="Normal 9 2 2 3 2 4 2 3" xfId="20932" xr:uid="{5F0F92FF-2E7C-45BB-ADB1-F20486C94D06}"/>
    <cellStyle name="Normal 9 2 2 3 2 4 2 4" xfId="12491" xr:uid="{D54936BE-4045-4B86-817A-ED0655E1BD26}"/>
    <cellStyle name="Normal 9 2 2 3 2 4 3" xfId="6122" xr:uid="{00000000-0005-0000-0000-0000CB1E0000}"/>
    <cellStyle name="Normal 9 2 2 3 2 4 3 2" xfId="23005" xr:uid="{C63FE3C9-F3DD-4060-B015-6EB834DF707F}"/>
    <cellStyle name="Normal 9 2 2 3 2 4 3 3" xfId="14564" xr:uid="{C4B5BC5E-A15A-403B-BB85-CA359B5B2329}"/>
    <cellStyle name="Normal 9 2 2 3 2 4 4" xfId="18787" xr:uid="{729B8953-2304-4C06-A904-D1C9977DFF9E}"/>
    <cellStyle name="Normal 9 2 2 3 2 4 5" xfId="10346" xr:uid="{21DB398F-DE11-4241-A62A-CE6405D8695C}"/>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25563" xr:uid="{4A01414B-740B-414B-AB64-5705FEDF9D17}"/>
    <cellStyle name="Normal 9 2 2 3 2 5 2 2 3" xfId="17122" xr:uid="{2276D274-7662-4EB1-8B94-5D2479D56FFB}"/>
    <cellStyle name="Normal 9 2 2 3 2 5 2 3" xfId="21345" xr:uid="{110842D8-4970-42A5-8D96-8700AA70BD3D}"/>
    <cellStyle name="Normal 9 2 2 3 2 5 2 4" xfId="12904" xr:uid="{D6A988E8-52D5-4DE9-925A-17D5818EB94C}"/>
    <cellStyle name="Normal 9 2 2 3 2 5 3" xfId="6535" xr:uid="{00000000-0005-0000-0000-0000CF1E0000}"/>
    <cellStyle name="Normal 9 2 2 3 2 5 3 2" xfId="23418" xr:uid="{8E3C7279-708A-4CC3-879D-38EE7D8F5F0C}"/>
    <cellStyle name="Normal 9 2 2 3 2 5 3 3" xfId="14977" xr:uid="{A33C0E7C-F010-49F7-B3C3-3355F2F3B1AF}"/>
    <cellStyle name="Normal 9 2 2 3 2 5 4" xfId="19200" xr:uid="{E438108B-339D-4A05-A4E0-11DAECB2134D}"/>
    <cellStyle name="Normal 9 2 2 3 2 5 5" xfId="10759" xr:uid="{C4FDCA66-15D4-4A6A-87F3-033B369DFAE5}"/>
    <cellStyle name="Normal 9 2 2 3 2 6" xfId="2664" xr:uid="{00000000-0005-0000-0000-0000D01E0000}"/>
    <cellStyle name="Normal 9 2 2 3 2 6 2" xfId="6948" xr:uid="{00000000-0005-0000-0000-0000D11E0000}"/>
    <cellStyle name="Normal 9 2 2 3 2 6 2 2" xfId="23831" xr:uid="{279ACC61-D44D-4B93-859F-85D9E1EB6203}"/>
    <cellStyle name="Normal 9 2 2 3 2 6 2 3" xfId="15390" xr:uid="{670AEF2C-7619-40A5-AAC9-61816294B002}"/>
    <cellStyle name="Normal 9 2 2 3 2 6 3" xfId="19613" xr:uid="{6E276C2D-02BA-4181-ADBF-CEC56F3463CA}"/>
    <cellStyle name="Normal 9 2 2 3 2 6 4" xfId="11172" xr:uid="{25DD2AA9-1335-4839-B06C-E6E33E8027F4}"/>
    <cellStyle name="Normal 9 2 2 3 2 7" xfId="4883" xr:uid="{00000000-0005-0000-0000-0000D21E0000}"/>
    <cellStyle name="Normal 9 2 2 3 2 7 2" xfId="21766" xr:uid="{B0B043D5-8FA5-4622-A43A-A5756A6242FD}"/>
    <cellStyle name="Normal 9 2 2 3 2 7 3" xfId="13325" xr:uid="{000C8931-8785-4262-ABFB-AA8645A2962C}"/>
    <cellStyle name="Normal 9 2 2 3 2 8" xfId="17548" xr:uid="{29867727-FA12-4B97-B7E4-D145BB137224}"/>
    <cellStyle name="Normal 9 2 2 3 2 9" xfId="9107" xr:uid="{38F3206B-C6A9-4B9C-965E-4F3209B750B6}"/>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24323" xr:uid="{A74FD08D-6BD4-4C59-A094-B489E239F9B7}"/>
    <cellStyle name="Normal 9 2 2 3 3 2 2 3" xfId="15882" xr:uid="{3406F442-A636-4816-93F2-B37662712126}"/>
    <cellStyle name="Normal 9 2 2 3 3 2 3" xfId="20105" xr:uid="{EC3E7624-4C0C-421E-86C0-3628E0FA85F5}"/>
    <cellStyle name="Normal 9 2 2 3 3 2 4" xfId="11664" xr:uid="{D8334645-2A62-4394-8D28-6CB1B65AED8F}"/>
    <cellStyle name="Normal 9 2 2 3 3 3" xfId="5295" xr:uid="{00000000-0005-0000-0000-0000D61E0000}"/>
    <cellStyle name="Normal 9 2 2 3 3 3 2" xfId="22178" xr:uid="{AE77A631-1946-4949-990D-CF20D37A55E2}"/>
    <cellStyle name="Normal 9 2 2 3 3 3 3" xfId="13737" xr:uid="{CED42B51-FDCD-4FEF-8611-24A46A2D647F}"/>
    <cellStyle name="Normal 9 2 2 3 3 4" xfId="17960" xr:uid="{E87B9AE7-522D-4D50-8D05-0EB32688BC6E}"/>
    <cellStyle name="Normal 9 2 2 3 3 5" xfId="9519" xr:uid="{B3F72647-D88C-4AB7-A044-B2C4472415DF}"/>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24736" xr:uid="{B587C977-AEB8-40DD-A2FD-858CEDF29E5F}"/>
    <cellStyle name="Normal 9 2 2 3 4 2 2 3" xfId="16295" xr:uid="{ED136C14-42B3-4F3A-989A-D09053703219}"/>
    <cellStyle name="Normal 9 2 2 3 4 2 3" xfId="20518" xr:uid="{454B8FF1-8A04-4CC7-BEA4-BCEF08F8D866}"/>
    <cellStyle name="Normal 9 2 2 3 4 2 4" xfId="12077" xr:uid="{D7F3A19F-E99B-49C8-B318-22FD402A72EC}"/>
    <cellStyle name="Normal 9 2 2 3 4 3" xfId="5708" xr:uid="{00000000-0005-0000-0000-0000DA1E0000}"/>
    <cellStyle name="Normal 9 2 2 3 4 3 2" xfId="22591" xr:uid="{B6F8FB04-C482-4C55-A913-5D0B85D1B0D9}"/>
    <cellStyle name="Normal 9 2 2 3 4 3 3" xfId="14150" xr:uid="{3F648572-FF58-423E-9C33-7F0B3C9DF2B7}"/>
    <cellStyle name="Normal 9 2 2 3 4 4" xfId="18373" xr:uid="{C409314A-B8CC-48C1-89F2-236A96DBC449}"/>
    <cellStyle name="Normal 9 2 2 3 4 5" xfId="9932" xr:uid="{1956F7CC-8250-4A71-8013-7C648E6A6196}"/>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25149" xr:uid="{C94D5128-0E1D-455B-9C89-87ED3EE3A07D}"/>
    <cellStyle name="Normal 9 2 2 3 5 2 2 3" xfId="16708" xr:uid="{78FC9AFA-93D6-466B-93F2-4967278FA454}"/>
    <cellStyle name="Normal 9 2 2 3 5 2 3" xfId="20931" xr:uid="{CB6E40CF-C105-48E4-B855-2565501C7DA8}"/>
    <cellStyle name="Normal 9 2 2 3 5 2 4" xfId="12490" xr:uid="{210137B4-EC4C-423D-A668-9B781E14D9AA}"/>
    <cellStyle name="Normal 9 2 2 3 5 3" xfId="6121" xr:uid="{00000000-0005-0000-0000-0000DE1E0000}"/>
    <cellStyle name="Normal 9 2 2 3 5 3 2" xfId="23004" xr:uid="{C2D8D18A-91C1-4937-B890-F0CF5FDF90CC}"/>
    <cellStyle name="Normal 9 2 2 3 5 3 3" xfId="14563" xr:uid="{4CA76DA6-D90B-460B-97DE-9A16A769454D}"/>
    <cellStyle name="Normal 9 2 2 3 5 4" xfId="18786" xr:uid="{1B89E3AD-0FC5-43E4-9C91-91BEED43AC4B}"/>
    <cellStyle name="Normal 9 2 2 3 5 5" xfId="10345" xr:uid="{1E6C28F5-B05F-4D90-8AF7-84E659D2419E}"/>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25562" xr:uid="{273A3E50-733D-4DB6-BC8C-EDD0C73A67DA}"/>
    <cellStyle name="Normal 9 2 2 3 6 2 2 3" xfId="17121" xr:uid="{F824AD08-3E8B-4B56-916C-52C055930EDC}"/>
    <cellStyle name="Normal 9 2 2 3 6 2 3" xfId="21344" xr:uid="{68422A58-46AD-48F6-B1F6-FB7C915F4AFE}"/>
    <cellStyle name="Normal 9 2 2 3 6 2 4" xfId="12903" xr:uid="{A0801A57-616A-4142-B975-038CA12BE058}"/>
    <cellStyle name="Normal 9 2 2 3 6 3" xfId="6534" xr:uid="{00000000-0005-0000-0000-0000E21E0000}"/>
    <cellStyle name="Normal 9 2 2 3 6 3 2" xfId="23417" xr:uid="{38ABD319-FD05-4021-AAD6-8F33B43015CC}"/>
    <cellStyle name="Normal 9 2 2 3 6 3 3" xfId="14976" xr:uid="{8B92A9CB-69CF-42E2-8435-C73AFF83BA40}"/>
    <cellStyle name="Normal 9 2 2 3 6 4" xfId="19199" xr:uid="{9A01C69B-93CB-4DE9-B6AC-4A6211926C8F}"/>
    <cellStyle name="Normal 9 2 2 3 6 5" xfId="10758" xr:uid="{0A545D99-8AB8-44BA-B5F7-B6F2AE69EE20}"/>
    <cellStyle name="Normal 9 2 2 3 7" xfId="2663" xr:uid="{00000000-0005-0000-0000-0000E31E0000}"/>
    <cellStyle name="Normal 9 2 2 3 7 2" xfId="6947" xr:uid="{00000000-0005-0000-0000-0000E41E0000}"/>
    <cellStyle name="Normal 9 2 2 3 7 2 2" xfId="23830" xr:uid="{A578F7F5-0911-4FF7-AB70-66EFAFF4ABE4}"/>
    <cellStyle name="Normal 9 2 2 3 7 2 3" xfId="15389" xr:uid="{63C8A34D-8B91-40B8-9998-1C8AAC0B0A99}"/>
    <cellStyle name="Normal 9 2 2 3 7 3" xfId="19612" xr:uid="{8FA7ACC1-E4DE-40A2-8738-6F826CA5E0CE}"/>
    <cellStyle name="Normal 9 2 2 3 7 4" xfId="11171" xr:uid="{562BDDCD-0192-4271-B594-FEC3463750B2}"/>
    <cellStyle name="Normal 9 2 2 3 8" xfId="4882" xr:uid="{00000000-0005-0000-0000-0000E51E0000}"/>
    <cellStyle name="Normal 9 2 2 3 8 2" xfId="21765" xr:uid="{71742188-A338-43EE-876B-46CA07D5ADFF}"/>
    <cellStyle name="Normal 9 2 2 3 8 3" xfId="13324" xr:uid="{7662C104-00DE-4FB9-913C-17DCCD8BD862}"/>
    <cellStyle name="Normal 9 2 2 3 9" xfId="17547" xr:uid="{2E4AF6A0-C895-4C73-9712-4F2E68716DB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24325" xr:uid="{464257B1-FB7B-41FD-B332-760E2BD73E1A}"/>
    <cellStyle name="Normal 9 2 2 4 2 2 2 3" xfId="15884" xr:uid="{EFE57218-B650-4325-8C51-55B3904E68A9}"/>
    <cellStyle name="Normal 9 2 2 4 2 2 3" xfId="20107" xr:uid="{B43620C8-0883-484B-B2C9-3A0B00410C42}"/>
    <cellStyle name="Normal 9 2 2 4 2 2 4" xfId="11666" xr:uid="{E58F9B2D-0BDE-44DC-946E-B6EFD035DF01}"/>
    <cellStyle name="Normal 9 2 2 4 2 3" xfId="5297" xr:uid="{00000000-0005-0000-0000-0000EA1E0000}"/>
    <cellStyle name="Normal 9 2 2 4 2 3 2" xfId="22180" xr:uid="{17BFD12F-0D0C-47A2-93A9-59E171DCEAD4}"/>
    <cellStyle name="Normal 9 2 2 4 2 3 3" xfId="13739" xr:uid="{6CF1CD38-D808-44E4-BE1A-FD7E2C85B836}"/>
    <cellStyle name="Normal 9 2 2 4 2 4" xfId="17962" xr:uid="{5A3B130B-A0B0-4665-9BAF-55871EEE2CDF}"/>
    <cellStyle name="Normal 9 2 2 4 2 5" xfId="9521" xr:uid="{95BBC696-7433-4A3A-A88A-4C587B6EAE11}"/>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24738" xr:uid="{758704C1-A583-409F-ADF6-970B84F27CAE}"/>
    <cellStyle name="Normal 9 2 2 4 3 2 2 3" xfId="16297" xr:uid="{3A3E0BF4-5B2A-43D4-BD6D-88BDB55645BC}"/>
    <cellStyle name="Normal 9 2 2 4 3 2 3" xfId="20520" xr:uid="{67704323-FEC4-47D8-8FE7-FEE23C834791}"/>
    <cellStyle name="Normal 9 2 2 4 3 2 4" xfId="12079" xr:uid="{652AC9E1-32A8-42CC-AAFD-9F656DF714C9}"/>
    <cellStyle name="Normal 9 2 2 4 3 3" xfId="5710" xr:uid="{00000000-0005-0000-0000-0000EE1E0000}"/>
    <cellStyle name="Normal 9 2 2 4 3 3 2" xfId="22593" xr:uid="{6EFD21C1-6AFE-4D39-A72C-F78A46100E05}"/>
    <cellStyle name="Normal 9 2 2 4 3 3 3" xfId="14152" xr:uid="{2FD10691-8534-4C69-8365-108B197D552E}"/>
    <cellStyle name="Normal 9 2 2 4 3 4" xfId="18375" xr:uid="{0041195B-81A9-44F8-9305-E04FE803E0FB}"/>
    <cellStyle name="Normal 9 2 2 4 3 5" xfId="9934" xr:uid="{ADDDBB19-8D25-4BC9-BFBD-188271F1232F}"/>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25151" xr:uid="{B26CFDEC-28DE-40DF-8645-DEB212CC5ECD}"/>
    <cellStyle name="Normal 9 2 2 4 4 2 2 3" xfId="16710" xr:uid="{8649CD7A-8C22-4979-BE03-42198B1DCFC3}"/>
    <cellStyle name="Normal 9 2 2 4 4 2 3" xfId="20933" xr:uid="{7A982A41-9ECD-4D9C-B418-BEBAD8113FA1}"/>
    <cellStyle name="Normal 9 2 2 4 4 2 4" xfId="12492" xr:uid="{AAC63905-5E99-4849-82D9-B5A395CFF2CE}"/>
    <cellStyle name="Normal 9 2 2 4 4 3" xfId="6123" xr:uid="{00000000-0005-0000-0000-0000F21E0000}"/>
    <cellStyle name="Normal 9 2 2 4 4 3 2" xfId="23006" xr:uid="{4BDE9D06-1044-42C1-9324-0F8766EB8638}"/>
    <cellStyle name="Normal 9 2 2 4 4 3 3" xfId="14565" xr:uid="{3900EE50-B78E-4DB1-9227-C073E40FED7A}"/>
    <cellStyle name="Normal 9 2 2 4 4 4" xfId="18788" xr:uid="{8B5092D7-D3C5-459E-AB31-5C0219C8C377}"/>
    <cellStyle name="Normal 9 2 2 4 4 5" xfId="10347" xr:uid="{91780FC2-0B37-4C76-8B66-B01D278BE110}"/>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25564" xr:uid="{5050466E-B227-4F5A-8694-CB785442983C}"/>
    <cellStyle name="Normal 9 2 2 4 5 2 2 3" xfId="17123" xr:uid="{42CD97BB-34FA-4018-8A1C-98D78612DCF7}"/>
    <cellStyle name="Normal 9 2 2 4 5 2 3" xfId="21346" xr:uid="{836274D4-2D8B-48DB-8049-40AAB080F874}"/>
    <cellStyle name="Normal 9 2 2 4 5 2 4" xfId="12905" xr:uid="{FAE88648-BA69-4CBA-BD9B-07418359B24D}"/>
    <cellStyle name="Normal 9 2 2 4 5 3" xfId="6536" xr:uid="{00000000-0005-0000-0000-0000F61E0000}"/>
    <cellStyle name="Normal 9 2 2 4 5 3 2" xfId="23419" xr:uid="{2CEEACB6-DEBC-47B6-A86C-2FF82ABA4813}"/>
    <cellStyle name="Normal 9 2 2 4 5 3 3" xfId="14978" xr:uid="{78B720C9-DF35-4298-8FFB-55A5D48FA408}"/>
    <cellStyle name="Normal 9 2 2 4 5 4" xfId="19201" xr:uid="{4F7D5A6A-2B21-46DA-B74B-CF861B3913B4}"/>
    <cellStyle name="Normal 9 2 2 4 5 5" xfId="10760" xr:uid="{D18E453D-DA35-4B5A-B1A6-8DD237CC7AD1}"/>
    <cellStyle name="Normal 9 2 2 4 6" xfId="2665" xr:uid="{00000000-0005-0000-0000-0000F71E0000}"/>
    <cellStyle name="Normal 9 2 2 4 6 2" xfId="6949" xr:uid="{00000000-0005-0000-0000-0000F81E0000}"/>
    <cellStyle name="Normal 9 2 2 4 6 2 2" xfId="23832" xr:uid="{BA01CD1F-E93E-4369-B0DA-2E2DC902C727}"/>
    <cellStyle name="Normal 9 2 2 4 6 2 3" xfId="15391" xr:uid="{B530215A-529C-429F-9318-D524D78C9B97}"/>
    <cellStyle name="Normal 9 2 2 4 6 3" xfId="19614" xr:uid="{A3BF9E32-F276-4B7D-8731-17CC0D543617}"/>
    <cellStyle name="Normal 9 2 2 4 6 4" xfId="11173" xr:uid="{A54B9C34-F2E8-4E5E-A99B-52568FE7032B}"/>
    <cellStyle name="Normal 9 2 2 4 7" xfId="4884" xr:uid="{00000000-0005-0000-0000-0000F91E0000}"/>
    <cellStyle name="Normal 9 2 2 4 7 2" xfId="21767" xr:uid="{6AD83B88-F1DA-4FF9-8C43-EE79A591AD0B}"/>
    <cellStyle name="Normal 9 2 2 4 7 3" xfId="13326" xr:uid="{127377AA-5471-4954-98F2-4F0960517E37}"/>
    <cellStyle name="Normal 9 2 2 4 8" xfId="17549" xr:uid="{2A1E40FC-9D02-422D-8B96-FD1A11C6B65A}"/>
    <cellStyle name="Normal 9 2 2 4 9" xfId="9108" xr:uid="{08BB2814-141F-470A-8F3C-7C3AA087BE9E}"/>
    <cellStyle name="Normal 9 2 2 5" xfId="979" xr:uid="{00000000-0005-0000-0000-0000FA1E0000}"/>
    <cellStyle name="Normal 9 2 2 5 2" xfId="3212" xr:uid="{00000000-0005-0000-0000-0000FB1E0000}"/>
    <cellStyle name="Normal 9 2 2 5 2 2" xfId="7435" xr:uid="{00000000-0005-0000-0000-0000FC1E0000}"/>
    <cellStyle name="Normal 9 2 2 5 2 2 2" xfId="24318" xr:uid="{727C8988-C699-4A59-ACEB-C8CB63DC1FE9}"/>
    <cellStyle name="Normal 9 2 2 5 2 2 3" xfId="15877" xr:uid="{6FCA9174-6CDA-4FA7-9306-C352955625C4}"/>
    <cellStyle name="Normal 9 2 2 5 2 3" xfId="20100" xr:uid="{12E1B01B-AFD2-419B-9983-A98F95A5ACF5}"/>
    <cellStyle name="Normal 9 2 2 5 2 4" xfId="11659" xr:uid="{A760DC8A-F31C-4C13-9582-2A8265CE866E}"/>
    <cellStyle name="Normal 9 2 2 5 3" xfId="5290" xr:uid="{00000000-0005-0000-0000-0000FD1E0000}"/>
    <cellStyle name="Normal 9 2 2 5 3 2" xfId="22173" xr:uid="{93BB3811-94DB-4AEF-9530-0908C6132587}"/>
    <cellStyle name="Normal 9 2 2 5 3 3" xfId="13732" xr:uid="{BFFF2317-BD70-47A7-A8E5-90ACBF24C9B4}"/>
    <cellStyle name="Normal 9 2 2 5 4" xfId="17955" xr:uid="{316547A1-C341-42D9-B87D-15FC725D5FD3}"/>
    <cellStyle name="Normal 9 2 2 5 5" xfId="9514" xr:uid="{A7560BE2-D5EB-414C-A8E9-9894288B853B}"/>
    <cellStyle name="Normal 9 2 2 6" xfId="1395" xr:uid="{00000000-0005-0000-0000-0000FE1E0000}"/>
    <cellStyle name="Normal 9 2 2 6 2" xfId="3625" xr:uid="{00000000-0005-0000-0000-0000FF1E0000}"/>
    <cellStyle name="Normal 9 2 2 6 2 2" xfId="7848" xr:uid="{00000000-0005-0000-0000-0000001F0000}"/>
    <cellStyle name="Normal 9 2 2 6 2 2 2" xfId="24731" xr:uid="{12009523-D488-44A1-B2F5-6F4D60E0E8F0}"/>
    <cellStyle name="Normal 9 2 2 6 2 2 3" xfId="16290" xr:uid="{E720CF7D-4546-4012-A50A-F9ACCEF796E5}"/>
    <cellStyle name="Normal 9 2 2 6 2 3" xfId="20513" xr:uid="{A6C7F211-630C-4941-8BA7-1703BD2AE56F}"/>
    <cellStyle name="Normal 9 2 2 6 2 4" xfId="12072" xr:uid="{5CD71C76-F0BE-4A55-B2E1-AEB3268A70B3}"/>
    <cellStyle name="Normal 9 2 2 6 3" xfId="5703" xr:uid="{00000000-0005-0000-0000-0000011F0000}"/>
    <cellStyle name="Normal 9 2 2 6 3 2" xfId="22586" xr:uid="{C90AB913-B05F-4B2D-AF36-57EE0107802D}"/>
    <cellStyle name="Normal 9 2 2 6 3 3" xfId="14145" xr:uid="{05B368D1-FE6F-497C-8B44-F1079A63CE74}"/>
    <cellStyle name="Normal 9 2 2 6 4" xfId="18368" xr:uid="{A1AD02A3-5584-4263-9F3A-15C0E813C333}"/>
    <cellStyle name="Normal 9 2 2 6 5" xfId="9927" xr:uid="{81269618-609B-4BF0-962B-0EDB2A81EA9C}"/>
    <cellStyle name="Normal 9 2 2 7" xfId="1808" xr:uid="{00000000-0005-0000-0000-0000021F0000}"/>
    <cellStyle name="Normal 9 2 2 7 2" xfId="4038" xr:uid="{00000000-0005-0000-0000-0000031F0000}"/>
    <cellStyle name="Normal 9 2 2 7 2 2" xfId="8261" xr:uid="{00000000-0005-0000-0000-0000041F0000}"/>
    <cellStyle name="Normal 9 2 2 7 2 2 2" xfId="25144" xr:uid="{5E5FF2D6-8366-44DF-BC23-97D350E95FC3}"/>
    <cellStyle name="Normal 9 2 2 7 2 2 3" xfId="16703" xr:uid="{3C0AB6A0-D1B5-46EE-ABA1-ADAA8C274F76}"/>
    <cellStyle name="Normal 9 2 2 7 2 3" xfId="20926" xr:uid="{D435C3AF-BB25-48C0-B684-A11EE37AABB5}"/>
    <cellStyle name="Normal 9 2 2 7 2 4" xfId="12485" xr:uid="{7BFD7DC5-2FC4-41D0-A03B-808B2C70C8A1}"/>
    <cellStyle name="Normal 9 2 2 7 3" xfId="6116" xr:uid="{00000000-0005-0000-0000-0000051F0000}"/>
    <cellStyle name="Normal 9 2 2 7 3 2" xfId="22999" xr:uid="{BD1956CE-EAEA-40AE-9B33-4618AB323F50}"/>
    <cellStyle name="Normal 9 2 2 7 3 3" xfId="14558" xr:uid="{EE30C904-499D-4F97-9885-630FF93075DD}"/>
    <cellStyle name="Normal 9 2 2 7 4" xfId="18781" xr:uid="{EBB0CB4A-953A-45C5-9CE5-0B0BA87E4FEC}"/>
    <cellStyle name="Normal 9 2 2 7 5" xfId="10340" xr:uid="{9DA08FD5-A68C-4CBE-871E-25EC4B485D22}"/>
    <cellStyle name="Normal 9 2 2 8" xfId="2222" xr:uid="{00000000-0005-0000-0000-0000061F0000}"/>
    <cellStyle name="Normal 9 2 2 8 2" xfId="4451" xr:uid="{00000000-0005-0000-0000-0000071F0000}"/>
    <cellStyle name="Normal 9 2 2 8 2 2" xfId="8674" xr:uid="{00000000-0005-0000-0000-0000081F0000}"/>
    <cellStyle name="Normal 9 2 2 8 2 2 2" xfId="25557" xr:uid="{D3CF89AE-420A-4A3B-A6C5-EB1CECC1F1FB}"/>
    <cellStyle name="Normal 9 2 2 8 2 2 3" xfId="17116" xr:uid="{76C28F9D-9E11-4D53-BF4E-85D3BA0A5C3A}"/>
    <cellStyle name="Normal 9 2 2 8 2 3" xfId="21339" xr:uid="{F0449CD6-156F-4DE3-8A73-2E3D698B1624}"/>
    <cellStyle name="Normal 9 2 2 8 2 4" xfId="12898" xr:uid="{A8866EA5-F0D3-499F-BCD8-A9A0C54D9F3A}"/>
    <cellStyle name="Normal 9 2 2 8 3" xfId="6529" xr:uid="{00000000-0005-0000-0000-0000091F0000}"/>
    <cellStyle name="Normal 9 2 2 8 3 2" xfId="23412" xr:uid="{87692D79-C25E-4EBD-BE5C-ED307FB4DD0A}"/>
    <cellStyle name="Normal 9 2 2 8 3 3" xfId="14971" xr:uid="{41EB7BE7-FD3C-4598-8637-BB6A9D06C2BB}"/>
    <cellStyle name="Normal 9 2 2 8 4" xfId="19194" xr:uid="{94A28312-92A4-46FC-BBC2-349D93F9B0C8}"/>
    <cellStyle name="Normal 9 2 2 8 5" xfId="10753" xr:uid="{98395FD5-CB0B-4F7C-8AF8-587E3CD3E264}"/>
    <cellStyle name="Normal 9 2 2 9" xfId="2658" xr:uid="{00000000-0005-0000-0000-00000A1F0000}"/>
    <cellStyle name="Normal 9 2 2 9 2" xfId="6942" xr:uid="{00000000-0005-0000-0000-00000B1F0000}"/>
    <cellStyle name="Normal 9 2 2 9 2 2" xfId="23825" xr:uid="{4988DB26-DF3B-470B-8119-B69C6EA6A87F}"/>
    <cellStyle name="Normal 9 2 2 9 2 3" xfId="15384" xr:uid="{36FD5728-29AA-4AA8-BCB7-9C030968FFFE}"/>
    <cellStyle name="Normal 9 2 2 9 3" xfId="19607" xr:uid="{573FB10D-ECED-4F15-8DA7-B62550833129}"/>
    <cellStyle name="Normal 9 2 2 9 4" xfId="11166" xr:uid="{A0BDF73C-967A-480D-AA6A-39700B5A5DE1}"/>
    <cellStyle name="Normal 9 2 3" xfId="520" xr:uid="{00000000-0005-0000-0000-00000C1F0000}"/>
    <cellStyle name="Normal 9 2 3 10" xfId="17550" xr:uid="{CFC2A55B-108F-4951-81AD-159D733AFD89}"/>
    <cellStyle name="Normal 9 2 3 11" xfId="9109" xr:uid="{82EEFFAF-C676-48BA-92AC-1AD319958E77}"/>
    <cellStyle name="Normal 9 2 3 2" xfId="521" xr:uid="{00000000-0005-0000-0000-00000D1F0000}"/>
    <cellStyle name="Normal 9 2 3 2 10" xfId="9110" xr:uid="{B3823705-CBC2-428B-9DAD-A4332C319AE5}"/>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24328" xr:uid="{E75FCC38-05E0-46A2-8B80-06AAC69AB18C}"/>
    <cellStyle name="Normal 9 2 3 2 2 2 2 2 3" xfId="15887" xr:uid="{B6D30959-AA68-4683-BA5E-EBFCD0C11DFB}"/>
    <cellStyle name="Normal 9 2 3 2 2 2 2 3" xfId="20110" xr:uid="{3054B3F6-D343-4FFB-89A3-CDB51F266BCC}"/>
    <cellStyle name="Normal 9 2 3 2 2 2 2 4" xfId="11669" xr:uid="{4916F8E6-FB43-4491-AF78-2DE5BDD2A842}"/>
    <cellStyle name="Normal 9 2 3 2 2 2 3" xfId="5300" xr:uid="{00000000-0005-0000-0000-0000121F0000}"/>
    <cellStyle name="Normal 9 2 3 2 2 2 3 2" xfId="22183" xr:uid="{5F3AAB83-CEE9-4532-8E5E-F33338791DA3}"/>
    <cellStyle name="Normal 9 2 3 2 2 2 3 3" xfId="13742" xr:uid="{5DA9A8B4-E5D2-45DF-90D4-B3F2BA65E56C}"/>
    <cellStyle name="Normal 9 2 3 2 2 2 4" xfId="17965" xr:uid="{3C65EB5E-9E0A-4CFA-8CEC-A26F213ACAAA}"/>
    <cellStyle name="Normal 9 2 3 2 2 2 5" xfId="9524" xr:uid="{069956A2-59B9-4E12-A05D-ECFB67900C9F}"/>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24741" xr:uid="{AB832E0D-A36E-44A3-A453-8D27B9EAD726}"/>
    <cellStyle name="Normal 9 2 3 2 2 3 2 2 3" xfId="16300" xr:uid="{EF92EEC5-2712-4A8D-973A-A218B6AB7931}"/>
    <cellStyle name="Normal 9 2 3 2 2 3 2 3" xfId="20523" xr:uid="{2C154558-AEC8-4AF4-983A-D518C4EF8CDF}"/>
    <cellStyle name="Normal 9 2 3 2 2 3 2 4" xfId="12082" xr:uid="{951B574C-C185-4A51-A1A0-7350A79A0A08}"/>
    <cellStyle name="Normal 9 2 3 2 2 3 3" xfId="5713" xr:uid="{00000000-0005-0000-0000-0000161F0000}"/>
    <cellStyle name="Normal 9 2 3 2 2 3 3 2" xfId="22596" xr:uid="{11BDA055-DC4D-4396-8D1A-79CBC75AFD72}"/>
    <cellStyle name="Normal 9 2 3 2 2 3 3 3" xfId="14155" xr:uid="{E5BBDEA8-3EA2-4205-BBC5-E5151B37B09A}"/>
    <cellStyle name="Normal 9 2 3 2 2 3 4" xfId="18378" xr:uid="{64907155-46DA-4578-A4B9-B9ABEFA2A150}"/>
    <cellStyle name="Normal 9 2 3 2 2 3 5" xfId="9937" xr:uid="{82A6DCCA-BA75-477C-B4C6-B5FA3CA746FC}"/>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25154" xr:uid="{C72C32FB-0CF9-480F-8176-F1478520730D}"/>
    <cellStyle name="Normal 9 2 3 2 2 4 2 2 3" xfId="16713" xr:uid="{6767CC52-2974-450C-BEB0-FC2282DA5079}"/>
    <cellStyle name="Normal 9 2 3 2 2 4 2 3" xfId="20936" xr:uid="{230E3CC4-53D9-4632-8843-6C2E732C6F77}"/>
    <cellStyle name="Normal 9 2 3 2 2 4 2 4" xfId="12495" xr:uid="{437305E0-4A13-44BF-A9FC-9851A219621D}"/>
    <cellStyle name="Normal 9 2 3 2 2 4 3" xfId="6126" xr:uid="{00000000-0005-0000-0000-00001A1F0000}"/>
    <cellStyle name="Normal 9 2 3 2 2 4 3 2" xfId="23009" xr:uid="{7628914F-0FD5-43CB-9A2C-6FA89C69535C}"/>
    <cellStyle name="Normal 9 2 3 2 2 4 3 3" xfId="14568" xr:uid="{CA581EFE-893D-4148-A97E-FB7B1D5C00B2}"/>
    <cellStyle name="Normal 9 2 3 2 2 4 4" xfId="18791" xr:uid="{A2877105-EF8C-41D1-B39C-C26A6EB55218}"/>
    <cellStyle name="Normal 9 2 3 2 2 4 5" xfId="10350" xr:uid="{40C5263E-AE56-432F-8FEE-67F56005FDF7}"/>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25567" xr:uid="{863C7945-426E-4BEC-AF7E-6D72ABE3C709}"/>
    <cellStyle name="Normal 9 2 3 2 2 5 2 2 3" xfId="17126" xr:uid="{E521EDAA-BBBB-4C72-872F-632DB2C60E89}"/>
    <cellStyle name="Normal 9 2 3 2 2 5 2 3" xfId="21349" xr:uid="{2BDC44D9-0806-44C6-9509-14670FA8B512}"/>
    <cellStyle name="Normal 9 2 3 2 2 5 2 4" xfId="12908" xr:uid="{55148588-31E2-419B-931D-2B0FD75938DD}"/>
    <cellStyle name="Normal 9 2 3 2 2 5 3" xfId="6539" xr:uid="{00000000-0005-0000-0000-00001E1F0000}"/>
    <cellStyle name="Normal 9 2 3 2 2 5 3 2" xfId="23422" xr:uid="{C2D1EE93-0413-4037-98B1-6037B2FF7591}"/>
    <cellStyle name="Normal 9 2 3 2 2 5 3 3" xfId="14981" xr:uid="{BCDE6343-D635-4CA9-9542-C616D740BEA9}"/>
    <cellStyle name="Normal 9 2 3 2 2 5 4" xfId="19204" xr:uid="{35B00D78-842F-4382-8BF9-22C7044367C4}"/>
    <cellStyle name="Normal 9 2 3 2 2 5 5" xfId="10763" xr:uid="{C69CA062-A14E-4DAB-8792-3BCD3C17B832}"/>
    <cellStyle name="Normal 9 2 3 2 2 6" xfId="2668" xr:uid="{00000000-0005-0000-0000-00001F1F0000}"/>
    <cellStyle name="Normal 9 2 3 2 2 6 2" xfId="6952" xr:uid="{00000000-0005-0000-0000-0000201F0000}"/>
    <cellStyle name="Normal 9 2 3 2 2 6 2 2" xfId="23835" xr:uid="{1212CEB7-7D4D-4C06-B1EF-09B5334B8570}"/>
    <cellStyle name="Normal 9 2 3 2 2 6 2 3" xfId="15394" xr:uid="{BC31543C-6980-4AFC-B7E5-44655AA4816B}"/>
    <cellStyle name="Normal 9 2 3 2 2 6 3" xfId="19617" xr:uid="{28EAF505-C73D-4B93-B453-E9FFAE56462F}"/>
    <cellStyle name="Normal 9 2 3 2 2 6 4" xfId="11176" xr:uid="{8F5DF74E-2B2E-4A74-9CAF-0191E9B1B9CF}"/>
    <cellStyle name="Normal 9 2 3 2 2 7" xfId="4887" xr:uid="{00000000-0005-0000-0000-0000211F0000}"/>
    <cellStyle name="Normal 9 2 3 2 2 7 2" xfId="21770" xr:uid="{820E2F9A-E140-4D02-BDAA-52E921AF8A3F}"/>
    <cellStyle name="Normal 9 2 3 2 2 7 3" xfId="13329" xr:uid="{7785E52B-DB80-45E7-A856-99608C841FDE}"/>
    <cellStyle name="Normal 9 2 3 2 2 8" xfId="17552" xr:uid="{8DF954CC-6C3C-4A8E-B84E-515A2BC1F61F}"/>
    <cellStyle name="Normal 9 2 3 2 2 9" xfId="9111" xr:uid="{B7039CB9-ED24-443F-9C7C-1F5FFAA8ACAE}"/>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24327" xr:uid="{8CA04BE0-D20B-4D8C-B92A-2343DBE711F2}"/>
    <cellStyle name="Normal 9 2 3 2 3 2 2 3" xfId="15886" xr:uid="{A7BE4E8A-2EF1-47E8-8FF4-EF66EC51052F}"/>
    <cellStyle name="Normal 9 2 3 2 3 2 3" xfId="20109" xr:uid="{9A05EF36-463D-45F2-96F2-ED74BA6A3414}"/>
    <cellStyle name="Normal 9 2 3 2 3 2 4" xfId="11668" xr:uid="{283420A4-E00A-4767-A461-8BD17F95F572}"/>
    <cellStyle name="Normal 9 2 3 2 3 3" xfId="5299" xr:uid="{00000000-0005-0000-0000-0000251F0000}"/>
    <cellStyle name="Normal 9 2 3 2 3 3 2" xfId="22182" xr:uid="{ADEB7E29-2152-457D-99C8-AF8A7F41C7C1}"/>
    <cellStyle name="Normal 9 2 3 2 3 3 3" xfId="13741" xr:uid="{DD7778EC-3CB0-4B3E-A25C-46F654C5C700}"/>
    <cellStyle name="Normal 9 2 3 2 3 4" xfId="17964" xr:uid="{718B4C0D-A524-440F-924F-2F31278D68D8}"/>
    <cellStyle name="Normal 9 2 3 2 3 5" xfId="9523" xr:uid="{7FCA84C7-5F80-488A-9307-B0356C1B6BC6}"/>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24740" xr:uid="{8C6F541F-2295-49ED-9D0B-8094C9F927E7}"/>
    <cellStyle name="Normal 9 2 3 2 4 2 2 3" xfId="16299" xr:uid="{4DF93EA4-D07C-41D6-87E6-29E48844BA57}"/>
    <cellStyle name="Normal 9 2 3 2 4 2 3" xfId="20522" xr:uid="{D4255B45-0C21-474F-B852-1E72B0E23F0B}"/>
    <cellStyle name="Normal 9 2 3 2 4 2 4" xfId="12081" xr:uid="{81606C8A-ACB6-428E-A72A-946122469E27}"/>
    <cellStyle name="Normal 9 2 3 2 4 3" xfId="5712" xr:uid="{00000000-0005-0000-0000-0000291F0000}"/>
    <cellStyle name="Normal 9 2 3 2 4 3 2" xfId="22595" xr:uid="{D055CFA7-B844-4188-8B6E-B5ACE34FAE51}"/>
    <cellStyle name="Normal 9 2 3 2 4 3 3" xfId="14154" xr:uid="{8284965F-690A-4DCF-9141-CC846F00E36D}"/>
    <cellStyle name="Normal 9 2 3 2 4 4" xfId="18377" xr:uid="{F5EDCD8D-4881-4A1E-A00B-B2ACA17CC204}"/>
    <cellStyle name="Normal 9 2 3 2 4 5" xfId="9936" xr:uid="{162837E8-8ED3-4611-BA5F-799C80C401B8}"/>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25153" xr:uid="{064DE019-4086-4E2B-9A5F-F045CBBA7775}"/>
    <cellStyle name="Normal 9 2 3 2 5 2 2 3" xfId="16712" xr:uid="{3B7D7A8E-A434-4DFE-BFE6-720CBF6429B1}"/>
    <cellStyle name="Normal 9 2 3 2 5 2 3" xfId="20935" xr:uid="{A23FDAED-CCDF-4ABE-8520-772C84E1F879}"/>
    <cellStyle name="Normal 9 2 3 2 5 2 4" xfId="12494" xr:uid="{BB0D29F4-C2F7-48D7-8203-55F5C0D42C73}"/>
    <cellStyle name="Normal 9 2 3 2 5 3" xfId="6125" xr:uid="{00000000-0005-0000-0000-00002D1F0000}"/>
    <cellStyle name="Normal 9 2 3 2 5 3 2" xfId="23008" xr:uid="{325538DE-279D-4782-9324-72BF0D54799C}"/>
    <cellStyle name="Normal 9 2 3 2 5 3 3" xfId="14567" xr:uid="{5E5F359A-9693-41E6-A28F-02F7775C97E3}"/>
    <cellStyle name="Normal 9 2 3 2 5 4" xfId="18790" xr:uid="{A3DDBB8D-3DF7-43C2-A193-9A92C7281676}"/>
    <cellStyle name="Normal 9 2 3 2 5 5" xfId="10349" xr:uid="{CFC2D8AE-1F04-49BB-AC0F-A208EDF5028A}"/>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25566" xr:uid="{B828F1A8-E64D-4CA0-9B20-CA4C389180EC}"/>
    <cellStyle name="Normal 9 2 3 2 6 2 2 3" xfId="17125" xr:uid="{A6B1E58D-B70A-4735-B095-CA9BD6C77878}"/>
    <cellStyle name="Normal 9 2 3 2 6 2 3" xfId="21348" xr:uid="{17AB0071-B668-4756-8FA1-7B6A8EFC00F6}"/>
    <cellStyle name="Normal 9 2 3 2 6 2 4" xfId="12907" xr:uid="{DB7BDAEA-349F-4515-AFAE-70B50EFF656D}"/>
    <cellStyle name="Normal 9 2 3 2 6 3" xfId="6538" xr:uid="{00000000-0005-0000-0000-0000311F0000}"/>
    <cellStyle name="Normal 9 2 3 2 6 3 2" xfId="23421" xr:uid="{C882C76B-33E7-4ED2-8EAC-3FF6505ACB25}"/>
    <cellStyle name="Normal 9 2 3 2 6 3 3" xfId="14980" xr:uid="{296A9F65-C1BA-48C5-847A-3B509637C9B0}"/>
    <cellStyle name="Normal 9 2 3 2 6 4" xfId="19203" xr:uid="{9901D363-FA50-4E4E-845D-8D72F2757F5F}"/>
    <cellStyle name="Normal 9 2 3 2 6 5" xfId="10762" xr:uid="{B558583C-EBA3-4B41-9859-D39F6313FC4C}"/>
    <cellStyle name="Normal 9 2 3 2 7" xfId="2667" xr:uid="{00000000-0005-0000-0000-0000321F0000}"/>
    <cellStyle name="Normal 9 2 3 2 7 2" xfId="6951" xr:uid="{00000000-0005-0000-0000-0000331F0000}"/>
    <cellStyle name="Normal 9 2 3 2 7 2 2" xfId="23834" xr:uid="{679A6BF1-77B0-4ECA-8B32-C4FDD886E070}"/>
    <cellStyle name="Normal 9 2 3 2 7 2 3" xfId="15393" xr:uid="{541F65E6-A0E1-4E91-8DAE-B8768B3F968A}"/>
    <cellStyle name="Normal 9 2 3 2 7 3" xfId="19616" xr:uid="{FC55DAAC-AB7A-4A27-B8FE-FEDFBB83DF9E}"/>
    <cellStyle name="Normal 9 2 3 2 7 4" xfId="11175" xr:uid="{63A7CC93-3AF4-4EC4-9193-660D4D3C825A}"/>
    <cellStyle name="Normal 9 2 3 2 8" xfId="4886" xr:uid="{00000000-0005-0000-0000-0000341F0000}"/>
    <cellStyle name="Normal 9 2 3 2 8 2" xfId="21769" xr:uid="{A3624A43-602F-46C0-A9B7-CC3B6A395FB2}"/>
    <cellStyle name="Normal 9 2 3 2 8 3" xfId="13328" xr:uid="{8C7811BA-18E5-4E92-B2A5-74989FF7DF0F}"/>
    <cellStyle name="Normal 9 2 3 2 9" xfId="17551" xr:uid="{7D5C32D2-4359-4AEA-B4ED-024F127D4FD6}"/>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24329" xr:uid="{D9AFFD83-78E2-4B3B-8D5F-4A5520B04D5A}"/>
    <cellStyle name="Normal 9 2 3 3 2 2 2 3" xfId="15888" xr:uid="{7175DD48-271A-4029-9073-777B40435049}"/>
    <cellStyle name="Normal 9 2 3 3 2 2 3" xfId="20111" xr:uid="{CE23BBA4-5358-475B-B97C-A4617C47DC4D}"/>
    <cellStyle name="Normal 9 2 3 3 2 2 4" xfId="11670" xr:uid="{556B250F-0D19-44AD-B701-DA30600D87A4}"/>
    <cellStyle name="Normal 9 2 3 3 2 3" xfId="5301" xr:uid="{00000000-0005-0000-0000-0000391F0000}"/>
    <cellStyle name="Normal 9 2 3 3 2 3 2" xfId="22184" xr:uid="{30ADDB03-E56E-4D39-BECE-BCC348FD323D}"/>
    <cellStyle name="Normal 9 2 3 3 2 3 3" xfId="13743" xr:uid="{817C5840-8FEE-4358-95B7-9472D308D98A}"/>
    <cellStyle name="Normal 9 2 3 3 2 4" xfId="17966" xr:uid="{52E98E73-17FE-40E0-9DF8-B37BCBAAFD79}"/>
    <cellStyle name="Normal 9 2 3 3 2 5" xfId="9525" xr:uid="{7DF43594-54FD-4430-9307-B885901D46FB}"/>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24742" xr:uid="{5CF1E116-2E58-4A7E-AF5F-DF80FA24363C}"/>
    <cellStyle name="Normal 9 2 3 3 3 2 2 3" xfId="16301" xr:uid="{562CA0DB-783B-4334-BC19-27F80BB6B57C}"/>
    <cellStyle name="Normal 9 2 3 3 3 2 3" xfId="20524" xr:uid="{303309EA-2853-4A46-B92A-B966AF0F00FB}"/>
    <cellStyle name="Normal 9 2 3 3 3 2 4" xfId="12083" xr:uid="{856BD8CB-4278-49C9-8211-83E867FBEF77}"/>
    <cellStyle name="Normal 9 2 3 3 3 3" xfId="5714" xr:uid="{00000000-0005-0000-0000-00003D1F0000}"/>
    <cellStyle name="Normal 9 2 3 3 3 3 2" xfId="22597" xr:uid="{FA5D9E6F-6A71-45B7-B361-8093B85E1095}"/>
    <cellStyle name="Normal 9 2 3 3 3 3 3" xfId="14156" xr:uid="{0FE9D181-4B71-4913-8ED6-5ED10DFD7409}"/>
    <cellStyle name="Normal 9 2 3 3 3 4" xfId="18379" xr:uid="{1BA1A0A7-D0E3-4E05-A59A-2AA188AE9A8E}"/>
    <cellStyle name="Normal 9 2 3 3 3 5" xfId="9938" xr:uid="{A0FEF175-9727-4E7C-93F4-E25A8ABC6D88}"/>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25155" xr:uid="{59A22A61-6EA3-43F4-8DB1-CCB96D35E587}"/>
    <cellStyle name="Normal 9 2 3 3 4 2 2 3" xfId="16714" xr:uid="{42DDE1EA-F73D-4DF9-8D3C-8FA08267E70E}"/>
    <cellStyle name="Normal 9 2 3 3 4 2 3" xfId="20937" xr:uid="{BFCB26C1-96D3-4BD6-8B7F-62294A6E61CB}"/>
    <cellStyle name="Normal 9 2 3 3 4 2 4" xfId="12496" xr:uid="{DB17ED4A-EC7D-4D86-AF5C-68570416DE54}"/>
    <cellStyle name="Normal 9 2 3 3 4 3" xfId="6127" xr:uid="{00000000-0005-0000-0000-0000411F0000}"/>
    <cellStyle name="Normal 9 2 3 3 4 3 2" xfId="23010" xr:uid="{C1779A0D-52E2-4CBA-90C9-D114FC7CC1F3}"/>
    <cellStyle name="Normal 9 2 3 3 4 3 3" xfId="14569" xr:uid="{EBBAE93D-64C2-4B48-929F-C4E374A23E7E}"/>
    <cellStyle name="Normal 9 2 3 3 4 4" xfId="18792" xr:uid="{EB2003C3-B044-4F8B-88AE-F4DCB7799CBE}"/>
    <cellStyle name="Normal 9 2 3 3 4 5" xfId="10351" xr:uid="{CFE481CE-55DF-4153-B9C7-D55A68B9BE24}"/>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25568" xr:uid="{BF03AC8A-5557-46DB-87CE-EE1249AC9475}"/>
    <cellStyle name="Normal 9 2 3 3 5 2 2 3" xfId="17127" xr:uid="{35EBCD5E-EFE0-44AD-A0CA-5563D8F41D04}"/>
    <cellStyle name="Normal 9 2 3 3 5 2 3" xfId="21350" xr:uid="{AE1254F4-640D-4A21-AAC0-D88592963B57}"/>
    <cellStyle name="Normal 9 2 3 3 5 2 4" xfId="12909" xr:uid="{CAF3BC3A-7AC1-47EE-B3CD-95C5641E0754}"/>
    <cellStyle name="Normal 9 2 3 3 5 3" xfId="6540" xr:uid="{00000000-0005-0000-0000-0000451F0000}"/>
    <cellStyle name="Normal 9 2 3 3 5 3 2" xfId="23423" xr:uid="{B1870AE5-DCF9-4570-9D17-5259342AD59E}"/>
    <cellStyle name="Normal 9 2 3 3 5 3 3" xfId="14982" xr:uid="{D2A6D72A-0FD9-42B1-BF66-1681E9FFECB5}"/>
    <cellStyle name="Normal 9 2 3 3 5 4" xfId="19205" xr:uid="{126205F9-D00E-455C-9A1F-FFBA1F1F116B}"/>
    <cellStyle name="Normal 9 2 3 3 5 5" xfId="10764" xr:uid="{3E16B7B2-A265-45EE-85FC-159864576F15}"/>
    <cellStyle name="Normal 9 2 3 3 6" xfId="2669" xr:uid="{00000000-0005-0000-0000-0000461F0000}"/>
    <cellStyle name="Normal 9 2 3 3 6 2" xfId="6953" xr:uid="{00000000-0005-0000-0000-0000471F0000}"/>
    <cellStyle name="Normal 9 2 3 3 6 2 2" xfId="23836" xr:uid="{DB44CEAE-00D1-460F-ABB5-8672597A5B83}"/>
    <cellStyle name="Normal 9 2 3 3 6 2 3" xfId="15395" xr:uid="{E4332B32-03ED-437E-BE57-E081C8EA116C}"/>
    <cellStyle name="Normal 9 2 3 3 6 3" xfId="19618" xr:uid="{A504F186-7483-4CDB-BDA4-10A0EF5E2C5A}"/>
    <cellStyle name="Normal 9 2 3 3 6 4" xfId="11177" xr:uid="{D647AF85-0E95-4C82-B747-4A25EB84E139}"/>
    <cellStyle name="Normal 9 2 3 3 7" xfId="4888" xr:uid="{00000000-0005-0000-0000-0000481F0000}"/>
    <cellStyle name="Normal 9 2 3 3 7 2" xfId="21771" xr:uid="{544BA938-79D2-4D38-91E9-0A094591D73F}"/>
    <cellStyle name="Normal 9 2 3 3 7 3" xfId="13330" xr:uid="{51602875-19CA-4DCE-97CF-E11217501FF8}"/>
    <cellStyle name="Normal 9 2 3 3 8" xfId="17553" xr:uid="{6DA490B5-67BA-423D-9954-0A38C783E4CC}"/>
    <cellStyle name="Normal 9 2 3 3 9" xfId="9112" xr:uid="{D77ED054-639E-4C48-ADB2-C4BAE638B60E}"/>
    <cellStyle name="Normal 9 2 3 4" xfId="987" xr:uid="{00000000-0005-0000-0000-0000491F0000}"/>
    <cellStyle name="Normal 9 2 3 4 2" xfId="3220" xr:uid="{00000000-0005-0000-0000-00004A1F0000}"/>
    <cellStyle name="Normal 9 2 3 4 2 2" xfId="7443" xr:uid="{00000000-0005-0000-0000-00004B1F0000}"/>
    <cellStyle name="Normal 9 2 3 4 2 2 2" xfId="24326" xr:uid="{20C831FF-E658-4B0F-8E59-D5F65B44C73C}"/>
    <cellStyle name="Normal 9 2 3 4 2 2 3" xfId="15885" xr:uid="{E1ABCC43-F3A5-431A-B202-D6014F8F03B8}"/>
    <cellStyle name="Normal 9 2 3 4 2 3" xfId="20108" xr:uid="{F174AD14-CCC4-41C0-847B-6BDF0961A5BD}"/>
    <cellStyle name="Normal 9 2 3 4 2 4" xfId="11667" xr:uid="{62545716-5AD5-4B03-9746-E3925425DCF3}"/>
    <cellStyle name="Normal 9 2 3 4 3" xfId="5298" xr:uid="{00000000-0005-0000-0000-00004C1F0000}"/>
    <cellStyle name="Normal 9 2 3 4 3 2" xfId="22181" xr:uid="{43B0E9E8-65DB-40C6-A3E3-156D694562AB}"/>
    <cellStyle name="Normal 9 2 3 4 3 3" xfId="13740" xr:uid="{4AC9C9A1-440D-4F71-AD10-8FA25D6E2B8D}"/>
    <cellStyle name="Normal 9 2 3 4 4" xfId="17963" xr:uid="{E78558BE-90D7-4A0F-A251-8D8670B9F8F0}"/>
    <cellStyle name="Normal 9 2 3 4 5" xfId="9522" xr:uid="{63F66EEA-0182-4F23-B496-B7995E9EE1A0}"/>
    <cellStyle name="Normal 9 2 3 5" xfId="1403" xr:uid="{00000000-0005-0000-0000-00004D1F0000}"/>
    <cellStyle name="Normal 9 2 3 5 2" xfId="3633" xr:uid="{00000000-0005-0000-0000-00004E1F0000}"/>
    <cellStyle name="Normal 9 2 3 5 2 2" xfId="7856" xr:uid="{00000000-0005-0000-0000-00004F1F0000}"/>
    <cellStyle name="Normal 9 2 3 5 2 2 2" xfId="24739" xr:uid="{9EB54A57-7D24-42F3-9A0C-9C16703F11B9}"/>
    <cellStyle name="Normal 9 2 3 5 2 2 3" xfId="16298" xr:uid="{5BF8EE0E-84B3-402F-B00C-9410943007BB}"/>
    <cellStyle name="Normal 9 2 3 5 2 3" xfId="20521" xr:uid="{450C1A6F-620E-4A52-A202-83AF4FB0786A}"/>
    <cellStyle name="Normal 9 2 3 5 2 4" xfId="12080" xr:uid="{536D1911-DA2D-4634-9E98-CC6BCFB75C74}"/>
    <cellStyle name="Normal 9 2 3 5 3" xfId="5711" xr:uid="{00000000-0005-0000-0000-0000501F0000}"/>
    <cellStyle name="Normal 9 2 3 5 3 2" xfId="22594" xr:uid="{95356CED-0AB1-4C2A-BD7B-D1F6AFB1C457}"/>
    <cellStyle name="Normal 9 2 3 5 3 3" xfId="14153" xr:uid="{DF93CF26-0DD6-47E6-A821-7C2F03C883A8}"/>
    <cellStyle name="Normal 9 2 3 5 4" xfId="18376" xr:uid="{2C1864B2-3BE9-4D68-9AFB-AF61CF761F90}"/>
    <cellStyle name="Normal 9 2 3 5 5" xfId="9935" xr:uid="{C77795E2-E0A8-4FC7-AA47-F9B20A308FA0}"/>
    <cellStyle name="Normal 9 2 3 6" xfId="1816" xr:uid="{00000000-0005-0000-0000-0000511F0000}"/>
    <cellStyle name="Normal 9 2 3 6 2" xfId="4046" xr:uid="{00000000-0005-0000-0000-0000521F0000}"/>
    <cellStyle name="Normal 9 2 3 6 2 2" xfId="8269" xr:uid="{00000000-0005-0000-0000-0000531F0000}"/>
    <cellStyle name="Normal 9 2 3 6 2 2 2" xfId="25152" xr:uid="{10331898-7441-4495-8D5B-FAC3BD90A8E3}"/>
    <cellStyle name="Normal 9 2 3 6 2 2 3" xfId="16711" xr:uid="{6C854B9F-132F-4ED1-89AB-4DFF737D63A5}"/>
    <cellStyle name="Normal 9 2 3 6 2 3" xfId="20934" xr:uid="{3AAFF46B-BEAE-4C48-9479-522ACDE1F1D4}"/>
    <cellStyle name="Normal 9 2 3 6 2 4" xfId="12493" xr:uid="{C4EB8B6F-1F8A-495B-BDA7-2A23E4F7FDD0}"/>
    <cellStyle name="Normal 9 2 3 6 3" xfId="6124" xr:uid="{00000000-0005-0000-0000-0000541F0000}"/>
    <cellStyle name="Normal 9 2 3 6 3 2" xfId="23007" xr:uid="{D7ED3944-51E2-4D97-9D71-7B47C9A2E593}"/>
    <cellStyle name="Normal 9 2 3 6 3 3" xfId="14566" xr:uid="{A0AC1840-0C61-4BBF-B2E6-512958C27390}"/>
    <cellStyle name="Normal 9 2 3 6 4" xfId="18789" xr:uid="{D8D3B5F4-B2DB-4AE8-9D8D-BBE86CE550FF}"/>
    <cellStyle name="Normal 9 2 3 6 5" xfId="10348" xr:uid="{A5288FC5-BEF5-4CCD-B5A8-73F672AB6D80}"/>
    <cellStyle name="Normal 9 2 3 7" xfId="2230" xr:uid="{00000000-0005-0000-0000-0000551F0000}"/>
    <cellStyle name="Normal 9 2 3 7 2" xfId="4459" xr:uid="{00000000-0005-0000-0000-0000561F0000}"/>
    <cellStyle name="Normal 9 2 3 7 2 2" xfId="8682" xr:uid="{00000000-0005-0000-0000-0000571F0000}"/>
    <cellStyle name="Normal 9 2 3 7 2 2 2" xfId="25565" xr:uid="{EF650D18-8F09-415C-8C94-8439272712BB}"/>
    <cellStyle name="Normal 9 2 3 7 2 2 3" xfId="17124" xr:uid="{96B90FD8-EDD3-4ACC-BD60-047F3D573966}"/>
    <cellStyle name="Normal 9 2 3 7 2 3" xfId="21347" xr:uid="{1AF7D464-D01F-4541-B967-AFFFC0D5BEC3}"/>
    <cellStyle name="Normal 9 2 3 7 2 4" xfId="12906" xr:uid="{9C6F6A2E-8501-4A7D-9FF6-2CA688C307E7}"/>
    <cellStyle name="Normal 9 2 3 7 3" xfId="6537" xr:uid="{00000000-0005-0000-0000-0000581F0000}"/>
    <cellStyle name="Normal 9 2 3 7 3 2" xfId="23420" xr:uid="{80157211-E3CC-4707-A7EF-1BA12179318E}"/>
    <cellStyle name="Normal 9 2 3 7 3 3" xfId="14979" xr:uid="{71909050-C881-4CD8-AEA5-2A9F598EE6F4}"/>
    <cellStyle name="Normal 9 2 3 7 4" xfId="19202" xr:uid="{A824049C-5633-4288-9B29-A980B63987E0}"/>
    <cellStyle name="Normal 9 2 3 7 5" xfId="10761" xr:uid="{04A8FE65-36DF-4B58-96A0-9A59355598ED}"/>
    <cellStyle name="Normal 9 2 3 8" xfId="2666" xr:uid="{00000000-0005-0000-0000-0000591F0000}"/>
    <cellStyle name="Normal 9 2 3 8 2" xfId="6950" xr:uid="{00000000-0005-0000-0000-00005A1F0000}"/>
    <cellStyle name="Normal 9 2 3 8 2 2" xfId="23833" xr:uid="{8739BF96-5F4B-4322-B401-1B19072F643C}"/>
    <cellStyle name="Normal 9 2 3 8 2 3" xfId="15392" xr:uid="{EA201187-6417-4548-97F1-E066CD5AD166}"/>
    <cellStyle name="Normal 9 2 3 8 3" xfId="19615" xr:uid="{DE2681A1-5C53-4C49-855C-97D4D81B8F3F}"/>
    <cellStyle name="Normal 9 2 3 8 4" xfId="11174" xr:uid="{02843F47-386C-40DA-AA6B-43725A5C82C7}"/>
    <cellStyle name="Normal 9 2 3 9" xfId="4885" xr:uid="{00000000-0005-0000-0000-00005B1F0000}"/>
    <cellStyle name="Normal 9 2 3 9 2" xfId="21768" xr:uid="{19EA07F4-5F4A-49DF-9E16-5AC304020678}"/>
    <cellStyle name="Normal 9 2 3 9 3" xfId="13327" xr:uid="{A0E79F3B-9E04-42DB-A183-0276838EADB3}"/>
    <cellStyle name="Normal 9 2 4" xfId="524" xr:uid="{00000000-0005-0000-0000-00005C1F0000}"/>
    <cellStyle name="Normal 9 2 4 10" xfId="9113" xr:uid="{06C0B9FC-8F29-426C-A960-0795BA8921DA}"/>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24331" xr:uid="{9465CCAD-7C38-4D08-9CB8-E563B4011237}"/>
    <cellStyle name="Normal 9 2 4 2 2 2 2 3" xfId="15890" xr:uid="{312163B3-719E-427A-BEF8-EB644EEE409C}"/>
    <cellStyle name="Normal 9 2 4 2 2 2 3" xfId="20113" xr:uid="{883EFF27-DCFE-4188-84C0-2554863638C3}"/>
    <cellStyle name="Normal 9 2 4 2 2 2 4" xfId="11672" xr:uid="{40599B3C-1174-435A-AD52-CDB3EF59C85E}"/>
    <cellStyle name="Normal 9 2 4 2 2 3" xfId="5303" xr:uid="{00000000-0005-0000-0000-0000611F0000}"/>
    <cellStyle name="Normal 9 2 4 2 2 3 2" xfId="22186" xr:uid="{8F245197-6945-4215-8A19-21666B495616}"/>
    <cellStyle name="Normal 9 2 4 2 2 3 3" xfId="13745" xr:uid="{DB7C18A6-9EFE-405A-A095-0FECBC719FDB}"/>
    <cellStyle name="Normal 9 2 4 2 2 4" xfId="17968" xr:uid="{FA0082F9-8C79-447D-A900-D7625BE90AE2}"/>
    <cellStyle name="Normal 9 2 4 2 2 5" xfId="9527" xr:uid="{0DC4C254-D09F-4F4B-8B18-52AEF9FDB97F}"/>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24744" xr:uid="{6AC92BC2-DD39-4867-9482-2F63404A99F1}"/>
    <cellStyle name="Normal 9 2 4 2 3 2 2 3" xfId="16303" xr:uid="{D55F296A-61C8-44C4-8AC4-D6AB92294ED4}"/>
    <cellStyle name="Normal 9 2 4 2 3 2 3" xfId="20526" xr:uid="{01ADAC7E-B5B2-4B71-A947-D8F7F96D8CD8}"/>
    <cellStyle name="Normal 9 2 4 2 3 2 4" xfId="12085" xr:uid="{DAFC101A-F3D5-4C8E-91E7-AB8B1F2199CF}"/>
    <cellStyle name="Normal 9 2 4 2 3 3" xfId="5716" xr:uid="{00000000-0005-0000-0000-0000651F0000}"/>
    <cellStyle name="Normal 9 2 4 2 3 3 2" xfId="22599" xr:uid="{34AFECB0-ACC5-437C-B415-AC7F6FD9E15C}"/>
    <cellStyle name="Normal 9 2 4 2 3 3 3" xfId="14158" xr:uid="{5BA254B3-B0BA-4208-AC99-F1DED11AA6A5}"/>
    <cellStyle name="Normal 9 2 4 2 3 4" xfId="18381" xr:uid="{91603185-8C50-4B47-BC1C-62A391628770}"/>
    <cellStyle name="Normal 9 2 4 2 3 5" xfId="9940" xr:uid="{BD194112-BD41-4B39-A330-36925325464C}"/>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25157" xr:uid="{750E94C6-DFDE-404B-9267-96772E9A7C76}"/>
    <cellStyle name="Normal 9 2 4 2 4 2 2 3" xfId="16716" xr:uid="{95425699-EBA4-4FCD-9F4A-5A091C05441C}"/>
    <cellStyle name="Normal 9 2 4 2 4 2 3" xfId="20939" xr:uid="{FE162A0E-F054-405E-B220-0CF11BC0EBF7}"/>
    <cellStyle name="Normal 9 2 4 2 4 2 4" xfId="12498" xr:uid="{7CB25624-43F9-4A54-8C3E-4759CC627C92}"/>
    <cellStyle name="Normal 9 2 4 2 4 3" xfId="6129" xr:uid="{00000000-0005-0000-0000-0000691F0000}"/>
    <cellStyle name="Normal 9 2 4 2 4 3 2" xfId="23012" xr:uid="{29C74F0F-8EEA-4E2C-B94D-CBD70B310C96}"/>
    <cellStyle name="Normal 9 2 4 2 4 3 3" xfId="14571" xr:uid="{9242DB9B-A844-4DF5-8D0A-467DAD37EC2C}"/>
    <cellStyle name="Normal 9 2 4 2 4 4" xfId="18794" xr:uid="{EABBE07B-11B6-486C-B1D1-03C624C7966F}"/>
    <cellStyle name="Normal 9 2 4 2 4 5" xfId="10353" xr:uid="{60BC292F-59F2-48FC-A415-29D874D327C2}"/>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25570" xr:uid="{62B916A2-E7E2-4DA5-B677-60DDE3609952}"/>
    <cellStyle name="Normal 9 2 4 2 5 2 2 3" xfId="17129" xr:uid="{F8B6F7E4-021E-4735-8A64-C99045654FAA}"/>
    <cellStyle name="Normal 9 2 4 2 5 2 3" xfId="21352" xr:uid="{EDD6C821-9D13-4727-B545-F3206AB633AC}"/>
    <cellStyle name="Normal 9 2 4 2 5 2 4" xfId="12911" xr:uid="{F03B577C-1FDD-421E-95E8-B6842DFCC9BC}"/>
    <cellStyle name="Normal 9 2 4 2 5 3" xfId="6542" xr:uid="{00000000-0005-0000-0000-00006D1F0000}"/>
    <cellStyle name="Normal 9 2 4 2 5 3 2" xfId="23425" xr:uid="{05A3CDA8-8F24-4E9F-83E6-23505AAA7C44}"/>
    <cellStyle name="Normal 9 2 4 2 5 3 3" xfId="14984" xr:uid="{61985AA4-2D16-4A60-B671-28E0A669B23B}"/>
    <cellStyle name="Normal 9 2 4 2 5 4" xfId="19207" xr:uid="{C2C3BC50-1D87-44FF-8475-744561C89034}"/>
    <cellStyle name="Normal 9 2 4 2 5 5" xfId="10766" xr:uid="{E4A7275E-05A3-4F61-B3AE-D7CFC272B8C0}"/>
    <cellStyle name="Normal 9 2 4 2 6" xfId="2671" xr:uid="{00000000-0005-0000-0000-00006E1F0000}"/>
    <cellStyle name="Normal 9 2 4 2 6 2" xfId="6955" xr:uid="{00000000-0005-0000-0000-00006F1F0000}"/>
    <cellStyle name="Normal 9 2 4 2 6 2 2" xfId="23838" xr:uid="{B90C24BF-2290-4DCA-A52E-BBF7E3866271}"/>
    <cellStyle name="Normal 9 2 4 2 6 2 3" xfId="15397" xr:uid="{F7146C6F-88CC-461D-B350-ADF7AAE5AFED}"/>
    <cellStyle name="Normal 9 2 4 2 6 3" xfId="19620" xr:uid="{E3836DEF-7412-401C-ACCA-C62FBBC04A69}"/>
    <cellStyle name="Normal 9 2 4 2 6 4" xfId="11179" xr:uid="{A5EB9C22-7FEC-4002-8E07-C01C8FEC24D6}"/>
    <cellStyle name="Normal 9 2 4 2 7" xfId="4890" xr:uid="{00000000-0005-0000-0000-0000701F0000}"/>
    <cellStyle name="Normal 9 2 4 2 7 2" xfId="21773" xr:uid="{23118FE5-FCC3-44B1-B72C-96DD358B7DFE}"/>
    <cellStyle name="Normal 9 2 4 2 7 3" xfId="13332" xr:uid="{9B2C3A97-0981-4317-9FB4-5C1552D4684C}"/>
    <cellStyle name="Normal 9 2 4 2 8" xfId="17555" xr:uid="{434198E3-6C8C-4AB0-B668-D86D7A263137}"/>
    <cellStyle name="Normal 9 2 4 2 9" xfId="9114" xr:uid="{5F1E2E08-6078-4758-962F-2444DA0FB252}"/>
    <cellStyle name="Normal 9 2 4 3" xfId="991" xr:uid="{00000000-0005-0000-0000-0000711F0000}"/>
    <cellStyle name="Normal 9 2 4 3 2" xfId="3224" xr:uid="{00000000-0005-0000-0000-0000721F0000}"/>
    <cellStyle name="Normal 9 2 4 3 2 2" xfId="7447" xr:uid="{00000000-0005-0000-0000-0000731F0000}"/>
    <cellStyle name="Normal 9 2 4 3 2 2 2" xfId="24330" xr:uid="{10E5D9C5-6246-4A26-9545-7DF4ACFB7ED6}"/>
    <cellStyle name="Normal 9 2 4 3 2 2 3" xfId="15889" xr:uid="{8AEB8B6D-8285-4D75-AF01-A53E2AB11081}"/>
    <cellStyle name="Normal 9 2 4 3 2 3" xfId="20112" xr:uid="{21F7E741-97EA-4EC7-919F-8853F27498D7}"/>
    <cellStyle name="Normal 9 2 4 3 2 4" xfId="11671" xr:uid="{9E0F303F-9D20-46F5-9611-70857EFBA40C}"/>
    <cellStyle name="Normal 9 2 4 3 3" xfId="5302" xr:uid="{00000000-0005-0000-0000-0000741F0000}"/>
    <cellStyle name="Normal 9 2 4 3 3 2" xfId="22185" xr:uid="{46321756-F6FC-45F8-B13E-B73316F09A9A}"/>
    <cellStyle name="Normal 9 2 4 3 3 3" xfId="13744" xr:uid="{13A7C5F4-4A39-401B-A493-A14239A3ED85}"/>
    <cellStyle name="Normal 9 2 4 3 4" xfId="17967" xr:uid="{16828069-E1AC-44F5-B731-9D73D0E32829}"/>
    <cellStyle name="Normal 9 2 4 3 5" xfId="9526" xr:uid="{0B4EB6E4-53E7-4A6C-B833-A72AD3054D2D}"/>
    <cellStyle name="Normal 9 2 4 4" xfId="1407" xr:uid="{00000000-0005-0000-0000-0000751F0000}"/>
    <cellStyle name="Normal 9 2 4 4 2" xfId="3637" xr:uid="{00000000-0005-0000-0000-0000761F0000}"/>
    <cellStyle name="Normal 9 2 4 4 2 2" xfId="7860" xr:uid="{00000000-0005-0000-0000-0000771F0000}"/>
    <cellStyle name="Normal 9 2 4 4 2 2 2" xfId="24743" xr:uid="{2545BA87-9850-497C-9EC3-DD5D15C53A8E}"/>
    <cellStyle name="Normal 9 2 4 4 2 2 3" xfId="16302" xr:uid="{43B38624-027A-49A6-B7E3-835798019B13}"/>
    <cellStyle name="Normal 9 2 4 4 2 3" xfId="20525" xr:uid="{26F7AE8D-6317-4BD3-96DA-4FCEAE0B0FBA}"/>
    <cellStyle name="Normal 9 2 4 4 2 4" xfId="12084" xr:uid="{27F76825-8921-44F1-9634-DAE4178375C9}"/>
    <cellStyle name="Normal 9 2 4 4 3" xfId="5715" xr:uid="{00000000-0005-0000-0000-0000781F0000}"/>
    <cellStyle name="Normal 9 2 4 4 3 2" xfId="22598" xr:uid="{C38CCDC4-1A5B-4713-8524-029808D98B30}"/>
    <cellStyle name="Normal 9 2 4 4 3 3" xfId="14157" xr:uid="{EE76550D-5FA7-4F22-BAB7-52386CE6204A}"/>
    <cellStyle name="Normal 9 2 4 4 4" xfId="18380" xr:uid="{D31E17C4-3981-4C52-9EE6-31A40793B139}"/>
    <cellStyle name="Normal 9 2 4 4 5" xfId="9939" xr:uid="{78469688-63B7-4103-98D9-9B141FD342D4}"/>
    <cellStyle name="Normal 9 2 4 5" xfId="1820" xr:uid="{00000000-0005-0000-0000-0000791F0000}"/>
    <cellStyle name="Normal 9 2 4 5 2" xfId="4050" xr:uid="{00000000-0005-0000-0000-00007A1F0000}"/>
    <cellStyle name="Normal 9 2 4 5 2 2" xfId="8273" xr:uid="{00000000-0005-0000-0000-00007B1F0000}"/>
    <cellStyle name="Normal 9 2 4 5 2 2 2" xfId="25156" xr:uid="{B391F848-02EE-4A21-8677-FEB679D0500F}"/>
    <cellStyle name="Normal 9 2 4 5 2 2 3" xfId="16715" xr:uid="{1B344FE2-D4F5-4DC7-881B-ADD76CA2F727}"/>
    <cellStyle name="Normal 9 2 4 5 2 3" xfId="20938" xr:uid="{4CF6EC80-9509-4459-A41B-AEC582CD23FC}"/>
    <cellStyle name="Normal 9 2 4 5 2 4" xfId="12497" xr:uid="{F586CADA-6EB6-4CF9-A59C-B67B99BC0887}"/>
    <cellStyle name="Normal 9 2 4 5 3" xfId="6128" xr:uid="{00000000-0005-0000-0000-00007C1F0000}"/>
    <cellStyle name="Normal 9 2 4 5 3 2" xfId="23011" xr:uid="{9CA6DE2D-AAFA-45B1-A5EB-4A87947BC93C}"/>
    <cellStyle name="Normal 9 2 4 5 3 3" xfId="14570" xr:uid="{42367F15-7879-4338-9D93-F1CCABCDC258}"/>
    <cellStyle name="Normal 9 2 4 5 4" xfId="18793" xr:uid="{607E9D5E-75FC-4027-B6A6-4828D54AA7BF}"/>
    <cellStyle name="Normal 9 2 4 5 5" xfId="10352" xr:uid="{D9D89A30-8905-4786-BDE4-E75C2C8BD42C}"/>
    <cellStyle name="Normal 9 2 4 6" xfId="2234" xr:uid="{00000000-0005-0000-0000-00007D1F0000}"/>
    <cellStyle name="Normal 9 2 4 6 2" xfId="4463" xr:uid="{00000000-0005-0000-0000-00007E1F0000}"/>
    <cellStyle name="Normal 9 2 4 6 2 2" xfId="8686" xr:uid="{00000000-0005-0000-0000-00007F1F0000}"/>
    <cellStyle name="Normal 9 2 4 6 2 2 2" xfId="25569" xr:uid="{57FAE3C6-8DFF-462F-9995-1B206A080119}"/>
    <cellStyle name="Normal 9 2 4 6 2 2 3" xfId="17128" xr:uid="{B923CB55-4FE7-437A-ABC0-4FBC6240F0DF}"/>
    <cellStyle name="Normal 9 2 4 6 2 3" xfId="21351" xr:uid="{B4906A92-CB59-441C-9538-073D92470AF3}"/>
    <cellStyle name="Normal 9 2 4 6 2 4" xfId="12910" xr:uid="{39D6D3F6-2C96-4955-A11F-E84A239E8AEE}"/>
    <cellStyle name="Normal 9 2 4 6 3" xfId="6541" xr:uid="{00000000-0005-0000-0000-0000801F0000}"/>
    <cellStyle name="Normal 9 2 4 6 3 2" xfId="23424" xr:uid="{D00C4290-792C-461E-862F-FDDB3977DE61}"/>
    <cellStyle name="Normal 9 2 4 6 3 3" xfId="14983" xr:uid="{36924D0D-D608-4835-8186-3CA1D1B12D31}"/>
    <cellStyle name="Normal 9 2 4 6 4" xfId="19206" xr:uid="{9ED803BC-BD4A-469C-A340-16B83662153A}"/>
    <cellStyle name="Normal 9 2 4 6 5" xfId="10765" xr:uid="{C256932B-5332-4CF6-AD72-1C103E9862B1}"/>
    <cellStyle name="Normal 9 2 4 7" xfId="2670" xr:uid="{00000000-0005-0000-0000-0000811F0000}"/>
    <cellStyle name="Normal 9 2 4 7 2" xfId="6954" xr:uid="{00000000-0005-0000-0000-0000821F0000}"/>
    <cellStyle name="Normal 9 2 4 7 2 2" xfId="23837" xr:uid="{309E989A-CAA9-4EC8-B467-3AF203243163}"/>
    <cellStyle name="Normal 9 2 4 7 2 3" xfId="15396" xr:uid="{12131D4C-2F33-4818-826C-61754AEEF92A}"/>
    <cellStyle name="Normal 9 2 4 7 3" xfId="19619" xr:uid="{2BACB6EE-D378-45A0-99C7-63AD8AA76678}"/>
    <cellStyle name="Normal 9 2 4 7 4" xfId="11178" xr:uid="{4388F09C-346E-4843-AF91-2ADBA5E545A3}"/>
    <cellStyle name="Normal 9 2 4 8" xfId="4889" xr:uid="{00000000-0005-0000-0000-0000831F0000}"/>
    <cellStyle name="Normal 9 2 4 8 2" xfId="21772" xr:uid="{AC17C196-CEC6-4CFA-9167-5A5400928A5F}"/>
    <cellStyle name="Normal 9 2 4 8 3" xfId="13331" xr:uid="{CA7E8F98-3CDC-41AC-A627-3BDCA5F7DC00}"/>
    <cellStyle name="Normal 9 2 4 9" xfId="17554" xr:uid="{BC4032AB-2012-4369-9F85-723A749957C6}"/>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24332" xr:uid="{CB994CD9-9F50-43CF-93ED-04CBEB03520D}"/>
    <cellStyle name="Normal 9 2 5 2 2 2 3" xfId="15891" xr:uid="{0279E86C-D4AF-49CD-A27E-FCB5BF83BFBD}"/>
    <cellStyle name="Normal 9 2 5 2 2 3" xfId="20114" xr:uid="{5DAFE52B-6D42-4FB0-9B45-B15307D300E5}"/>
    <cellStyle name="Normal 9 2 5 2 2 4" xfId="11673" xr:uid="{6D8B352A-D3A5-44E5-B14E-6D7E0A36C209}"/>
    <cellStyle name="Normal 9 2 5 2 3" xfId="5304" xr:uid="{00000000-0005-0000-0000-0000881F0000}"/>
    <cellStyle name="Normal 9 2 5 2 3 2" xfId="22187" xr:uid="{EA7B3EB4-3093-4314-B1BE-981E4C5813EB}"/>
    <cellStyle name="Normal 9 2 5 2 3 3" xfId="13746" xr:uid="{CA251BD1-1A9A-4D85-9DD5-16793A7DD0C3}"/>
    <cellStyle name="Normal 9 2 5 2 4" xfId="17969" xr:uid="{0463808F-D042-4BB0-91C0-2E685E9724B8}"/>
    <cellStyle name="Normal 9 2 5 2 5" xfId="9528" xr:uid="{564155CF-F237-4AE2-A2C6-5DAA4612F035}"/>
    <cellStyle name="Normal 9 2 5 3" xfId="1409" xr:uid="{00000000-0005-0000-0000-0000891F0000}"/>
    <cellStyle name="Normal 9 2 5 3 2" xfId="3639" xr:uid="{00000000-0005-0000-0000-00008A1F0000}"/>
    <cellStyle name="Normal 9 2 5 3 2 2" xfId="7862" xr:uid="{00000000-0005-0000-0000-00008B1F0000}"/>
    <cellStyle name="Normal 9 2 5 3 2 2 2" xfId="24745" xr:uid="{DA353E0E-00F7-43BD-9F59-9AAF04288D71}"/>
    <cellStyle name="Normal 9 2 5 3 2 2 3" xfId="16304" xr:uid="{0A41A9C8-86BD-44AC-A52B-DA2F717E301E}"/>
    <cellStyle name="Normal 9 2 5 3 2 3" xfId="20527" xr:uid="{D20B8D12-BFC2-4D87-A891-1A96DE10FFCD}"/>
    <cellStyle name="Normal 9 2 5 3 2 4" xfId="12086" xr:uid="{D68C9D3B-F248-4668-B5B3-9C32E3D0AA90}"/>
    <cellStyle name="Normal 9 2 5 3 3" xfId="5717" xr:uid="{00000000-0005-0000-0000-00008C1F0000}"/>
    <cellStyle name="Normal 9 2 5 3 3 2" xfId="22600" xr:uid="{9E1A24C3-86AC-4730-871E-CE85A7BE2FEF}"/>
    <cellStyle name="Normal 9 2 5 3 3 3" xfId="14159" xr:uid="{C82C44DC-F427-42FC-8A3A-63EAFA75A431}"/>
    <cellStyle name="Normal 9 2 5 3 4" xfId="18382" xr:uid="{909C8C4E-5815-4AB4-BF4A-9F557E5A2707}"/>
    <cellStyle name="Normal 9 2 5 3 5" xfId="9941" xr:uid="{C9646B9F-C6FA-47B9-AC5A-2B86D79D4DBE}"/>
    <cellStyle name="Normal 9 2 5 4" xfId="1822" xr:uid="{00000000-0005-0000-0000-00008D1F0000}"/>
    <cellStyle name="Normal 9 2 5 4 2" xfId="4052" xr:uid="{00000000-0005-0000-0000-00008E1F0000}"/>
    <cellStyle name="Normal 9 2 5 4 2 2" xfId="8275" xr:uid="{00000000-0005-0000-0000-00008F1F0000}"/>
    <cellStyle name="Normal 9 2 5 4 2 2 2" xfId="25158" xr:uid="{16D4DCEC-DD2F-4EEA-9AED-3AF7A7F39BD2}"/>
    <cellStyle name="Normal 9 2 5 4 2 2 3" xfId="16717" xr:uid="{2E58AC77-46DE-4B8B-9DE5-D34CFE3DA913}"/>
    <cellStyle name="Normal 9 2 5 4 2 3" xfId="20940" xr:uid="{3D0593C8-78BC-4749-82D3-6CF22BC30BF1}"/>
    <cellStyle name="Normal 9 2 5 4 2 4" xfId="12499" xr:uid="{4EE3A673-832D-42B1-92C7-A9B517832A79}"/>
    <cellStyle name="Normal 9 2 5 4 3" xfId="6130" xr:uid="{00000000-0005-0000-0000-0000901F0000}"/>
    <cellStyle name="Normal 9 2 5 4 3 2" xfId="23013" xr:uid="{E9166CFC-2463-4B69-8BFE-00DCDBCE08A9}"/>
    <cellStyle name="Normal 9 2 5 4 3 3" xfId="14572" xr:uid="{95B121FF-D83D-44BC-80D6-2E7C07851FD8}"/>
    <cellStyle name="Normal 9 2 5 4 4" xfId="18795" xr:uid="{FA85DAD9-5EDB-4518-84A4-EB1AD3772407}"/>
    <cellStyle name="Normal 9 2 5 4 5" xfId="10354" xr:uid="{6276B9DF-641D-4296-9765-4D81089D2D7E}"/>
    <cellStyle name="Normal 9 2 5 5" xfId="2236" xr:uid="{00000000-0005-0000-0000-0000911F0000}"/>
    <cellStyle name="Normal 9 2 5 5 2" xfId="4465" xr:uid="{00000000-0005-0000-0000-0000921F0000}"/>
    <cellStyle name="Normal 9 2 5 5 2 2" xfId="8688" xr:uid="{00000000-0005-0000-0000-0000931F0000}"/>
    <cellStyle name="Normal 9 2 5 5 2 2 2" xfId="25571" xr:uid="{400E127B-2FBB-464C-A091-0FDAB32017E6}"/>
    <cellStyle name="Normal 9 2 5 5 2 2 3" xfId="17130" xr:uid="{1F6E5DE7-2A12-4AA7-AD75-018FF7F8B8C5}"/>
    <cellStyle name="Normal 9 2 5 5 2 3" xfId="21353" xr:uid="{736BEAC7-DC36-4801-A7D2-9CB6E3D3E195}"/>
    <cellStyle name="Normal 9 2 5 5 2 4" xfId="12912" xr:uid="{B2FA5928-FECB-4A73-8E12-285981E32E0A}"/>
    <cellStyle name="Normal 9 2 5 5 3" xfId="6543" xr:uid="{00000000-0005-0000-0000-0000941F0000}"/>
    <cellStyle name="Normal 9 2 5 5 3 2" xfId="23426" xr:uid="{1B9A7EAD-128C-4065-BA78-5214217AC6D6}"/>
    <cellStyle name="Normal 9 2 5 5 3 3" xfId="14985" xr:uid="{F99151A1-DA26-4274-8FD5-4878DBA8D2F2}"/>
    <cellStyle name="Normal 9 2 5 5 4" xfId="19208" xr:uid="{393F74A6-A9B5-4C2A-973C-3A1C069E83DE}"/>
    <cellStyle name="Normal 9 2 5 5 5" xfId="10767" xr:uid="{3919BBCC-B63C-4354-B5FB-9CBBED8CBB77}"/>
    <cellStyle name="Normal 9 2 5 6" xfId="2672" xr:uid="{00000000-0005-0000-0000-0000951F0000}"/>
    <cellStyle name="Normal 9 2 5 6 2" xfId="6956" xr:uid="{00000000-0005-0000-0000-0000961F0000}"/>
    <cellStyle name="Normal 9 2 5 6 2 2" xfId="23839" xr:uid="{631AF73B-51F7-44EA-AD42-4AD57399A4BB}"/>
    <cellStyle name="Normal 9 2 5 6 2 3" xfId="15398" xr:uid="{2D82B296-4551-4FD8-ACF3-73A992753BE1}"/>
    <cellStyle name="Normal 9 2 5 6 3" xfId="19621" xr:uid="{EEB38D4A-677D-477B-8856-C3C98120A3D3}"/>
    <cellStyle name="Normal 9 2 5 6 4" xfId="11180" xr:uid="{852B4C2D-13D3-47D3-A357-8499DCD1DDDA}"/>
    <cellStyle name="Normal 9 2 5 7" xfId="4891" xr:uid="{00000000-0005-0000-0000-0000971F0000}"/>
    <cellStyle name="Normal 9 2 5 7 2" xfId="21774" xr:uid="{609278A9-CED2-4822-927E-7953F4AECE8B}"/>
    <cellStyle name="Normal 9 2 5 7 3" xfId="13333" xr:uid="{5110B257-509A-4F89-8C65-E34F0A21D5E7}"/>
    <cellStyle name="Normal 9 2 5 8" xfId="17556" xr:uid="{ECD85CF3-73F0-4B5C-A47E-56E87C04C49D}"/>
    <cellStyle name="Normal 9 2 5 9" xfId="9115" xr:uid="{BBD68D11-A2EB-44A1-853C-F723AF37AFE6}"/>
    <cellStyle name="Normal 9 2 6" xfId="978" xr:uid="{00000000-0005-0000-0000-0000981F0000}"/>
    <cellStyle name="Normal 9 2 6 2" xfId="3211" xr:uid="{00000000-0005-0000-0000-0000991F0000}"/>
    <cellStyle name="Normal 9 2 6 2 2" xfId="7434" xr:uid="{00000000-0005-0000-0000-00009A1F0000}"/>
    <cellStyle name="Normal 9 2 6 2 2 2" xfId="24317" xr:uid="{2AE1949D-0E79-43F3-A614-64A27F22113F}"/>
    <cellStyle name="Normal 9 2 6 2 2 3" xfId="15876" xr:uid="{8DD8095E-8FA4-48C1-A694-7B7680B3325D}"/>
    <cellStyle name="Normal 9 2 6 2 3" xfId="20099" xr:uid="{4026364E-B394-4150-9922-5DBD9C86C739}"/>
    <cellStyle name="Normal 9 2 6 2 4" xfId="11658" xr:uid="{5D52AFC4-D576-45E2-A027-92047351377E}"/>
    <cellStyle name="Normal 9 2 6 3" xfId="5289" xr:uid="{00000000-0005-0000-0000-00009B1F0000}"/>
    <cellStyle name="Normal 9 2 6 3 2" xfId="22172" xr:uid="{DA8AE72C-5248-4593-93C1-B8DE4C6A0A3D}"/>
    <cellStyle name="Normal 9 2 6 3 3" xfId="13731" xr:uid="{34A8C699-09EA-495A-B6B6-14259B6BC770}"/>
    <cellStyle name="Normal 9 2 6 4" xfId="17954" xr:uid="{B08FAA7D-93F2-473A-8F02-FCF42E320BE1}"/>
    <cellStyle name="Normal 9 2 6 5" xfId="9513" xr:uid="{6560D610-6CC7-4D5E-8BA4-EAFA9AE0763C}"/>
    <cellStyle name="Normal 9 2 7" xfId="1394" xr:uid="{00000000-0005-0000-0000-00009C1F0000}"/>
    <cellStyle name="Normal 9 2 7 2" xfId="3624" xr:uid="{00000000-0005-0000-0000-00009D1F0000}"/>
    <cellStyle name="Normal 9 2 7 2 2" xfId="7847" xr:uid="{00000000-0005-0000-0000-00009E1F0000}"/>
    <cellStyle name="Normal 9 2 7 2 2 2" xfId="24730" xr:uid="{FAB43748-CA4D-459B-B569-631626E3C482}"/>
    <cellStyle name="Normal 9 2 7 2 2 3" xfId="16289" xr:uid="{E592F824-C0E1-41E4-A358-751B04D6903B}"/>
    <cellStyle name="Normal 9 2 7 2 3" xfId="20512" xr:uid="{92EBF804-6BCE-4566-A1D6-34BC3C9CC758}"/>
    <cellStyle name="Normal 9 2 7 2 4" xfId="12071" xr:uid="{913C2BBD-14F3-473A-92FC-55E21DCE9DAD}"/>
    <cellStyle name="Normal 9 2 7 3" xfId="5702" xr:uid="{00000000-0005-0000-0000-00009F1F0000}"/>
    <cellStyle name="Normal 9 2 7 3 2" xfId="22585" xr:uid="{47D21636-B3AF-40A0-8513-4B972120ADCC}"/>
    <cellStyle name="Normal 9 2 7 3 3" xfId="14144" xr:uid="{9B54C8FB-AEB1-4A5A-8E3F-4F2552046984}"/>
    <cellStyle name="Normal 9 2 7 4" xfId="18367" xr:uid="{F20FD08C-ACA0-4C5D-8DD9-7AF4CFFA8718}"/>
    <cellStyle name="Normal 9 2 7 5" xfId="9926" xr:uid="{FF7971A4-FB97-4C1E-9C55-CB12450C91A4}"/>
    <cellStyle name="Normal 9 2 8" xfId="1807" xr:uid="{00000000-0005-0000-0000-0000A01F0000}"/>
    <cellStyle name="Normal 9 2 8 2" xfId="4037" xr:uid="{00000000-0005-0000-0000-0000A11F0000}"/>
    <cellStyle name="Normal 9 2 8 2 2" xfId="8260" xr:uid="{00000000-0005-0000-0000-0000A21F0000}"/>
    <cellStyle name="Normal 9 2 8 2 2 2" xfId="25143" xr:uid="{DB24F7C4-9FB6-45CE-BEB2-F8F26F64251C}"/>
    <cellStyle name="Normal 9 2 8 2 2 3" xfId="16702" xr:uid="{8F0CBE52-C928-4E5A-A52E-697AD9557F00}"/>
    <cellStyle name="Normal 9 2 8 2 3" xfId="20925" xr:uid="{E851CB54-6086-484A-B990-B7142841DAD7}"/>
    <cellStyle name="Normal 9 2 8 2 4" xfId="12484" xr:uid="{7265065B-36AE-4338-AEA6-D8F1B2BE19C0}"/>
    <cellStyle name="Normal 9 2 8 3" xfId="6115" xr:uid="{00000000-0005-0000-0000-0000A31F0000}"/>
    <cellStyle name="Normal 9 2 8 3 2" xfId="22998" xr:uid="{4EAB798E-9337-45B4-AA2C-B297D5B791EE}"/>
    <cellStyle name="Normal 9 2 8 3 3" xfId="14557" xr:uid="{803362FB-5935-4C0E-A5C2-73B582BE276B}"/>
    <cellStyle name="Normal 9 2 8 4" xfId="18780" xr:uid="{C86A85F1-0007-4449-8B20-214795A532EA}"/>
    <cellStyle name="Normal 9 2 8 5" xfId="10339" xr:uid="{7AB843AA-0286-4E70-A90F-372DC34CFCB4}"/>
    <cellStyle name="Normal 9 2 9" xfId="2221" xr:uid="{00000000-0005-0000-0000-0000A41F0000}"/>
    <cellStyle name="Normal 9 2 9 2" xfId="4450" xr:uid="{00000000-0005-0000-0000-0000A51F0000}"/>
    <cellStyle name="Normal 9 2 9 2 2" xfId="8673" xr:uid="{00000000-0005-0000-0000-0000A61F0000}"/>
    <cellStyle name="Normal 9 2 9 2 2 2" xfId="25556" xr:uid="{261AAB39-B6FD-40AB-AA45-74F497D360D9}"/>
    <cellStyle name="Normal 9 2 9 2 2 3" xfId="17115" xr:uid="{3C6CF6A4-91F3-4406-82F4-D2972886E269}"/>
    <cellStyle name="Normal 9 2 9 2 3" xfId="21338" xr:uid="{84561153-1293-40F6-B98B-65C67D96DDFE}"/>
    <cellStyle name="Normal 9 2 9 2 4" xfId="12897" xr:uid="{FE42F391-06F9-460A-AB16-C6815BC7B0C1}"/>
    <cellStyle name="Normal 9 2 9 3" xfId="6528" xr:uid="{00000000-0005-0000-0000-0000A71F0000}"/>
    <cellStyle name="Normal 9 2 9 3 2" xfId="23411" xr:uid="{D55D4D92-188C-4575-AB2A-93FCABFDEF97}"/>
    <cellStyle name="Normal 9 2 9 3 3" xfId="14970" xr:uid="{4802C5CB-D8B4-4916-986E-63157919D644}"/>
    <cellStyle name="Normal 9 2 9 4" xfId="19193" xr:uid="{6AB7C635-2DBA-4F02-A2B5-2684BD9E8654}"/>
    <cellStyle name="Normal 9 2 9 5" xfId="10752" xr:uid="{D0C5336B-B36D-4EF8-9CBC-DEFECB585C68}"/>
    <cellStyle name="Normal 9 3" xfId="527" xr:uid="{00000000-0005-0000-0000-0000A81F0000}"/>
    <cellStyle name="Normal 9 3 10" xfId="4892" xr:uid="{00000000-0005-0000-0000-0000A91F0000}"/>
    <cellStyle name="Normal 9 3 10 2" xfId="21775" xr:uid="{1509B283-BFE2-440F-8BC5-E50CADB1B219}"/>
    <cellStyle name="Normal 9 3 10 3" xfId="13334" xr:uid="{5E105D4B-4DE6-42DE-98E6-FD49486AE59E}"/>
    <cellStyle name="Normal 9 3 11" xfId="17557" xr:uid="{7834677E-6DCB-4F3B-B6DC-6A6E6C4626F9}"/>
    <cellStyle name="Normal 9 3 12" xfId="9116" xr:uid="{902B3A20-20C2-4383-870E-08E435D33FE6}"/>
    <cellStyle name="Normal 9 3 2" xfId="528" xr:uid="{00000000-0005-0000-0000-0000AA1F0000}"/>
    <cellStyle name="Normal 9 3 2 10" xfId="17558" xr:uid="{19018271-0B3B-4A1F-A145-A73E130A07D9}"/>
    <cellStyle name="Normal 9 3 2 11" xfId="9117" xr:uid="{939A6508-E06A-4800-B0D0-1D29936FBF91}"/>
    <cellStyle name="Normal 9 3 2 2" xfId="529" xr:uid="{00000000-0005-0000-0000-0000AB1F0000}"/>
    <cellStyle name="Normal 9 3 2 2 10" xfId="9118" xr:uid="{089F71B1-91D3-4F69-A571-D79C82F117BB}"/>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24336" xr:uid="{C7BE28D3-76C2-4B11-9161-550D34C7AF3B}"/>
    <cellStyle name="Normal 9 3 2 2 2 2 2 2 3" xfId="15895" xr:uid="{421657F0-A50B-402E-B9F6-3A356C659513}"/>
    <cellStyle name="Normal 9 3 2 2 2 2 2 3" xfId="20118" xr:uid="{1AAD510F-35EA-4E75-BB40-12D2B6A82ED0}"/>
    <cellStyle name="Normal 9 3 2 2 2 2 2 4" xfId="11677" xr:uid="{5787F9E8-FCBD-4A2D-BF96-C8E656C246D4}"/>
    <cellStyle name="Normal 9 3 2 2 2 2 3" xfId="5308" xr:uid="{00000000-0005-0000-0000-0000B01F0000}"/>
    <cellStyle name="Normal 9 3 2 2 2 2 3 2" xfId="22191" xr:uid="{6BDD626E-F459-44F4-A256-04F6DC8C2303}"/>
    <cellStyle name="Normal 9 3 2 2 2 2 3 3" xfId="13750" xr:uid="{882FFF16-03F8-490B-B60D-968506EE9C5C}"/>
    <cellStyle name="Normal 9 3 2 2 2 2 4" xfId="17973" xr:uid="{154B1BA0-6476-4FF0-B0B9-D0D34CFF7D53}"/>
    <cellStyle name="Normal 9 3 2 2 2 2 5" xfId="9532" xr:uid="{74552B11-C552-4935-9CC5-C7C3F361DE08}"/>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24749" xr:uid="{8610D167-5AEA-4B40-93C0-C39FB4C0B055}"/>
    <cellStyle name="Normal 9 3 2 2 2 3 2 2 3" xfId="16308" xr:uid="{5688D72A-BF29-46DD-8459-F2C13608CCE5}"/>
    <cellStyle name="Normal 9 3 2 2 2 3 2 3" xfId="20531" xr:uid="{C3466EB7-3E5B-4A06-9333-FB842E1D3C8F}"/>
    <cellStyle name="Normal 9 3 2 2 2 3 2 4" xfId="12090" xr:uid="{CDD74529-F1CC-4CA4-BF65-6BF57F417690}"/>
    <cellStyle name="Normal 9 3 2 2 2 3 3" xfId="5721" xr:uid="{00000000-0005-0000-0000-0000B41F0000}"/>
    <cellStyle name="Normal 9 3 2 2 2 3 3 2" xfId="22604" xr:uid="{81D88592-509B-4CE3-88AA-A3E15B48E861}"/>
    <cellStyle name="Normal 9 3 2 2 2 3 3 3" xfId="14163" xr:uid="{B0BC7019-8DAE-4029-ADCC-97E2A5FE295B}"/>
    <cellStyle name="Normal 9 3 2 2 2 3 4" xfId="18386" xr:uid="{2A61B246-CDF1-4B50-9665-604416D229BF}"/>
    <cellStyle name="Normal 9 3 2 2 2 3 5" xfId="9945" xr:uid="{F6FA0235-A529-44DB-ACFB-810C5510638D}"/>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25162" xr:uid="{04AEE56F-43F3-4105-B0A2-0B7763036951}"/>
    <cellStyle name="Normal 9 3 2 2 2 4 2 2 3" xfId="16721" xr:uid="{AF426878-814F-4E6E-B171-F1726F7BCD22}"/>
    <cellStyle name="Normal 9 3 2 2 2 4 2 3" xfId="20944" xr:uid="{82FA37FD-415C-4B8B-822D-D8034A1A4316}"/>
    <cellStyle name="Normal 9 3 2 2 2 4 2 4" xfId="12503" xr:uid="{9BEC53C8-F86E-4986-9564-C7AFCCE79C00}"/>
    <cellStyle name="Normal 9 3 2 2 2 4 3" xfId="6134" xr:uid="{00000000-0005-0000-0000-0000B81F0000}"/>
    <cellStyle name="Normal 9 3 2 2 2 4 3 2" xfId="23017" xr:uid="{49B722DB-2743-48E6-8499-AD2FA4D7FFF5}"/>
    <cellStyle name="Normal 9 3 2 2 2 4 3 3" xfId="14576" xr:uid="{D30ECB80-7EA8-4429-B98D-BDDC3EB5532C}"/>
    <cellStyle name="Normal 9 3 2 2 2 4 4" xfId="18799" xr:uid="{26B256E8-2FE5-4A7F-8339-F535FDE80053}"/>
    <cellStyle name="Normal 9 3 2 2 2 4 5" xfId="10358" xr:uid="{355BF29F-96C2-40B0-ADCC-AEF7EF070E12}"/>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25575" xr:uid="{661ED9EB-8818-4E78-809B-F7FF299EEB36}"/>
    <cellStyle name="Normal 9 3 2 2 2 5 2 2 3" xfId="17134" xr:uid="{CFD437CF-A692-43DF-9CCB-0782742492C0}"/>
    <cellStyle name="Normal 9 3 2 2 2 5 2 3" xfId="21357" xr:uid="{1338C6D9-3601-4A0B-9103-0D1437991F5D}"/>
    <cellStyle name="Normal 9 3 2 2 2 5 2 4" xfId="12916" xr:uid="{8B34D4A1-5191-4B67-9371-AB3786654135}"/>
    <cellStyle name="Normal 9 3 2 2 2 5 3" xfId="6547" xr:uid="{00000000-0005-0000-0000-0000BC1F0000}"/>
    <cellStyle name="Normal 9 3 2 2 2 5 3 2" xfId="23430" xr:uid="{5B5ACA64-B142-447B-BD66-C29513A1E54B}"/>
    <cellStyle name="Normal 9 3 2 2 2 5 3 3" xfId="14989" xr:uid="{76586D9C-013D-4EB3-A322-CA9379F9AABE}"/>
    <cellStyle name="Normal 9 3 2 2 2 5 4" xfId="19212" xr:uid="{46A4A77C-D838-4B37-9D04-107E6A37B647}"/>
    <cellStyle name="Normal 9 3 2 2 2 5 5" xfId="10771" xr:uid="{CCCC349B-4D36-48BA-A9E2-6EB97D70D4A1}"/>
    <cellStyle name="Normal 9 3 2 2 2 6" xfId="2676" xr:uid="{00000000-0005-0000-0000-0000BD1F0000}"/>
    <cellStyle name="Normal 9 3 2 2 2 6 2" xfId="6960" xr:uid="{00000000-0005-0000-0000-0000BE1F0000}"/>
    <cellStyle name="Normal 9 3 2 2 2 6 2 2" xfId="23843" xr:uid="{B6558B0E-0551-4608-874E-81573F55A953}"/>
    <cellStyle name="Normal 9 3 2 2 2 6 2 3" xfId="15402" xr:uid="{3FD9DFA5-D2A3-4100-BB71-133E82A87E55}"/>
    <cellStyle name="Normal 9 3 2 2 2 6 3" xfId="19625" xr:uid="{E6E91A5A-F181-46B4-928E-77DB07A0B826}"/>
    <cellStyle name="Normal 9 3 2 2 2 6 4" xfId="11184" xr:uid="{F01E906A-56CD-470C-BCC3-FEFCF2AE7431}"/>
    <cellStyle name="Normal 9 3 2 2 2 7" xfId="4895" xr:uid="{00000000-0005-0000-0000-0000BF1F0000}"/>
    <cellStyle name="Normal 9 3 2 2 2 7 2" xfId="21778" xr:uid="{39E3E752-EA45-419B-B992-E896CECE6E1B}"/>
    <cellStyle name="Normal 9 3 2 2 2 7 3" xfId="13337" xr:uid="{C5E9651C-46D6-40FD-A145-7E32B01923D6}"/>
    <cellStyle name="Normal 9 3 2 2 2 8" xfId="17560" xr:uid="{57474C80-D69F-43F2-86B8-0F9DFA7EBEFE}"/>
    <cellStyle name="Normal 9 3 2 2 2 9" xfId="9119" xr:uid="{6A892486-0713-41AB-8A6E-E563BAF0F12B}"/>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24335" xr:uid="{F209FD58-3FE0-48D6-9262-57D13ECB3368}"/>
    <cellStyle name="Normal 9 3 2 2 3 2 2 3" xfId="15894" xr:uid="{209614F8-B8A0-4413-BC91-8C89DDD224DF}"/>
    <cellStyle name="Normal 9 3 2 2 3 2 3" xfId="20117" xr:uid="{6134051F-CBC3-499C-8704-696859F553D9}"/>
    <cellStyle name="Normal 9 3 2 2 3 2 4" xfId="11676" xr:uid="{0B231826-2BD1-478D-BE56-4BCDD65AE372}"/>
    <cellStyle name="Normal 9 3 2 2 3 3" xfId="5307" xr:uid="{00000000-0005-0000-0000-0000C31F0000}"/>
    <cellStyle name="Normal 9 3 2 2 3 3 2" xfId="22190" xr:uid="{38A5127A-91BB-4C17-BE12-FCFB6253534D}"/>
    <cellStyle name="Normal 9 3 2 2 3 3 3" xfId="13749" xr:uid="{9FF00B9F-C16A-4E5D-84EC-B2B39AD6261B}"/>
    <cellStyle name="Normal 9 3 2 2 3 4" xfId="17972" xr:uid="{2224610F-FA2E-413E-AA15-F5BEA353876E}"/>
    <cellStyle name="Normal 9 3 2 2 3 5" xfId="9531" xr:uid="{8AE68515-8F93-4F8C-8D05-2D2AD4A2CAEB}"/>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24748" xr:uid="{35A021AA-C11C-44DB-9407-10322C94CCDB}"/>
    <cellStyle name="Normal 9 3 2 2 4 2 2 3" xfId="16307" xr:uid="{C354010F-BA0A-47CD-AA7F-61517003D7A6}"/>
    <cellStyle name="Normal 9 3 2 2 4 2 3" xfId="20530" xr:uid="{D18F3040-00C9-4C50-AE2F-8E935A91B440}"/>
    <cellStyle name="Normal 9 3 2 2 4 2 4" xfId="12089" xr:uid="{DEC48DA8-3832-429B-8223-7B8303C8DD75}"/>
    <cellStyle name="Normal 9 3 2 2 4 3" xfId="5720" xr:uid="{00000000-0005-0000-0000-0000C71F0000}"/>
    <cellStyle name="Normal 9 3 2 2 4 3 2" xfId="22603" xr:uid="{88E03B5C-1935-4103-A5C8-241905FDF07F}"/>
    <cellStyle name="Normal 9 3 2 2 4 3 3" xfId="14162" xr:uid="{C8A6FB4A-FC21-455B-A414-16D26AE1E529}"/>
    <cellStyle name="Normal 9 3 2 2 4 4" xfId="18385" xr:uid="{4D0E1445-F8B3-45BF-AB50-014F38E4C43C}"/>
    <cellStyle name="Normal 9 3 2 2 4 5" xfId="9944" xr:uid="{2AB52D90-5E1A-4E1C-A1F4-C17F0B67EAF2}"/>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25161" xr:uid="{642F7797-E075-4EA1-990A-158AFA973987}"/>
    <cellStyle name="Normal 9 3 2 2 5 2 2 3" xfId="16720" xr:uid="{3D3295CE-4865-4E31-B00A-1B2E4CC6B577}"/>
    <cellStyle name="Normal 9 3 2 2 5 2 3" xfId="20943" xr:uid="{42C60D7E-486C-46EC-8EA7-B7E71790EEB6}"/>
    <cellStyle name="Normal 9 3 2 2 5 2 4" xfId="12502" xr:uid="{DED42668-324B-43ED-90AA-D5570A2E2767}"/>
    <cellStyle name="Normal 9 3 2 2 5 3" xfId="6133" xr:uid="{00000000-0005-0000-0000-0000CB1F0000}"/>
    <cellStyle name="Normal 9 3 2 2 5 3 2" xfId="23016" xr:uid="{172FCFFA-3287-4F98-B970-7BE00B54D7BF}"/>
    <cellStyle name="Normal 9 3 2 2 5 3 3" xfId="14575" xr:uid="{C05C6CE8-54A2-4CC3-8000-51261286E7EA}"/>
    <cellStyle name="Normal 9 3 2 2 5 4" xfId="18798" xr:uid="{4431DFDD-21DF-46ED-A81C-D9A6BDD62D6A}"/>
    <cellStyle name="Normal 9 3 2 2 5 5" xfId="10357" xr:uid="{1B21105C-13FE-494B-9C81-B7886D1084B4}"/>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25574" xr:uid="{3EB5351D-06EA-466D-878B-521CD9114221}"/>
    <cellStyle name="Normal 9 3 2 2 6 2 2 3" xfId="17133" xr:uid="{0E7299F5-1F23-4B20-BAAE-82B4C84627A2}"/>
    <cellStyle name="Normal 9 3 2 2 6 2 3" xfId="21356" xr:uid="{5C32A120-9AB1-48EF-A1CF-F3328A64D4C6}"/>
    <cellStyle name="Normal 9 3 2 2 6 2 4" xfId="12915" xr:uid="{284D23CC-57F4-48B8-A3C4-90C24866CF86}"/>
    <cellStyle name="Normal 9 3 2 2 6 3" xfId="6546" xr:uid="{00000000-0005-0000-0000-0000CF1F0000}"/>
    <cellStyle name="Normal 9 3 2 2 6 3 2" xfId="23429" xr:uid="{775475ED-0142-4882-A582-D5FFFE70CF30}"/>
    <cellStyle name="Normal 9 3 2 2 6 3 3" xfId="14988" xr:uid="{C349A133-5C89-4699-A7C8-5072119D6921}"/>
    <cellStyle name="Normal 9 3 2 2 6 4" xfId="19211" xr:uid="{FEDA9CB2-8CAB-4EE6-BA43-86EF8F05B5FE}"/>
    <cellStyle name="Normal 9 3 2 2 6 5" xfId="10770" xr:uid="{619B51F7-05E2-4C44-A7F8-E97C16983143}"/>
    <cellStyle name="Normal 9 3 2 2 7" xfId="2675" xr:uid="{00000000-0005-0000-0000-0000D01F0000}"/>
    <cellStyle name="Normal 9 3 2 2 7 2" xfId="6959" xr:uid="{00000000-0005-0000-0000-0000D11F0000}"/>
    <cellStyle name="Normal 9 3 2 2 7 2 2" xfId="23842" xr:uid="{3F1925C7-BED0-456B-9F50-61D0EBA3EBCC}"/>
    <cellStyle name="Normal 9 3 2 2 7 2 3" xfId="15401" xr:uid="{0EC00E13-659F-4A90-91A6-759BF6CD9E5F}"/>
    <cellStyle name="Normal 9 3 2 2 7 3" xfId="19624" xr:uid="{07E2A378-4E4A-4298-9DEB-5E921C261120}"/>
    <cellStyle name="Normal 9 3 2 2 7 4" xfId="11183" xr:uid="{B4D11279-FF24-4F7D-9F0B-555BC62FBCD3}"/>
    <cellStyle name="Normal 9 3 2 2 8" xfId="4894" xr:uid="{00000000-0005-0000-0000-0000D21F0000}"/>
    <cellStyle name="Normal 9 3 2 2 8 2" xfId="21777" xr:uid="{E2ABB83C-4B29-4431-B8C0-B69C3F9382E4}"/>
    <cellStyle name="Normal 9 3 2 2 8 3" xfId="13336" xr:uid="{13CC8086-D635-46D0-BA75-DC38739BC614}"/>
    <cellStyle name="Normal 9 3 2 2 9" xfId="17559" xr:uid="{E52F1C5D-803C-44A7-B7E9-3DF265A90B3F}"/>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24337" xr:uid="{9276C213-5A25-4BC5-8A3E-C7538A4E023A}"/>
    <cellStyle name="Normal 9 3 2 3 2 2 2 3" xfId="15896" xr:uid="{20691687-5B66-4E45-AD2B-6811C0F81AEA}"/>
    <cellStyle name="Normal 9 3 2 3 2 2 3" xfId="20119" xr:uid="{CCC6925A-4DE8-484E-ABED-C7175035FCFF}"/>
    <cellStyle name="Normal 9 3 2 3 2 2 4" xfId="11678" xr:uid="{C8C29757-2C6E-4917-B812-D2D6AF32B355}"/>
    <cellStyle name="Normal 9 3 2 3 2 3" xfId="5309" xr:uid="{00000000-0005-0000-0000-0000D71F0000}"/>
    <cellStyle name="Normal 9 3 2 3 2 3 2" xfId="22192" xr:uid="{B679E96A-F6DA-4E62-9CEF-AFC8B2BA7893}"/>
    <cellStyle name="Normal 9 3 2 3 2 3 3" xfId="13751" xr:uid="{0C6798ED-087E-495A-98B0-6DA181D1E113}"/>
    <cellStyle name="Normal 9 3 2 3 2 4" xfId="17974" xr:uid="{04809491-1C25-4F54-9D92-6060945E6A44}"/>
    <cellStyle name="Normal 9 3 2 3 2 5" xfId="9533" xr:uid="{31034E91-8723-4685-92E2-42A256747988}"/>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24750" xr:uid="{BF1F8FE6-5888-4E89-804F-AD55EFC23383}"/>
    <cellStyle name="Normal 9 3 2 3 3 2 2 3" xfId="16309" xr:uid="{B9FC6400-C37D-4B44-8A7D-998A0F5E1549}"/>
    <cellStyle name="Normal 9 3 2 3 3 2 3" xfId="20532" xr:uid="{1BE606B3-27C9-4558-837B-9ADF7FB29347}"/>
    <cellStyle name="Normal 9 3 2 3 3 2 4" xfId="12091" xr:uid="{3619162F-7AEC-43CB-B610-0EEB9F454DD0}"/>
    <cellStyle name="Normal 9 3 2 3 3 3" xfId="5722" xr:uid="{00000000-0005-0000-0000-0000DB1F0000}"/>
    <cellStyle name="Normal 9 3 2 3 3 3 2" xfId="22605" xr:uid="{3AF19872-2DA7-4F7D-858D-C99C1B5D51E1}"/>
    <cellStyle name="Normal 9 3 2 3 3 3 3" xfId="14164" xr:uid="{4A02D224-BAF3-4E8E-9C53-1713F7AFEB91}"/>
    <cellStyle name="Normal 9 3 2 3 3 4" xfId="18387" xr:uid="{EDC95BFD-99CC-459B-A650-CEC622BA020F}"/>
    <cellStyle name="Normal 9 3 2 3 3 5" xfId="9946" xr:uid="{B1550FAD-D7F4-485F-9690-25B4AE8309E1}"/>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25163" xr:uid="{D80AA22D-5E62-4953-AC13-CDD8BD3FB995}"/>
    <cellStyle name="Normal 9 3 2 3 4 2 2 3" xfId="16722" xr:uid="{927FAAF1-361B-4F26-80B8-FDF59BE87ED3}"/>
    <cellStyle name="Normal 9 3 2 3 4 2 3" xfId="20945" xr:uid="{F255028B-4810-4127-8FB5-A6C4817FDAAD}"/>
    <cellStyle name="Normal 9 3 2 3 4 2 4" xfId="12504" xr:uid="{4BBE2E74-A698-43CC-BD0F-1CCB5619FDE1}"/>
    <cellStyle name="Normal 9 3 2 3 4 3" xfId="6135" xr:uid="{00000000-0005-0000-0000-0000DF1F0000}"/>
    <cellStyle name="Normal 9 3 2 3 4 3 2" xfId="23018" xr:uid="{D7BF2C3F-6D4F-4ADB-9952-B44E9E523137}"/>
    <cellStyle name="Normal 9 3 2 3 4 3 3" xfId="14577" xr:uid="{54759C5B-7A40-4147-8C3D-E73B51F904AB}"/>
    <cellStyle name="Normal 9 3 2 3 4 4" xfId="18800" xr:uid="{FB2A563C-DC0B-4A87-84BB-49CBA42ED104}"/>
    <cellStyle name="Normal 9 3 2 3 4 5" xfId="10359" xr:uid="{95E6FC20-6CC0-4A34-AE4B-99B5E98D05BB}"/>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25576" xr:uid="{5D527A9F-F668-4392-96EC-9AD792F64DFB}"/>
    <cellStyle name="Normal 9 3 2 3 5 2 2 3" xfId="17135" xr:uid="{BF75EE82-A3A0-45DD-B1F9-9431C8B002A4}"/>
    <cellStyle name="Normal 9 3 2 3 5 2 3" xfId="21358" xr:uid="{093E65E0-5CF3-4C93-BF1F-E3B5A6F5E3AF}"/>
    <cellStyle name="Normal 9 3 2 3 5 2 4" xfId="12917" xr:uid="{1C1B5E02-37C9-4EC0-9432-30336E5F4F64}"/>
    <cellStyle name="Normal 9 3 2 3 5 3" xfId="6548" xr:uid="{00000000-0005-0000-0000-0000E31F0000}"/>
    <cellStyle name="Normal 9 3 2 3 5 3 2" xfId="23431" xr:uid="{3EF9928D-DF62-4991-90DD-EF7BFCCD0736}"/>
    <cellStyle name="Normal 9 3 2 3 5 3 3" xfId="14990" xr:uid="{8DAEC9B6-B9E4-4C35-B651-004057AE42D6}"/>
    <cellStyle name="Normal 9 3 2 3 5 4" xfId="19213" xr:uid="{C8B13D09-6399-4223-876A-4E46A343EE77}"/>
    <cellStyle name="Normal 9 3 2 3 5 5" xfId="10772" xr:uid="{85D56CB7-6503-4828-AA8B-41DEB2C6746C}"/>
    <cellStyle name="Normal 9 3 2 3 6" xfId="2677" xr:uid="{00000000-0005-0000-0000-0000E41F0000}"/>
    <cellStyle name="Normal 9 3 2 3 6 2" xfId="6961" xr:uid="{00000000-0005-0000-0000-0000E51F0000}"/>
    <cellStyle name="Normal 9 3 2 3 6 2 2" xfId="23844" xr:uid="{64790206-AA6E-450B-A8B5-055E623BEA40}"/>
    <cellStyle name="Normal 9 3 2 3 6 2 3" xfId="15403" xr:uid="{7D17B5E7-1508-41E4-92C9-B925B6C335A2}"/>
    <cellStyle name="Normal 9 3 2 3 6 3" xfId="19626" xr:uid="{53CA2B1B-0A5E-472E-82C4-78AF0A1D553A}"/>
    <cellStyle name="Normal 9 3 2 3 6 4" xfId="11185" xr:uid="{8EAA2A30-51C8-4EB5-B92A-DD4E26AE27BA}"/>
    <cellStyle name="Normal 9 3 2 3 7" xfId="4896" xr:uid="{00000000-0005-0000-0000-0000E61F0000}"/>
    <cellStyle name="Normal 9 3 2 3 7 2" xfId="21779" xr:uid="{13E43A71-452F-4651-A465-C5F0E984AAC8}"/>
    <cellStyle name="Normal 9 3 2 3 7 3" xfId="13338" xr:uid="{CFA46300-1DA8-41F6-8E06-2B228FEB3F51}"/>
    <cellStyle name="Normal 9 3 2 3 8" xfId="17561" xr:uid="{3ED818FC-678B-47C8-9C01-61D0CFBBE042}"/>
    <cellStyle name="Normal 9 3 2 3 9" xfId="9120" xr:uid="{5A820E8D-E091-418D-9334-0C125C317BF9}"/>
    <cellStyle name="Normal 9 3 2 4" xfId="995" xr:uid="{00000000-0005-0000-0000-0000E71F0000}"/>
    <cellStyle name="Normal 9 3 2 4 2" xfId="3228" xr:uid="{00000000-0005-0000-0000-0000E81F0000}"/>
    <cellStyle name="Normal 9 3 2 4 2 2" xfId="7451" xr:uid="{00000000-0005-0000-0000-0000E91F0000}"/>
    <cellStyle name="Normal 9 3 2 4 2 2 2" xfId="24334" xr:uid="{55AB08C1-D148-4C94-A739-C6FDD8538E5E}"/>
    <cellStyle name="Normal 9 3 2 4 2 2 3" xfId="15893" xr:uid="{AD75048F-69A7-4CDD-AC55-490C816A567B}"/>
    <cellStyle name="Normal 9 3 2 4 2 3" xfId="20116" xr:uid="{73C7FD1E-BF08-4237-B855-EBD2E797B8A5}"/>
    <cellStyle name="Normal 9 3 2 4 2 4" xfId="11675" xr:uid="{EECB65DF-91F8-4A78-8114-EC6CFF494884}"/>
    <cellStyle name="Normal 9 3 2 4 3" xfId="5306" xr:uid="{00000000-0005-0000-0000-0000EA1F0000}"/>
    <cellStyle name="Normal 9 3 2 4 3 2" xfId="22189" xr:uid="{83447E5A-0828-4FDF-973F-35598C93CCA7}"/>
    <cellStyle name="Normal 9 3 2 4 3 3" xfId="13748" xr:uid="{4AC7C403-6261-4D3E-BDE2-CE7919D3FBBA}"/>
    <cellStyle name="Normal 9 3 2 4 4" xfId="17971" xr:uid="{E9901B71-7692-4992-9847-D0616A5B7F60}"/>
    <cellStyle name="Normal 9 3 2 4 5" xfId="9530" xr:uid="{3F118711-E4C2-4A2B-BD3F-2B747D25FD28}"/>
    <cellStyle name="Normal 9 3 2 5" xfId="1411" xr:uid="{00000000-0005-0000-0000-0000EB1F0000}"/>
    <cellStyle name="Normal 9 3 2 5 2" xfId="3641" xr:uid="{00000000-0005-0000-0000-0000EC1F0000}"/>
    <cellStyle name="Normal 9 3 2 5 2 2" xfId="7864" xr:uid="{00000000-0005-0000-0000-0000ED1F0000}"/>
    <cellStyle name="Normal 9 3 2 5 2 2 2" xfId="24747" xr:uid="{283CEA4B-7B96-4EF0-A2F2-03D4F69A3EE2}"/>
    <cellStyle name="Normal 9 3 2 5 2 2 3" xfId="16306" xr:uid="{8B9F7BD9-0077-4081-8771-2F0A6E064DA9}"/>
    <cellStyle name="Normal 9 3 2 5 2 3" xfId="20529" xr:uid="{F204E7D5-2871-4FBF-BBAF-2B16125560A9}"/>
    <cellStyle name="Normal 9 3 2 5 2 4" xfId="12088" xr:uid="{B71F0E4A-AFF1-4776-AF39-1935DCA2299E}"/>
    <cellStyle name="Normal 9 3 2 5 3" xfId="5719" xr:uid="{00000000-0005-0000-0000-0000EE1F0000}"/>
    <cellStyle name="Normal 9 3 2 5 3 2" xfId="22602" xr:uid="{FDA75044-B8FA-4D0A-9FCC-DAC39F6D1E7F}"/>
    <cellStyle name="Normal 9 3 2 5 3 3" xfId="14161" xr:uid="{FCB9A3DA-9A61-4CDC-9052-5D0B2974C194}"/>
    <cellStyle name="Normal 9 3 2 5 4" xfId="18384" xr:uid="{98F268DF-E610-4878-AA6C-8F05D06C8B33}"/>
    <cellStyle name="Normal 9 3 2 5 5" xfId="9943" xr:uid="{B8EA1144-7158-400A-B70E-453BD725EE11}"/>
    <cellStyle name="Normal 9 3 2 6" xfId="1824" xr:uid="{00000000-0005-0000-0000-0000EF1F0000}"/>
    <cellStyle name="Normal 9 3 2 6 2" xfId="4054" xr:uid="{00000000-0005-0000-0000-0000F01F0000}"/>
    <cellStyle name="Normal 9 3 2 6 2 2" xfId="8277" xr:uid="{00000000-0005-0000-0000-0000F11F0000}"/>
    <cellStyle name="Normal 9 3 2 6 2 2 2" xfId="25160" xr:uid="{0F9260BE-9DA6-49BD-8860-A305631DEFDE}"/>
    <cellStyle name="Normal 9 3 2 6 2 2 3" xfId="16719" xr:uid="{97BD53E3-445B-42A8-9DED-273720D51DF2}"/>
    <cellStyle name="Normal 9 3 2 6 2 3" xfId="20942" xr:uid="{1056D57F-EE72-4FF0-A215-DDF9AC0099E3}"/>
    <cellStyle name="Normal 9 3 2 6 2 4" xfId="12501" xr:uid="{CC4BBB02-2F32-4DEE-A41E-84A45403E85D}"/>
    <cellStyle name="Normal 9 3 2 6 3" xfId="6132" xr:uid="{00000000-0005-0000-0000-0000F21F0000}"/>
    <cellStyle name="Normal 9 3 2 6 3 2" xfId="23015" xr:uid="{B74F7ABA-58D5-4001-95C2-6B9BC4FFD0AF}"/>
    <cellStyle name="Normal 9 3 2 6 3 3" xfId="14574" xr:uid="{A858A31E-651D-4C27-A760-DFBC9C4DAD0C}"/>
    <cellStyle name="Normal 9 3 2 6 4" xfId="18797" xr:uid="{5515FD3F-C2BC-4B03-A641-80215731F98D}"/>
    <cellStyle name="Normal 9 3 2 6 5" xfId="10356" xr:uid="{CAD5639F-2B70-495D-B309-C78224012BCF}"/>
    <cellStyle name="Normal 9 3 2 7" xfId="2238" xr:uid="{00000000-0005-0000-0000-0000F31F0000}"/>
    <cellStyle name="Normal 9 3 2 7 2" xfId="4467" xr:uid="{00000000-0005-0000-0000-0000F41F0000}"/>
    <cellStyle name="Normal 9 3 2 7 2 2" xfId="8690" xr:uid="{00000000-0005-0000-0000-0000F51F0000}"/>
    <cellStyle name="Normal 9 3 2 7 2 2 2" xfId="25573" xr:uid="{E47649A5-4B3F-45C8-A8DE-3C238A5C8839}"/>
    <cellStyle name="Normal 9 3 2 7 2 2 3" xfId="17132" xr:uid="{90DA9C26-9D85-4ABE-BF92-430562AFFACE}"/>
    <cellStyle name="Normal 9 3 2 7 2 3" xfId="21355" xr:uid="{C9A5E1AB-991A-4659-9A21-45D3FFAC1BFB}"/>
    <cellStyle name="Normal 9 3 2 7 2 4" xfId="12914" xr:uid="{C59F9A33-B46E-490B-8CB0-54ACCA49FBC7}"/>
    <cellStyle name="Normal 9 3 2 7 3" xfId="6545" xr:uid="{00000000-0005-0000-0000-0000F61F0000}"/>
    <cellStyle name="Normal 9 3 2 7 3 2" xfId="23428" xr:uid="{215B177D-C56C-4947-9BAB-609BE9E96510}"/>
    <cellStyle name="Normal 9 3 2 7 3 3" xfId="14987" xr:uid="{A543FC99-1194-4958-95E1-3549A72EC574}"/>
    <cellStyle name="Normal 9 3 2 7 4" xfId="19210" xr:uid="{60BFC698-C7FB-4967-92A0-2FF9C59A8F3B}"/>
    <cellStyle name="Normal 9 3 2 7 5" xfId="10769" xr:uid="{525B624C-D7DB-41F8-A20C-D724C40C1931}"/>
    <cellStyle name="Normal 9 3 2 8" xfId="2674" xr:uid="{00000000-0005-0000-0000-0000F71F0000}"/>
    <cellStyle name="Normal 9 3 2 8 2" xfId="6958" xr:uid="{00000000-0005-0000-0000-0000F81F0000}"/>
    <cellStyle name="Normal 9 3 2 8 2 2" xfId="23841" xr:uid="{386D8F5C-6923-47DD-B6A9-09A5892938E8}"/>
    <cellStyle name="Normal 9 3 2 8 2 3" xfId="15400" xr:uid="{A967879F-D6BB-4F59-9DE4-494215FB1C78}"/>
    <cellStyle name="Normal 9 3 2 8 3" xfId="19623" xr:uid="{B3874B3A-3391-433A-8E4B-D778B0DFF00C}"/>
    <cellStyle name="Normal 9 3 2 8 4" xfId="11182" xr:uid="{E3E49C02-C963-4A60-BA3C-04712DE4D79E}"/>
    <cellStyle name="Normal 9 3 2 9" xfId="4893" xr:uid="{00000000-0005-0000-0000-0000F91F0000}"/>
    <cellStyle name="Normal 9 3 2 9 2" xfId="21776" xr:uid="{675D3467-5ED0-4E34-A3DE-61532F62A196}"/>
    <cellStyle name="Normal 9 3 2 9 3" xfId="13335" xr:uid="{1BD88129-6FA6-4B58-AF54-ED4507320A88}"/>
    <cellStyle name="Normal 9 3 3" xfId="532" xr:uid="{00000000-0005-0000-0000-0000FA1F0000}"/>
    <cellStyle name="Normal 9 3 3 10" xfId="9121" xr:uid="{2CB6D02F-2719-4420-8B38-F9C5B724561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24339" xr:uid="{A17E2D5E-7F89-4B4A-AE75-7CB116A441A4}"/>
    <cellStyle name="Normal 9 3 3 2 2 2 2 3" xfId="15898" xr:uid="{55FB7343-33A9-48B6-BF6C-21FE12B2F2EB}"/>
    <cellStyle name="Normal 9 3 3 2 2 2 3" xfId="20121" xr:uid="{ADECBE7C-FA1C-4F06-8630-4ACC0F75BB8D}"/>
    <cellStyle name="Normal 9 3 3 2 2 2 4" xfId="11680" xr:uid="{92A07A25-DAB5-4CEB-BA5F-4072A1E63B03}"/>
    <cellStyle name="Normal 9 3 3 2 2 3" xfId="5311" xr:uid="{00000000-0005-0000-0000-0000FF1F0000}"/>
    <cellStyle name="Normal 9 3 3 2 2 3 2" xfId="22194" xr:uid="{AE5DD337-1F56-41EA-8E2A-9CF4DD078220}"/>
    <cellStyle name="Normal 9 3 3 2 2 3 3" xfId="13753" xr:uid="{F3C331D5-8B47-423A-9230-A5928F608F31}"/>
    <cellStyle name="Normal 9 3 3 2 2 4" xfId="17976" xr:uid="{B2F5CB74-B57C-4F6F-B3B9-5CFDE49939D4}"/>
    <cellStyle name="Normal 9 3 3 2 2 5" xfId="9535" xr:uid="{B5DB0411-F657-4222-BA19-AEE8CBE1527F}"/>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24752" xr:uid="{BA4F52FC-0AC3-417F-82F0-7580327E0356}"/>
    <cellStyle name="Normal 9 3 3 2 3 2 2 3" xfId="16311" xr:uid="{689DC285-3FCD-4D89-832E-AF9E4A9C77CC}"/>
    <cellStyle name="Normal 9 3 3 2 3 2 3" xfId="20534" xr:uid="{0C76CFD0-3BF9-4360-8144-C965A1C69C15}"/>
    <cellStyle name="Normal 9 3 3 2 3 2 4" xfId="12093" xr:uid="{C1FDABCA-8DE6-4E2E-857C-5CE5A6B9490A}"/>
    <cellStyle name="Normal 9 3 3 2 3 3" xfId="5724" xr:uid="{00000000-0005-0000-0000-000003200000}"/>
    <cellStyle name="Normal 9 3 3 2 3 3 2" xfId="22607" xr:uid="{35B5C5C0-5FCC-4BF0-935F-74BF5D226A85}"/>
    <cellStyle name="Normal 9 3 3 2 3 3 3" xfId="14166" xr:uid="{E307413E-895E-4C9D-8297-C8C18F87ACD0}"/>
    <cellStyle name="Normal 9 3 3 2 3 4" xfId="18389" xr:uid="{2F718541-3D23-4D9E-968D-026A646420AC}"/>
    <cellStyle name="Normal 9 3 3 2 3 5" xfId="9948" xr:uid="{1235B064-0477-421C-A9D5-DDFB4189CD2C}"/>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25165" xr:uid="{1E62F293-F16C-495A-9ECB-4EB62603F112}"/>
    <cellStyle name="Normal 9 3 3 2 4 2 2 3" xfId="16724" xr:uid="{A0DFFFE0-F2A8-4E6E-916D-A1985ADE4795}"/>
    <cellStyle name="Normal 9 3 3 2 4 2 3" xfId="20947" xr:uid="{92E0DC09-E862-4E92-AE58-BA0308F6B118}"/>
    <cellStyle name="Normal 9 3 3 2 4 2 4" xfId="12506" xr:uid="{D3F4346A-EA50-423A-8214-36C868041658}"/>
    <cellStyle name="Normal 9 3 3 2 4 3" xfId="6137" xr:uid="{00000000-0005-0000-0000-000007200000}"/>
    <cellStyle name="Normal 9 3 3 2 4 3 2" xfId="23020" xr:uid="{AFC250C1-0CD3-49D0-AE4E-9704EB9D8288}"/>
    <cellStyle name="Normal 9 3 3 2 4 3 3" xfId="14579" xr:uid="{0C3C936B-A9A5-480A-B3C3-14106A96A266}"/>
    <cellStyle name="Normal 9 3 3 2 4 4" xfId="18802" xr:uid="{675B1EDF-DD20-4704-B08B-84080E8501FD}"/>
    <cellStyle name="Normal 9 3 3 2 4 5" xfId="10361" xr:uid="{C48C0266-E57A-4906-9313-7FDA22A2F121}"/>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25578" xr:uid="{0D60B64F-6CA6-4E89-B39C-C80A326A3368}"/>
    <cellStyle name="Normal 9 3 3 2 5 2 2 3" xfId="17137" xr:uid="{95BC4F13-DAB8-4E41-98B5-4828284B0FDA}"/>
    <cellStyle name="Normal 9 3 3 2 5 2 3" xfId="21360" xr:uid="{6C973509-6457-402A-987F-6FA1A5855D24}"/>
    <cellStyle name="Normal 9 3 3 2 5 2 4" xfId="12919" xr:uid="{9FA9B608-2300-449A-A7EB-CE5C3B51EF14}"/>
    <cellStyle name="Normal 9 3 3 2 5 3" xfId="6550" xr:uid="{00000000-0005-0000-0000-00000B200000}"/>
    <cellStyle name="Normal 9 3 3 2 5 3 2" xfId="23433" xr:uid="{34506ED0-243B-4B81-A241-DC8C43D269A9}"/>
    <cellStyle name="Normal 9 3 3 2 5 3 3" xfId="14992" xr:uid="{39FA44CE-7E64-421B-8004-A1FEA3C4AF78}"/>
    <cellStyle name="Normal 9 3 3 2 5 4" xfId="19215" xr:uid="{BAD7E438-1B9A-4F35-ACD6-6B9A4C9840FE}"/>
    <cellStyle name="Normal 9 3 3 2 5 5" xfId="10774" xr:uid="{D62FBEED-372C-4D61-BB1D-1A79BA04B9F5}"/>
    <cellStyle name="Normal 9 3 3 2 6" xfId="2679" xr:uid="{00000000-0005-0000-0000-00000C200000}"/>
    <cellStyle name="Normal 9 3 3 2 6 2" xfId="6963" xr:uid="{00000000-0005-0000-0000-00000D200000}"/>
    <cellStyle name="Normal 9 3 3 2 6 2 2" xfId="23846" xr:uid="{000EEC25-F5A4-46D6-B207-C3452CCBCCE0}"/>
    <cellStyle name="Normal 9 3 3 2 6 2 3" xfId="15405" xr:uid="{969667DD-FA4D-49B2-86F4-36DBDC4E4359}"/>
    <cellStyle name="Normal 9 3 3 2 6 3" xfId="19628" xr:uid="{E4FC819D-791A-4D93-B619-3F423B85146E}"/>
    <cellStyle name="Normal 9 3 3 2 6 4" xfId="11187" xr:uid="{658E0365-CC7A-48DC-83B4-4CDB4830F925}"/>
    <cellStyle name="Normal 9 3 3 2 7" xfId="4898" xr:uid="{00000000-0005-0000-0000-00000E200000}"/>
    <cellStyle name="Normal 9 3 3 2 7 2" xfId="21781" xr:uid="{CFB06E65-0D92-4934-8BAD-5BAB23B52F09}"/>
    <cellStyle name="Normal 9 3 3 2 7 3" xfId="13340" xr:uid="{700E550C-A484-4152-AEE1-4EEE84F5BFB0}"/>
    <cellStyle name="Normal 9 3 3 2 8" xfId="17563" xr:uid="{3F62AA4B-FDA1-4456-B958-537C3D226FB9}"/>
    <cellStyle name="Normal 9 3 3 2 9" xfId="9122" xr:uid="{ED49F45C-9547-48BA-95BE-024CB0CD6194}"/>
    <cellStyle name="Normal 9 3 3 3" xfId="999" xr:uid="{00000000-0005-0000-0000-00000F200000}"/>
    <cellStyle name="Normal 9 3 3 3 2" xfId="3232" xr:uid="{00000000-0005-0000-0000-000010200000}"/>
    <cellStyle name="Normal 9 3 3 3 2 2" xfId="7455" xr:uid="{00000000-0005-0000-0000-000011200000}"/>
    <cellStyle name="Normal 9 3 3 3 2 2 2" xfId="24338" xr:uid="{906515D8-6E32-4188-92C3-30E3DA88DE6F}"/>
    <cellStyle name="Normal 9 3 3 3 2 2 3" xfId="15897" xr:uid="{B5AB2590-C351-4AC1-AEAB-C6E423EADC2C}"/>
    <cellStyle name="Normal 9 3 3 3 2 3" xfId="20120" xr:uid="{44ADCF8A-111D-44BD-973D-F1DD4D8F8F49}"/>
    <cellStyle name="Normal 9 3 3 3 2 4" xfId="11679" xr:uid="{27DB1F82-FC7A-4C9C-8B50-6A00C1500992}"/>
    <cellStyle name="Normal 9 3 3 3 3" xfId="5310" xr:uid="{00000000-0005-0000-0000-000012200000}"/>
    <cellStyle name="Normal 9 3 3 3 3 2" xfId="22193" xr:uid="{F34165CC-C6E6-44F7-B402-72147BE8D005}"/>
    <cellStyle name="Normal 9 3 3 3 3 3" xfId="13752" xr:uid="{93D665F0-1FDD-4B14-A652-ADD69A425882}"/>
    <cellStyle name="Normal 9 3 3 3 4" xfId="17975" xr:uid="{6D407F41-79C3-47F3-97DF-8EDA9FC46775}"/>
    <cellStyle name="Normal 9 3 3 3 5" xfId="9534" xr:uid="{1950D9DF-9CC5-4C20-8FB9-516A1E78234B}"/>
    <cellStyle name="Normal 9 3 3 4" xfId="1415" xr:uid="{00000000-0005-0000-0000-000013200000}"/>
    <cellStyle name="Normal 9 3 3 4 2" xfId="3645" xr:uid="{00000000-0005-0000-0000-000014200000}"/>
    <cellStyle name="Normal 9 3 3 4 2 2" xfId="7868" xr:uid="{00000000-0005-0000-0000-000015200000}"/>
    <cellStyle name="Normal 9 3 3 4 2 2 2" xfId="24751" xr:uid="{D45D2EA7-3C0C-47F2-80DB-ECB6B0F64187}"/>
    <cellStyle name="Normal 9 3 3 4 2 2 3" xfId="16310" xr:uid="{D6805C66-4CE0-4664-99EC-B0E5A847654B}"/>
    <cellStyle name="Normal 9 3 3 4 2 3" xfId="20533" xr:uid="{35FC3ADC-82F0-4336-8B25-1495A7CF5E7E}"/>
    <cellStyle name="Normal 9 3 3 4 2 4" xfId="12092" xr:uid="{3EFC737A-2F7E-41E1-B9B5-B81AFA29E7A8}"/>
    <cellStyle name="Normal 9 3 3 4 3" xfId="5723" xr:uid="{00000000-0005-0000-0000-000016200000}"/>
    <cellStyle name="Normal 9 3 3 4 3 2" xfId="22606" xr:uid="{78DA81AD-6157-4679-AFDC-08705A6A2B2F}"/>
    <cellStyle name="Normal 9 3 3 4 3 3" xfId="14165" xr:uid="{31E1409B-B9E7-402B-B74B-CF3B30FEF510}"/>
    <cellStyle name="Normal 9 3 3 4 4" xfId="18388" xr:uid="{EEF61B81-ABA1-404E-81C0-6E9DDC780C0B}"/>
    <cellStyle name="Normal 9 3 3 4 5" xfId="9947" xr:uid="{20133FFB-7DFA-4C46-9529-CCED3857B2C4}"/>
    <cellStyle name="Normal 9 3 3 5" xfId="1828" xr:uid="{00000000-0005-0000-0000-000017200000}"/>
    <cellStyle name="Normal 9 3 3 5 2" xfId="4058" xr:uid="{00000000-0005-0000-0000-000018200000}"/>
    <cellStyle name="Normal 9 3 3 5 2 2" xfId="8281" xr:uid="{00000000-0005-0000-0000-000019200000}"/>
    <cellStyle name="Normal 9 3 3 5 2 2 2" xfId="25164" xr:uid="{5B0BE92A-E9B9-4649-B535-880D5335CC12}"/>
    <cellStyle name="Normal 9 3 3 5 2 2 3" xfId="16723" xr:uid="{AC7B712E-63E9-4C1A-9C32-A567A0E871A6}"/>
    <cellStyle name="Normal 9 3 3 5 2 3" xfId="20946" xr:uid="{9D6151EF-C828-48D5-8572-B4FDDBC115DA}"/>
    <cellStyle name="Normal 9 3 3 5 2 4" xfId="12505" xr:uid="{83BE6F37-40B4-4F7F-96CE-06FA9796F7B6}"/>
    <cellStyle name="Normal 9 3 3 5 3" xfId="6136" xr:uid="{00000000-0005-0000-0000-00001A200000}"/>
    <cellStyle name="Normal 9 3 3 5 3 2" xfId="23019" xr:uid="{C77BA7A0-4344-4CAB-8CAC-8BEFB05CF7A2}"/>
    <cellStyle name="Normal 9 3 3 5 3 3" xfId="14578" xr:uid="{607F87B2-171E-4BBE-88B6-5D6FE87A97D4}"/>
    <cellStyle name="Normal 9 3 3 5 4" xfId="18801" xr:uid="{BFB9660C-6338-41F5-9DF4-384AA6AF1D71}"/>
    <cellStyle name="Normal 9 3 3 5 5" xfId="10360" xr:uid="{DDA3668B-E0C0-4ADE-BD1E-190B4A4A91E8}"/>
    <cellStyle name="Normal 9 3 3 6" xfId="2242" xr:uid="{00000000-0005-0000-0000-00001B200000}"/>
    <cellStyle name="Normal 9 3 3 6 2" xfId="4471" xr:uid="{00000000-0005-0000-0000-00001C200000}"/>
    <cellStyle name="Normal 9 3 3 6 2 2" xfId="8694" xr:uid="{00000000-0005-0000-0000-00001D200000}"/>
    <cellStyle name="Normal 9 3 3 6 2 2 2" xfId="25577" xr:uid="{E75542F7-1240-494C-A7A9-605B5827A618}"/>
    <cellStyle name="Normal 9 3 3 6 2 2 3" xfId="17136" xr:uid="{5DC5B56F-ACC4-4DD9-8B49-EFC51914A75C}"/>
    <cellStyle name="Normal 9 3 3 6 2 3" xfId="21359" xr:uid="{F8782986-7F5D-4EAF-A858-5C6CC5DD9E43}"/>
    <cellStyle name="Normal 9 3 3 6 2 4" xfId="12918" xr:uid="{CD044B74-6826-45CD-9172-9E97621BA605}"/>
    <cellStyle name="Normal 9 3 3 6 3" xfId="6549" xr:uid="{00000000-0005-0000-0000-00001E200000}"/>
    <cellStyle name="Normal 9 3 3 6 3 2" xfId="23432" xr:uid="{83631429-AD86-4DB7-8162-2222CE44AEEB}"/>
    <cellStyle name="Normal 9 3 3 6 3 3" xfId="14991" xr:uid="{133A419C-5957-4BC5-8E62-08081E8D04B2}"/>
    <cellStyle name="Normal 9 3 3 6 4" xfId="19214" xr:uid="{F35B9B32-69E6-41DE-9187-D42DD5FAD5E6}"/>
    <cellStyle name="Normal 9 3 3 6 5" xfId="10773" xr:uid="{F3EDEAF0-ED49-4A4F-A4A3-9FA67CA15BD7}"/>
    <cellStyle name="Normal 9 3 3 7" xfId="2678" xr:uid="{00000000-0005-0000-0000-00001F200000}"/>
    <cellStyle name="Normal 9 3 3 7 2" xfId="6962" xr:uid="{00000000-0005-0000-0000-000020200000}"/>
    <cellStyle name="Normal 9 3 3 7 2 2" xfId="23845" xr:uid="{1E167C38-7BC3-403D-A74F-5E14174A4201}"/>
    <cellStyle name="Normal 9 3 3 7 2 3" xfId="15404" xr:uid="{B2D91441-DC57-42E0-B359-3F5355616D6D}"/>
    <cellStyle name="Normal 9 3 3 7 3" xfId="19627" xr:uid="{AA03DFFB-4438-4CBC-851C-4090FDAD5189}"/>
    <cellStyle name="Normal 9 3 3 7 4" xfId="11186" xr:uid="{C7BEBEE8-E680-4793-A293-8CE668C340EF}"/>
    <cellStyle name="Normal 9 3 3 8" xfId="4897" xr:uid="{00000000-0005-0000-0000-000021200000}"/>
    <cellStyle name="Normal 9 3 3 8 2" xfId="21780" xr:uid="{E4DB8D33-45C1-4402-9515-6F494AB2692F}"/>
    <cellStyle name="Normal 9 3 3 8 3" xfId="13339" xr:uid="{01EF7A86-96B7-4CB1-8420-9A4A92972528}"/>
    <cellStyle name="Normal 9 3 3 9" xfId="17562" xr:uid="{B3ABAD52-5A4B-4A20-8C8A-C8901EA7A236}"/>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24340" xr:uid="{ACD64A91-CCB3-4C75-8F54-517C334582C3}"/>
    <cellStyle name="Normal 9 3 4 2 2 2 3" xfId="15899" xr:uid="{03D70502-AE28-4F10-A261-ECDDE6B5919B}"/>
    <cellStyle name="Normal 9 3 4 2 2 3" xfId="20122" xr:uid="{785359C3-316F-4D6E-8112-810C0F2EC20A}"/>
    <cellStyle name="Normal 9 3 4 2 2 4" xfId="11681" xr:uid="{9C7DD7E5-7260-4D63-823D-1C75C70DE2BB}"/>
    <cellStyle name="Normal 9 3 4 2 3" xfId="5312" xr:uid="{00000000-0005-0000-0000-000026200000}"/>
    <cellStyle name="Normal 9 3 4 2 3 2" xfId="22195" xr:uid="{C67AF98D-4B77-4D8D-95C5-427B8F5B259D}"/>
    <cellStyle name="Normal 9 3 4 2 3 3" xfId="13754" xr:uid="{DD64DF2D-5A7B-43F9-8CA7-1BB23ECFC134}"/>
    <cellStyle name="Normal 9 3 4 2 4" xfId="17977" xr:uid="{0C0A319F-5092-4886-8806-039656C52D9D}"/>
    <cellStyle name="Normal 9 3 4 2 5" xfId="9536" xr:uid="{DF158DBB-3A09-494F-9214-08ECED453FF5}"/>
    <cellStyle name="Normal 9 3 4 3" xfId="1417" xr:uid="{00000000-0005-0000-0000-000027200000}"/>
    <cellStyle name="Normal 9 3 4 3 2" xfId="3647" xr:uid="{00000000-0005-0000-0000-000028200000}"/>
    <cellStyle name="Normal 9 3 4 3 2 2" xfId="7870" xr:uid="{00000000-0005-0000-0000-000029200000}"/>
    <cellStyle name="Normal 9 3 4 3 2 2 2" xfId="24753" xr:uid="{56F215A3-CF10-4E6C-A4A1-DB959530BAB6}"/>
    <cellStyle name="Normal 9 3 4 3 2 2 3" xfId="16312" xr:uid="{111DFCBA-49BD-40EB-978B-909EF833516B}"/>
    <cellStyle name="Normal 9 3 4 3 2 3" xfId="20535" xr:uid="{75CD5B20-9A63-4E8C-AE62-C97E7F897411}"/>
    <cellStyle name="Normal 9 3 4 3 2 4" xfId="12094" xr:uid="{7C0E5E05-7214-4168-BF67-5EC755455225}"/>
    <cellStyle name="Normal 9 3 4 3 3" xfId="5725" xr:uid="{00000000-0005-0000-0000-00002A200000}"/>
    <cellStyle name="Normal 9 3 4 3 3 2" xfId="22608" xr:uid="{F82168F5-44C0-410D-B569-9CED896A49D2}"/>
    <cellStyle name="Normal 9 3 4 3 3 3" xfId="14167" xr:uid="{431DF384-D9F7-47BA-8BAE-BF5CAF042E51}"/>
    <cellStyle name="Normal 9 3 4 3 4" xfId="18390" xr:uid="{B8086587-B499-4808-BB0F-0C7E8DA30D3C}"/>
    <cellStyle name="Normal 9 3 4 3 5" xfId="9949" xr:uid="{FE0A2501-F7D1-4DFB-A318-06ED3190C0C2}"/>
    <cellStyle name="Normal 9 3 4 4" xfId="1830" xr:uid="{00000000-0005-0000-0000-00002B200000}"/>
    <cellStyle name="Normal 9 3 4 4 2" xfId="4060" xr:uid="{00000000-0005-0000-0000-00002C200000}"/>
    <cellStyle name="Normal 9 3 4 4 2 2" xfId="8283" xr:uid="{00000000-0005-0000-0000-00002D200000}"/>
    <cellStyle name="Normal 9 3 4 4 2 2 2" xfId="25166" xr:uid="{AA62FBD1-B8B0-4945-9337-E6C9AA91F181}"/>
    <cellStyle name="Normal 9 3 4 4 2 2 3" xfId="16725" xr:uid="{BB405087-F107-49A4-A1B5-2D98B1B9734F}"/>
    <cellStyle name="Normal 9 3 4 4 2 3" xfId="20948" xr:uid="{5A72D6E3-77DC-4EF2-9BA8-8849D7FA6768}"/>
    <cellStyle name="Normal 9 3 4 4 2 4" xfId="12507" xr:uid="{F1C8F333-3849-403B-9031-5C630D61AA16}"/>
    <cellStyle name="Normal 9 3 4 4 3" xfId="6138" xr:uid="{00000000-0005-0000-0000-00002E200000}"/>
    <cellStyle name="Normal 9 3 4 4 3 2" xfId="23021" xr:uid="{36373213-3BB3-46EF-BE6C-0A04C1769B31}"/>
    <cellStyle name="Normal 9 3 4 4 3 3" xfId="14580" xr:uid="{CF44C95B-97D0-41B4-96EA-DD53031FA105}"/>
    <cellStyle name="Normal 9 3 4 4 4" xfId="18803" xr:uid="{93C8635D-8069-45F6-A127-C75890BAF28C}"/>
    <cellStyle name="Normal 9 3 4 4 5" xfId="10362" xr:uid="{CBBE2B9F-9333-43CC-9892-93BF6E210CBD}"/>
    <cellStyle name="Normal 9 3 4 5" xfId="2244" xr:uid="{00000000-0005-0000-0000-00002F200000}"/>
    <cellStyle name="Normal 9 3 4 5 2" xfId="4473" xr:uid="{00000000-0005-0000-0000-000030200000}"/>
    <cellStyle name="Normal 9 3 4 5 2 2" xfId="8696" xr:uid="{00000000-0005-0000-0000-000031200000}"/>
    <cellStyle name="Normal 9 3 4 5 2 2 2" xfId="25579" xr:uid="{54C09DDA-C218-4A78-94B0-2DB854D5BB36}"/>
    <cellStyle name="Normal 9 3 4 5 2 2 3" xfId="17138" xr:uid="{6F4476E6-6B2C-496A-A4BF-EF4F1AF02EAC}"/>
    <cellStyle name="Normal 9 3 4 5 2 3" xfId="21361" xr:uid="{7312F162-6EB0-499D-B04A-16BB1A983452}"/>
    <cellStyle name="Normal 9 3 4 5 2 4" xfId="12920" xr:uid="{6B272B21-6A4B-4152-818F-E0A4A8C83772}"/>
    <cellStyle name="Normal 9 3 4 5 3" xfId="6551" xr:uid="{00000000-0005-0000-0000-000032200000}"/>
    <cellStyle name="Normal 9 3 4 5 3 2" xfId="23434" xr:uid="{0E4A93B6-B0A7-455C-B08F-583BC31372AD}"/>
    <cellStyle name="Normal 9 3 4 5 3 3" xfId="14993" xr:uid="{539C6643-76DD-4D98-A877-CAD65FED4C6A}"/>
    <cellStyle name="Normal 9 3 4 5 4" xfId="19216" xr:uid="{E1D603ED-9110-4A22-9963-622B4D6EFDA0}"/>
    <cellStyle name="Normal 9 3 4 5 5" xfId="10775" xr:uid="{C0541292-3FDA-4A68-9A8B-E3862C171635}"/>
    <cellStyle name="Normal 9 3 4 6" xfId="2680" xr:uid="{00000000-0005-0000-0000-000033200000}"/>
    <cellStyle name="Normal 9 3 4 6 2" xfId="6964" xr:uid="{00000000-0005-0000-0000-000034200000}"/>
    <cellStyle name="Normal 9 3 4 6 2 2" xfId="23847" xr:uid="{1EE0352A-51A3-47A2-8174-E199D31B38D7}"/>
    <cellStyle name="Normal 9 3 4 6 2 3" xfId="15406" xr:uid="{EBC2FCC2-F5DB-4EDD-B5A2-E2B49ECC45F6}"/>
    <cellStyle name="Normal 9 3 4 6 3" xfId="19629" xr:uid="{62D835DE-024A-444E-9450-60F2DDA0959C}"/>
    <cellStyle name="Normal 9 3 4 6 4" xfId="11188" xr:uid="{0E868CA6-12F0-44C9-80C0-59058E6DC0D3}"/>
    <cellStyle name="Normal 9 3 4 7" xfId="4899" xr:uid="{00000000-0005-0000-0000-000035200000}"/>
    <cellStyle name="Normal 9 3 4 7 2" xfId="21782" xr:uid="{014CEEC4-588D-4A00-8B76-015F0F0B6FFD}"/>
    <cellStyle name="Normal 9 3 4 7 3" xfId="13341" xr:uid="{F6E68600-9279-4B0F-A352-B4BAC7A5CF14}"/>
    <cellStyle name="Normal 9 3 4 8" xfId="17564" xr:uid="{F5CF452D-24F9-4499-8DF8-B321F008677F}"/>
    <cellStyle name="Normal 9 3 4 9" xfId="9123" xr:uid="{D59A6F5E-EC5C-4B77-BFA7-7FF8B1F76C71}"/>
    <cellStyle name="Normal 9 3 5" xfId="994" xr:uid="{00000000-0005-0000-0000-000036200000}"/>
    <cellStyle name="Normal 9 3 5 2" xfId="3227" xr:uid="{00000000-0005-0000-0000-000037200000}"/>
    <cellStyle name="Normal 9 3 5 2 2" xfId="7450" xr:uid="{00000000-0005-0000-0000-000038200000}"/>
    <cellStyle name="Normal 9 3 5 2 2 2" xfId="24333" xr:uid="{CE33BCB9-207B-4736-BB2F-1158F2939DC2}"/>
    <cellStyle name="Normal 9 3 5 2 2 3" xfId="15892" xr:uid="{66AD553D-799F-4153-8D76-2D111E883885}"/>
    <cellStyle name="Normal 9 3 5 2 3" xfId="20115" xr:uid="{14C24AE0-0466-41F2-972C-F2EE4DF23484}"/>
    <cellStyle name="Normal 9 3 5 2 4" xfId="11674" xr:uid="{9CAE3921-169F-409B-B923-F2A7CDD76099}"/>
    <cellStyle name="Normal 9 3 5 3" xfId="5305" xr:uid="{00000000-0005-0000-0000-000039200000}"/>
    <cellStyle name="Normal 9 3 5 3 2" xfId="22188" xr:uid="{B127C34E-D8B9-42CC-B6C4-D2D015B10485}"/>
    <cellStyle name="Normal 9 3 5 3 3" xfId="13747" xr:uid="{36F7894B-F202-49AB-AE9E-6FAC1C36FF6D}"/>
    <cellStyle name="Normal 9 3 5 4" xfId="17970" xr:uid="{D3F7C7DB-5B65-4E59-91CC-F29A2C1A4CC1}"/>
    <cellStyle name="Normal 9 3 5 5" xfId="9529" xr:uid="{E4279DE4-B8FF-4CD2-B127-559519A579D8}"/>
    <cellStyle name="Normal 9 3 6" xfId="1410" xr:uid="{00000000-0005-0000-0000-00003A200000}"/>
    <cellStyle name="Normal 9 3 6 2" xfId="3640" xr:uid="{00000000-0005-0000-0000-00003B200000}"/>
    <cellStyle name="Normal 9 3 6 2 2" xfId="7863" xr:uid="{00000000-0005-0000-0000-00003C200000}"/>
    <cellStyle name="Normal 9 3 6 2 2 2" xfId="24746" xr:uid="{E9473FC0-E63B-41FD-B8B0-2073A5C3D0D1}"/>
    <cellStyle name="Normal 9 3 6 2 2 3" xfId="16305" xr:uid="{A6BFBC24-B3B1-4F2F-9E03-FF09E2536EDF}"/>
    <cellStyle name="Normal 9 3 6 2 3" xfId="20528" xr:uid="{99C6D219-A588-4D63-A8A3-9DE2B54CE351}"/>
    <cellStyle name="Normal 9 3 6 2 4" xfId="12087" xr:uid="{B74C6C08-5D40-4A42-999D-A78708E97C07}"/>
    <cellStyle name="Normal 9 3 6 3" xfId="5718" xr:uid="{00000000-0005-0000-0000-00003D200000}"/>
    <cellStyle name="Normal 9 3 6 3 2" xfId="22601" xr:uid="{39D944CC-DB03-4CEE-9497-69DDC33E50E2}"/>
    <cellStyle name="Normal 9 3 6 3 3" xfId="14160" xr:uid="{3ACF792E-53D5-4A53-8070-805A81EB9BB3}"/>
    <cellStyle name="Normal 9 3 6 4" xfId="18383" xr:uid="{07D6AF79-5C29-41F7-B572-46537958CF00}"/>
    <cellStyle name="Normal 9 3 6 5" xfId="9942" xr:uid="{492E79D9-FFD1-417B-B5D1-B536E36CB487}"/>
    <cellStyle name="Normal 9 3 7" xfId="1823" xr:uid="{00000000-0005-0000-0000-00003E200000}"/>
    <cellStyle name="Normal 9 3 7 2" xfId="4053" xr:uid="{00000000-0005-0000-0000-00003F200000}"/>
    <cellStyle name="Normal 9 3 7 2 2" xfId="8276" xr:uid="{00000000-0005-0000-0000-000040200000}"/>
    <cellStyle name="Normal 9 3 7 2 2 2" xfId="25159" xr:uid="{C2C96583-8724-46D5-B23A-8DC27ECC1214}"/>
    <cellStyle name="Normal 9 3 7 2 2 3" xfId="16718" xr:uid="{A9474F20-F452-4298-91CD-5F4C42FFCD93}"/>
    <cellStyle name="Normal 9 3 7 2 3" xfId="20941" xr:uid="{6ED8520E-521C-4246-B727-327D0179D264}"/>
    <cellStyle name="Normal 9 3 7 2 4" xfId="12500" xr:uid="{D8BBB646-5CD7-4CA3-8142-7CCF5B2FFBB7}"/>
    <cellStyle name="Normal 9 3 7 3" xfId="6131" xr:uid="{00000000-0005-0000-0000-000041200000}"/>
    <cellStyle name="Normal 9 3 7 3 2" xfId="23014" xr:uid="{4F1F53D4-EC6C-4D88-A9F8-CF7D4F0D49B8}"/>
    <cellStyle name="Normal 9 3 7 3 3" xfId="14573" xr:uid="{B422D7F6-50BB-480E-B735-91CFA8A71667}"/>
    <cellStyle name="Normal 9 3 7 4" xfId="18796" xr:uid="{9FB76370-CE2D-4D7A-BD9E-1E84BE3A371A}"/>
    <cellStyle name="Normal 9 3 7 5" xfId="10355" xr:uid="{FC152A34-7F9E-4C2C-904C-007B4915FE6C}"/>
    <cellStyle name="Normal 9 3 8" xfId="2237" xr:uid="{00000000-0005-0000-0000-000042200000}"/>
    <cellStyle name="Normal 9 3 8 2" xfId="4466" xr:uid="{00000000-0005-0000-0000-000043200000}"/>
    <cellStyle name="Normal 9 3 8 2 2" xfId="8689" xr:uid="{00000000-0005-0000-0000-000044200000}"/>
    <cellStyle name="Normal 9 3 8 2 2 2" xfId="25572" xr:uid="{8DB119C4-1053-4A1C-ABBE-FD7C7C94EAB9}"/>
    <cellStyle name="Normal 9 3 8 2 2 3" xfId="17131" xr:uid="{0BF0CEC9-9B53-4340-87F0-B4FE3B387882}"/>
    <cellStyle name="Normal 9 3 8 2 3" xfId="21354" xr:uid="{13419D6A-2502-46CD-A82B-64FE621E9817}"/>
    <cellStyle name="Normal 9 3 8 2 4" xfId="12913" xr:uid="{BC2B0CB0-85EA-4E30-9BB5-1CA4B700BE80}"/>
    <cellStyle name="Normal 9 3 8 3" xfId="6544" xr:uid="{00000000-0005-0000-0000-000045200000}"/>
    <cellStyle name="Normal 9 3 8 3 2" xfId="23427" xr:uid="{ECE0CF67-162B-44E2-B179-8525792F400C}"/>
    <cellStyle name="Normal 9 3 8 3 3" xfId="14986" xr:uid="{ABD0B840-0044-4092-9E3F-A5B186540256}"/>
    <cellStyle name="Normal 9 3 8 4" xfId="19209" xr:uid="{C17B6972-FD9D-4661-93BD-58227056A5BF}"/>
    <cellStyle name="Normal 9 3 8 5" xfId="10768" xr:uid="{0E4521BC-12B0-454E-94F7-ABD1DF3A9161}"/>
    <cellStyle name="Normal 9 3 9" xfId="2673" xr:uid="{00000000-0005-0000-0000-000046200000}"/>
    <cellStyle name="Normal 9 3 9 2" xfId="6957" xr:uid="{00000000-0005-0000-0000-000047200000}"/>
    <cellStyle name="Normal 9 3 9 2 2" xfId="23840" xr:uid="{B104FC4F-2BCA-4A80-AB8B-44BEE88013B0}"/>
    <cellStyle name="Normal 9 3 9 2 3" xfId="15399" xr:uid="{80152784-BD14-495B-B251-2CA33F340AA2}"/>
    <cellStyle name="Normal 9 3 9 3" xfId="19622" xr:uid="{BE3C81AE-313F-44C8-B90F-BDAB1C9593DD}"/>
    <cellStyle name="Normal 9 3 9 4" xfId="11181" xr:uid="{4AD0795C-EF6D-4553-8598-5800E002EC74}"/>
    <cellStyle name="Normal 9 4" xfId="535" xr:uid="{00000000-0005-0000-0000-000048200000}"/>
    <cellStyle name="Normal 9 4 2" xfId="1002" xr:uid="{00000000-0005-0000-0000-000049200000}"/>
    <cellStyle name="Normal 9 5" xfId="536" xr:uid="{00000000-0005-0000-0000-00004A200000}"/>
    <cellStyle name="Normal 9 5 10" xfId="9124" xr:uid="{00D62759-BBCE-44AF-97D2-E1876DAC6B6D}"/>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24342" xr:uid="{E2AE6C37-CEED-4281-85E6-6692F22BB93E}"/>
    <cellStyle name="Normal 9 5 2 2 2 2 3" xfId="15901" xr:uid="{849CD416-F317-4A11-A7A3-64C0B97F947B}"/>
    <cellStyle name="Normal 9 5 2 2 2 3" xfId="20124" xr:uid="{D163EE25-9BFA-4929-8197-8EFB6F4AF473}"/>
    <cellStyle name="Normal 9 5 2 2 2 4" xfId="11683" xr:uid="{DA7EBE13-4A5A-419B-8BA9-A43BF31800C7}"/>
    <cellStyle name="Normal 9 5 2 2 3" xfId="5314" xr:uid="{00000000-0005-0000-0000-00004F200000}"/>
    <cellStyle name="Normal 9 5 2 2 3 2" xfId="22197" xr:uid="{C5FA504C-4F85-41BC-8A53-95E2D2CEBEF8}"/>
    <cellStyle name="Normal 9 5 2 2 3 3" xfId="13756" xr:uid="{35E0A5DD-A995-4FC6-820D-EAF1478CBB9C}"/>
    <cellStyle name="Normal 9 5 2 2 4" xfId="17979" xr:uid="{827CD03A-12D1-4932-BF43-FEDE370CA8F5}"/>
    <cellStyle name="Normal 9 5 2 2 5" xfId="9538" xr:uid="{39E6101E-1399-4A42-8801-B9FDEC64EF34}"/>
    <cellStyle name="Normal 9 5 2 3" xfId="1419" xr:uid="{00000000-0005-0000-0000-000050200000}"/>
    <cellStyle name="Normal 9 5 2 3 2" xfId="3649" xr:uid="{00000000-0005-0000-0000-000051200000}"/>
    <cellStyle name="Normal 9 5 2 3 2 2" xfId="7872" xr:uid="{00000000-0005-0000-0000-000052200000}"/>
    <cellStyle name="Normal 9 5 2 3 2 2 2" xfId="24755" xr:uid="{E3D05C5A-EDAC-4347-BDB2-3DF82D51E8E8}"/>
    <cellStyle name="Normal 9 5 2 3 2 2 3" xfId="16314" xr:uid="{ECC465BD-3D76-4FC3-94A5-831C5069D916}"/>
    <cellStyle name="Normal 9 5 2 3 2 3" xfId="20537" xr:uid="{82DFF733-29E4-462A-844F-7894A4B8B224}"/>
    <cellStyle name="Normal 9 5 2 3 2 4" xfId="12096" xr:uid="{CBF2965E-0598-4EB9-AEA8-93CEF35EE918}"/>
    <cellStyle name="Normal 9 5 2 3 3" xfId="5727" xr:uid="{00000000-0005-0000-0000-000053200000}"/>
    <cellStyle name="Normal 9 5 2 3 3 2" xfId="22610" xr:uid="{D1B23704-B877-4780-B340-9FFAAD30B9FA}"/>
    <cellStyle name="Normal 9 5 2 3 3 3" xfId="14169" xr:uid="{9EB8267C-947E-44F6-BB1A-7E3C2406A2D6}"/>
    <cellStyle name="Normal 9 5 2 3 4" xfId="18392" xr:uid="{1F63C893-E473-400A-B660-9BA9684D3405}"/>
    <cellStyle name="Normal 9 5 2 3 5" xfId="9951" xr:uid="{338A06F8-C5D5-4335-84C4-FB42EFB03230}"/>
    <cellStyle name="Normal 9 5 2 4" xfId="1832" xr:uid="{00000000-0005-0000-0000-000054200000}"/>
    <cellStyle name="Normal 9 5 2 4 2" xfId="4062" xr:uid="{00000000-0005-0000-0000-000055200000}"/>
    <cellStyle name="Normal 9 5 2 4 2 2" xfId="8285" xr:uid="{00000000-0005-0000-0000-000056200000}"/>
    <cellStyle name="Normal 9 5 2 4 2 2 2" xfId="25168" xr:uid="{48BDEABC-E839-4DCF-9AEB-BEFE7EB4D6CF}"/>
    <cellStyle name="Normal 9 5 2 4 2 2 3" xfId="16727" xr:uid="{6F4FABC8-DC0F-446F-8CF6-400A1CF87679}"/>
    <cellStyle name="Normal 9 5 2 4 2 3" xfId="20950" xr:uid="{99A4D375-8561-44CB-9390-7E8D72AE70D4}"/>
    <cellStyle name="Normal 9 5 2 4 2 4" xfId="12509" xr:uid="{FFD87C63-E880-4D3B-9933-8AE5BE9B0B40}"/>
    <cellStyle name="Normal 9 5 2 4 3" xfId="6140" xr:uid="{00000000-0005-0000-0000-000057200000}"/>
    <cellStyle name="Normal 9 5 2 4 3 2" xfId="23023" xr:uid="{42E99A4E-D53C-47D1-997F-8C4B08046169}"/>
    <cellStyle name="Normal 9 5 2 4 3 3" xfId="14582" xr:uid="{7355A061-BCC8-4193-BFD9-FBB74463D42F}"/>
    <cellStyle name="Normal 9 5 2 4 4" xfId="18805" xr:uid="{3CA297DA-19CE-49D3-B71E-DE89808185E1}"/>
    <cellStyle name="Normal 9 5 2 4 5" xfId="10364" xr:uid="{9817EF7A-CC6C-445F-A2B1-40A8A6E83502}"/>
    <cellStyle name="Normal 9 5 2 5" xfId="2246" xr:uid="{00000000-0005-0000-0000-000058200000}"/>
    <cellStyle name="Normal 9 5 2 5 2" xfId="4475" xr:uid="{00000000-0005-0000-0000-000059200000}"/>
    <cellStyle name="Normal 9 5 2 5 2 2" xfId="8698" xr:uid="{00000000-0005-0000-0000-00005A200000}"/>
    <cellStyle name="Normal 9 5 2 5 2 2 2" xfId="25581" xr:uid="{F0AADCAC-3C23-4C92-B6EC-C45369F4A2F9}"/>
    <cellStyle name="Normal 9 5 2 5 2 2 3" xfId="17140" xr:uid="{4BB6FD66-3EC5-4104-874B-685A58E9F849}"/>
    <cellStyle name="Normal 9 5 2 5 2 3" xfId="21363" xr:uid="{36DA472A-4B0B-4E3D-B166-A8D02732676A}"/>
    <cellStyle name="Normal 9 5 2 5 2 4" xfId="12922" xr:uid="{7EA64A24-AAF0-4CD2-80E0-E81DAF2561E7}"/>
    <cellStyle name="Normal 9 5 2 5 3" xfId="6553" xr:uid="{00000000-0005-0000-0000-00005B200000}"/>
    <cellStyle name="Normal 9 5 2 5 3 2" xfId="23436" xr:uid="{97D5E3DD-1D88-4DFD-84D3-C7004C671FF7}"/>
    <cellStyle name="Normal 9 5 2 5 3 3" xfId="14995" xr:uid="{98E78BCC-094B-4C5A-BD68-E96BC094A817}"/>
    <cellStyle name="Normal 9 5 2 5 4" xfId="19218" xr:uid="{D4452C15-2CA1-4BE0-8B62-F9BDE51AB2BC}"/>
    <cellStyle name="Normal 9 5 2 5 5" xfId="10777" xr:uid="{0084EE58-5605-4E41-AFA5-573F94F7866D}"/>
    <cellStyle name="Normal 9 5 2 6" xfId="2682" xr:uid="{00000000-0005-0000-0000-00005C200000}"/>
    <cellStyle name="Normal 9 5 2 6 2" xfId="6966" xr:uid="{00000000-0005-0000-0000-00005D200000}"/>
    <cellStyle name="Normal 9 5 2 6 2 2" xfId="23849" xr:uid="{E4171FC7-0E83-4B8B-8E43-A592294F4B8A}"/>
    <cellStyle name="Normal 9 5 2 6 2 3" xfId="15408" xr:uid="{0808D543-F5F3-497A-AB98-5D75C9FF6BA9}"/>
    <cellStyle name="Normal 9 5 2 6 3" xfId="19631" xr:uid="{EF3DE073-897B-40F2-AF52-E312ABA5F8F0}"/>
    <cellStyle name="Normal 9 5 2 6 4" xfId="11190" xr:uid="{C33CD448-97CB-4521-B259-9F3C18143F09}"/>
    <cellStyle name="Normal 9 5 2 7" xfId="4901" xr:uid="{00000000-0005-0000-0000-00005E200000}"/>
    <cellStyle name="Normal 9 5 2 7 2" xfId="21784" xr:uid="{C2217912-363A-453F-A337-88B20B2BD57C}"/>
    <cellStyle name="Normal 9 5 2 7 3" xfId="13343" xr:uid="{AC097082-04C3-4EDB-A5D6-A44AB16A4B30}"/>
    <cellStyle name="Normal 9 5 2 8" xfId="17566" xr:uid="{49D72D11-ACC4-424C-A26A-4A4FA6E52137}"/>
    <cellStyle name="Normal 9 5 2 9" xfId="9125" xr:uid="{32820DDE-8144-46B8-81F2-2CE0594F1801}"/>
    <cellStyle name="Normal 9 5 3" xfId="1003" xr:uid="{00000000-0005-0000-0000-00005F200000}"/>
    <cellStyle name="Normal 9 5 3 2" xfId="3235" xr:uid="{00000000-0005-0000-0000-000060200000}"/>
    <cellStyle name="Normal 9 5 3 2 2" xfId="7458" xr:uid="{00000000-0005-0000-0000-000061200000}"/>
    <cellStyle name="Normal 9 5 3 2 2 2" xfId="24341" xr:uid="{60AE4C9C-17EF-492D-9DC1-79EE979EC04B}"/>
    <cellStyle name="Normal 9 5 3 2 2 3" xfId="15900" xr:uid="{BF0B1550-64E3-4201-AD8B-2685FAFAC135}"/>
    <cellStyle name="Normal 9 5 3 2 3" xfId="20123" xr:uid="{363A64CF-9199-4A37-8A92-2FF7129B6A6C}"/>
    <cellStyle name="Normal 9 5 3 2 4" xfId="11682" xr:uid="{3521E6B2-B5C0-447E-B4F6-EB9C410DFED3}"/>
    <cellStyle name="Normal 9 5 3 3" xfId="5313" xr:uid="{00000000-0005-0000-0000-000062200000}"/>
    <cellStyle name="Normal 9 5 3 3 2" xfId="22196" xr:uid="{2177E63B-EF49-4B54-8E7E-37F416367D75}"/>
    <cellStyle name="Normal 9 5 3 3 3" xfId="13755" xr:uid="{52BC2E9D-CF79-45B7-AEF2-F7EF8A27790D}"/>
    <cellStyle name="Normal 9 5 3 4" xfId="17978" xr:uid="{766BD11B-7C9F-481F-80C7-A48E29D319DE}"/>
    <cellStyle name="Normal 9 5 3 5" xfId="9537" xr:uid="{87CC7227-0D67-4B5D-9D02-FA489D3E31C1}"/>
    <cellStyle name="Normal 9 5 4" xfId="1418" xr:uid="{00000000-0005-0000-0000-000063200000}"/>
    <cellStyle name="Normal 9 5 4 2" xfId="3648" xr:uid="{00000000-0005-0000-0000-000064200000}"/>
    <cellStyle name="Normal 9 5 4 2 2" xfId="7871" xr:uid="{00000000-0005-0000-0000-000065200000}"/>
    <cellStyle name="Normal 9 5 4 2 2 2" xfId="24754" xr:uid="{E154E1D9-042B-435C-9B80-6CA5EFAC918B}"/>
    <cellStyle name="Normal 9 5 4 2 2 3" xfId="16313" xr:uid="{45DEF3BB-641D-4C89-9713-E85A8E36A60D}"/>
    <cellStyle name="Normal 9 5 4 2 3" xfId="20536" xr:uid="{FEB889B0-1016-4D1E-A921-E89D92DCC80D}"/>
    <cellStyle name="Normal 9 5 4 2 4" xfId="12095" xr:uid="{209B4056-60CE-4CCF-B7D0-C9927399B9A6}"/>
    <cellStyle name="Normal 9 5 4 3" xfId="5726" xr:uid="{00000000-0005-0000-0000-000066200000}"/>
    <cellStyle name="Normal 9 5 4 3 2" xfId="22609" xr:uid="{28B657E0-9A9A-4C24-BA76-24CCAA8FB687}"/>
    <cellStyle name="Normal 9 5 4 3 3" xfId="14168" xr:uid="{D4B7DE85-52C8-41B6-8228-8E33F37EA2D4}"/>
    <cellStyle name="Normal 9 5 4 4" xfId="18391" xr:uid="{1E6006B3-DE1A-4C58-AD09-5F71A7DC612D}"/>
    <cellStyle name="Normal 9 5 4 5" xfId="9950" xr:uid="{8F5CE1E4-25C3-4DD6-A03E-96E93274A1D7}"/>
    <cellStyle name="Normal 9 5 5" xfId="1831" xr:uid="{00000000-0005-0000-0000-000067200000}"/>
    <cellStyle name="Normal 9 5 5 2" xfId="4061" xr:uid="{00000000-0005-0000-0000-000068200000}"/>
    <cellStyle name="Normal 9 5 5 2 2" xfId="8284" xr:uid="{00000000-0005-0000-0000-000069200000}"/>
    <cellStyle name="Normal 9 5 5 2 2 2" xfId="25167" xr:uid="{FED1FA46-FDC2-4BF2-BFBD-3ADC000271C9}"/>
    <cellStyle name="Normal 9 5 5 2 2 3" xfId="16726" xr:uid="{4B356139-9E34-4358-BD57-E715A952447B}"/>
    <cellStyle name="Normal 9 5 5 2 3" xfId="20949" xr:uid="{0DC6730F-641C-4CB2-BADC-98FCE44F9A01}"/>
    <cellStyle name="Normal 9 5 5 2 4" xfId="12508" xr:uid="{6DBFE3E9-DDFD-442B-8239-D5720F114AFC}"/>
    <cellStyle name="Normal 9 5 5 3" xfId="6139" xr:uid="{00000000-0005-0000-0000-00006A200000}"/>
    <cellStyle name="Normal 9 5 5 3 2" xfId="23022" xr:uid="{3A144E22-C86D-4678-912C-5A7A76CA6534}"/>
    <cellStyle name="Normal 9 5 5 3 3" xfId="14581" xr:uid="{1F8D9F77-5A8A-4267-B57D-A1CC2C7E77A7}"/>
    <cellStyle name="Normal 9 5 5 4" xfId="18804" xr:uid="{B3741BAC-D6D4-4C89-ABD6-1C84AF343F3C}"/>
    <cellStyle name="Normal 9 5 5 5" xfId="10363" xr:uid="{F23F78A9-D000-41F7-97D4-A176D2779FDB}"/>
    <cellStyle name="Normal 9 5 6" xfId="2245" xr:uid="{00000000-0005-0000-0000-00006B200000}"/>
    <cellStyle name="Normal 9 5 6 2" xfId="4474" xr:uid="{00000000-0005-0000-0000-00006C200000}"/>
    <cellStyle name="Normal 9 5 6 2 2" xfId="8697" xr:uid="{00000000-0005-0000-0000-00006D200000}"/>
    <cellStyle name="Normal 9 5 6 2 2 2" xfId="25580" xr:uid="{77BAC4D9-0542-4D34-9924-A4F36A9224D2}"/>
    <cellStyle name="Normal 9 5 6 2 2 3" xfId="17139" xr:uid="{E2E03BC3-E5B7-4B72-B394-5EE2CD8BE83C}"/>
    <cellStyle name="Normal 9 5 6 2 3" xfId="21362" xr:uid="{7BF96DAF-5B41-46AF-AE9F-4FB449898E1E}"/>
    <cellStyle name="Normal 9 5 6 2 4" xfId="12921" xr:uid="{A21A126E-1BD5-46C2-9BEE-C494D2ECFC29}"/>
    <cellStyle name="Normal 9 5 6 3" xfId="6552" xr:uid="{00000000-0005-0000-0000-00006E200000}"/>
    <cellStyle name="Normal 9 5 6 3 2" xfId="23435" xr:uid="{A42918FC-3C78-4B41-ACB1-FE3DBE395AE1}"/>
    <cellStyle name="Normal 9 5 6 3 3" xfId="14994" xr:uid="{20B220FE-E1B2-4543-AAE8-0F1F83DEA814}"/>
    <cellStyle name="Normal 9 5 6 4" xfId="19217" xr:uid="{273DE9A3-5ACA-4D53-999C-99AE23B51817}"/>
    <cellStyle name="Normal 9 5 6 5" xfId="10776" xr:uid="{501784E2-8223-45C7-851F-A14F2A7BAA8A}"/>
    <cellStyle name="Normal 9 5 7" xfId="2681" xr:uid="{00000000-0005-0000-0000-00006F200000}"/>
    <cellStyle name="Normal 9 5 7 2" xfId="6965" xr:uid="{00000000-0005-0000-0000-000070200000}"/>
    <cellStyle name="Normal 9 5 7 2 2" xfId="23848" xr:uid="{7B9A08D4-6E43-48FB-B96A-84CCB7F4A5A7}"/>
    <cellStyle name="Normal 9 5 7 2 3" xfId="15407" xr:uid="{26FB0012-3F16-4722-8A33-93B02273D253}"/>
    <cellStyle name="Normal 9 5 7 3" xfId="19630" xr:uid="{A9395353-50AF-4629-B7EA-D96698DF7D0A}"/>
    <cellStyle name="Normal 9 5 7 4" xfId="11189" xr:uid="{95360816-11CA-4AA4-8E53-4C1F5579562B}"/>
    <cellStyle name="Normal 9 5 8" xfId="4900" xr:uid="{00000000-0005-0000-0000-000071200000}"/>
    <cellStyle name="Normal 9 5 8 2" xfId="21783" xr:uid="{B2F33830-19B5-479A-8017-E466B7716151}"/>
    <cellStyle name="Normal 9 5 8 3" xfId="13342" xr:uid="{AE3E93A5-D937-4CAC-AC71-369E8A3BA14E}"/>
    <cellStyle name="Normal 9 5 9" xfId="17565" xr:uid="{281673BF-87FD-4146-A6D7-14342E0385EC}"/>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24343" xr:uid="{47203F74-2FED-489E-AB6A-991316A8BEE2}"/>
    <cellStyle name="Normal 9 6 2 2 2 3" xfId="15902" xr:uid="{DBBDE801-4DC7-45E2-9128-FA0AE44C4E90}"/>
    <cellStyle name="Normal 9 6 2 2 3" xfId="20125" xr:uid="{4F30F71E-9690-401F-ADCA-D564CEC76DC3}"/>
    <cellStyle name="Normal 9 6 2 2 4" xfId="11684" xr:uid="{E4A838B4-EB5A-4E03-8E92-543AF35384F5}"/>
    <cellStyle name="Normal 9 6 2 3" xfId="5315" xr:uid="{00000000-0005-0000-0000-000076200000}"/>
    <cellStyle name="Normal 9 6 2 3 2" xfId="22198" xr:uid="{C2A7F304-D372-4BA9-A0CB-62C13284AF4A}"/>
    <cellStyle name="Normal 9 6 2 3 3" xfId="13757" xr:uid="{B5FDC638-176B-4E0C-BFF3-E17E2567B6DC}"/>
    <cellStyle name="Normal 9 6 2 4" xfId="17980" xr:uid="{349483F7-A663-4C7A-9EDC-9173A737E544}"/>
    <cellStyle name="Normal 9 6 2 5" xfId="9539" xr:uid="{4261D9A1-FFE8-4026-AB12-B4CD488B1D1F}"/>
    <cellStyle name="Normal 9 6 3" xfId="1420" xr:uid="{00000000-0005-0000-0000-000077200000}"/>
    <cellStyle name="Normal 9 6 3 2" xfId="3650" xr:uid="{00000000-0005-0000-0000-000078200000}"/>
    <cellStyle name="Normal 9 6 3 2 2" xfId="7873" xr:uid="{00000000-0005-0000-0000-000079200000}"/>
    <cellStyle name="Normal 9 6 3 2 2 2" xfId="24756" xr:uid="{E083DBAE-796F-405F-B977-F5EF9D186BE0}"/>
    <cellStyle name="Normal 9 6 3 2 2 3" xfId="16315" xr:uid="{344B2F9F-40E1-4E0A-B235-1A875D2FDBC3}"/>
    <cellStyle name="Normal 9 6 3 2 3" xfId="20538" xr:uid="{3E534693-E35E-4E00-9BC3-E83D65CF3C0C}"/>
    <cellStyle name="Normal 9 6 3 2 4" xfId="12097" xr:uid="{282B2FD2-3953-439D-8E9C-AD940FBAA371}"/>
    <cellStyle name="Normal 9 6 3 3" xfId="5728" xr:uid="{00000000-0005-0000-0000-00007A200000}"/>
    <cellStyle name="Normal 9 6 3 3 2" xfId="22611" xr:uid="{412325BB-BC72-4E44-8AE9-DA667274E6F6}"/>
    <cellStyle name="Normal 9 6 3 3 3" xfId="14170" xr:uid="{2D6F60FE-4CB7-4EC4-B8E7-6B14A11750D1}"/>
    <cellStyle name="Normal 9 6 3 4" xfId="18393" xr:uid="{B11C08D7-01C8-4B22-94AE-2C338CD21CF6}"/>
    <cellStyle name="Normal 9 6 3 5" xfId="9952" xr:uid="{201954FF-8EE7-4930-97FC-76AC08659E5F}"/>
    <cellStyle name="Normal 9 6 4" xfId="1833" xr:uid="{00000000-0005-0000-0000-00007B200000}"/>
    <cellStyle name="Normal 9 6 4 2" xfId="4063" xr:uid="{00000000-0005-0000-0000-00007C200000}"/>
    <cellStyle name="Normal 9 6 4 2 2" xfId="8286" xr:uid="{00000000-0005-0000-0000-00007D200000}"/>
    <cellStyle name="Normal 9 6 4 2 2 2" xfId="25169" xr:uid="{8259D6C6-791A-4459-A505-93EE32CCD8B2}"/>
    <cellStyle name="Normal 9 6 4 2 2 3" xfId="16728" xr:uid="{B62B7915-2FCC-46A9-A34D-B5B1325035C9}"/>
    <cellStyle name="Normal 9 6 4 2 3" xfId="20951" xr:uid="{97FCB83F-493D-4048-BD80-04562CE827B1}"/>
    <cellStyle name="Normal 9 6 4 2 4" xfId="12510" xr:uid="{37343F40-2B43-46E2-BFD4-43CBF3BC7257}"/>
    <cellStyle name="Normal 9 6 4 3" xfId="6141" xr:uid="{00000000-0005-0000-0000-00007E200000}"/>
    <cellStyle name="Normal 9 6 4 3 2" xfId="23024" xr:uid="{6A2D0607-469D-4F28-A0DB-88A17AF2DACB}"/>
    <cellStyle name="Normal 9 6 4 3 3" xfId="14583" xr:uid="{A61BE133-5966-4F2D-8455-E055FFBBD975}"/>
    <cellStyle name="Normal 9 6 4 4" xfId="18806" xr:uid="{1875679A-A102-4763-8541-3B0C634F83D7}"/>
    <cellStyle name="Normal 9 6 4 5" xfId="10365" xr:uid="{B9336B56-031A-4A3F-99F7-60C5B356AD02}"/>
    <cellStyle name="Normal 9 6 5" xfId="2247" xr:uid="{00000000-0005-0000-0000-00007F200000}"/>
    <cellStyle name="Normal 9 6 5 2" xfId="4476" xr:uid="{00000000-0005-0000-0000-000080200000}"/>
    <cellStyle name="Normal 9 6 5 2 2" xfId="8699" xr:uid="{00000000-0005-0000-0000-000081200000}"/>
    <cellStyle name="Normal 9 6 5 2 2 2" xfId="25582" xr:uid="{C335E755-974F-4897-9D92-406540B54BFC}"/>
    <cellStyle name="Normal 9 6 5 2 2 3" xfId="17141" xr:uid="{814AEF7C-A7B2-43B4-934B-025A92E88F0D}"/>
    <cellStyle name="Normal 9 6 5 2 3" xfId="21364" xr:uid="{AAD14B49-44B0-4729-B8D5-5094CC2AB746}"/>
    <cellStyle name="Normal 9 6 5 2 4" xfId="12923" xr:uid="{9ACD0BE4-7049-45C8-A26A-B052007AAB70}"/>
    <cellStyle name="Normal 9 6 5 3" xfId="6554" xr:uid="{00000000-0005-0000-0000-000082200000}"/>
    <cellStyle name="Normal 9 6 5 3 2" xfId="23437" xr:uid="{C612BBC4-731F-410C-B715-848C9C420C87}"/>
    <cellStyle name="Normal 9 6 5 3 3" xfId="14996" xr:uid="{F2572BA1-1D65-4BE6-BB07-1E79C8A36B71}"/>
    <cellStyle name="Normal 9 6 5 4" xfId="19219" xr:uid="{3EF4D8E3-8553-4919-BB59-578DCA4C51FC}"/>
    <cellStyle name="Normal 9 6 5 5" xfId="10778" xr:uid="{21DBC06F-6271-4E27-8BF6-E2EC35F08984}"/>
    <cellStyle name="Normal 9 6 6" xfId="2683" xr:uid="{00000000-0005-0000-0000-000083200000}"/>
    <cellStyle name="Normal 9 6 6 2" xfId="6967" xr:uid="{00000000-0005-0000-0000-000084200000}"/>
    <cellStyle name="Normal 9 6 6 2 2" xfId="23850" xr:uid="{DC604646-BF8E-4CF2-BB11-8D0D30209D11}"/>
    <cellStyle name="Normal 9 6 6 2 3" xfId="15409" xr:uid="{5710FD22-A50A-4BA0-B524-16BBB6B4239A}"/>
    <cellStyle name="Normal 9 6 6 3" xfId="19632" xr:uid="{1D17A7AE-0400-4D73-B7AD-ACD873944DAF}"/>
    <cellStyle name="Normal 9 6 6 4" xfId="11191" xr:uid="{6832A262-8316-472B-B486-904A6C1A6424}"/>
    <cellStyle name="Normal 9 6 7" xfId="4902" xr:uid="{00000000-0005-0000-0000-000085200000}"/>
    <cellStyle name="Normal 9 6 7 2" xfId="21785" xr:uid="{B88A2A6D-F49C-437E-ACC3-99B19B6535CB}"/>
    <cellStyle name="Normal 9 6 7 3" xfId="13344" xr:uid="{2325A5BC-A802-4CD8-BF2B-FE7D7017A48D}"/>
    <cellStyle name="Normal 9 6 8" xfId="17567" xr:uid="{1B9BF256-DA18-4FED-8A7C-C12A8D8753E8}"/>
    <cellStyle name="Normal 9 6 9" xfId="9126" xr:uid="{5E47AA41-A6A0-4F85-A154-1F86E1C4CDB9}"/>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23931" xr:uid="{6AFBBE38-0994-47BB-843C-36F19FE6A1DE}"/>
    <cellStyle name="Note 2 2 10 2 3" xfId="15490" xr:uid="{1DB7E790-ECA2-464D-9C0B-EBBC159F4DB6}"/>
    <cellStyle name="Note 2 2 10 3" xfId="19713" xr:uid="{15F9F748-0E3B-485C-8221-EC26114BB9D9}"/>
    <cellStyle name="Note 2 2 10 4" xfId="11272" xr:uid="{8B8E9A67-901F-4063-90A2-C1D7812CF499}"/>
    <cellStyle name="Note 2 2 11" xfId="4903" xr:uid="{00000000-0005-0000-0000-000094200000}"/>
    <cellStyle name="Note 2 2 11 2" xfId="21786" xr:uid="{302B6BB5-8A62-4BCF-8E37-8EBE80133CA4}"/>
    <cellStyle name="Note 2 2 11 3" xfId="13345" xr:uid="{8320AAFF-0B38-45FF-997F-4495E8BF0A35}"/>
    <cellStyle name="Note 2 2 12" xfId="17568" xr:uid="{0C46D882-F89B-49E5-A192-4169F7126731}"/>
    <cellStyle name="Note 2 2 13" xfId="9127" xr:uid="{3CFDEED1-B540-43D5-ACA5-E51D843100D3}"/>
    <cellStyle name="Note 2 2 2" xfId="546" xr:uid="{00000000-0005-0000-0000-000095200000}"/>
    <cellStyle name="Note 2 2 2 10" xfId="4904" xr:uid="{00000000-0005-0000-0000-000096200000}"/>
    <cellStyle name="Note 2 2 2 10 2" xfId="21787" xr:uid="{983BEBB8-0145-4A99-8137-5DC40EC58BAE}"/>
    <cellStyle name="Note 2 2 2 10 3" xfId="13346" xr:uid="{A459C0D1-402D-4C6C-A291-EBF804EBE90A}"/>
    <cellStyle name="Note 2 2 2 11" xfId="17569" xr:uid="{1029B120-0F61-42BB-8DCB-EB112055556F}"/>
    <cellStyle name="Note 2 2 2 12" xfId="9128" xr:uid="{DEB63526-658F-4E9E-87E3-DDBA60FF9143}"/>
    <cellStyle name="Note 2 2 2 2" xfId="547" xr:uid="{00000000-0005-0000-0000-000097200000}"/>
    <cellStyle name="Note 2 2 2 2 10" xfId="17570" xr:uid="{14A835DC-5F3E-4FF1-BC26-38C4BAC7AD7D}"/>
    <cellStyle name="Note 2 2 2 2 11" xfId="9129" xr:uid="{EBF095FD-3E26-4633-B9C1-C7C50983EF83}"/>
    <cellStyle name="Note 2 2 2 2 2" xfId="1008" xr:uid="{00000000-0005-0000-0000-000098200000}"/>
    <cellStyle name="Note 2 2 2 2 2 2" xfId="3240" xr:uid="{00000000-0005-0000-0000-000099200000}"/>
    <cellStyle name="Note 2 2 2 2 2 2 2" xfId="7463" xr:uid="{00000000-0005-0000-0000-00009A200000}"/>
    <cellStyle name="Note 2 2 2 2 2 2 2 2" xfId="24346" xr:uid="{74D7F3E1-F2BB-4FBE-9385-82ECE14932F0}"/>
    <cellStyle name="Note 2 2 2 2 2 2 2 3" xfId="15905" xr:uid="{E110497D-CD8C-4762-A6D8-F1C52C7B8B3D}"/>
    <cellStyle name="Note 2 2 2 2 2 2 3" xfId="20128" xr:uid="{C9076BDD-D405-428C-A837-D5B65D73E63D}"/>
    <cellStyle name="Note 2 2 2 2 2 2 4" xfId="11687" xr:uid="{D44AC45D-F2AC-4F52-ADE7-24BE641F5D89}"/>
    <cellStyle name="Note 2 2 2 2 2 3" xfId="5318" xr:uid="{00000000-0005-0000-0000-00009B200000}"/>
    <cellStyle name="Note 2 2 2 2 2 3 2" xfId="22201" xr:uid="{419F9B36-3D38-4016-A6DD-0E22C2CED038}"/>
    <cellStyle name="Note 2 2 2 2 2 3 3" xfId="13760" xr:uid="{57CDC94E-0E78-4827-82CD-35DF34982417}"/>
    <cellStyle name="Note 2 2 2 2 2 4" xfId="17983" xr:uid="{C6F779D1-669F-4EE3-9E88-72E403BEB720}"/>
    <cellStyle name="Note 2 2 2 2 2 5" xfId="9542" xr:uid="{BF2D94C6-5947-41C4-BAC3-1B456697BEE1}"/>
    <cellStyle name="Note 2 2 2 2 3" xfId="1423" xr:uid="{00000000-0005-0000-0000-00009C200000}"/>
    <cellStyle name="Note 2 2 2 2 3 2" xfId="3653" xr:uid="{00000000-0005-0000-0000-00009D200000}"/>
    <cellStyle name="Note 2 2 2 2 3 2 2" xfId="7876" xr:uid="{00000000-0005-0000-0000-00009E200000}"/>
    <cellStyle name="Note 2 2 2 2 3 2 2 2" xfId="24759" xr:uid="{18BC7FE3-2031-4532-B295-53A5B786221B}"/>
    <cellStyle name="Note 2 2 2 2 3 2 2 3" xfId="16318" xr:uid="{05EDEEA6-15FA-44AF-8937-5C4F00277DA9}"/>
    <cellStyle name="Note 2 2 2 2 3 2 3" xfId="20541" xr:uid="{CA10FF3C-B523-4DCE-B589-208A590407B6}"/>
    <cellStyle name="Note 2 2 2 2 3 2 4" xfId="12100" xr:uid="{8F916A3F-B864-46E1-963C-F3D85EC36D36}"/>
    <cellStyle name="Note 2 2 2 2 3 3" xfId="5731" xr:uid="{00000000-0005-0000-0000-00009F200000}"/>
    <cellStyle name="Note 2 2 2 2 3 3 2" xfId="22614" xr:uid="{CDADD18F-33AF-4CA2-8300-61EF95616C0A}"/>
    <cellStyle name="Note 2 2 2 2 3 3 3" xfId="14173" xr:uid="{07A32656-D064-4035-84EF-6334A597F284}"/>
    <cellStyle name="Note 2 2 2 2 3 4" xfId="18396" xr:uid="{6CF264F8-0810-452F-AFF4-7BA0180E3C49}"/>
    <cellStyle name="Note 2 2 2 2 3 5" xfId="9955" xr:uid="{BCB6114C-ED2E-4700-8704-0D0AA7F2022B}"/>
    <cellStyle name="Note 2 2 2 2 4" xfId="1837" xr:uid="{00000000-0005-0000-0000-0000A0200000}"/>
    <cellStyle name="Note 2 2 2 2 4 2" xfId="4066" xr:uid="{00000000-0005-0000-0000-0000A1200000}"/>
    <cellStyle name="Note 2 2 2 2 4 2 2" xfId="8289" xr:uid="{00000000-0005-0000-0000-0000A2200000}"/>
    <cellStyle name="Note 2 2 2 2 4 2 2 2" xfId="25172" xr:uid="{7C4C1BD2-132E-4A5D-AA03-3344758A09D6}"/>
    <cellStyle name="Note 2 2 2 2 4 2 2 3" xfId="16731" xr:uid="{402E117B-9274-4588-A79A-01D15FF3C2D0}"/>
    <cellStyle name="Note 2 2 2 2 4 2 3" xfId="20954" xr:uid="{9A01EC87-120C-42FA-BCB3-A9D0030592A9}"/>
    <cellStyle name="Note 2 2 2 2 4 2 4" xfId="12513" xr:uid="{C18E0103-7816-41C6-ADA6-7B78C38B97CC}"/>
    <cellStyle name="Note 2 2 2 2 4 3" xfId="6144" xr:uid="{00000000-0005-0000-0000-0000A3200000}"/>
    <cellStyle name="Note 2 2 2 2 4 3 2" xfId="23027" xr:uid="{F1966143-E04A-49D8-B451-E8FCD2881290}"/>
    <cellStyle name="Note 2 2 2 2 4 3 3" xfId="14586" xr:uid="{EAE59A25-54A2-4FB7-B2B4-A300EC39C2B9}"/>
    <cellStyle name="Note 2 2 2 2 4 4" xfId="18809" xr:uid="{92475144-7137-4AFF-852C-CE54DD7C6B78}"/>
    <cellStyle name="Note 2 2 2 2 4 5" xfId="10368" xr:uid="{B668E69C-612D-4EAF-AF2D-19DA9916A2CB}"/>
    <cellStyle name="Note 2 2 2 2 5" xfId="2250" xr:uid="{00000000-0005-0000-0000-0000A4200000}"/>
    <cellStyle name="Note 2 2 2 2 5 2" xfId="4479" xr:uid="{00000000-0005-0000-0000-0000A5200000}"/>
    <cellStyle name="Note 2 2 2 2 5 2 2" xfId="8702" xr:uid="{00000000-0005-0000-0000-0000A6200000}"/>
    <cellStyle name="Note 2 2 2 2 5 2 2 2" xfId="25585" xr:uid="{1AC67932-16CF-4D94-BE04-A4291CC4F11E}"/>
    <cellStyle name="Note 2 2 2 2 5 2 2 3" xfId="17144" xr:uid="{4A3A6324-9E35-4503-90F0-AE36E745B855}"/>
    <cellStyle name="Note 2 2 2 2 5 2 3" xfId="21367" xr:uid="{00496735-54E4-4E87-9C5E-1FC93E819BB2}"/>
    <cellStyle name="Note 2 2 2 2 5 2 4" xfId="12926" xr:uid="{422045C4-7B1F-46A7-8322-41462DF12E65}"/>
    <cellStyle name="Note 2 2 2 2 5 3" xfId="6557" xr:uid="{00000000-0005-0000-0000-0000A7200000}"/>
    <cellStyle name="Note 2 2 2 2 5 3 2" xfId="23440" xr:uid="{6B029DC8-4D43-4E5C-B369-00A0E898588C}"/>
    <cellStyle name="Note 2 2 2 2 5 3 3" xfId="14999" xr:uid="{B3674721-96FA-4650-AA07-40097E8E5062}"/>
    <cellStyle name="Note 2 2 2 2 5 4" xfId="19222" xr:uid="{5B95FF2C-2933-427D-BBD7-D00AC1A52D7E}"/>
    <cellStyle name="Note 2 2 2 2 5 5" xfId="10781" xr:uid="{9834D918-868C-4534-8F87-197D0050ABF0}"/>
    <cellStyle name="Note 2 2 2 2 6" xfId="2686" xr:uid="{00000000-0005-0000-0000-0000A8200000}"/>
    <cellStyle name="Note 2 2 2 2 6 2" xfId="6970" xr:uid="{00000000-0005-0000-0000-0000A9200000}"/>
    <cellStyle name="Note 2 2 2 2 6 2 2" xfId="23853" xr:uid="{C1AF393B-0387-415F-BC6B-235DF6732496}"/>
    <cellStyle name="Note 2 2 2 2 6 2 3" xfId="15412" xr:uid="{2817F7C6-4BB5-4338-97D6-437305360EC7}"/>
    <cellStyle name="Note 2 2 2 2 6 3" xfId="19635" xr:uid="{13721369-433B-41C9-B031-C28EDC550AAA}"/>
    <cellStyle name="Note 2 2 2 2 6 4" xfId="11194" xr:uid="{C4EC86C7-D830-4015-BFD5-C35B9208A655}"/>
    <cellStyle name="Note 2 2 2 2 7" xfId="2745" xr:uid="{00000000-0005-0000-0000-0000AA200000}"/>
    <cellStyle name="Note 2 2 2 2 8" xfId="2826" xr:uid="{00000000-0005-0000-0000-0000AB200000}"/>
    <cellStyle name="Note 2 2 2 2 8 2" xfId="7050" xr:uid="{00000000-0005-0000-0000-0000AC200000}"/>
    <cellStyle name="Note 2 2 2 2 8 2 2" xfId="23933" xr:uid="{2A953F9D-E5BE-4950-9233-6F4A88D895C8}"/>
    <cellStyle name="Note 2 2 2 2 8 2 3" xfId="15492" xr:uid="{C4926620-EF6B-420F-B7EA-4816C7FD16A1}"/>
    <cellStyle name="Note 2 2 2 2 8 3" xfId="19715" xr:uid="{576EF10E-A061-4020-98C5-3014654C9801}"/>
    <cellStyle name="Note 2 2 2 2 8 4" xfId="11274" xr:uid="{33B62269-6F78-49D2-918F-AE0D72007DF8}"/>
    <cellStyle name="Note 2 2 2 2 9" xfId="4905" xr:uid="{00000000-0005-0000-0000-0000AD200000}"/>
    <cellStyle name="Note 2 2 2 2 9 2" xfId="21788" xr:uid="{FE71970E-68C1-4F11-A18A-5F93752F9B6E}"/>
    <cellStyle name="Note 2 2 2 2 9 3" xfId="13347" xr:uid="{3B4E1FCF-8908-4873-B338-2947122D3F4E}"/>
    <cellStyle name="Note 2 2 2 3" xfId="1007" xr:uid="{00000000-0005-0000-0000-0000AE200000}"/>
    <cellStyle name="Note 2 2 2 3 2" xfId="3239" xr:uid="{00000000-0005-0000-0000-0000AF200000}"/>
    <cellStyle name="Note 2 2 2 3 2 2" xfId="7462" xr:uid="{00000000-0005-0000-0000-0000B0200000}"/>
    <cellStyle name="Note 2 2 2 3 2 2 2" xfId="24345" xr:uid="{F8DF2DA2-D5D1-4DCF-A529-549168424052}"/>
    <cellStyle name="Note 2 2 2 3 2 2 3" xfId="15904" xr:uid="{8ED08CA1-4F1A-4E95-A0BB-9768B743A253}"/>
    <cellStyle name="Note 2 2 2 3 2 3" xfId="20127" xr:uid="{7F322199-E0A3-4016-A461-06B6D5DF1C6F}"/>
    <cellStyle name="Note 2 2 2 3 2 4" xfId="11686" xr:uid="{4BAEB4E7-F7AD-484F-A154-C66A0E7E5AD6}"/>
    <cellStyle name="Note 2 2 2 3 3" xfId="5317" xr:uid="{00000000-0005-0000-0000-0000B1200000}"/>
    <cellStyle name="Note 2 2 2 3 3 2" xfId="22200" xr:uid="{CF720E27-7F4A-4410-BC57-DCA8937C21A7}"/>
    <cellStyle name="Note 2 2 2 3 3 3" xfId="13759" xr:uid="{7FCDA1E9-5AD3-4221-923E-CEA78738E9E7}"/>
    <cellStyle name="Note 2 2 2 3 4" xfId="17982" xr:uid="{F5DD65DB-BDCF-434A-ABF0-1DB2F9EF80AC}"/>
    <cellStyle name="Note 2 2 2 3 5" xfId="9541" xr:uid="{D10B545E-2C84-446A-8990-3CF81DC3D766}"/>
    <cellStyle name="Note 2 2 2 4" xfId="1422" xr:uid="{00000000-0005-0000-0000-0000B2200000}"/>
    <cellStyle name="Note 2 2 2 4 2" xfId="3652" xr:uid="{00000000-0005-0000-0000-0000B3200000}"/>
    <cellStyle name="Note 2 2 2 4 2 2" xfId="7875" xr:uid="{00000000-0005-0000-0000-0000B4200000}"/>
    <cellStyle name="Note 2 2 2 4 2 2 2" xfId="24758" xr:uid="{4A5DC1B5-553E-4B54-A1B1-6D986EBB9641}"/>
    <cellStyle name="Note 2 2 2 4 2 2 3" xfId="16317" xr:uid="{D7D5EA7C-EEDD-4C62-A308-7E2802BB2942}"/>
    <cellStyle name="Note 2 2 2 4 2 3" xfId="20540" xr:uid="{8B3EAC5C-7ADE-4C66-88CC-E6D44CE6EFC6}"/>
    <cellStyle name="Note 2 2 2 4 2 4" xfId="12099" xr:uid="{44521A81-F082-4B3F-A1D4-C0336245B1A0}"/>
    <cellStyle name="Note 2 2 2 4 3" xfId="5730" xr:uid="{00000000-0005-0000-0000-0000B5200000}"/>
    <cellStyle name="Note 2 2 2 4 3 2" xfId="22613" xr:uid="{A0DA4B88-BF69-4BF4-B1D2-6DD3F48D52A8}"/>
    <cellStyle name="Note 2 2 2 4 3 3" xfId="14172" xr:uid="{03A27A57-C66A-4E8D-9E8F-7C9D315DAFFD}"/>
    <cellStyle name="Note 2 2 2 4 4" xfId="18395" xr:uid="{76D79E78-5B4C-4744-95A9-2DA04C859EC8}"/>
    <cellStyle name="Note 2 2 2 4 5" xfId="9954" xr:uid="{BA95E709-DEB6-49A4-A70D-88443BA4F797}"/>
    <cellStyle name="Note 2 2 2 5" xfId="1836" xr:uid="{00000000-0005-0000-0000-0000B6200000}"/>
    <cellStyle name="Note 2 2 2 5 2" xfId="4065" xr:uid="{00000000-0005-0000-0000-0000B7200000}"/>
    <cellStyle name="Note 2 2 2 5 2 2" xfId="8288" xr:uid="{00000000-0005-0000-0000-0000B8200000}"/>
    <cellStyle name="Note 2 2 2 5 2 2 2" xfId="25171" xr:uid="{36E3D72C-6AFB-4046-9FB2-98587E292A13}"/>
    <cellStyle name="Note 2 2 2 5 2 2 3" xfId="16730" xr:uid="{EC2725C0-E873-45B6-BB53-B5BCA58161D1}"/>
    <cellStyle name="Note 2 2 2 5 2 3" xfId="20953" xr:uid="{68AC9FE3-A8CB-439C-8E07-11543191A492}"/>
    <cellStyle name="Note 2 2 2 5 2 4" xfId="12512" xr:uid="{3D07C84A-D5D0-4438-92D0-D79DF7FDDB6E}"/>
    <cellStyle name="Note 2 2 2 5 3" xfId="6143" xr:uid="{00000000-0005-0000-0000-0000B9200000}"/>
    <cellStyle name="Note 2 2 2 5 3 2" xfId="23026" xr:uid="{C095C93B-0A6B-4CB4-B7BD-14C33DEBBED1}"/>
    <cellStyle name="Note 2 2 2 5 3 3" xfId="14585" xr:uid="{879A7027-FB8F-49B2-BAAE-B137485E9F9F}"/>
    <cellStyle name="Note 2 2 2 5 4" xfId="18808" xr:uid="{76A6BE6F-5D91-4222-A231-65E0C905E479}"/>
    <cellStyle name="Note 2 2 2 5 5" xfId="10367" xr:uid="{F8082E36-8EBF-42CA-91DC-614E0DE2AF83}"/>
    <cellStyle name="Note 2 2 2 6" xfId="2249" xr:uid="{00000000-0005-0000-0000-0000BA200000}"/>
    <cellStyle name="Note 2 2 2 6 2" xfId="4478" xr:uid="{00000000-0005-0000-0000-0000BB200000}"/>
    <cellStyle name="Note 2 2 2 6 2 2" xfId="8701" xr:uid="{00000000-0005-0000-0000-0000BC200000}"/>
    <cellStyle name="Note 2 2 2 6 2 2 2" xfId="25584" xr:uid="{A2A07D62-BCEF-4C34-855D-F9921C986560}"/>
    <cellStyle name="Note 2 2 2 6 2 2 3" xfId="17143" xr:uid="{E775DB21-81BB-4A1B-90B0-3ACEC5AF22E7}"/>
    <cellStyle name="Note 2 2 2 6 2 3" xfId="21366" xr:uid="{EB1BFE7F-D718-46FE-A105-EE9DC998CC7F}"/>
    <cellStyle name="Note 2 2 2 6 2 4" xfId="12925" xr:uid="{F0D72CD9-67CC-47D6-9DC2-93C9ED394309}"/>
    <cellStyle name="Note 2 2 2 6 3" xfId="6556" xr:uid="{00000000-0005-0000-0000-0000BD200000}"/>
    <cellStyle name="Note 2 2 2 6 3 2" xfId="23439" xr:uid="{4E793B56-FD92-48D5-B66A-5163A56D728B}"/>
    <cellStyle name="Note 2 2 2 6 3 3" xfId="14998" xr:uid="{BCD0008B-738A-4F46-9899-291A6427D162}"/>
    <cellStyle name="Note 2 2 2 6 4" xfId="19221" xr:uid="{B6640D32-0B75-42A3-9E74-333468D5E4F0}"/>
    <cellStyle name="Note 2 2 2 6 5" xfId="10780" xr:uid="{403D8DAC-58ED-41DD-B683-D6AAE6F599D9}"/>
    <cellStyle name="Note 2 2 2 7" xfId="2685" xr:uid="{00000000-0005-0000-0000-0000BE200000}"/>
    <cellStyle name="Note 2 2 2 7 2" xfId="6969" xr:uid="{00000000-0005-0000-0000-0000BF200000}"/>
    <cellStyle name="Note 2 2 2 7 2 2" xfId="23852" xr:uid="{B8D3B219-1AC5-4CD4-A3DC-32395E4B046C}"/>
    <cellStyle name="Note 2 2 2 7 2 3" xfId="15411" xr:uid="{E2C54A2F-3BFC-4803-92D5-5749FC483C5F}"/>
    <cellStyle name="Note 2 2 2 7 3" xfId="19634" xr:uid="{C416CA6E-49FF-4F85-ABC3-8F8C431E0998}"/>
    <cellStyle name="Note 2 2 2 7 4" xfId="11193" xr:uid="{56777E79-1E1C-418C-9E9D-598CF26888CB}"/>
    <cellStyle name="Note 2 2 2 8" xfId="2744" xr:uid="{00000000-0005-0000-0000-0000C0200000}"/>
    <cellStyle name="Note 2 2 2 9" xfId="2825" xr:uid="{00000000-0005-0000-0000-0000C1200000}"/>
    <cellStyle name="Note 2 2 2 9 2" xfId="7049" xr:uid="{00000000-0005-0000-0000-0000C2200000}"/>
    <cellStyle name="Note 2 2 2 9 2 2" xfId="23932" xr:uid="{9FB38A19-6F36-4BB9-B26E-28E66B7C3A41}"/>
    <cellStyle name="Note 2 2 2 9 2 3" xfId="15491" xr:uid="{1BBAA691-C0A9-4748-9F51-D275214C8F55}"/>
    <cellStyle name="Note 2 2 2 9 3" xfId="19714" xr:uid="{8477156C-7BE3-46A4-B9B9-3F4ED3887DAA}"/>
    <cellStyle name="Note 2 2 2 9 4" xfId="11273" xr:uid="{D0D6D76B-3845-4C78-97C1-2B382004F566}"/>
    <cellStyle name="Note 2 2 3" xfId="548" xr:uid="{00000000-0005-0000-0000-0000C3200000}"/>
    <cellStyle name="Note 2 2 3 10" xfId="17571" xr:uid="{BB406056-1289-4290-956C-204580BF1CB0}"/>
    <cellStyle name="Note 2 2 3 11" xfId="9130" xr:uid="{66FD3484-E2EA-49A1-ACD2-2B5F92E212AB}"/>
    <cellStyle name="Note 2 2 3 2" xfId="1009" xr:uid="{00000000-0005-0000-0000-0000C4200000}"/>
    <cellStyle name="Note 2 2 3 2 2" xfId="3241" xr:uid="{00000000-0005-0000-0000-0000C5200000}"/>
    <cellStyle name="Note 2 2 3 2 2 2" xfId="7464" xr:uid="{00000000-0005-0000-0000-0000C6200000}"/>
    <cellStyle name="Note 2 2 3 2 2 2 2" xfId="24347" xr:uid="{2AAEACE9-EABB-417B-9B28-17C3A3E88D60}"/>
    <cellStyle name="Note 2 2 3 2 2 2 3" xfId="15906" xr:uid="{C923A063-4F12-4E77-8903-9269D49C5590}"/>
    <cellStyle name="Note 2 2 3 2 2 3" xfId="20129" xr:uid="{E3CBA5A9-18B7-4C59-A4C4-C0A7DB49118D}"/>
    <cellStyle name="Note 2 2 3 2 2 4" xfId="11688" xr:uid="{BD9CA0A7-FA14-4A7B-880D-7885E5517805}"/>
    <cellStyle name="Note 2 2 3 2 3" xfId="5319" xr:uid="{00000000-0005-0000-0000-0000C7200000}"/>
    <cellStyle name="Note 2 2 3 2 3 2" xfId="22202" xr:uid="{A0CAAF1E-BFE9-4263-8B33-FA073120ABC8}"/>
    <cellStyle name="Note 2 2 3 2 3 3" xfId="13761" xr:uid="{5C8299EA-2F1D-4A1F-82E3-9689F3AB505E}"/>
    <cellStyle name="Note 2 2 3 2 4" xfId="17984" xr:uid="{25258920-DA73-4091-9988-F6CA27433A78}"/>
    <cellStyle name="Note 2 2 3 2 5" xfId="9543" xr:uid="{D2BD8107-F566-4F9C-BB42-6701C2FDF4F8}"/>
    <cellStyle name="Note 2 2 3 3" xfId="1424" xr:uid="{00000000-0005-0000-0000-0000C8200000}"/>
    <cellStyle name="Note 2 2 3 3 2" xfId="3654" xr:uid="{00000000-0005-0000-0000-0000C9200000}"/>
    <cellStyle name="Note 2 2 3 3 2 2" xfId="7877" xr:uid="{00000000-0005-0000-0000-0000CA200000}"/>
    <cellStyle name="Note 2 2 3 3 2 2 2" xfId="24760" xr:uid="{291BB704-DB0D-43E4-888C-1C645BA266D5}"/>
    <cellStyle name="Note 2 2 3 3 2 2 3" xfId="16319" xr:uid="{AAA124CF-0FC9-4EC4-AE83-C1F580DB2F28}"/>
    <cellStyle name="Note 2 2 3 3 2 3" xfId="20542" xr:uid="{1A145CB1-4C49-413A-95BC-2DF374C8F911}"/>
    <cellStyle name="Note 2 2 3 3 2 4" xfId="12101" xr:uid="{337CD034-7DCC-418F-A708-65CF96B38987}"/>
    <cellStyle name="Note 2 2 3 3 3" xfId="5732" xr:uid="{00000000-0005-0000-0000-0000CB200000}"/>
    <cellStyle name="Note 2 2 3 3 3 2" xfId="22615" xr:uid="{F6AABD90-1CB8-48B6-A365-0A95FDE37BD4}"/>
    <cellStyle name="Note 2 2 3 3 3 3" xfId="14174" xr:uid="{B565093A-4457-4374-82C5-6B8498E5592E}"/>
    <cellStyle name="Note 2 2 3 3 4" xfId="18397" xr:uid="{117CF496-69DD-4300-AE47-D8CB2DAAE631}"/>
    <cellStyle name="Note 2 2 3 3 5" xfId="9956" xr:uid="{BCDD66A1-07D8-42D1-BFCC-BC0AFC3106A3}"/>
    <cellStyle name="Note 2 2 3 4" xfId="1838" xr:uid="{00000000-0005-0000-0000-0000CC200000}"/>
    <cellStyle name="Note 2 2 3 4 2" xfId="4067" xr:uid="{00000000-0005-0000-0000-0000CD200000}"/>
    <cellStyle name="Note 2 2 3 4 2 2" xfId="8290" xr:uid="{00000000-0005-0000-0000-0000CE200000}"/>
    <cellStyle name="Note 2 2 3 4 2 2 2" xfId="25173" xr:uid="{7911AC6F-D89E-460E-8B18-3579D653BEB4}"/>
    <cellStyle name="Note 2 2 3 4 2 2 3" xfId="16732" xr:uid="{9A77D081-5BB0-4CD4-B58D-2AE47F83997F}"/>
    <cellStyle name="Note 2 2 3 4 2 3" xfId="20955" xr:uid="{7B6901B1-A375-47FA-BED5-E2C027095E11}"/>
    <cellStyle name="Note 2 2 3 4 2 4" xfId="12514" xr:uid="{FC782A03-CC25-412E-9C0C-20295D4D6D7B}"/>
    <cellStyle name="Note 2 2 3 4 3" xfId="6145" xr:uid="{00000000-0005-0000-0000-0000CF200000}"/>
    <cellStyle name="Note 2 2 3 4 3 2" xfId="23028" xr:uid="{CF307EA0-8D0D-4ED2-853F-0D81EDD74752}"/>
    <cellStyle name="Note 2 2 3 4 3 3" xfId="14587" xr:uid="{4759CC4B-A458-4F5C-AFF1-1CC30B116712}"/>
    <cellStyle name="Note 2 2 3 4 4" xfId="18810" xr:uid="{8C73C363-E911-43D2-B60D-5E5EC5D4DDA9}"/>
    <cellStyle name="Note 2 2 3 4 5" xfId="10369" xr:uid="{9A646A83-5A26-477C-9CA0-8A9EDFF92D02}"/>
    <cellStyle name="Note 2 2 3 5" xfId="2251" xr:uid="{00000000-0005-0000-0000-0000D0200000}"/>
    <cellStyle name="Note 2 2 3 5 2" xfId="4480" xr:uid="{00000000-0005-0000-0000-0000D1200000}"/>
    <cellStyle name="Note 2 2 3 5 2 2" xfId="8703" xr:uid="{00000000-0005-0000-0000-0000D2200000}"/>
    <cellStyle name="Note 2 2 3 5 2 2 2" xfId="25586" xr:uid="{9E830DF6-F602-4E52-BA1B-29C6EA4904E0}"/>
    <cellStyle name="Note 2 2 3 5 2 2 3" xfId="17145" xr:uid="{CD2C53D4-9D84-4AE9-91E0-AA5DBE26C052}"/>
    <cellStyle name="Note 2 2 3 5 2 3" xfId="21368" xr:uid="{DDA5EFA5-1358-43FD-ACCF-56C21087E417}"/>
    <cellStyle name="Note 2 2 3 5 2 4" xfId="12927" xr:uid="{3C5AC156-F44B-44C8-8898-EDBAA2E2F0DA}"/>
    <cellStyle name="Note 2 2 3 5 3" xfId="6558" xr:uid="{00000000-0005-0000-0000-0000D3200000}"/>
    <cellStyle name="Note 2 2 3 5 3 2" xfId="23441" xr:uid="{BF1CF93F-BBC7-4B96-B322-86879BFEAEBB}"/>
    <cellStyle name="Note 2 2 3 5 3 3" xfId="15000" xr:uid="{1CE91DC8-5184-4AA5-9189-6B038FB4D42B}"/>
    <cellStyle name="Note 2 2 3 5 4" xfId="19223" xr:uid="{CFE8C8E7-AB43-49B2-B6C4-2EC957FFA246}"/>
    <cellStyle name="Note 2 2 3 5 5" xfId="10782" xr:uid="{FFA581AD-B003-49CE-A41C-DE5C47926AEB}"/>
    <cellStyle name="Note 2 2 3 6" xfId="2687" xr:uid="{00000000-0005-0000-0000-0000D4200000}"/>
    <cellStyle name="Note 2 2 3 6 2" xfId="6971" xr:uid="{00000000-0005-0000-0000-0000D5200000}"/>
    <cellStyle name="Note 2 2 3 6 2 2" xfId="23854" xr:uid="{E09272F7-ABBE-4254-9AF9-8F8C0FFC8CAD}"/>
    <cellStyle name="Note 2 2 3 6 2 3" xfId="15413" xr:uid="{019A5965-CB09-4BBF-A04C-FD6AB63EB9E7}"/>
    <cellStyle name="Note 2 2 3 6 3" xfId="19636" xr:uid="{BC60E170-CFBB-4F52-B3BB-161617A7D51B}"/>
    <cellStyle name="Note 2 2 3 6 4" xfId="11195" xr:uid="{931648EF-AEF7-4FCC-A886-8561472798A3}"/>
    <cellStyle name="Note 2 2 3 7" xfId="2746" xr:uid="{00000000-0005-0000-0000-0000D6200000}"/>
    <cellStyle name="Note 2 2 3 8" xfId="2827" xr:uid="{00000000-0005-0000-0000-0000D7200000}"/>
    <cellStyle name="Note 2 2 3 8 2" xfId="7051" xr:uid="{00000000-0005-0000-0000-0000D8200000}"/>
    <cellStyle name="Note 2 2 3 8 2 2" xfId="23934" xr:uid="{62168F9A-BD1A-4884-B79D-1CD2AF8F81FF}"/>
    <cellStyle name="Note 2 2 3 8 2 3" xfId="15493" xr:uid="{DD038F9E-3D67-4F6E-89ED-31EA70F07467}"/>
    <cellStyle name="Note 2 2 3 8 3" xfId="19716" xr:uid="{99053C6C-9518-4EC3-9211-1E5877379837}"/>
    <cellStyle name="Note 2 2 3 8 4" xfId="11275" xr:uid="{5FCA3F4B-5F83-4C0B-809D-E9D382850313}"/>
    <cellStyle name="Note 2 2 3 9" xfId="4906" xr:uid="{00000000-0005-0000-0000-0000D9200000}"/>
    <cellStyle name="Note 2 2 3 9 2" xfId="21789" xr:uid="{AE053737-9ECD-4621-BD46-813376019A6E}"/>
    <cellStyle name="Note 2 2 3 9 3" xfId="13348" xr:uid="{0E4A67D0-408B-4F1C-95BC-7583245DE257}"/>
    <cellStyle name="Note 2 2 4" xfId="1006" xr:uid="{00000000-0005-0000-0000-0000DA200000}"/>
    <cellStyle name="Note 2 2 4 2" xfId="3238" xr:uid="{00000000-0005-0000-0000-0000DB200000}"/>
    <cellStyle name="Note 2 2 4 2 2" xfId="7461" xr:uid="{00000000-0005-0000-0000-0000DC200000}"/>
    <cellStyle name="Note 2 2 4 2 2 2" xfId="24344" xr:uid="{B0404C9C-139C-4A62-BE0E-C76A3F3BAA1C}"/>
    <cellStyle name="Note 2 2 4 2 2 3" xfId="15903" xr:uid="{71A50078-4EAD-466A-84DB-5E03222E30B3}"/>
    <cellStyle name="Note 2 2 4 2 3" xfId="20126" xr:uid="{EC46ABA0-0C9F-4D99-99DA-426054DBA1EE}"/>
    <cellStyle name="Note 2 2 4 2 4" xfId="11685" xr:uid="{2D266460-F3A0-40DD-9471-63EBA411D63A}"/>
    <cellStyle name="Note 2 2 4 3" xfId="5316" xr:uid="{00000000-0005-0000-0000-0000DD200000}"/>
    <cellStyle name="Note 2 2 4 3 2" xfId="22199" xr:uid="{4BE62C01-6365-4534-A842-BEAF751132B3}"/>
    <cellStyle name="Note 2 2 4 3 3" xfId="13758" xr:uid="{475510B7-CE2F-4829-9A8D-D1A627B4B4E9}"/>
    <cellStyle name="Note 2 2 4 4" xfId="17981" xr:uid="{4A9BBB83-55EF-49BC-B44C-DEDFAC4B9866}"/>
    <cellStyle name="Note 2 2 4 5" xfId="9540" xr:uid="{388F5968-15D6-4A46-BAC2-DEC9BD0F41B5}"/>
    <cellStyle name="Note 2 2 5" xfId="1421" xr:uid="{00000000-0005-0000-0000-0000DE200000}"/>
    <cellStyle name="Note 2 2 5 2" xfId="3651" xr:uid="{00000000-0005-0000-0000-0000DF200000}"/>
    <cellStyle name="Note 2 2 5 2 2" xfId="7874" xr:uid="{00000000-0005-0000-0000-0000E0200000}"/>
    <cellStyle name="Note 2 2 5 2 2 2" xfId="24757" xr:uid="{706513A0-45EF-40D7-8CE3-217F58C64AAD}"/>
    <cellStyle name="Note 2 2 5 2 2 3" xfId="16316" xr:uid="{6D5CAA56-7EEC-41E2-8A1D-ED903159AEE7}"/>
    <cellStyle name="Note 2 2 5 2 3" xfId="20539" xr:uid="{678E6021-15E1-4681-AFDA-0B702213AA52}"/>
    <cellStyle name="Note 2 2 5 2 4" xfId="12098" xr:uid="{DE082139-D9FF-4A94-9BE0-56F108BDC1E8}"/>
    <cellStyle name="Note 2 2 5 3" xfId="5729" xr:uid="{00000000-0005-0000-0000-0000E1200000}"/>
    <cellStyle name="Note 2 2 5 3 2" xfId="22612" xr:uid="{DFDF839E-C786-4F46-A814-453219DFA11F}"/>
    <cellStyle name="Note 2 2 5 3 3" xfId="14171" xr:uid="{17645378-3DDC-4170-9650-93B615AA2D44}"/>
    <cellStyle name="Note 2 2 5 4" xfId="18394" xr:uid="{92E13C47-0BFB-49AC-9A56-E2FAF62374E4}"/>
    <cellStyle name="Note 2 2 5 5" xfId="9953" xr:uid="{215A0C8C-1B05-45E0-A827-2F66AB74DE69}"/>
    <cellStyle name="Note 2 2 6" xfId="1835" xr:uid="{00000000-0005-0000-0000-0000E2200000}"/>
    <cellStyle name="Note 2 2 6 2" xfId="4064" xr:uid="{00000000-0005-0000-0000-0000E3200000}"/>
    <cellStyle name="Note 2 2 6 2 2" xfId="8287" xr:uid="{00000000-0005-0000-0000-0000E4200000}"/>
    <cellStyle name="Note 2 2 6 2 2 2" xfId="25170" xr:uid="{50460356-2170-4633-9805-653D4092D0A8}"/>
    <cellStyle name="Note 2 2 6 2 2 3" xfId="16729" xr:uid="{3C6DC0A1-DD04-42C0-8768-F9D9F05FCEBD}"/>
    <cellStyle name="Note 2 2 6 2 3" xfId="20952" xr:uid="{5B37EBE2-2814-4B95-AC80-E4EDA07660F5}"/>
    <cellStyle name="Note 2 2 6 2 4" xfId="12511" xr:uid="{E5D3C243-8DA9-4698-A08D-D0E4FE78E964}"/>
    <cellStyle name="Note 2 2 6 3" xfId="6142" xr:uid="{00000000-0005-0000-0000-0000E5200000}"/>
    <cellStyle name="Note 2 2 6 3 2" xfId="23025" xr:uid="{6915600D-7531-48E7-8EC9-0D2ADE80C1DE}"/>
    <cellStyle name="Note 2 2 6 3 3" xfId="14584" xr:uid="{EFAEC72D-A864-42DD-9332-1F9B89B26805}"/>
    <cellStyle name="Note 2 2 6 4" xfId="18807" xr:uid="{40717964-AA85-4192-93CF-86B3154C2151}"/>
    <cellStyle name="Note 2 2 6 5" xfId="10366" xr:uid="{4FEAE7D2-85DC-474C-BAFF-0134A1C49F20}"/>
    <cellStyle name="Note 2 2 7" xfId="2248" xr:uid="{00000000-0005-0000-0000-0000E6200000}"/>
    <cellStyle name="Note 2 2 7 2" xfId="4477" xr:uid="{00000000-0005-0000-0000-0000E7200000}"/>
    <cellStyle name="Note 2 2 7 2 2" xfId="8700" xr:uid="{00000000-0005-0000-0000-0000E8200000}"/>
    <cellStyle name="Note 2 2 7 2 2 2" xfId="25583" xr:uid="{111D5341-28C3-4E36-8C0B-9A17AAF60976}"/>
    <cellStyle name="Note 2 2 7 2 2 3" xfId="17142" xr:uid="{764F1E69-EA30-41BA-BBB1-EEDA9C2080FF}"/>
    <cellStyle name="Note 2 2 7 2 3" xfId="21365" xr:uid="{3C836933-9E49-4E3B-8C75-9D93EEC4B976}"/>
    <cellStyle name="Note 2 2 7 2 4" xfId="12924" xr:uid="{ACB47912-C242-4A44-AD9B-348C3C39833F}"/>
    <cellStyle name="Note 2 2 7 3" xfId="6555" xr:uid="{00000000-0005-0000-0000-0000E9200000}"/>
    <cellStyle name="Note 2 2 7 3 2" xfId="23438" xr:uid="{29CE20A6-3DA8-4E70-A2A6-B6A3CF9A1D29}"/>
    <cellStyle name="Note 2 2 7 3 3" xfId="14997" xr:uid="{C82DF6B3-E667-4265-AB3C-8A43416A9C86}"/>
    <cellStyle name="Note 2 2 7 4" xfId="19220" xr:uid="{7292AE1E-001F-4217-AB21-3EC8130E15B3}"/>
    <cellStyle name="Note 2 2 7 5" xfId="10779" xr:uid="{62165719-43C0-4ED2-ACC7-3F8AD84F40E9}"/>
    <cellStyle name="Note 2 2 8" xfId="2684" xr:uid="{00000000-0005-0000-0000-0000EA200000}"/>
    <cellStyle name="Note 2 2 8 2" xfId="6968" xr:uid="{00000000-0005-0000-0000-0000EB200000}"/>
    <cellStyle name="Note 2 2 8 2 2" xfId="23851" xr:uid="{7AB0D08C-3FB7-4AE9-A224-C83F92DB0E89}"/>
    <cellStyle name="Note 2 2 8 2 3" xfId="15410" xr:uid="{CBA650FA-BDB0-449A-8AD6-C072C09B8418}"/>
    <cellStyle name="Note 2 2 8 3" xfId="19633" xr:uid="{683EBE34-C775-4420-A34F-C08B989A3910}"/>
    <cellStyle name="Note 2 2 8 4" xfId="11192" xr:uid="{5B757301-37AF-44BC-8012-36633A47931A}"/>
    <cellStyle name="Note 2 2 9" xfId="2743" xr:uid="{00000000-0005-0000-0000-0000EC200000}"/>
    <cellStyle name="Note 2 3" xfId="549" xr:uid="{00000000-0005-0000-0000-0000ED200000}"/>
    <cellStyle name="Note 2 3 10" xfId="4907" xr:uid="{00000000-0005-0000-0000-0000EE200000}"/>
    <cellStyle name="Note 2 3 10 2" xfId="21790" xr:uid="{563FA14A-A0FB-4F51-A891-C2CA7377B2BB}"/>
    <cellStyle name="Note 2 3 10 3" xfId="13349" xr:uid="{E0C4661C-F5E0-43EF-BD0E-E89FF9DEBA28}"/>
    <cellStyle name="Note 2 3 11" xfId="17572" xr:uid="{ECD6BEE5-4068-4036-9ACF-05F574926CD7}"/>
    <cellStyle name="Note 2 3 12" xfId="9131" xr:uid="{7313FF48-717B-49C6-B4DB-94B1D7128C0A}"/>
    <cellStyle name="Note 2 3 2" xfId="550" xr:uid="{00000000-0005-0000-0000-0000EF200000}"/>
    <cellStyle name="Note 2 3 2 10" xfId="17573" xr:uid="{35AD2741-4300-41BB-B947-810798512C79}"/>
    <cellStyle name="Note 2 3 2 11" xfId="9132" xr:uid="{2D248021-255B-4654-A8DE-9F6E3B7B9F43}"/>
    <cellStyle name="Note 2 3 2 2" xfId="1011" xr:uid="{00000000-0005-0000-0000-0000F0200000}"/>
    <cellStyle name="Note 2 3 2 2 2" xfId="3243" xr:uid="{00000000-0005-0000-0000-0000F1200000}"/>
    <cellStyle name="Note 2 3 2 2 2 2" xfId="7466" xr:uid="{00000000-0005-0000-0000-0000F2200000}"/>
    <cellStyle name="Note 2 3 2 2 2 2 2" xfId="24349" xr:uid="{153F20C4-CE5C-4C9A-8A6C-9363559CC8A7}"/>
    <cellStyle name="Note 2 3 2 2 2 2 3" xfId="15908" xr:uid="{B180A601-366C-40CD-9F51-5DFCA6990DE7}"/>
    <cellStyle name="Note 2 3 2 2 2 3" xfId="20131" xr:uid="{8ED0980E-DE20-43A7-B0CF-57DA91C1CB44}"/>
    <cellStyle name="Note 2 3 2 2 2 4" xfId="11690" xr:uid="{EF323ED2-280B-4D56-AB8C-C625E4117294}"/>
    <cellStyle name="Note 2 3 2 2 3" xfId="5321" xr:uid="{00000000-0005-0000-0000-0000F3200000}"/>
    <cellStyle name="Note 2 3 2 2 3 2" xfId="22204" xr:uid="{4D9AD1D2-71A3-4E05-A123-4F2111F2145E}"/>
    <cellStyle name="Note 2 3 2 2 3 3" xfId="13763" xr:uid="{83371843-7D3B-4B10-A889-02C6B3E07EB2}"/>
    <cellStyle name="Note 2 3 2 2 4" xfId="17986" xr:uid="{3A04A7F5-7B27-4C0D-BACB-110437AEC502}"/>
    <cellStyle name="Note 2 3 2 2 5" xfId="9545" xr:uid="{3BAFA42B-4A90-4B21-B00D-1844F26FF585}"/>
    <cellStyle name="Note 2 3 2 3" xfId="1426" xr:uid="{00000000-0005-0000-0000-0000F4200000}"/>
    <cellStyle name="Note 2 3 2 3 2" xfId="3656" xr:uid="{00000000-0005-0000-0000-0000F5200000}"/>
    <cellStyle name="Note 2 3 2 3 2 2" xfId="7879" xr:uid="{00000000-0005-0000-0000-0000F6200000}"/>
    <cellStyle name="Note 2 3 2 3 2 2 2" xfId="24762" xr:uid="{BAD9EBE0-A226-4521-8206-0A88AE6F7B47}"/>
    <cellStyle name="Note 2 3 2 3 2 2 3" xfId="16321" xr:uid="{08A690E2-3132-4529-A2AC-7742E7C8BFDC}"/>
    <cellStyle name="Note 2 3 2 3 2 3" xfId="20544" xr:uid="{70D13083-7773-4197-B293-D52C9984962C}"/>
    <cellStyle name="Note 2 3 2 3 2 4" xfId="12103" xr:uid="{1E83AAAD-4A39-4079-9168-659BCFA30256}"/>
    <cellStyle name="Note 2 3 2 3 3" xfId="5734" xr:uid="{00000000-0005-0000-0000-0000F7200000}"/>
    <cellStyle name="Note 2 3 2 3 3 2" xfId="22617" xr:uid="{62B5B5DE-BDA4-44C2-92CD-594F5CCE941C}"/>
    <cellStyle name="Note 2 3 2 3 3 3" xfId="14176" xr:uid="{E8E6C737-21BA-4E0C-913F-3B7CB2A7FA27}"/>
    <cellStyle name="Note 2 3 2 3 4" xfId="18399" xr:uid="{48E2FBCD-56E5-4C63-BDBF-CFDDA0961DCE}"/>
    <cellStyle name="Note 2 3 2 3 5" xfId="9958" xr:uid="{DA88061B-E5C6-4347-A115-8AE7A80EF5B6}"/>
    <cellStyle name="Note 2 3 2 4" xfId="1840" xr:uid="{00000000-0005-0000-0000-0000F8200000}"/>
    <cellStyle name="Note 2 3 2 4 2" xfId="4069" xr:uid="{00000000-0005-0000-0000-0000F9200000}"/>
    <cellStyle name="Note 2 3 2 4 2 2" xfId="8292" xr:uid="{00000000-0005-0000-0000-0000FA200000}"/>
    <cellStyle name="Note 2 3 2 4 2 2 2" xfId="25175" xr:uid="{5F7957BF-4B75-4E46-AB62-30E49D49997D}"/>
    <cellStyle name="Note 2 3 2 4 2 2 3" xfId="16734" xr:uid="{0525F25C-2AD5-45B8-82B1-150B42E8BF78}"/>
    <cellStyle name="Note 2 3 2 4 2 3" xfId="20957" xr:uid="{6E125EC5-BA70-4F8F-9D12-2DF65167FD35}"/>
    <cellStyle name="Note 2 3 2 4 2 4" xfId="12516" xr:uid="{4C630494-76EC-41D0-AAE2-10EBC727C413}"/>
    <cellStyle name="Note 2 3 2 4 3" xfId="6147" xr:uid="{00000000-0005-0000-0000-0000FB200000}"/>
    <cellStyle name="Note 2 3 2 4 3 2" xfId="23030" xr:uid="{91F8CC67-EDA2-49BD-A88D-8AEE2B3E12E2}"/>
    <cellStyle name="Note 2 3 2 4 3 3" xfId="14589" xr:uid="{C706B970-8615-4253-A06B-C625C1789D50}"/>
    <cellStyle name="Note 2 3 2 4 4" xfId="18812" xr:uid="{058487D0-16EF-4D66-AF07-AE5F5106C2B1}"/>
    <cellStyle name="Note 2 3 2 4 5" xfId="10371" xr:uid="{FD094381-1ED6-499B-8FC9-AF8F74A973D4}"/>
    <cellStyle name="Note 2 3 2 5" xfId="2253" xr:uid="{00000000-0005-0000-0000-0000FC200000}"/>
    <cellStyle name="Note 2 3 2 5 2" xfId="4482" xr:uid="{00000000-0005-0000-0000-0000FD200000}"/>
    <cellStyle name="Note 2 3 2 5 2 2" xfId="8705" xr:uid="{00000000-0005-0000-0000-0000FE200000}"/>
    <cellStyle name="Note 2 3 2 5 2 2 2" xfId="25588" xr:uid="{3B3E2AF1-39FB-440E-B235-CE1929871160}"/>
    <cellStyle name="Note 2 3 2 5 2 2 3" xfId="17147" xr:uid="{B0C91A9F-3A45-4B52-9442-C30F85D62CB7}"/>
    <cellStyle name="Note 2 3 2 5 2 3" xfId="21370" xr:uid="{E0C5835B-1D41-4AC0-8FD7-35977369DE6B}"/>
    <cellStyle name="Note 2 3 2 5 2 4" xfId="12929" xr:uid="{0392AFA0-4A01-464F-93C9-E33035BFC122}"/>
    <cellStyle name="Note 2 3 2 5 3" xfId="6560" xr:uid="{00000000-0005-0000-0000-0000FF200000}"/>
    <cellStyle name="Note 2 3 2 5 3 2" xfId="23443" xr:uid="{35901F4D-2280-4329-97AC-182E69364DDC}"/>
    <cellStyle name="Note 2 3 2 5 3 3" xfId="15002" xr:uid="{5C55383D-1A18-4F03-9CF6-B7B645FC8CFF}"/>
    <cellStyle name="Note 2 3 2 5 4" xfId="19225" xr:uid="{B1798EEF-0FAB-470B-B7A2-38F6E775B521}"/>
    <cellStyle name="Note 2 3 2 5 5" xfId="10784" xr:uid="{CD32A9B3-DD5A-4747-926E-F61D3F67899D}"/>
    <cellStyle name="Note 2 3 2 6" xfId="2689" xr:uid="{00000000-0005-0000-0000-000000210000}"/>
    <cellStyle name="Note 2 3 2 6 2" xfId="6973" xr:uid="{00000000-0005-0000-0000-000001210000}"/>
    <cellStyle name="Note 2 3 2 6 2 2" xfId="23856" xr:uid="{BD0FFBCE-EE76-4E4E-A08C-6DA6EC92F7FE}"/>
    <cellStyle name="Note 2 3 2 6 2 3" xfId="15415" xr:uid="{13441025-B796-428F-8278-A2AEE4365F20}"/>
    <cellStyle name="Note 2 3 2 6 3" xfId="19638" xr:uid="{591D3B69-CFB3-4461-B9F9-129807711375}"/>
    <cellStyle name="Note 2 3 2 6 4" xfId="11197" xr:uid="{7F7BCFBF-B000-4AD5-ADC2-A3EEA13E4AF3}"/>
    <cellStyle name="Note 2 3 2 7" xfId="2748" xr:uid="{00000000-0005-0000-0000-000002210000}"/>
    <cellStyle name="Note 2 3 2 8" xfId="2829" xr:uid="{00000000-0005-0000-0000-000003210000}"/>
    <cellStyle name="Note 2 3 2 8 2" xfId="7053" xr:uid="{00000000-0005-0000-0000-000004210000}"/>
    <cellStyle name="Note 2 3 2 8 2 2" xfId="23936" xr:uid="{FC1F0007-53BF-4034-B5DF-4A89D723E5BF}"/>
    <cellStyle name="Note 2 3 2 8 2 3" xfId="15495" xr:uid="{A5AC6B05-1A7A-44B8-8EA3-EC76D621B689}"/>
    <cellStyle name="Note 2 3 2 8 3" xfId="19718" xr:uid="{B09728B0-AEAC-4887-AAAD-4606F343E68C}"/>
    <cellStyle name="Note 2 3 2 8 4" xfId="11277" xr:uid="{06C8A3E4-A3F1-4420-83B8-DA55EC4BD7FF}"/>
    <cellStyle name="Note 2 3 2 9" xfId="4908" xr:uid="{00000000-0005-0000-0000-000005210000}"/>
    <cellStyle name="Note 2 3 2 9 2" xfId="21791" xr:uid="{B6AFAE6C-CC15-4409-9C6C-0D2BFF198D9D}"/>
    <cellStyle name="Note 2 3 2 9 3" xfId="13350" xr:uid="{96CA9EA3-0AE8-4F89-A066-774F0604B507}"/>
    <cellStyle name="Note 2 3 3" xfId="1010" xr:uid="{00000000-0005-0000-0000-000006210000}"/>
    <cellStyle name="Note 2 3 3 2" xfId="3242" xr:uid="{00000000-0005-0000-0000-000007210000}"/>
    <cellStyle name="Note 2 3 3 2 2" xfId="7465" xr:uid="{00000000-0005-0000-0000-000008210000}"/>
    <cellStyle name="Note 2 3 3 2 2 2" xfId="24348" xr:uid="{80F65799-717D-45A0-BDBF-604204B988FB}"/>
    <cellStyle name="Note 2 3 3 2 2 3" xfId="15907" xr:uid="{1BA904DD-1840-457F-8990-6DBD02874656}"/>
    <cellStyle name="Note 2 3 3 2 3" xfId="20130" xr:uid="{93422F43-F739-4449-B901-7E5C12F77292}"/>
    <cellStyle name="Note 2 3 3 2 4" xfId="11689" xr:uid="{F5F321D5-22C2-4153-9D4E-A67C92CC551F}"/>
    <cellStyle name="Note 2 3 3 3" xfId="5320" xr:uid="{00000000-0005-0000-0000-000009210000}"/>
    <cellStyle name="Note 2 3 3 3 2" xfId="22203" xr:uid="{F8F3CD6F-EFD0-4D29-A084-E1D178E398F8}"/>
    <cellStyle name="Note 2 3 3 3 3" xfId="13762" xr:uid="{C949F396-3D5E-4F3C-88E1-1A687040A4EA}"/>
    <cellStyle name="Note 2 3 3 4" xfId="17985" xr:uid="{76660C2D-0161-4CFE-A9E9-F52CBFD8C214}"/>
    <cellStyle name="Note 2 3 3 5" xfId="9544" xr:uid="{585FD318-469F-4458-AAA8-923FD5F92F59}"/>
    <cellStyle name="Note 2 3 4" xfId="1425" xr:uid="{00000000-0005-0000-0000-00000A210000}"/>
    <cellStyle name="Note 2 3 4 2" xfId="3655" xr:uid="{00000000-0005-0000-0000-00000B210000}"/>
    <cellStyle name="Note 2 3 4 2 2" xfId="7878" xr:uid="{00000000-0005-0000-0000-00000C210000}"/>
    <cellStyle name="Note 2 3 4 2 2 2" xfId="24761" xr:uid="{4EC2A31C-B407-4CE7-BBB1-0375926313CD}"/>
    <cellStyle name="Note 2 3 4 2 2 3" xfId="16320" xr:uid="{4CE18D5C-1972-4CC4-A4F2-7C28B72F7670}"/>
    <cellStyle name="Note 2 3 4 2 3" xfId="20543" xr:uid="{17E1BCA3-1AFF-4BA3-94AE-5A5B503B904D}"/>
    <cellStyle name="Note 2 3 4 2 4" xfId="12102" xr:uid="{52ED7426-3EB0-4E52-8FD6-96CA5B701455}"/>
    <cellStyle name="Note 2 3 4 3" xfId="5733" xr:uid="{00000000-0005-0000-0000-00000D210000}"/>
    <cellStyle name="Note 2 3 4 3 2" xfId="22616" xr:uid="{FD1AAC13-C7DC-4A18-B675-231BC54D6D18}"/>
    <cellStyle name="Note 2 3 4 3 3" xfId="14175" xr:uid="{44DF003B-8C15-4C31-974C-60A847A392AF}"/>
    <cellStyle name="Note 2 3 4 4" xfId="18398" xr:uid="{0219B923-0E2B-4666-8C6C-9FDCBE6D0389}"/>
    <cellStyle name="Note 2 3 4 5" xfId="9957" xr:uid="{D02ADD4A-70C4-4360-8663-291B72F52331}"/>
    <cellStyle name="Note 2 3 5" xfId="1839" xr:uid="{00000000-0005-0000-0000-00000E210000}"/>
    <cellStyle name="Note 2 3 5 2" xfId="4068" xr:uid="{00000000-0005-0000-0000-00000F210000}"/>
    <cellStyle name="Note 2 3 5 2 2" xfId="8291" xr:uid="{00000000-0005-0000-0000-000010210000}"/>
    <cellStyle name="Note 2 3 5 2 2 2" xfId="25174" xr:uid="{9506A2CE-8F62-4B41-BC3E-B6F9AF834136}"/>
    <cellStyle name="Note 2 3 5 2 2 3" xfId="16733" xr:uid="{0EAE6856-F078-4189-9902-262FB653117D}"/>
    <cellStyle name="Note 2 3 5 2 3" xfId="20956" xr:uid="{A3BF9A93-EEED-42A5-BC70-11113DCF22A8}"/>
    <cellStyle name="Note 2 3 5 2 4" xfId="12515" xr:uid="{88933F66-4694-4B71-A4E5-4135974693DA}"/>
    <cellStyle name="Note 2 3 5 3" xfId="6146" xr:uid="{00000000-0005-0000-0000-000011210000}"/>
    <cellStyle name="Note 2 3 5 3 2" xfId="23029" xr:uid="{6D0554D9-7228-46CE-B9D2-CB9B176D761B}"/>
    <cellStyle name="Note 2 3 5 3 3" xfId="14588" xr:uid="{858FEA4D-F77F-4E40-A974-286784926889}"/>
    <cellStyle name="Note 2 3 5 4" xfId="18811" xr:uid="{7EC4F8AB-DCA3-4A20-A382-44162DE4DE30}"/>
    <cellStyle name="Note 2 3 5 5" xfId="10370" xr:uid="{9B2088A4-ABCF-4F54-99F0-40216AF94479}"/>
    <cellStyle name="Note 2 3 6" xfId="2252" xr:uid="{00000000-0005-0000-0000-000012210000}"/>
    <cellStyle name="Note 2 3 6 2" xfId="4481" xr:uid="{00000000-0005-0000-0000-000013210000}"/>
    <cellStyle name="Note 2 3 6 2 2" xfId="8704" xr:uid="{00000000-0005-0000-0000-000014210000}"/>
    <cellStyle name="Note 2 3 6 2 2 2" xfId="25587" xr:uid="{B66A3927-D526-40BF-923C-E4A7C8112E7A}"/>
    <cellStyle name="Note 2 3 6 2 2 3" xfId="17146" xr:uid="{D0F13C02-111E-423E-9E44-B438624C2FF9}"/>
    <cellStyle name="Note 2 3 6 2 3" xfId="21369" xr:uid="{3B8AA156-4A77-4450-87ED-F2DEAA5F328B}"/>
    <cellStyle name="Note 2 3 6 2 4" xfId="12928" xr:uid="{62164A72-EC1E-4C88-AFB8-662E239CE5F0}"/>
    <cellStyle name="Note 2 3 6 3" xfId="6559" xr:uid="{00000000-0005-0000-0000-000015210000}"/>
    <cellStyle name="Note 2 3 6 3 2" xfId="23442" xr:uid="{AED20298-5A6E-4D6F-B38A-6D3F7C83576C}"/>
    <cellStyle name="Note 2 3 6 3 3" xfId="15001" xr:uid="{41597069-3C49-4E50-8C08-0F0E05C84792}"/>
    <cellStyle name="Note 2 3 6 4" xfId="19224" xr:uid="{ADD14058-283A-4752-9FF5-77D898A0469D}"/>
    <cellStyle name="Note 2 3 6 5" xfId="10783" xr:uid="{26DD2557-13E3-4560-8A36-7B36A88AD019}"/>
    <cellStyle name="Note 2 3 7" xfId="2688" xr:uid="{00000000-0005-0000-0000-000016210000}"/>
    <cellStyle name="Note 2 3 7 2" xfId="6972" xr:uid="{00000000-0005-0000-0000-000017210000}"/>
    <cellStyle name="Note 2 3 7 2 2" xfId="23855" xr:uid="{9CCC20F3-C418-4BCD-98A9-D5436337E501}"/>
    <cellStyle name="Note 2 3 7 2 3" xfId="15414" xr:uid="{4ACD20C5-BF71-4336-B654-EC76FD049E99}"/>
    <cellStyle name="Note 2 3 7 3" xfId="19637" xr:uid="{ACD543BB-C0DE-4C3E-9442-7BE2EC0C2BD6}"/>
    <cellStyle name="Note 2 3 7 4" xfId="11196" xr:uid="{2B045379-3BF7-43AB-A432-F0FEEF9B372E}"/>
    <cellStyle name="Note 2 3 8" xfId="2747" xr:uid="{00000000-0005-0000-0000-000018210000}"/>
    <cellStyle name="Note 2 3 9" xfId="2828" xr:uid="{00000000-0005-0000-0000-000019210000}"/>
    <cellStyle name="Note 2 3 9 2" xfId="7052" xr:uid="{00000000-0005-0000-0000-00001A210000}"/>
    <cellStyle name="Note 2 3 9 2 2" xfId="23935" xr:uid="{89D01C30-8716-4E01-A981-4E5E6BD5F975}"/>
    <cellStyle name="Note 2 3 9 2 3" xfId="15494" xr:uid="{87EBCC15-EC1C-4AF2-ABFA-DC41A151D8E1}"/>
    <cellStyle name="Note 2 3 9 3" xfId="19717" xr:uid="{FE0567E5-ABC2-4048-87DA-742C68C4C1BB}"/>
    <cellStyle name="Note 2 3 9 4" xfId="11276" xr:uid="{6B32EB5C-197C-4E1E-A72B-2B6885281FBF}"/>
    <cellStyle name="Note 2 4" xfId="551" xr:uid="{00000000-0005-0000-0000-00001B210000}"/>
    <cellStyle name="Note 2 4 10" xfId="17574" xr:uid="{D1DE5015-ED54-4573-82EA-DD2DCC9F03E4}"/>
    <cellStyle name="Note 2 4 11" xfId="9133" xr:uid="{A1F15BCF-E407-4614-9F66-C62637CDCE5E}"/>
    <cellStyle name="Note 2 4 2" xfId="1012" xr:uid="{00000000-0005-0000-0000-00001C210000}"/>
    <cellStyle name="Note 2 4 2 2" xfId="3244" xr:uid="{00000000-0005-0000-0000-00001D210000}"/>
    <cellStyle name="Note 2 4 2 2 2" xfId="7467" xr:uid="{00000000-0005-0000-0000-00001E210000}"/>
    <cellStyle name="Note 2 4 2 2 2 2" xfId="24350" xr:uid="{D90A562E-24B4-498A-9DA7-82167DF7FE0F}"/>
    <cellStyle name="Note 2 4 2 2 2 3" xfId="15909" xr:uid="{95539A5E-3AFA-4DE0-9B74-929AB6A1EF02}"/>
    <cellStyle name="Note 2 4 2 2 3" xfId="20132" xr:uid="{88A57052-D43B-49DB-BF54-CC337CD41AC1}"/>
    <cellStyle name="Note 2 4 2 2 4" xfId="11691" xr:uid="{B1979D53-99AF-40BB-8A8C-2843AD0576BA}"/>
    <cellStyle name="Note 2 4 2 3" xfId="5322" xr:uid="{00000000-0005-0000-0000-00001F210000}"/>
    <cellStyle name="Note 2 4 2 3 2" xfId="22205" xr:uid="{735787C5-257C-4CF7-A8A7-25D7870683C1}"/>
    <cellStyle name="Note 2 4 2 3 3" xfId="13764" xr:uid="{9C678016-B41D-4EEB-BBF2-A6786B8CF339}"/>
    <cellStyle name="Note 2 4 2 4" xfId="17987" xr:uid="{170645DF-6A2D-4405-9BF1-5DBD66499111}"/>
    <cellStyle name="Note 2 4 2 5" xfId="9546" xr:uid="{EC49142E-C7ED-4241-AE63-EA652C929927}"/>
    <cellStyle name="Note 2 4 3" xfId="1427" xr:uid="{00000000-0005-0000-0000-000020210000}"/>
    <cellStyle name="Note 2 4 3 2" xfId="3657" xr:uid="{00000000-0005-0000-0000-000021210000}"/>
    <cellStyle name="Note 2 4 3 2 2" xfId="7880" xr:uid="{00000000-0005-0000-0000-000022210000}"/>
    <cellStyle name="Note 2 4 3 2 2 2" xfId="24763" xr:uid="{D67938BE-1984-4540-9A93-893456760852}"/>
    <cellStyle name="Note 2 4 3 2 2 3" xfId="16322" xr:uid="{605218FC-2CEA-46EC-A0FC-4E949E14710B}"/>
    <cellStyle name="Note 2 4 3 2 3" xfId="20545" xr:uid="{C01DA424-785B-4B51-92F1-2FD6123F170E}"/>
    <cellStyle name="Note 2 4 3 2 4" xfId="12104" xr:uid="{BB2DFA25-1E68-410D-8C48-27A0E51725A8}"/>
    <cellStyle name="Note 2 4 3 3" xfId="5735" xr:uid="{00000000-0005-0000-0000-000023210000}"/>
    <cellStyle name="Note 2 4 3 3 2" xfId="22618" xr:uid="{37789F8E-B31F-47CC-B339-32983199DCFE}"/>
    <cellStyle name="Note 2 4 3 3 3" xfId="14177" xr:uid="{03A5434F-D423-461D-81FF-E2742F34184C}"/>
    <cellStyle name="Note 2 4 3 4" xfId="18400" xr:uid="{399BDAFD-76FE-4262-8B46-27E63D39C27E}"/>
    <cellStyle name="Note 2 4 3 5" xfId="9959" xr:uid="{2348DFAF-2C7C-4688-B9AA-97032D4594DB}"/>
    <cellStyle name="Note 2 4 4" xfId="1841" xr:uid="{00000000-0005-0000-0000-000024210000}"/>
    <cellStyle name="Note 2 4 4 2" xfId="4070" xr:uid="{00000000-0005-0000-0000-000025210000}"/>
    <cellStyle name="Note 2 4 4 2 2" xfId="8293" xr:uid="{00000000-0005-0000-0000-000026210000}"/>
    <cellStyle name="Note 2 4 4 2 2 2" xfId="25176" xr:uid="{BE63DDCE-8F82-4504-A224-6616DBA73AD4}"/>
    <cellStyle name="Note 2 4 4 2 2 3" xfId="16735" xr:uid="{94455D2E-B140-454A-AC90-9192FA365387}"/>
    <cellStyle name="Note 2 4 4 2 3" xfId="20958" xr:uid="{70723DA6-0472-4CF1-A753-80EEAD9AD5E2}"/>
    <cellStyle name="Note 2 4 4 2 4" xfId="12517" xr:uid="{3D479DEA-EA8C-44E9-BC99-D983D377EEED}"/>
    <cellStyle name="Note 2 4 4 3" xfId="6148" xr:uid="{00000000-0005-0000-0000-000027210000}"/>
    <cellStyle name="Note 2 4 4 3 2" xfId="23031" xr:uid="{41194269-CE4F-4899-B59A-496E4A56FFC1}"/>
    <cellStyle name="Note 2 4 4 3 3" xfId="14590" xr:uid="{CC5AE097-C4D3-4827-B876-D7798C70DB0C}"/>
    <cellStyle name="Note 2 4 4 4" xfId="18813" xr:uid="{C7854D22-9712-4F0E-B1AB-3EFDCB3D49FA}"/>
    <cellStyle name="Note 2 4 4 5" xfId="10372" xr:uid="{3B6930EA-0ACE-4B41-ABAA-69486E2FFC4A}"/>
    <cellStyle name="Note 2 4 5" xfId="2254" xr:uid="{00000000-0005-0000-0000-000028210000}"/>
    <cellStyle name="Note 2 4 5 2" xfId="4483" xr:uid="{00000000-0005-0000-0000-000029210000}"/>
    <cellStyle name="Note 2 4 5 2 2" xfId="8706" xr:uid="{00000000-0005-0000-0000-00002A210000}"/>
    <cellStyle name="Note 2 4 5 2 2 2" xfId="25589" xr:uid="{BDA0C5F4-26A3-4243-BD6F-FFC9E88CA26D}"/>
    <cellStyle name="Note 2 4 5 2 2 3" xfId="17148" xr:uid="{499F4C09-7798-4329-9367-8EF8B8CB5F7E}"/>
    <cellStyle name="Note 2 4 5 2 3" xfId="21371" xr:uid="{B0A7B7D4-B4A0-469E-A951-D508639140D3}"/>
    <cellStyle name="Note 2 4 5 2 4" xfId="12930" xr:uid="{47166929-ADA4-413B-8C31-289E36F5F28D}"/>
    <cellStyle name="Note 2 4 5 3" xfId="6561" xr:uid="{00000000-0005-0000-0000-00002B210000}"/>
    <cellStyle name="Note 2 4 5 3 2" xfId="23444" xr:uid="{FD51C732-0B0D-4919-9F54-A934FE48D577}"/>
    <cellStyle name="Note 2 4 5 3 3" xfId="15003" xr:uid="{FB28AB4E-A2D1-46EF-8311-803C8B2A33B2}"/>
    <cellStyle name="Note 2 4 5 4" xfId="19226" xr:uid="{679577FA-6C2D-4D15-BC4D-021E6673BC25}"/>
    <cellStyle name="Note 2 4 5 5" xfId="10785" xr:uid="{12DE9B99-4C31-420D-A3DC-FD913EBC8214}"/>
    <cellStyle name="Note 2 4 6" xfId="2690" xr:uid="{00000000-0005-0000-0000-00002C210000}"/>
    <cellStyle name="Note 2 4 6 2" xfId="6974" xr:uid="{00000000-0005-0000-0000-00002D210000}"/>
    <cellStyle name="Note 2 4 6 2 2" xfId="23857" xr:uid="{62963844-11E4-434B-8931-5C971480279E}"/>
    <cellStyle name="Note 2 4 6 2 3" xfId="15416" xr:uid="{D63EBCCD-C060-446B-9EAC-721E5D164912}"/>
    <cellStyle name="Note 2 4 6 3" xfId="19639" xr:uid="{4E87CD0B-2F1F-4048-8EE7-D19E724E6406}"/>
    <cellStyle name="Note 2 4 6 4" xfId="11198" xr:uid="{E205757B-CD38-4AE0-A64F-11117236A865}"/>
    <cellStyle name="Note 2 4 7" xfId="2749" xr:uid="{00000000-0005-0000-0000-00002E210000}"/>
    <cellStyle name="Note 2 4 8" xfId="2830" xr:uid="{00000000-0005-0000-0000-00002F210000}"/>
    <cellStyle name="Note 2 4 8 2" xfId="7054" xr:uid="{00000000-0005-0000-0000-000030210000}"/>
    <cellStyle name="Note 2 4 8 2 2" xfId="23937" xr:uid="{2E362B53-C9FA-4A31-98B1-F0560D5A7ADB}"/>
    <cellStyle name="Note 2 4 8 2 3" xfId="15496" xr:uid="{A388189A-79AA-42A1-80DB-43A2FC950AD3}"/>
    <cellStyle name="Note 2 4 8 3" xfId="19719" xr:uid="{93E10084-5BEA-4AF1-9979-5BE58C29A0DB}"/>
    <cellStyle name="Note 2 4 8 4" xfId="11278" xr:uid="{AE62EA48-5DFF-43C4-AC40-83DF42AFAA27}"/>
    <cellStyle name="Note 2 4 9" xfId="4909" xr:uid="{00000000-0005-0000-0000-000031210000}"/>
    <cellStyle name="Note 2 4 9 2" xfId="21792" xr:uid="{A6A2BEDA-1012-4B49-9AEF-4CF47E4AFD26}"/>
    <cellStyle name="Note 2 4 9 3" xfId="13351" xr:uid="{0EEDAC5B-D6C0-4BB4-8A2C-B95C46D690CC}"/>
    <cellStyle name="Note 2 5" xfId="552" xr:uid="{00000000-0005-0000-0000-000032210000}"/>
    <cellStyle name="Note 2 5 10" xfId="17575" xr:uid="{7C2D83B9-4BD7-49D4-9618-545006AB6602}"/>
    <cellStyle name="Note 2 5 11" xfId="9134" xr:uid="{8054DD04-48AA-49DB-8C68-2D5D525E24C0}"/>
    <cellStyle name="Note 2 5 2" xfId="1013" xr:uid="{00000000-0005-0000-0000-000033210000}"/>
    <cellStyle name="Note 2 5 2 2" xfId="3245" xr:uid="{00000000-0005-0000-0000-000034210000}"/>
    <cellStyle name="Note 2 5 2 2 2" xfId="7468" xr:uid="{00000000-0005-0000-0000-000035210000}"/>
    <cellStyle name="Note 2 5 2 2 2 2" xfId="24351" xr:uid="{80840745-9382-4E76-948C-F2BCCE2DA625}"/>
    <cellStyle name="Note 2 5 2 2 2 3" xfId="15910" xr:uid="{65DB051A-363A-43DC-81D2-9F6F45638DC4}"/>
    <cellStyle name="Note 2 5 2 2 3" xfId="20133" xr:uid="{FA8ABAAD-5154-4491-8611-2844458FE38E}"/>
    <cellStyle name="Note 2 5 2 2 4" xfId="11692" xr:uid="{7839D990-9F79-4629-9B0B-BE9B75A61554}"/>
    <cellStyle name="Note 2 5 2 3" xfId="5323" xr:uid="{00000000-0005-0000-0000-000036210000}"/>
    <cellStyle name="Note 2 5 2 3 2" xfId="22206" xr:uid="{F9A9A9DA-F08F-4B4A-A9E9-3B319FF8AF6B}"/>
    <cellStyle name="Note 2 5 2 3 3" xfId="13765" xr:uid="{1352C7C9-113A-4CE0-ABD2-D1AF00E0E5BA}"/>
    <cellStyle name="Note 2 5 2 4" xfId="17988" xr:uid="{1E4898AC-EB6B-4285-85C6-46655018FD79}"/>
    <cellStyle name="Note 2 5 2 5" xfId="9547" xr:uid="{8DA37180-F40E-4467-960F-7471F0985C8B}"/>
    <cellStyle name="Note 2 5 3" xfId="1428" xr:uid="{00000000-0005-0000-0000-000037210000}"/>
    <cellStyle name="Note 2 5 3 2" xfId="3658" xr:uid="{00000000-0005-0000-0000-000038210000}"/>
    <cellStyle name="Note 2 5 3 2 2" xfId="7881" xr:uid="{00000000-0005-0000-0000-000039210000}"/>
    <cellStyle name="Note 2 5 3 2 2 2" xfId="24764" xr:uid="{42425566-73EA-42B2-A7E2-8AAFD6B0FF12}"/>
    <cellStyle name="Note 2 5 3 2 2 3" xfId="16323" xr:uid="{15077046-5439-44D6-B2A0-867A90E2AC2B}"/>
    <cellStyle name="Note 2 5 3 2 3" xfId="20546" xr:uid="{16D82ABC-64C5-4A6C-B532-4F06CF3584A0}"/>
    <cellStyle name="Note 2 5 3 2 4" xfId="12105" xr:uid="{1F7BED1C-8AA3-47E8-B968-68AE8242B37C}"/>
    <cellStyle name="Note 2 5 3 3" xfId="5736" xr:uid="{00000000-0005-0000-0000-00003A210000}"/>
    <cellStyle name="Note 2 5 3 3 2" xfId="22619" xr:uid="{03030CCD-129C-4E81-8DA9-A68E1D9A9F84}"/>
    <cellStyle name="Note 2 5 3 3 3" xfId="14178" xr:uid="{7973B7B5-80BE-4C0E-9327-4A3A09A14EF5}"/>
    <cellStyle name="Note 2 5 3 4" xfId="18401" xr:uid="{6B4D770E-6C1F-4C2C-A220-5384DFC195BE}"/>
    <cellStyle name="Note 2 5 3 5" xfId="9960" xr:uid="{D58EA715-978F-4493-9784-49780CE7D0CB}"/>
    <cellStyle name="Note 2 5 4" xfId="1842" xr:uid="{00000000-0005-0000-0000-00003B210000}"/>
    <cellStyle name="Note 2 5 4 2" xfId="4071" xr:uid="{00000000-0005-0000-0000-00003C210000}"/>
    <cellStyle name="Note 2 5 4 2 2" xfId="8294" xr:uid="{00000000-0005-0000-0000-00003D210000}"/>
    <cellStyle name="Note 2 5 4 2 2 2" xfId="25177" xr:uid="{8937F323-D809-4E02-B8D1-EC61DD287F16}"/>
    <cellStyle name="Note 2 5 4 2 2 3" xfId="16736" xr:uid="{75B84970-6F14-494A-ACD8-316E1AB4A0D8}"/>
    <cellStyle name="Note 2 5 4 2 3" xfId="20959" xr:uid="{E2E76E1E-5B49-4D50-BBF6-0872BDA72164}"/>
    <cellStyle name="Note 2 5 4 2 4" xfId="12518" xr:uid="{3CF56BCF-ED47-406D-B80B-4B9BEE8BE2A5}"/>
    <cellStyle name="Note 2 5 4 3" xfId="6149" xr:uid="{00000000-0005-0000-0000-00003E210000}"/>
    <cellStyle name="Note 2 5 4 3 2" xfId="23032" xr:uid="{3A8C018A-5136-4AD0-8FA0-F78F66201C59}"/>
    <cellStyle name="Note 2 5 4 3 3" xfId="14591" xr:uid="{3951BD9B-0A5F-42C2-84C8-1528F503A717}"/>
    <cellStyle name="Note 2 5 4 4" xfId="18814" xr:uid="{8FA03CEA-02A7-4060-A51A-D2BE3584EC54}"/>
    <cellStyle name="Note 2 5 4 5" xfId="10373" xr:uid="{DA76A1EF-D801-4A3E-8CCA-2C140FD4C85C}"/>
    <cellStyle name="Note 2 5 5" xfId="2255" xr:uid="{00000000-0005-0000-0000-00003F210000}"/>
    <cellStyle name="Note 2 5 5 2" xfId="4484" xr:uid="{00000000-0005-0000-0000-000040210000}"/>
    <cellStyle name="Note 2 5 5 2 2" xfId="8707" xr:uid="{00000000-0005-0000-0000-000041210000}"/>
    <cellStyle name="Note 2 5 5 2 2 2" xfId="25590" xr:uid="{525859AE-1DAC-4310-9F59-4CB8C6587C8F}"/>
    <cellStyle name="Note 2 5 5 2 2 3" xfId="17149" xr:uid="{BB6AA2A2-E2B1-4286-8CCD-8DB8FF4E5562}"/>
    <cellStyle name="Note 2 5 5 2 3" xfId="21372" xr:uid="{0083C6C3-27F0-4450-95CC-17BEB3BBB8A9}"/>
    <cellStyle name="Note 2 5 5 2 4" xfId="12931" xr:uid="{B9DF3631-F901-49FA-90D2-0EE266A785CF}"/>
    <cellStyle name="Note 2 5 5 3" xfId="6562" xr:uid="{00000000-0005-0000-0000-000042210000}"/>
    <cellStyle name="Note 2 5 5 3 2" xfId="23445" xr:uid="{61B57C13-0573-48B2-A865-B90DB0A173A0}"/>
    <cellStyle name="Note 2 5 5 3 3" xfId="15004" xr:uid="{AEDFB188-2795-4E4F-8065-652A78B62C90}"/>
    <cellStyle name="Note 2 5 5 4" xfId="19227" xr:uid="{0E169951-D0B3-41DD-90EF-63AF3E78E03E}"/>
    <cellStyle name="Note 2 5 5 5" xfId="10786" xr:uid="{C7546D4C-2F02-4291-AA7E-D72080F89BFB}"/>
    <cellStyle name="Note 2 5 6" xfId="2691" xr:uid="{00000000-0005-0000-0000-000043210000}"/>
    <cellStyle name="Note 2 5 6 2" xfId="6975" xr:uid="{00000000-0005-0000-0000-000044210000}"/>
    <cellStyle name="Note 2 5 6 2 2" xfId="23858" xr:uid="{EF2E3E69-DC28-4256-9B67-84275398FCE1}"/>
    <cellStyle name="Note 2 5 6 2 3" xfId="15417" xr:uid="{AC6C3262-37B2-48D4-91D4-0F0B62E9F8C0}"/>
    <cellStyle name="Note 2 5 6 3" xfId="19640" xr:uid="{F7DA3AF0-F39D-4F49-BF96-901441DF8BD6}"/>
    <cellStyle name="Note 2 5 6 4" xfId="11199" xr:uid="{0D932EEC-EFE5-43B7-894F-0AFB9AE2F1A4}"/>
    <cellStyle name="Note 2 5 7" xfId="2750" xr:uid="{00000000-0005-0000-0000-000045210000}"/>
    <cellStyle name="Note 2 5 8" xfId="2831" xr:uid="{00000000-0005-0000-0000-000046210000}"/>
    <cellStyle name="Note 2 5 8 2" xfId="7055" xr:uid="{00000000-0005-0000-0000-000047210000}"/>
    <cellStyle name="Note 2 5 8 2 2" xfId="23938" xr:uid="{4C4AE358-2946-46EA-BC02-FA4E7D419A67}"/>
    <cellStyle name="Note 2 5 8 2 3" xfId="15497" xr:uid="{08A665AA-357E-4614-BC35-44C6DB099087}"/>
    <cellStyle name="Note 2 5 8 3" xfId="19720" xr:uid="{4B79D124-8339-45F7-9FEE-C69729EC0106}"/>
    <cellStyle name="Note 2 5 8 4" xfId="11279" xr:uid="{CCF95AB4-8EA3-4B34-93CC-6E72A7DFD246}"/>
    <cellStyle name="Note 2 5 9" xfId="4910" xr:uid="{00000000-0005-0000-0000-000048210000}"/>
    <cellStyle name="Note 2 5 9 2" xfId="21793" xr:uid="{64229828-066E-4480-817E-7D770856284C}"/>
    <cellStyle name="Note 2 5 9 3" xfId="13352" xr:uid="{AC61F2A8-9100-4DAD-A124-7D7B52403477}"/>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23939" xr:uid="{C987EDC4-37E1-4B5C-99C5-BCD14F7B2CAE}"/>
    <cellStyle name="Note 3 2 10 2 3" xfId="15498" xr:uid="{50E81695-F38B-48F0-98BF-CCC2F423EC04}"/>
    <cellStyle name="Note 3 2 10 3" xfId="19721" xr:uid="{50D60DB5-1821-42E8-BFD1-467C794AE499}"/>
    <cellStyle name="Note 3 2 10 4" xfId="11280" xr:uid="{DC856DFC-9EAA-42BD-B62A-9487F2E58F7A}"/>
    <cellStyle name="Note 3 2 11" xfId="4911" xr:uid="{00000000-0005-0000-0000-00004D210000}"/>
    <cellStyle name="Note 3 2 11 2" xfId="21794" xr:uid="{6C9DBF2A-7032-4FA4-97C7-B15D814AB0B7}"/>
    <cellStyle name="Note 3 2 11 3" xfId="13353" xr:uid="{856391D9-552A-4CA7-B7F0-E3F680B025C7}"/>
    <cellStyle name="Note 3 2 12" xfId="17576" xr:uid="{D2076D4E-BE1F-44DB-9B43-14C52D369321}"/>
    <cellStyle name="Note 3 2 13" xfId="9135" xr:uid="{A1B5EA28-5677-4C13-9D4D-7D9AE84FDE7F}"/>
    <cellStyle name="Note 3 2 2" xfId="555" xr:uid="{00000000-0005-0000-0000-00004E210000}"/>
    <cellStyle name="Note 3 2 2 10" xfId="4912" xr:uid="{00000000-0005-0000-0000-00004F210000}"/>
    <cellStyle name="Note 3 2 2 10 2" xfId="21795" xr:uid="{6D10A675-4DBB-4091-AA2F-32444A2318B5}"/>
    <cellStyle name="Note 3 2 2 10 3" xfId="13354" xr:uid="{452D6AD1-D27B-4F63-8C17-B9D9250477F6}"/>
    <cellStyle name="Note 3 2 2 11" xfId="17577" xr:uid="{AFE77184-BED0-4656-A12C-29D80F1BDB04}"/>
    <cellStyle name="Note 3 2 2 12" xfId="9136" xr:uid="{0F2913E3-4C3B-4E9C-88AE-582CC5826829}"/>
    <cellStyle name="Note 3 2 2 2" xfId="556" xr:uid="{00000000-0005-0000-0000-000050210000}"/>
    <cellStyle name="Note 3 2 2 2 10" xfId="17578" xr:uid="{FBFA84BE-2B70-4F90-99C4-BA201EF60391}"/>
    <cellStyle name="Note 3 2 2 2 11" xfId="9137" xr:uid="{AFD348FC-7BED-47FD-B41A-E2AAFAE5A4B6}"/>
    <cellStyle name="Note 3 2 2 2 2" xfId="1016" xr:uid="{00000000-0005-0000-0000-000051210000}"/>
    <cellStyle name="Note 3 2 2 2 2 2" xfId="3248" xr:uid="{00000000-0005-0000-0000-000052210000}"/>
    <cellStyle name="Note 3 2 2 2 2 2 2" xfId="7471" xr:uid="{00000000-0005-0000-0000-000053210000}"/>
    <cellStyle name="Note 3 2 2 2 2 2 2 2" xfId="24354" xr:uid="{A2FFCEDB-0D56-40A5-BC23-A891F75299CB}"/>
    <cellStyle name="Note 3 2 2 2 2 2 2 3" xfId="15913" xr:uid="{D56AA828-B0F6-4BDC-B13B-BA0C1E43DBDC}"/>
    <cellStyle name="Note 3 2 2 2 2 2 3" xfId="20136" xr:uid="{3DFB4733-386E-4383-9A86-459F53654169}"/>
    <cellStyle name="Note 3 2 2 2 2 2 4" xfId="11695" xr:uid="{D57D3F21-A3BD-4544-96D9-DF21EF52B0A3}"/>
    <cellStyle name="Note 3 2 2 2 2 3" xfId="5326" xr:uid="{00000000-0005-0000-0000-000054210000}"/>
    <cellStyle name="Note 3 2 2 2 2 3 2" xfId="22209" xr:uid="{583D0CE4-1E48-499E-8DA4-E9ECD316D147}"/>
    <cellStyle name="Note 3 2 2 2 2 3 3" xfId="13768" xr:uid="{0E3FFCAF-3F1D-4BC8-ABDE-A439DF6A2ADC}"/>
    <cellStyle name="Note 3 2 2 2 2 4" xfId="17991" xr:uid="{A53FB0BF-3E10-49F1-8876-40F1CDC901A3}"/>
    <cellStyle name="Note 3 2 2 2 2 5" xfId="9550" xr:uid="{FCB1C468-6ECE-4ED5-9AEA-564B2EEBA17F}"/>
    <cellStyle name="Note 3 2 2 2 3" xfId="1431" xr:uid="{00000000-0005-0000-0000-000055210000}"/>
    <cellStyle name="Note 3 2 2 2 3 2" xfId="3661" xr:uid="{00000000-0005-0000-0000-000056210000}"/>
    <cellStyle name="Note 3 2 2 2 3 2 2" xfId="7884" xr:uid="{00000000-0005-0000-0000-000057210000}"/>
    <cellStyle name="Note 3 2 2 2 3 2 2 2" xfId="24767" xr:uid="{4DD17BC3-0AEC-4323-AAE8-D296B15D3328}"/>
    <cellStyle name="Note 3 2 2 2 3 2 2 3" xfId="16326" xr:uid="{4695FA82-AEA3-4089-BEB4-B1826267EDC1}"/>
    <cellStyle name="Note 3 2 2 2 3 2 3" xfId="20549" xr:uid="{D9EBCE45-51D7-45F8-A333-13DC3547FAAF}"/>
    <cellStyle name="Note 3 2 2 2 3 2 4" xfId="12108" xr:uid="{6C954D44-39F8-4D11-AC5E-7C0EA2BF4026}"/>
    <cellStyle name="Note 3 2 2 2 3 3" xfId="5739" xr:uid="{00000000-0005-0000-0000-000058210000}"/>
    <cellStyle name="Note 3 2 2 2 3 3 2" xfId="22622" xr:uid="{F649E64D-E8F2-40CC-8605-0F706E36F0C8}"/>
    <cellStyle name="Note 3 2 2 2 3 3 3" xfId="14181" xr:uid="{A1021348-D137-4734-A477-7970C9E86FA8}"/>
    <cellStyle name="Note 3 2 2 2 3 4" xfId="18404" xr:uid="{5F40893C-BC6E-4DED-BB31-2E6447B8708F}"/>
    <cellStyle name="Note 3 2 2 2 3 5" xfId="9963" xr:uid="{E2E370BB-8681-4D55-80A2-2A6A8697D05B}"/>
    <cellStyle name="Note 3 2 2 2 4" xfId="1845" xr:uid="{00000000-0005-0000-0000-000059210000}"/>
    <cellStyle name="Note 3 2 2 2 4 2" xfId="4074" xr:uid="{00000000-0005-0000-0000-00005A210000}"/>
    <cellStyle name="Note 3 2 2 2 4 2 2" xfId="8297" xr:uid="{00000000-0005-0000-0000-00005B210000}"/>
    <cellStyle name="Note 3 2 2 2 4 2 2 2" xfId="25180" xr:uid="{860FDC43-2F7A-4F78-8DF6-1E865106022A}"/>
    <cellStyle name="Note 3 2 2 2 4 2 2 3" xfId="16739" xr:uid="{7AF5B087-417C-46AE-9E17-AB07C3AF2B79}"/>
    <cellStyle name="Note 3 2 2 2 4 2 3" xfId="20962" xr:uid="{42664392-7D7F-47E0-9995-28829CDFCA9F}"/>
    <cellStyle name="Note 3 2 2 2 4 2 4" xfId="12521" xr:uid="{72A3AB88-D3BE-4BAD-B3F8-C05BC52F3E1F}"/>
    <cellStyle name="Note 3 2 2 2 4 3" xfId="6152" xr:uid="{00000000-0005-0000-0000-00005C210000}"/>
    <cellStyle name="Note 3 2 2 2 4 3 2" xfId="23035" xr:uid="{4B7BD36E-6A95-4B36-8E46-DC66588289AD}"/>
    <cellStyle name="Note 3 2 2 2 4 3 3" xfId="14594" xr:uid="{64C024BE-8979-47D2-82EA-7814652E3D38}"/>
    <cellStyle name="Note 3 2 2 2 4 4" xfId="18817" xr:uid="{586DBBB5-809C-4234-A4A2-7851882F0AFC}"/>
    <cellStyle name="Note 3 2 2 2 4 5" xfId="10376" xr:uid="{FADCE515-B817-43D4-B386-D5B0FF89A3F2}"/>
    <cellStyle name="Note 3 2 2 2 5" xfId="2258" xr:uid="{00000000-0005-0000-0000-00005D210000}"/>
    <cellStyle name="Note 3 2 2 2 5 2" xfId="4487" xr:uid="{00000000-0005-0000-0000-00005E210000}"/>
    <cellStyle name="Note 3 2 2 2 5 2 2" xfId="8710" xr:uid="{00000000-0005-0000-0000-00005F210000}"/>
    <cellStyle name="Note 3 2 2 2 5 2 2 2" xfId="25593" xr:uid="{49CDA68C-2FBF-4B28-9AA5-58CCCC772D2B}"/>
    <cellStyle name="Note 3 2 2 2 5 2 2 3" xfId="17152" xr:uid="{94A4BEEB-6617-46F5-B9F0-8A384D5FF7FB}"/>
    <cellStyle name="Note 3 2 2 2 5 2 3" xfId="21375" xr:uid="{AB8A8321-E077-4A0F-89A5-11BE32898670}"/>
    <cellStyle name="Note 3 2 2 2 5 2 4" xfId="12934" xr:uid="{4025BD40-1BA3-42D7-874D-876F9C4CD9AA}"/>
    <cellStyle name="Note 3 2 2 2 5 3" xfId="6565" xr:uid="{00000000-0005-0000-0000-000060210000}"/>
    <cellStyle name="Note 3 2 2 2 5 3 2" xfId="23448" xr:uid="{AAB52E24-F003-44EC-9C2D-7FFA4049B742}"/>
    <cellStyle name="Note 3 2 2 2 5 3 3" xfId="15007" xr:uid="{8ED0EA84-FDE3-4DAF-B47B-F28443B25999}"/>
    <cellStyle name="Note 3 2 2 2 5 4" xfId="19230" xr:uid="{CD45A2E8-276F-47B4-8808-9915088EE6C6}"/>
    <cellStyle name="Note 3 2 2 2 5 5" xfId="10789" xr:uid="{9F850FE1-96C6-4AA3-A074-C36C7334DFD2}"/>
    <cellStyle name="Note 3 2 2 2 6" xfId="2694" xr:uid="{00000000-0005-0000-0000-000061210000}"/>
    <cellStyle name="Note 3 2 2 2 6 2" xfId="6978" xr:uid="{00000000-0005-0000-0000-000062210000}"/>
    <cellStyle name="Note 3 2 2 2 6 2 2" xfId="23861" xr:uid="{ED6E1841-7203-4C20-9B14-E8B9BA83BC37}"/>
    <cellStyle name="Note 3 2 2 2 6 2 3" xfId="15420" xr:uid="{60CF9137-B241-4125-A401-8953FD9A549B}"/>
    <cellStyle name="Note 3 2 2 2 6 3" xfId="19643" xr:uid="{516B200A-F0F9-4266-8FCA-F374F8D62F8C}"/>
    <cellStyle name="Note 3 2 2 2 6 4" xfId="11202" xr:uid="{BB62EC67-A1FF-4EF4-A8FE-6C62B987DF18}"/>
    <cellStyle name="Note 3 2 2 2 7" xfId="2753" xr:uid="{00000000-0005-0000-0000-000063210000}"/>
    <cellStyle name="Note 3 2 2 2 8" xfId="2834" xr:uid="{00000000-0005-0000-0000-000064210000}"/>
    <cellStyle name="Note 3 2 2 2 8 2" xfId="7058" xr:uid="{00000000-0005-0000-0000-000065210000}"/>
    <cellStyle name="Note 3 2 2 2 8 2 2" xfId="23941" xr:uid="{B664955C-4A2F-4C4F-8489-A7057EC46186}"/>
    <cellStyle name="Note 3 2 2 2 8 2 3" xfId="15500" xr:uid="{162324E4-2545-4282-9734-6266710D49C4}"/>
    <cellStyle name="Note 3 2 2 2 8 3" xfId="19723" xr:uid="{788AA827-9078-4CA3-AB5C-74F4CE73D09F}"/>
    <cellStyle name="Note 3 2 2 2 8 4" xfId="11282" xr:uid="{50CF0334-B7AA-4363-9A0A-613D76DAB0BD}"/>
    <cellStyle name="Note 3 2 2 2 9" xfId="4913" xr:uid="{00000000-0005-0000-0000-000066210000}"/>
    <cellStyle name="Note 3 2 2 2 9 2" xfId="21796" xr:uid="{8B27D741-E1B2-41BB-A318-C9A6FDA3DCB1}"/>
    <cellStyle name="Note 3 2 2 2 9 3" xfId="13355" xr:uid="{EC5ED24F-8488-4540-AE67-1B95492F402E}"/>
    <cellStyle name="Note 3 2 2 3" xfId="1015" xr:uid="{00000000-0005-0000-0000-000067210000}"/>
    <cellStyle name="Note 3 2 2 3 2" xfId="3247" xr:uid="{00000000-0005-0000-0000-000068210000}"/>
    <cellStyle name="Note 3 2 2 3 2 2" xfId="7470" xr:uid="{00000000-0005-0000-0000-000069210000}"/>
    <cellStyle name="Note 3 2 2 3 2 2 2" xfId="24353" xr:uid="{0BD88C20-E200-4F83-A1AA-FBF6FE57D44B}"/>
    <cellStyle name="Note 3 2 2 3 2 2 3" xfId="15912" xr:uid="{1BAB0923-D331-43E8-A7CC-B588984FAF9D}"/>
    <cellStyle name="Note 3 2 2 3 2 3" xfId="20135" xr:uid="{6E0CC4BB-268D-4746-82F4-7D88B4F76363}"/>
    <cellStyle name="Note 3 2 2 3 2 4" xfId="11694" xr:uid="{832CDDDF-51AF-4487-BC6C-BCDDA508EC78}"/>
    <cellStyle name="Note 3 2 2 3 3" xfId="5325" xr:uid="{00000000-0005-0000-0000-00006A210000}"/>
    <cellStyle name="Note 3 2 2 3 3 2" xfId="22208" xr:uid="{0AF3646C-7A42-445F-8F82-09E7B697068D}"/>
    <cellStyle name="Note 3 2 2 3 3 3" xfId="13767" xr:uid="{6629DC70-F745-4A19-B4CB-4251B6E4BBA3}"/>
    <cellStyle name="Note 3 2 2 3 4" xfId="17990" xr:uid="{CFF089EF-AF5A-4F2E-A1F3-C70A5A194053}"/>
    <cellStyle name="Note 3 2 2 3 5" xfId="9549" xr:uid="{CEBB46CF-6064-4DA9-97D9-885AB949017B}"/>
    <cellStyle name="Note 3 2 2 4" xfId="1430" xr:uid="{00000000-0005-0000-0000-00006B210000}"/>
    <cellStyle name="Note 3 2 2 4 2" xfId="3660" xr:uid="{00000000-0005-0000-0000-00006C210000}"/>
    <cellStyle name="Note 3 2 2 4 2 2" xfId="7883" xr:uid="{00000000-0005-0000-0000-00006D210000}"/>
    <cellStyle name="Note 3 2 2 4 2 2 2" xfId="24766" xr:uid="{FFF664F2-321A-40ED-AB06-D769E2F9CCC0}"/>
    <cellStyle name="Note 3 2 2 4 2 2 3" xfId="16325" xr:uid="{1CE174AD-11B1-42A9-9060-59E338294592}"/>
    <cellStyle name="Note 3 2 2 4 2 3" xfId="20548" xr:uid="{05A5BE83-7C0E-4FCA-9BFA-A43392F1AB59}"/>
    <cellStyle name="Note 3 2 2 4 2 4" xfId="12107" xr:uid="{F7FBBEA6-3079-42C7-BD6B-B42CB6ED2A86}"/>
    <cellStyle name="Note 3 2 2 4 3" xfId="5738" xr:uid="{00000000-0005-0000-0000-00006E210000}"/>
    <cellStyle name="Note 3 2 2 4 3 2" xfId="22621" xr:uid="{64ED5BCE-6037-4955-B987-1583F8B4235E}"/>
    <cellStyle name="Note 3 2 2 4 3 3" xfId="14180" xr:uid="{FEE46F13-2F30-4228-B2B0-42BA7B143F56}"/>
    <cellStyle name="Note 3 2 2 4 4" xfId="18403" xr:uid="{2E704403-A5D3-4520-96A1-E88B125444A9}"/>
    <cellStyle name="Note 3 2 2 4 5" xfId="9962" xr:uid="{D8C2ADC7-401D-431A-BE66-B5B7F7AAF114}"/>
    <cellStyle name="Note 3 2 2 5" xfId="1844" xr:uid="{00000000-0005-0000-0000-00006F210000}"/>
    <cellStyle name="Note 3 2 2 5 2" xfId="4073" xr:uid="{00000000-0005-0000-0000-000070210000}"/>
    <cellStyle name="Note 3 2 2 5 2 2" xfId="8296" xr:uid="{00000000-0005-0000-0000-000071210000}"/>
    <cellStyle name="Note 3 2 2 5 2 2 2" xfId="25179" xr:uid="{053B2A81-BDC2-4EEC-B0FA-F962ED8BAE16}"/>
    <cellStyle name="Note 3 2 2 5 2 2 3" xfId="16738" xr:uid="{35B00ECA-4D27-4A44-A8CE-395178B3D43D}"/>
    <cellStyle name="Note 3 2 2 5 2 3" xfId="20961" xr:uid="{849B664F-F9F6-4C84-AE13-EE7917C97525}"/>
    <cellStyle name="Note 3 2 2 5 2 4" xfId="12520" xr:uid="{BA8226CF-D92C-4B70-9998-9BFA77BA31A8}"/>
    <cellStyle name="Note 3 2 2 5 3" xfId="6151" xr:uid="{00000000-0005-0000-0000-000072210000}"/>
    <cellStyle name="Note 3 2 2 5 3 2" xfId="23034" xr:uid="{266766AA-1BDB-4023-9F09-A6BF5ABBED18}"/>
    <cellStyle name="Note 3 2 2 5 3 3" xfId="14593" xr:uid="{14BE5407-918A-4E97-811C-D1AC486B3364}"/>
    <cellStyle name="Note 3 2 2 5 4" xfId="18816" xr:uid="{3889FEF7-3F19-495D-9FFD-3E08111E6064}"/>
    <cellStyle name="Note 3 2 2 5 5" xfId="10375" xr:uid="{658ED6AE-78AA-41A3-A863-045309D15708}"/>
    <cellStyle name="Note 3 2 2 6" xfId="2257" xr:uid="{00000000-0005-0000-0000-000073210000}"/>
    <cellStyle name="Note 3 2 2 6 2" xfId="4486" xr:uid="{00000000-0005-0000-0000-000074210000}"/>
    <cellStyle name="Note 3 2 2 6 2 2" xfId="8709" xr:uid="{00000000-0005-0000-0000-000075210000}"/>
    <cellStyle name="Note 3 2 2 6 2 2 2" xfId="25592" xr:uid="{F878A4D9-5195-46DF-A7F5-93FA94F4F5DF}"/>
    <cellStyle name="Note 3 2 2 6 2 2 3" xfId="17151" xr:uid="{D6433018-DC21-4F2E-94E4-679E4D0CBA13}"/>
    <cellStyle name="Note 3 2 2 6 2 3" xfId="21374" xr:uid="{F52C416B-4F46-4BFE-89EA-E53B27968C07}"/>
    <cellStyle name="Note 3 2 2 6 2 4" xfId="12933" xr:uid="{48DDED99-580D-409A-A635-E0B9C15441B3}"/>
    <cellStyle name="Note 3 2 2 6 3" xfId="6564" xr:uid="{00000000-0005-0000-0000-000076210000}"/>
    <cellStyle name="Note 3 2 2 6 3 2" xfId="23447" xr:uid="{5A6D3580-64B3-4DCF-B704-FA0D0FBFFB50}"/>
    <cellStyle name="Note 3 2 2 6 3 3" xfId="15006" xr:uid="{2CE5B3BC-2CD5-4545-8A90-D49918F5A56A}"/>
    <cellStyle name="Note 3 2 2 6 4" xfId="19229" xr:uid="{82FEF5A1-25D2-4454-856D-376F9F115B76}"/>
    <cellStyle name="Note 3 2 2 6 5" xfId="10788" xr:uid="{D3E6E819-05F6-40AA-886C-13018ED651B3}"/>
    <cellStyle name="Note 3 2 2 7" xfId="2693" xr:uid="{00000000-0005-0000-0000-000077210000}"/>
    <cellStyle name="Note 3 2 2 7 2" xfId="6977" xr:uid="{00000000-0005-0000-0000-000078210000}"/>
    <cellStyle name="Note 3 2 2 7 2 2" xfId="23860" xr:uid="{E469CB66-36F2-44C8-89D5-C1002CA3B08C}"/>
    <cellStyle name="Note 3 2 2 7 2 3" xfId="15419" xr:uid="{8DB656E0-C2C6-4278-9485-FA7308D01F5C}"/>
    <cellStyle name="Note 3 2 2 7 3" xfId="19642" xr:uid="{BB44AD56-B8EC-436B-BD3E-5F0007A78CCE}"/>
    <cellStyle name="Note 3 2 2 7 4" xfId="11201" xr:uid="{E1825783-2D76-483F-87D7-1205BA911439}"/>
    <cellStyle name="Note 3 2 2 8" xfId="2752" xr:uid="{00000000-0005-0000-0000-000079210000}"/>
    <cellStyle name="Note 3 2 2 9" xfId="2833" xr:uid="{00000000-0005-0000-0000-00007A210000}"/>
    <cellStyle name="Note 3 2 2 9 2" xfId="7057" xr:uid="{00000000-0005-0000-0000-00007B210000}"/>
    <cellStyle name="Note 3 2 2 9 2 2" xfId="23940" xr:uid="{8827214F-38F2-4404-988C-BA2962A19AAE}"/>
    <cellStyle name="Note 3 2 2 9 2 3" xfId="15499" xr:uid="{142F74AE-E04C-4852-9C7A-6983A6235EC6}"/>
    <cellStyle name="Note 3 2 2 9 3" xfId="19722" xr:uid="{512EF29E-A594-49A9-BBED-AF931D2A2F33}"/>
    <cellStyle name="Note 3 2 2 9 4" xfId="11281" xr:uid="{AFBA6A50-02F9-43B0-BF87-A3B9808E953D}"/>
    <cellStyle name="Note 3 2 3" xfId="557" xr:uid="{00000000-0005-0000-0000-00007C210000}"/>
    <cellStyle name="Note 3 2 3 10" xfId="17579" xr:uid="{3D06ACEB-E011-42A1-8BA3-A3D73EBEE5B7}"/>
    <cellStyle name="Note 3 2 3 11" xfId="9138" xr:uid="{63A1A4D8-BFD1-4EE1-A90B-C5144CE20EBF}"/>
    <cellStyle name="Note 3 2 3 2" xfId="1017" xr:uid="{00000000-0005-0000-0000-00007D210000}"/>
    <cellStyle name="Note 3 2 3 2 2" xfId="3249" xr:uid="{00000000-0005-0000-0000-00007E210000}"/>
    <cellStyle name="Note 3 2 3 2 2 2" xfId="7472" xr:uid="{00000000-0005-0000-0000-00007F210000}"/>
    <cellStyle name="Note 3 2 3 2 2 2 2" xfId="24355" xr:uid="{528020DD-8835-4A21-A21F-86E90B166C1A}"/>
    <cellStyle name="Note 3 2 3 2 2 2 3" xfId="15914" xr:uid="{020B8140-C73E-472C-A45B-0C925C168B31}"/>
    <cellStyle name="Note 3 2 3 2 2 3" xfId="20137" xr:uid="{08B7C3D4-3310-469B-BBA8-76BD2F42FA12}"/>
    <cellStyle name="Note 3 2 3 2 2 4" xfId="11696" xr:uid="{AC634DB1-EE39-4815-A06C-4E957DEEFA71}"/>
    <cellStyle name="Note 3 2 3 2 3" xfId="5327" xr:uid="{00000000-0005-0000-0000-000080210000}"/>
    <cellStyle name="Note 3 2 3 2 3 2" xfId="22210" xr:uid="{26CDDC37-E7D8-40B6-AE2D-C1461F88B80F}"/>
    <cellStyle name="Note 3 2 3 2 3 3" xfId="13769" xr:uid="{359DC97D-FB72-42AD-9022-868B33A502D1}"/>
    <cellStyle name="Note 3 2 3 2 4" xfId="17992" xr:uid="{7E60594A-C982-4F77-B0B4-F7DED22D9BB5}"/>
    <cellStyle name="Note 3 2 3 2 5" xfId="9551" xr:uid="{B875DBBC-33BD-4E64-9B92-7331C4FE8D6D}"/>
    <cellStyle name="Note 3 2 3 3" xfId="1432" xr:uid="{00000000-0005-0000-0000-000081210000}"/>
    <cellStyle name="Note 3 2 3 3 2" xfId="3662" xr:uid="{00000000-0005-0000-0000-000082210000}"/>
    <cellStyle name="Note 3 2 3 3 2 2" xfId="7885" xr:uid="{00000000-0005-0000-0000-000083210000}"/>
    <cellStyle name="Note 3 2 3 3 2 2 2" xfId="24768" xr:uid="{3FF3C7C9-1563-4C34-A5A6-77B64A2EFA94}"/>
    <cellStyle name="Note 3 2 3 3 2 2 3" xfId="16327" xr:uid="{FAE6FB73-3B4E-461D-88F0-DF3AE5455379}"/>
    <cellStyle name="Note 3 2 3 3 2 3" xfId="20550" xr:uid="{87485828-EE0A-44A5-B1D4-FFB1F32F4A5C}"/>
    <cellStyle name="Note 3 2 3 3 2 4" xfId="12109" xr:uid="{FE631D94-76C8-460C-879E-BC955A7485EE}"/>
    <cellStyle name="Note 3 2 3 3 3" xfId="5740" xr:uid="{00000000-0005-0000-0000-000084210000}"/>
    <cellStyle name="Note 3 2 3 3 3 2" xfId="22623" xr:uid="{E485E16D-B470-46FE-A406-F21E299EE1E8}"/>
    <cellStyle name="Note 3 2 3 3 3 3" xfId="14182" xr:uid="{484A36DA-4229-44AD-A925-AC00236852F7}"/>
    <cellStyle name="Note 3 2 3 3 4" xfId="18405" xr:uid="{40928844-0CFE-4BC6-8FAE-4F3AFBBDE326}"/>
    <cellStyle name="Note 3 2 3 3 5" xfId="9964" xr:uid="{B1212F98-9AC5-441A-8A59-FCCA1D96F25A}"/>
    <cellStyle name="Note 3 2 3 4" xfId="1846" xr:uid="{00000000-0005-0000-0000-000085210000}"/>
    <cellStyle name="Note 3 2 3 4 2" xfId="4075" xr:uid="{00000000-0005-0000-0000-000086210000}"/>
    <cellStyle name="Note 3 2 3 4 2 2" xfId="8298" xr:uid="{00000000-0005-0000-0000-000087210000}"/>
    <cellStyle name="Note 3 2 3 4 2 2 2" xfId="25181" xr:uid="{0E604C36-78CF-4D06-AF25-0EC9746938CB}"/>
    <cellStyle name="Note 3 2 3 4 2 2 3" xfId="16740" xr:uid="{ADD3A82C-E56A-4CDA-B86A-91F8D7D420A3}"/>
    <cellStyle name="Note 3 2 3 4 2 3" xfId="20963" xr:uid="{4C78DADE-AB66-424C-8A91-040B702DE246}"/>
    <cellStyle name="Note 3 2 3 4 2 4" xfId="12522" xr:uid="{747B21E8-3235-49CB-90EF-58CC31555D29}"/>
    <cellStyle name="Note 3 2 3 4 3" xfId="6153" xr:uid="{00000000-0005-0000-0000-000088210000}"/>
    <cellStyle name="Note 3 2 3 4 3 2" xfId="23036" xr:uid="{EFBD436F-500A-4616-A686-346F8B626034}"/>
    <cellStyle name="Note 3 2 3 4 3 3" xfId="14595" xr:uid="{3BC011A2-5685-4E7A-9F8C-1D4BB2E0F624}"/>
    <cellStyle name="Note 3 2 3 4 4" xfId="18818" xr:uid="{891DBA30-45A7-463E-8564-8BB7C2531EC2}"/>
    <cellStyle name="Note 3 2 3 4 5" xfId="10377" xr:uid="{63512DF2-0E8E-48A2-9714-88F3B4AEB72A}"/>
    <cellStyle name="Note 3 2 3 5" xfId="2259" xr:uid="{00000000-0005-0000-0000-000089210000}"/>
    <cellStyle name="Note 3 2 3 5 2" xfId="4488" xr:uid="{00000000-0005-0000-0000-00008A210000}"/>
    <cellStyle name="Note 3 2 3 5 2 2" xfId="8711" xr:uid="{00000000-0005-0000-0000-00008B210000}"/>
    <cellStyle name="Note 3 2 3 5 2 2 2" xfId="25594" xr:uid="{5D5DC7D7-5DAC-4152-8102-8076A2DA6658}"/>
    <cellStyle name="Note 3 2 3 5 2 2 3" xfId="17153" xr:uid="{4583FA1C-8EBF-4153-9ACA-E89535546790}"/>
    <cellStyle name="Note 3 2 3 5 2 3" xfId="21376" xr:uid="{52A197F8-83A5-4ED9-86C2-0D78D8EE0824}"/>
    <cellStyle name="Note 3 2 3 5 2 4" xfId="12935" xr:uid="{7BA3B2E0-76C9-42B5-9C06-2307F917EF42}"/>
    <cellStyle name="Note 3 2 3 5 3" xfId="6566" xr:uid="{00000000-0005-0000-0000-00008C210000}"/>
    <cellStyle name="Note 3 2 3 5 3 2" xfId="23449" xr:uid="{B2F082EC-CD0F-4B23-85C1-49158DF66C2E}"/>
    <cellStyle name="Note 3 2 3 5 3 3" xfId="15008" xr:uid="{3D93A15B-D389-4C1B-9681-E1908FC2266B}"/>
    <cellStyle name="Note 3 2 3 5 4" xfId="19231" xr:uid="{A6C29D48-9952-4459-9ACE-099BE3CF3354}"/>
    <cellStyle name="Note 3 2 3 5 5" xfId="10790" xr:uid="{8C17583E-2C51-409E-BA50-D54B2F1B22CA}"/>
    <cellStyle name="Note 3 2 3 6" xfId="2695" xr:uid="{00000000-0005-0000-0000-00008D210000}"/>
    <cellStyle name="Note 3 2 3 6 2" xfId="6979" xr:uid="{00000000-0005-0000-0000-00008E210000}"/>
    <cellStyle name="Note 3 2 3 6 2 2" xfId="23862" xr:uid="{7FDCC81B-7582-4B81-A9DE-3FC34A8D4558}"/>
    <cellStyle name="Note 3 2 3 6 2 3" xfId="15421" xr:uid="{871F5764-8E8D-4528-8AC5-97A29E6CA226}"/>
    <cellStyle name="Note 3 2 3 6 3" xfId="19644" xr:uid="{FB9CB64D-ABB4-4E3E-ADF6-BB39510D6D6E}"/>
    <cellStyle name="Note 3 2 3 6 4" xfId="11203" xr:uid="{B309BC56-D775-4FFC-A5CC-1685E1AD1181}"/>
    <cellStyle name="Note 3 2 3 7" xfId="2754" xr:uid="{00000000-0005-0000-0000-00008F210000}"/>
    <cellStyle name="Note 3 2 3 8" xfId="2835" xr:uid="{00000000-0005-0000-0000-000090210000}"/>
    <cellStyle name="Note 3 2 3 8 2" xfId="7059" xr:uid="{00000000-0005-0000-0000-000091210000}"/>
    <cellStyle name="Note 3 2 3 8 2 2" xfId="23942" xr:uid="{E4F46D9D-32D3-4A7A-AF7B-C00E66AA4E45}"/>
    <cellStyle name="Note 3 2 3 8 2 3" xfId="15501" xr:uid="{DA367821-CAE3-495F-9139-762CCB0317DF}"/>
    <cellStyle name="Note 3 2 3 8 3" xfId="19724" xr:uid="{55A96335-C661-46F1-AB27-2B0172198E87}"/>
    <cellStyle name="Note 3 2 3 8 4" xfId="11283" xr:uid="{129A311A-B2E5-4D82-8677-2CAC75F85589}"/>
    <cellStyle name="Note 3 2 3 9" xfId="4914" xr:uid="{00000000-0005-0000-0000-000092210000}"/>
    <cellStyle name="Note 3 2 3 9 2" xfId="21797" xr:uid="{54053171-9769-4CEF-B793-19B0EED200E5}"/>
    <cellStyle name="Note 3 2 3 9 3" xfId="13356" xr:uid="{EA83C0E1-FD58-4C84-8EF2-1775BBB6B701}"/>
    <cellStyle name="Note 3 2 4" xfId="1014" xr:uid="{00000000-0005-0000-0000-000093210000}"/>
    <cellStyle name="Note 3 2 4 2" xfId="3246" xr:uid="{00000000-0005-0000-0000-000094210000}"/>
    <cellStyle name="Note 3 2 4 2 2" xfId="7469" xr:uid="{00000000-0005-0000-0000-000095210000}"/>
    <cellStyle name="Note 3 2 4 2 2 2" xfId="24352" xr:uid="{0E29BBA2-B25E-4D6B-AC62-565BC3152AFB}"/>
    <cellStyle name="Note 3 2 4 2 2 3" xfId="15911" xr:uid="{008F4CA2-168E-4F6D-92B5-28C14F361226}"/>
    <cellStyle name="Note 3 2 4 2 3" xfId="20134" xr:uid="{A9388F02-803F-4CEE-B3CD-CD35BF0DCB6F}"/>
    <cellStyle name="Note 3 2 4 2 4" xfId="11693" xr:uid="{A43826D8-0244-46C8-A1A8-37729EF14D63}"/>
    <cellStyle name="Note 3 2 4 3" xfId="5324" xr:uid="{00000000-0005-0000-0000-000096210000}"/>
    <cellStyle name="Note 3 2 4 3 2" xfId="22207" xr:uid="{A3A003D4-9DAD-445D-BCC4-723E8BD7A60B}"/>
    <cellStyle name="Note 3 2 4 3 3" xfId="13766" xr:uid="{747CDA11-C15E-403D-9375-1AF0E5098D85}"/>
    <cellStyle name="Note 3 2 4 4" xfId="17989" xr:uid="{A855EF40-7B58-4B4D-A9AC-89E5E49EA5C0}"/>
    <cellStyle name="Note 3 2 4 5" xfId="9548" xr:uid="{F34D5F05-B24D-4F46-B56A-710FFB9CD40E}"/>
    <cellStyle name="Note 3 2 5" xfId="1429" xr:uid="{00000000-0005-0000-0000-000097210000}"/>
    <cellStyle name="Note 3 2 5 2" xfId="3659" xr:uid="{00000000-0005-0000-0000-000098210000}"/>
    <cellStyle name="Note 3 2 5 2 2" xfId="7882" xr:uid="{00000000-0005-0000-0000-000099210000}"/>
    <cellStyle name="Note 3 2 5 2 2 2" xfId="24765" xr:uid="{A824728A-73F9-49AC-B5F3-14DBE4D23A68}"/>
    <cellStyle name="Note 3 2 5 2 2 3" xfId="16324" xr:uid="{2A12FC81-5859-4AE8-84C3-0AF8108EA50B}"/>
    <cellStyle name="Note 3 2 5 2 3" xfId="20547" xr:uid="{B7CC7D66-EEC3-4A8F-85F9-ACBDEED1A7FB}"/>
    <cellStyle name="Note 3 2 5 2 4" xfId="12106" xr:uid="{C56D8EBB-5043-45FF-8F57-CD6A5A49B9D9}"/>
    <cellStyle name="Note 3 2 5 3" xfId="5737" xr:uid="{00000000-0005-0000-0000-00009A210000}"/>
    <cellStyle name="Note 3 2 5 3 2" xfId="22620" xr:uid="{819DF157-C7A3-4499-B416-6B15DA6FF526}"/>
    <cellStyle name="Note 3 2 5 3 3" xfId="14179" xr:uid="{569ACA46-7AE9-4AF7-A1F1-D5E991D33611}"/>
    <cellStyle name="Note 3 2 5 4" xfId="18402" xr:uid="{75AA4884-D0B9-484C-851B-8CC1A347B83E}"/>
    <cellStyle name="Note 3 2 5 5" xfId="9961" xr:uid="{667912CB-A4AB-417B-97C0-92443BF00ADA}"/>
    <cellStyle name="Note 3 2 6" xfId="1843" xr:uid="{00000000-0005-0000-0000-00009B210000}"/>
    <cellStyle name="Note 3 2 6 2" xfId="4072" xr:uid="{00000000-0005-0000-0000-00009C210000}"/>
    <cellStyle name="Note 3 2 6 2 2" xfId="8295" xr:uid="{00000000-0005-0000-0000-00009D210000}"/>
    <cellStyle name="Note 3 2 6 2 2 2" xfId="25178" xr:uid="{2C5B14D5-B9F6-42B3-A86F-6C08B987C38A}"/>
    <cellStyle name="Note 3 2 6 2 2 3" xfId="16737" xr:uid="{DD93282D-A959-4BA1-9E86-35D4157C4CF5}"/>
    <cellStyle name="Note 3 2 6 2 3" xfId="20960" xr:uid="{65F4BCBD-9055-4096-B392-7C84341EB387}"/>
    <cellStyle name="Note 3 2 6 2 4" xfId="12519" xr:uid="{0BAF3676-76D0-4172-9EAB-2B93B8B09894}"/>
    <cellStyle name="Note 3 2 6 3" xfId="6150" xr:uid="{00000000-0005-0000-0000-00009E210000}"/>
    <cellStyle name="Note 3 2 6 3 2" xfId="23033" xr:uid="{4A2169C5-AA36-4C3B-B38F-0F9F605C1151}"/>
    <cellStyle name="Note 3 2 6 3 3" xfId="14592" xr:uid="{F9DF3AF9-A710-4F8F-A563-863393567EA3}"/>
    <cellStyle name="Note 3 2 6 4" xfId="18815" xr:uid="{17473E49-AAEC-4C28-86F3-6B0AF6A73F4D}"/>
    <cellStyle name="Note 3 2 6 5" xfId="10374" xr:uid="{69E1FE5D-029F-4796-ADAE-523AF07049DF}"/>
    <cellStyle name="Note 3 2 7" xfId="2256" xr:uid="{00000000-0005-0000-0000-00009F210000}"/>
    <cellStyle name="Note 3 2 7 2" xfId="4485" xr:uid="{00000000-0005-0000-0000-0000A0210000}"/>
    <cellStyle name="Note 3 2 7 2 2" xfId="8708" xr:uid="{00000000-0005-0000-0000-0000A1210000}"/>
    <cellStyle name="Note 3 2 7 2 2 2" xfId="25591" xr:uid="{EF6283A4-8B8C-4EFD-A2DB-9A79068E2AC6}"/>
    <cellStyle name="Note 3 2 7 2 2 3" xfId="17150" xr:uid="{FD312559-4490-409D-801C-EACCB781DDBA}"/>
    <cellStyle name="Note 3 2 7 2 3" xfId="21373" xr:uid="{C3033507-0734-4E0F-BEDD-37C79D136763}"/>
    <cellStyle name="Note 3 2 7 2 4" xfId="12932" xr:uid="{B8186FDD-E7F0-4B69-9389-7FCDD164BCFE}"/>
    <cellStyle name="Note 3 2 7 3" xfId="6563" xr:uid="{00000000-0005-0000-0000-0000A2210000}"/>
    <cellStyle name="Note 3 2 7 3 2" xfId="23446" xr:uid="{316BAFB0-1030-4DE0-A2C9-F1ACE811830E}"/>
    <cellStyle name="Note 3 2 7 3 3" xfId="15005" xr:uid="{38134374-94C3-420D-9DD3-DA5571B0FD58}"/>
    <cellStyle name="Note 3 2 7 4" xfId="19228" xr:uid="{C33877A4-A5EC-4D90-9FE6-7178DD11E6DE}"/>
    <cellStyle name="Note 3 2 7 5" xfId="10787" xr:uid="{65FF8F32-4A03-403C-A30D-8212FF284D11}"/>
    <cellStyle name="Note 3 2 8" xfId="2692" xr:uid="{00000000-0005-0000-0000-0000A3210000}"/>
    <cellStyle name="Note 3 2 8 2" xfId="6976" xr:uid="{00000000-0005-0000-0000-0000A4210000}"/>
    <cellStyle name="Note 3 2 8 2 2" xfId="23859" xr:uid="{0735DBE5-4F77-49E4-BA98-402D0141E4E9}"/>
    <cellStyle name="Note 3 2 8 2 3" xfId="15418" xr:uid="{7290404B-1D77-4CC1-B8EF-3096A1771A9B}"/>
    <cellStyle name="Note 3 2 8 3" xfId="19641" xr:uid="{D494ABDB-523E-4FB8-86E6-B6D218086CCE}"/>
    <cellStyle name="Note 3 2 8 4" xfId="11200" xr:uid="{0AB5048C-C4AD-417D-8B52-3199E69424CD}"/>
    <cellStyle name="Note 3 2 9" xfId="2751" xr:uid="{00000000-0005-0000-0000-0000A5210000}"/>
    <cellStyle name="Note 3 3" xfId="558" xr:uid="{00000000-0005-0000-0000-0000A6210000}"/>
    <cellStyle name="Note 3 3 10" xfId="4915" xr:uid="{00000000-0005-0000-0000-0000A7210000}"/>
    <cellStyle name="Note 3 3 10 2" xfId="21798" xr:uid="{642E1945-15D3-48FF-A488-D5B41B5EAA7F}"/>
    <cellStyle name="Note 3 3 10 3" xfId="13357" xr:uid="{0836B4AA-268F-4061-BD91-4808B842F3D9}"/>
    <cellStyle name="Note 3 3 11" xfId="17580" xr:uid="{9961D0C7-BF42-4383-B27F-A62C6D8CAC91}"/>
    <cellStyle name="Note 3 3 12" xfId="9139" xr:uid="{91D30301-6EF2-4B8A-971F-2E014D09EC31}"/>
    <cellStyle name="Note 3 3 2" xfId="559" xr:uid="{00000000-0005-0000-0000-0000A8210000}"/>
    <cellStyle name="Note 3 3 2 10" xfId="17581" xr:uid="{9224BFB5-A6E2-4F91-9789-52F5C5CFD1E6}"/>
    <cellStyle name="Note 3 3 2 11" xfId="9140" xr:uid="{73D60D8B-ED2E-4645-8FDD-79417E53B63F}"/>
    <cellStyle name="Note 3 3 2 2" xfId="1019" xr:uid="{00000000-0005-0000-0000-0000A9210000}"/>
    <cellStyle name="Note 3 3 2 2 2" xfId="3251" xr:uid="{00000000-0005-0000-0000-0000AA210000}"/>
    <cellStyle name="Note 3 3 2 2 2 2" xfId="7474" xr:uid="{00000000-0005-0000-0000-0000AB210000}"/>
    <cellStyle name="Note 3 3 2 2 2 2 2" xfId="24357" xr:uid="{34CB2400-9C1D-49B5-9FA9-1FA581A743A3}"/>
    <cellStyle name="Note 3 3 2 2 2 2 3" xfId="15916" xr:uid="{F7F5AD46-7E19-4153-BD4E-4CBF7EA1BF51}"/>
    <cellStyle name="Note 3 3 2 2 2 3" xfId="20139" xr:uid="{7D3F64D5-07BA-4396-AEDA-863F2FAE0454}"/>
    <cellStyle name="Note 3 3 2 2 2 4" xfId="11698" xr:uid="{38197F6B-0457-4A7F-A737-9C6BD568E6BE}"/>
    <cellStyle name="Note 3 3 2 2 3" xfId="5329" xr:uid="{00000000-0005-0000-0000-0000AC210000}"/>
    <cellStyle name="Note 3 3 2 2 3 2" xfId="22212" xr:uid="{30591FBE-CAD4-4145-9FF8-7F34F3126688}"/>
    <cellStyle name="Note 3 3 2 2 3 3" xfId="13771" xr:uid="{DADC4585-F47F-483F-B7CD-92FD2923EF6B}"/>
    <cellStyle name="Note 3 3 2 2 4" xfId="17994" xr:uid="{12AE0C75-28FC-4C88-A79C-6D432F9C7CD1}"/>
    <cellStyle name="Note 3 3 2 2 5" xfId="9553" xr:uid="{F7462825-3C6F-478F-A24C-79F9E25AA4E8}"/>
    <cellStyle name="Note 3 3 2 3" xfId="1434" xr:uid="{00000000-0005-0000-0000-0000AD210000}"/>
    <cellStyle name="Note 3 3 2 3 2" xfId="3664" xr:uid="{00000000-0005-0000-0000-0000AE210000}"/>
    <cellStyle name="Note 3 3 2 3 2 2" xfId="7887" xr:uid="{00000000-0005-0000-0000-0000AF210000}"/>
    <cellStyle name="Note 3 3 2 3 2 2 2" xfId="24770" xr:uid="{9937E86A-9513-40AA-AEDA-06C1DC237DA5}"/>
    <cellStyle name="Note 3 3 2 3 2 2 3" xfId="16329" xr:uid="{FA6E353E-5A7C-4D4E-9822-052B50CDBB4F}"/>
    <cellStyle name="Note 3 3 2 3 2 3" xfId="20552" xr:uid="{2A10B19C-9182-4831-911E-C59875E57033}"/>
    <cellStyle name="Note 3 3 2 3 2 4" xfId="12111" xr:uid="{793D446A-F73D-4353-AA61-75E8BB47860E}"/>
    <cellStyle name="Note 3 3 2 3 3" xfId="5742" xr:uid="{00000000-0005-0000-0000-0000B0210000}"/>
    <cellStyle name="Note 3 3 2 3 3 2" xfId="22625" xr:uid="{C2228161-160E-4236-B840-31BE5BC73FB6}"/>
    <cellStyle name="Note 3 3 2 3 3 3" xfId="14184" xr:uid="{A4261A9C-70AD-41CB-88D9-7476A2979948}"/>
    <cellStyle name="Note 3 3 2 3 4" xfId="18407" xr:uid="{6D33A763-F61E-4BEB-AD8B-5B4B03F002D2}"/>
    <cellStyle name="Note 3 3 2 3 5" xfId="9966" xr:uid="{59CEFD13-B864-4151-B33F-D1E3B7E5D534}"/>
    <cellStyle name="Note 3 3 2 4" xfId="1848" xr:uid="{00000000-0005-0000-0000-0000B1210000}"/>
    <cellStyle name="Note 3 3 2 4 2" xfId="4077" xr:uid="{00000000-0005-0000-0000-0000B2210000}"/>
    <cellStyle name="Note 3 3 2 4 2 2" xfId="8300" xr:uid="{00000000-0005-0000-0000-0000B3210000}"/>
    <cellStyle name="Note 3 3 2 4 2 2 2" xfId="25183" xr:uid="{DCD0DB48-DCEC-49A1-B64C-CAB5C8B0B0D0}"/>
    <cellStyle name="Note 3 3 2 4 2 2 3" xfId="16742" xr:uid="{EAB816D7-AD47-4A97-9F61-33A5AD4F1898}"/>
    <cellStyle name="Note 3 3 2 4 2 3" xfId="20965" xr:uid="{427C6B00-60AD-4A50-9B8D-20B54129F7E0}"/>
    <cellStyle name="Note 3 3 2 4 2 4" xfId="12524" xr:uid="{D740D534-B163-47F1-8856-8FBD3BAF134E}"/>
    <cellStyle name="Note 3 3 2 4 3" xfId="6155" xr:uid="{00000000-0005-0000-0000-0000B4210000}"/>
    <cellStyle name="Note 3 3 2 4 3 2" xfId="23038" xr:uid="{7AC92E71-3F27-4520-8A7E-1D636CD952E7}"/>
    <cellStyle name="Note 3 3 2 4 3 3" xfId="14597" xr:uid="{E18FE913-6EF0-4568-A0B0-EE5DFE837B7B}"/>
    <cellStyle name="Note 3 3 2 4 4" xfId="18820" xr:uid="{D9EBDEF6-9294-410C-B766-47142DDF4C9F}"/>
    <cellStyle name="Note 3 3 2 4 5" xfId="10379" xr:uid="{48FB58D8-33FD-4392-AA0F-DD7714F31B08}"/>
    <cellStyle name="Note 3 3 2 5" xfId="2261" xr:uid="{00000000-0005-0000-0000-0000B5210000}"/>
    <cellStyle name="Note 3 3 2 5 2" xfId="4490" xr:uid="{00000000-0005-0000-0000-0000B6210000}"/>
    <cellStyle name="Note 3 3 2 5 2 2" xfId="8713" xr:uid="{00000000-0005-0000-0000-0000B7210000}"/>
    <cellStyle name="Note 3 3 2 5 2 2 2" xfId="25596" xr:uid="{D1700A81-EFB7-4C6A-9AC4-B0EAD4685039}"/>
    <cellStyle name="Note 3 3 2 5 2 2 3" xfId="17155" xr:uid="{2394C85B-03A7-4C97-8659-0706A68134FE}"/>
    <cellStyle name="Note 3 3 2 5 2 3" xfId="21378" xr:uid="{6F6DCDCF-9728-413D-929C-9B3DC8D29FA5}"/>
    <cellStyle name="Note 3 3 2 5 2 4" xfId="12937" xr:uid="{F7864194-0F99-4DC3-AF4B-987475BFD84E}"/>
    <cellStyle name="Note 3 3 2 5 3" xfId="6568" xr:uid="{00000000-0005-0000-0000-0000B8210000}"/>
    <cellStyle name="Note 3 3 2 5 3 2" xfId="23451" xr:uid="{1C38DE05-70E3-4778-9B5D-4B3A936C7377}"/>
    <cellStyle name="Note 3 3 2 5 3 3" xfId="15010" xr:uid="{AEE94261-1DF8-43D6-95D1-0CD47222FE0A}"/>
    <cellStyle name="Note 3 3 2 5 4" xfId="19233" xr:uid="{2FDD1EC8-8354-472F-AE8C-53E63FBDF475}"/>
    <cellStyle name="Note 3 3 2 5 5" xfId="10792" xr:uid="{B41C8E26-7201-4F37-8869-A06675D9F343}"/>
    <cellStyle name="Note 3 3 2 6" xfId="2697" xr:uid="{00000000-0005-0000-0000-0000B9210000}"/>
    <cellStyle name="Note 3 3 2 6 2" xfId="6981" xr:uid="{00000000-0005-0000-0000-0000BA210000}"/>
    <cellStyle name="Note 3 3 2 6 2 2" xfId="23864" xr:uid="{86E72792-9EB3-4A62-BE7B-2A6B05B2CFF6}"/>
    <cellStyle name="Note 3 3 2 6 2 3" xfId="15423" xr:uid="{C5BD3986-4D2D-42A3-866E-60A30CFE2B39}"/>
    <cellStyle name="Note 3 3 2 6 3" xfId="19646" xr:uid="{49C44929-4FEA-43FD-AF67-3CDA3043CFF0}"/>
    <cellStyle name="Note 3 3 2 6 4" xfId="11205" xr:uid="{BFE11F11-638E-48C1-9357-0DDEF0523692}"/>
    <cellStyle name="Note 3 3 2 7" xfId="2756" xr:uid="{00000000-0005-0000-0000-0000BB210000}"/>
    <cellStyle name="Note 3 3 2 8" xfId="2837" xr:uid="{00000000-0005-0000-0000-0000BC210000}"/>
    <cellStyle name="Note 3 3 2 8 2" xfId="7061" xr:uid="{00000000-0005-0000-0000-0000BD210000}"/>
    <cellStyle name="Note 3 3 2 8 2 2" xfId="23944" xr:uid="{D6487A1D-E332-49A2-A54F-EEB57CB758BB}"/>
    <cellStyle name="Note 3 3 2 8 2 3" xfId="15503" xr:uid="{2BEFBC62-D82C-490A-A72F-61483D193775}"/>
    <cellStyle name="Note 3 3 2 8 3" xfId="19726" xr:uid="{1C22B484-953E-4053-932E-2FBBC1B5EBCA}"/>
    <cellStyle name="Note 3 3 2 8 4" xfId="11285" xr:uid="{88272003-8CD6-4B03-BC1B-4BA6DC99A2D1}"/>
    <cellStyle name="Note 3 3 2 9" xfId="4916" xr:uid="{00000000-0005-0000-0000-0000BE210000}"/>
    <cellStyle name="Note 3 3 2 9 2" xfId="21799" xr:uid="{D1B60556-4529-46E8-ADBE-7B8794AF1224}"/>
    <cellStyle name="Note 3 3 2 9 3" xfId="13358" xr:uid="{407E5685-604A-4EE5-B204-098EA683FE65}"/>
    <cellStyle name="Note 3 3 3" xfId="1018" xr:uid="{00000000-0005-0000-0000-0000BF210000}"/>
    <cellStyle name="Note 3 3 3 2" xfId="3250" xr:uid="{00000000-0005-0000-0000-0000C0210000}"/>
    <cellStyle name="Note 3 3 3 2 2" xfId="7473" xr:uid="{00000000-0005-0000-0000-0000C1210000}"/>
    <cellStyle name="Note 3 3 3 2 2 2" xfId="24356" xr:uid="{B8C90264-9FDA-4D3B-97B6-C03A3D24B5CC}"/>
    <cellStyle name="Note 3 3 3 2 2 3" xfId="15915" xr:uid="{DF6F0A49-3DFB-49F6-A107-4DD216EC70D2}"/>
    <cellStyle name="Note 3 3 3 2 3" xfId="20138" xr:uid="{9F7EDBC8-DDAE-411A-B532-A2D5886B68AB}"/>
    <cellStyle name="Note 3 3 3 2 4" xfId="11697" xr:uid="{D0D53F0A-269D-4292-B8C8-098F852AA318}"/>
    <cellStyle name="Note 3 3 3 3" xfId="5328" xr:uid="{00000000-0005-0000-0000-0000C2210000}"/>
    <cellStyle name="Note 3 3 3 3 2" xfId="22211" xr:uid="{08D42C94-96F3-405D-BE36-2A42268DB739}"/>
    <cellStyle name="Note 3 3 3 3 3" xfId="13770" xr:uid="{C4C626E0-5A11-4E72-BD49-3EF48F6D833A}"/>
    <cellStyle name="Note 3 3 3 4" xfId="17993" xr:uid="{D259EACC-4E6E-439E-BB7C-70B98AEF597A}"/>
    <cellStyle name="Note 3 3 3 5" xfId="9552" xr:uid="{3F5A638C-C173-4C92-81A4-C26471C350F3}"/>
    <cellStyle name="Note 3 3 4" xfId="1433" xr:uid="{00000000-0005-0000-0000-0000C3210000}"/>
    <cellStyle name="Note 3 3 4 2" xfId="3663" xr:uid="{00000000-0005-0000-0000-0000C4210000}"/>
    <cellStyle name="Note 3 3 4 2 2" xfId="7886" xr:uid="{00000000-0005-0000-0000-0000C5210000}"/>
    <cellStyle name="Note 3 3 4 2 2 2" xfId="24769" xr:uid="{CF05144B-1E98-4DE0-BBFD-7417BB9E4B6D}"/>
    <cellStyle name="Note 3 3 4 2 2 3" xfId="16328" xr:uid="{A1E8F9C4-920B-4E9D-AE15-20C4F917E0CC}"/>
    <cellStyle name="Note 3 3 4 2 3" xfId="20551" xr:uid="{E6ABD5BB-954F-481D-9F7C-7F1E4D227F07}"/>
    <cellStyle name="Note 3 3 4 2 4" xfId="12110" xr:uid="{436CB45B-7720-47A9-A2E3-E2033D308DAA}"/>
    <cellStyle name="Note 3 3 4 3" xfId="5741" xr:uid="{00000000-0005-0000-0000-0000C6210000}"/>
    <cellStyle name="Note 3 3 4 3 2" xfId="22624" xr:uid="{533DC6E4-3486-4BD9-AFA2-1E9579DF4D85}"/>
    <cellStyle name="Note 3 3 4 3 3" xfId="14183" xr:uid="{A398E373-1C41-4C6E-9D48-DE86968113BD}"/>
    <cellStyle name="Note 3 3 4 4" xfId="18406" xr:uid="{F6295F44-AD60-4CF1-9F0B-9534A7511DFE}"/>
    <cellStyle name="Note 3 3 4 5" xfId="9965" xr:uid="{B23A8698-39FC-4F6B-BCF1-E5540FBDA717}"/>
    <cellStyle name="Note 3 3 5" xfId="1847" xr:uid="{00000000-0005-0000-0000-0000C7210000}"/>
    <cellStyle name="Note 3 3 5 2" xfId="4076" xr:uid="{00000000-0005-0000-0000-0000C8210000}"/>
    <cellStyle name="Note 3 3 5 2 2" xfId="8299" xr:uid="{00000000-0005-0000-0000-0000C9210000}"/>
    <cellStyle name="Note 3 3 5 2 2 2" xfId="25182" xr:uid="{BA360BBF-4B79-4EBB-8847-263601FBF8CB}"/>
    <cellStyle name="Note 3 3 5 2 2 3" xfId="16741" xr:uid="{A8A84470-2629-419D-B2B8-4483A9873914}"/>
    <cellStyle name="Note 3 3 5 2 3" xfId="20964" xr:uid="{4D221ED8-9CE8-41D1-BD23-D3C28A97E8B3}"/>
    <cellStyle name="Note 3 3 5 2 4" xfId="12523" xr:uid="{0B1F10D0-A318-43E4-BD77-E6B87FCCE791}"/>
    <cellStyle name="Note 3 3 5 3" xfId="6154" xr:uid="{00000000-0005-0000-0000-0000CA210000}"/>
    <cellStyle name="Note 3 3 5 3 2" xfId="23037" xr:uid="{0FDEF200-A19C-4DCC-8FB2-897FF7422511}"/>
    <cellStyle name="Note 3 3 5 3 3" xfId="14596" xr:uid="{207939E1-32EB-4DE4-9096-2231573CC824}"/>
    <cellStyle name="Note 3 3 5 4" xfId="18819" xr:uid="{DD93758C-4FD7-46D6-A41A-F116629538D9}"/>
    <cellStyle name="Note 3 3 5 5" xfId="10378" xr:uid="{09442D1D-386F-4356-A5BD-6127EC61972F}"/>
    <cellStyle name="Note 3 3 6" xfId="2260" xr:uid="{00000000-0005-0000-0000-0000CB210000}"/>
    <cellStyle name="Note 3 3 6 2" xfId="4489" xr:uid="{00000000-0005-0000-0000-0000CC210000}"/>
    <cellStyle name="Note 3 3 6 2 2" xfId="8712" xr:uid="{00000000-0005-0000-0000-0000CD210000}"/>
    <cellStyle name="Note 3 3 6 2 2 2" xfId="25595" xr:uid="{4EC0639E-33D8-44C1-8BD6-3AF71666505B}"/>
    <cellStyle name="Note 3 3 6 2 2 3" xfId="17154" xr:uid="{71E8FCE9-2A5D-44ED-8C00-7FC0EDC07D30}"/>
    <cellStyle name="Note 3 3 6 2 3" xfId="21377" xr:uid="{42F6ED38-8DAF-4FAD-BC3C-DF084BB3E96C}"/>
    <cellStyle name="Note 3 3 6 2 4" xfId="12936" xr:uid="{18E3FA7C-2E0F-4A93-B4EA-8BAB790DABBC}"/>
    <cellStyle name="Note 3 3 6 3" xfId="6567" xr:uid="{00000000-0005-0000-0000-0000CE210000}"/>
    <cellStyle name="Note 3 3 6 3 2" xfId="23450" xr:uid="{F4205B38-04F7-48CF-8511-A59BDB5F1004}"/>
    <cellStyle name="Note 3 3 6 3 3" xfId="15009" xr:uid="{BF64492F-1D81-4513-BC4F-4A72721D475E}"/>
    <cellStyle name="Note 3 3 6 4" xfId="19232" xr:uid="{48654C0C-A5A6-4AD8-A010-2F61369321FA}"/>
    <cellStyle name="Note 3 3 6 5" xfId="10791" xr:uid="{D9FE2E83-24F9-4863-9D8E-00B85AFBCB7E}"/>
    <cellStyle name="Note 3 3 7" xfId="2696" xr:uid="{00000000-0005-0000-0000-0000CF210000}"/>
    <cellStyle name="Note 3 3 7 2" xfId="6980" xr:uid="{00000000-0005-0000-0000-0000D0210000}"/>
    <cellStyle name="Note 3 3 7 2 2" xfId="23863" xr:uid="{BD33374C-1D36-4E1B-A4C0-5559A3BBC465}"/>
    <cellStyle name="Note 3 3 7 2 3" xfId="15422" xr:uid="{AF224A4D-805A-41D5-AEC5-85728AED6A4D}"/>
    <cellStyle name="Note 3 3 7 3" xfId="19645" xr:uid="{F204CD7D-E86F-4E50-B7FC-61EFE8262EF1}"/>
    <cellStyle name="Note 3 3 7 4" xfId="11204" xr:uid="{A2B8A62D-E832-4C9F-943E-3E475353B9B2}"/>
    <cellStyle name="Note 3 3 8" xfId="2755" xr:uid="{00000000-0005-0000-0000-0000D1210000}"/>
    <cellStyle name="Note 3 3 9" xfId="2836" xr:uid="{00000000-0005-0000-0000-0000D2210000}"/>
    <cellStyle name="Note 3 3 9 2" xfId="7060" xr:uid="{00000000-0005-0000-0000-0000D3210000}"/>
    <cellStyle name="Note 3 3 9 2 2" xfId="23943" xr:uid="{EBD3365B-E170-473E-BDC9-D78CC5D7FC10}"/>
    <cellStyle name="Note 3 3 9 2 3" xfId="15502" xr:uid="{D89D2458-B5A5-46D7-9EC9-E1FB18D8CA37}"/>
    <cellStyle name="Note 3 3 9 3" xfId="19725" xr:uid="{BD8EAEAC-FFC2-404D-86B5-19BF93FA62C1}"/>
    <cellStyle name="Note 3 3 9 4" xfId="11284" xr:uid="{B5AD81CC-C879-4232-B087-EF00D9F05428}"/>
    <cellStyle name="Note 3 4" xfId="560" xr:uid="{00000000-0005-0000-0000-0000D4210000}"/>
    <cellStyle name="Note 3 4 10" xfId="17582" xr:uid="{57731130-0FDB-475D-90A4-FBC3B02D931D}"/>
    <cellStyle name="Note 3 4 11" xfId="9141" xr:uid="{EFA17D01-4B0A-4427-A3F0-F96CC668C43B}"/>
    <cellStyle name="Note 3 4 2" xfId="1020" xr:uid="{00000000-0005-0000-0000-0000D5210000}"/>
    <cellStyle name="Note 3 4 2 2" xfId="3252" xr:uid="{00000000-0005-0000-0000-0000D6210000}"/>
    <cellStyle name="Note 3 4 2 2 2" xfId="7475" xr:uid="{00000000-0005-0000-0000-0000D7210000}"/>
    <cellStyle name="Note 3 4 2 2 2 2" xfId="24358" xr:uid="{C8D29B19-6C9C-468B-BA3D-62418BBC92A5}"/>
    <cellStyle name="Note 3 4 2 2 2 3" xfId="15917" xr:uid="{BA72A0CC-0473-414C-832E-460C68B0D8DC}"/>
    <cellStyle name="Note 3 4 2 2 3" xfId="20140" xr:uid="{A2A217D7-76BB-49D1-BBF4-FF9D838FA764}"/>
    <cellStyle name="Note 3 4 2 2 4" xfId="11699" xr:uid="{78149D86-83F7-4AD3-8757-00C363727895}"/>
    <cellStyle name="Note 3 4 2 3" xfId="5330" xr:uid="{00000000-0005-0000-0000-0000D8210000}"/>
    <cellStyle name="Note 3 4 2 3 2" xfId="22213" xr:uid="{3A1B778A-1210-47D4-8360-6154C102242A}"/>
    <cellStyle name="Note 3 4 2 3 3" xfId="13772" xr:uid="{215FFD8C-83FF-4460-BF06-2CB16C924DED}"/>
    <cellStyle name="Note 3 4 2 4" xfId="17995" xr:uid="{290F56EF-F433-4A1C-AD6C-D975437AB296}"/>
    <cellStyle name="Note 3 4 2 5" xfId="9554" xr:uid="{94E842C3-2C8F-4FFD-92F3-5EB46AC21B0B}"/>
    <cellStyle name="Note 3 4 3" xfId="1435" xr:uid="{00000000-0005-0000-0000-0000D9210000}"/>
    <cellStyle name="Note 3 4 3 2" xfId="3665" xr:uid="{00000000-0005-0000-0000-0000DA210000}"/>
    <cellStyle name="Note 3 4 3 2 2" xfId="7888" xr:uid="{00000000-0005-0000-0000-0000DB210000}"/>
    <cellStyle name="Note 3 4 3 2 2 2" xfId="24771" xr:uid="{7802B075-4A42-4F2F-8B27-496C5C6B73E5}"/>
    <cellStyle name="Note 3 4 3 2 2 3" xfId="16330" xr:uid="{BFBB22D2-6BD5-46E4-BF27-EE1E56236904}"/>
    <cellStyle name="Note 3 4 3 2 3" xfId="20553" xr:uid="{E82D6C27-F9EC-4B98-A6C5-20697680FBBE}"/>
    <cellStyle name="Note 3 4 3 2 4" xfId="12112" xr:uid="{7BDF2AAC-714B-4DE1-9F7E-3C4B987C8A5C}"/>
    <cellStyle name="Note 3 4 3 3" xfId="5743" xr:uid="{00000000-0005-0000-0000-0000DC210000}"/>
    <cellStyle name="Note 3 4 3 3 2" xfId="22626" xr:uid="{A20B1A4A-75F2-49D9-AFFF-0BCB534E7D86}"/>
    <cellStyle name="Note 3 4 3 3 3" xfId="14185" xr:uid="{EBD34CFE-4332-4C2E-B330-C5E6F35E4F3C}"/>
    <cellStyle name="Note 3 4 3 4" xfId="18408" xr:uid="{C7AB9259-71E8-4381-BE22-C0997DB94ABB}"/>
    <cellStyle name="Note 3 4 3 5" xfId="9967" xr:uid="{9AD66560-3E5E-4F5B-86CA-BB7947AC56E6}"/>
    <cellStyle name="Note 3 4 4" xfId="1849" xr:uid="{00000000-0005-0000-0000-0000DD210000}"/>
    <cellStyle name="Note 3 4 4 2" xfId="4078" xr:uid="{00000000-0005-0000-0000-0000DE210000}"/>
    <cellStyle name="Note 3 4 4 2 2" xfId="8301" xr:uid="{00000000-0005-0000-0000-0000DF210000}"/>
    <cellStyle name="Note 3 4 4 2 2 2" xfId="25184" xr:uid="{0AFB8E7F-957D-4D03-8C40-CF28CAC49797}"/>
    <cellStyle name="Note 3 4 4 2 2 3" xfId="16743" xr:uid="{1F2C02E6-7E0B-48CD-866A-FB14A52ECB90}"/>
    <cellStyle name="Note 3 4 4 2 3" xfId="20966" xr:uid="{B61D24D6-6AF9-40E0-9433-091B91F6303A}"/>
    <cellStyle name="Note 3 4 4 2 4" xfId="12525" xr:uid="{EFCE5BC2-1FD3-402C-9380-96C634E6E401}"/>
    <cellStyle name="Note 3 4 4 3" xfId="6156" xr:uid="{00000000-0005-0000-0000-0000E0210000}"/>
    <cellStyle name="Note 3 4 4 3 2" xfId="23039" xr:uid="{46E5BE2C-EA7B-44B9-85BC-32FA5ECA6D65}"/>
    <cellStyle name="Note 3 4 4 3 3" xfId="14598" xr:uid="{E974F104-4F40-41B2-A4EF-543DC5AF6281}"/>
    <cellStyle name="Note 3 4 4 4" xfId="18821" xr:uid="{49D529B7-1316-418C-B10B-CE7A5AA87B41}"/>
    <cellStyle name="Note 3 4 4 5" xfId="10380" xr:uid="{4BEB6263-9A4D-4836-8013-28816CB33B47}"/>
    <cellStyle name="Note 3 4 5" xfId="2262" xr:uid="{00000000-0005-0000-0000-0000E1210000}"/>
    <cellStyle name="Note 3 4 5 2" xfId="4491" xr:uid="{00000000-0005-0000-0000-0000E2210000}"/>
    <cellStyle name="Note 3 4 5 2 2" xfId="8714" xr:uid="{00000000-0005-0000-0000-0000E3210000}"/>
    <cellStyle name="Note 3 4 5 2 2 2" xfId="25597" xr:uid="{E37CD32A-8584-4005-A623-EE8B198EC9E6}"/>
    <cellStyle name="Note 3 4 5 2 2 3" xfId="17156" xr:uid="{59B98936-4A19-41A2-B43A-E2C665D8BE5F}"/>
    <cellStyle name="Note 3 4 5 2 3" xfId="21379" xr:uid="{346CDE1C-FC6D-4947-BF22-0EC6AD7053CE}"/>
    <cellStyle name="Note 3 4 5 2 4" xfId="12938" xr:uid="{9484CEA5-B00D-4E56-A645-671580257612}"/>
    <cellStyle name="Note 3 4 5 3" xfId="6569" xr:uid="{00000000-0005-0000-0000-0000E4210000}"/>
    <cellStyle name="Note 3 4 5 3 2" xfId="23452" xr:uid="{2AC040EA-0C2F-4AA9-9195-AD3759EA11CD}"/>
    <cellStyle name="Note 3 4 5 3 3" xfId="15011" xr:uid="{54FAF1F4-A544-480F-A2D5-0CB4F3178DCB}"/>
    <cellStyle name="Note 3 4 5 4" xfId="19234" xr:uid="{320CC86F-FDB5-4387-9969-1B2844188D28}"/>
    <cellStyle name="Note 3 4 5 5" xfId="10793" xr:uid="{195276CB-CF13-49C8-B9C3-32215EE3ADC9}"/>
    <cellStyle name="Note 3 4 6" xfId="2698" xr:uid="{00000000-0005-0000-0000-0000E5210000}"/>
    <cellStyle name="Note 3 4 6 2" xfId="6982" xr:uid="{00000000-0005-0000-0000-0000E6210000}"/>
    <cellStyle name="Note 3 4 6 2 2" xfId="23865" xr:uid="{B23892D7-6010-42E1-87E3-9E95D38797ED}"/>
    <cellStyle name="Note 3 4 6 2 3" xfId="15424" xr:uid="{1D96C723-550F-4D72-9BD9-2A5DF729C3FF}"/>
    <cellStyle name="Note 3 4 6 3" xfId="19647" xr:uid="{C2839186-4C5C-453C-9477-12D44CAF9C89}"/>
    <cellStyle name="Note 3 4 6 4" xfId="11206" xr:uid="{37835A02-7C0C-47FD-B581-81470341891E}"/>
    <cellStyle name="Note 3 4 7" xfId="2757" xr:uid="{00000000-0005-0000-0000-0000E7210000}"/>
    <cellStyle name="Note 3 4 8" xfId="2838" xr:uid="{00000000-0005-0000-0000-0000E8210000}"/>
    <cellStyle name="Note 3 4 8 2" xfId="7062" xr:uid="{00000000-0005-0000-0000-0000E9210000}"/>
    <cellStyle name="Note 3 4 8 2 2" xfId="23945" xr:uid="{56BFBA97-DC0A-43C3-B127-EFFEF1B45E54}"/>
    <cellStyle name="Note 3 4 8 2 3" xfId="15504" xr:uid="{69F1C4AF-51C6-4B55-8480-06A7940CB4D5}"/>
    <cellStyle name="Note 3 4 8 3" xfId="19727" xr:uid="{471E13C0-A849-412D-8B7B-D4FC767AF0A2}"/>
    <cellStyle name="Note 3 4 8 4" xfId="11286" xr:uid="{2BC18EB0-3750-4479-B8BE-0B69E106E30F}"/>
    <cellStyle name="Note 3 4 9" xfId="4917" xr:uid="{00000000-0005-0000-0000-0000EA210000}"/>
    <cellStyle name="Note 3 4 9 2" xfId="21800" xr:uid="{B6DADDE0-56E1-411D-8E44-68BB623F45D7}"/>
    <cellStyle name="Note 3 4 9 3" xfId="13359" xr:uid="{51C6E825-D4D7-4AC9-9447-7D2DA0EA8EEE}"/>
    <cellStyle name="Note 3 5" xfId="561" xr:uid="{00000000-0005-0000-0000-0000EB210000}"/>
    <cellStyle name="Note 3 5 10" xfId="17583" xr:uid="{CA5E278A-3F42-4599-B7B7-8BE4DE85E7E4}"/>
    <cellStyle name="Note 3 5 11" xfId="9142" xr:uid="{9978814A-B29D-4B38-B992-41B3A0988CF8}"/>
    <cellStyle name="Note 3 5 2" xfId="1021" xr:uid="{00000000-0005-0000-0000-0000EC210000}"/>
    <cellStyle name="Note 3 5 2 2" xfId="3253" xr:uid="{00000000-0005-0000-0000-0000ED210000}"/>
    <cellStyle name="Note 3 5 2 2 2" xfId="7476" xr:uid="{00000000-0005-0000-0000-0000EE210000}"/>
    <cellStyle name="Note 3 5 2 2 2 2" xfId="24359" xr:uid="{93B14F26-5A6B-4316-A053-24C5A381FE2F}"/>
    <cellStyle name="Note 3 5 2 2 2 3" xfId="15918" xr:uid="{C8DED4B7-4C1C-454B-94FF-011D4C120E6A}"/>
    <cellStyle name="Note 3 5 2 2 3" xfId="20141" xr:uid="{3DA50F7F-FB32-43C8-B026-70A44C42615F}"/>
    <cellStyle name="Note 3 5 2 2 4" xfId="11700" xr:uid="{31D6CB8B-6BF2-470C-9140-42B7F7C75275}"/>
    <cellStyle name="Note 3 5 2 3" xfId="5331" xr:uid="{00000000-0005-0000-0000-0000EF210000}"/>
    <cellStyle name="Note 3 5 2 3 2" xfId="22214" xr:uid="{493FDA21-BD91-48C1-805E-48C15CA4F8F8}"/>
    <cellStyle name="Note 3 5 2 3 3" xfId="13773" xr:uid="{B7476A0A-1E06-4256-9D51-5869635A088C}"/>
    <cellStyle name="Note 3 5 2 4" xfId="17996" xr:uid="{CC7E5F64-6ED1-44FA-B0FB-BCAC506B8795}"/>
    <cellStyle name="Note 3 5 2 5" xfId="9555" xr:uid="{F7DFF209-2DB8-4128-8445-00D7EB4C4C0C}"/>
    <cellStyle name="Note 3 5 3" xfId="1436" xr:uid="{00000000-0005-0000-0000-0000F0210000}"/>
    <cellStyle name="Note 3 5 3 2" xfId="3666" xr:uid="{00000000-0005-0000-0000-0000F1210000}"/>
    <cellStyle name="Note 3 5 3 2 2" xfId="7889" xr:uid="{00000000-0005-0000-0000-0000F2210000}"/>
    <cellStyle name="Note 3 5 3 2 2 2" xfId="24772" xr:uid="{A208B9EB-5C74-4153-BD1E-E666925E1B23}"/>
    <cellStyle name="Note 3 5 3 2 2 3" xfId="16331" xr:uid="{5E0FDACC-C5D9-49C1-89ED-00A289E1B06A}"/>
    <cellStyle name="Note 3 5 3 2 3" xfId="20554" xr:uid="{BFF30BC7-30F2-4950-B882-B1603605C116}"/>
    <cellStyle name="Note 3 5 3 2 4" xfId="12113" xr:uid="{1AA137A7-EDFA-4F33-BCDD-F8ADA0E21BB3}"/>
    <cellStyle name="Note 3 5 3 3" xfId="5744" xr:uid="{00000000-0005-0000-0000-0000F3210000}"/>
    <cellStyle name="Note 3 5 3 3 2" xfId="22627" xr:uid="{95C9B09D-7A67-48F3-8FB4-1B8F337C315B}"/>
    <cellStyle name="Note 3 5 3 3 3" xfId="14186" xr:uid="{CE161E53-65E1-4447-87DE-1A347CE82377}"/>
    <cellStyle name="Note 3 5 3 4" xfId="18409" xr:uid="{972D3FC9-3362-41FE-A104-217F22AF45EF}"/>
    <cellStyle name="Note 3 5 3 5" xfId="9968" xr:uid="{97CA5FA9-A806-420C-B8AA-B27133B17B7E}"/>
    <cellStyle name="Note 3 5 4" xfId="1850" xr:uid="{00000000-0005-0000-0000-0000F4210000}"/>
    <cellStyle name="Note 3 5 4 2" xfId="4079" xr:uid="{00000000-0005-0000-0000-0000F5210000}"/>
    <cellStyle name="Note 3 5 4 2 2" xfId="8302" xr:uid="{00000000-0005-0000-0000-0000F6210000}"/>
    <cellStyle name="Note 3 5 4 2 2 2" xfId="25185" xr:uid="{09D8642C-233D-49EC-87B7-5C4FF6BAC02E}"/>
    <cellStyle name="Note 3 5 4 2 2 3" xfId="16744" xr:uid="{A1D3AC8C-C7E0-463F-B816-49D8117321D4}"/>
    <cellStyle name="Note 3 5 4 2 3" xfId="20967" xr:uid="{EA22E5AB-3CF3-4432-A48F-52D360F81409}"/>
    <cellStyle name="Note 3 5 4 2 4" xfId="12526" xr:uid="{E7243468-8302-4F33-AAC6-9E89F0066AEA}"/>
    <cellStyle name="Note 3 5 4 3" xfId="6157" xr:uid="{00000000-0005-0000-0000-0000F7210000}"/>
    <cellStyle name="Note 3 5 4 3 2" xfId="23040" xr:uid="{2FAE9BB3-C1D1-4CB0-AFA5-53E0C59FA584}"/>
    <cellStyle name="Note 3 5 4 3 3" xfId="14599" xr:uid="{CF09CADA-EF54-470E-A5A7-D24E102BFCC5}"/>
    <cellStyle name="Note 3 5 4 4" xfId="18822" xr:uid="{BFF7DEC0-F74D-49FF-B000-32AE009C2516}"/>
    <cellStyle name="Note 3 5 4 5" xfId="10381" xr:uid="{1DDD09F3-1AAA-4428-B208-D5BD068523F2}"/>
    <cellStyle name="Note 3 5 5" xfId="2263" xr:uid="{00000000-0005-0000-0000-0000F8210000}"/>
    <cellStyle name="Note 3 5 5 2" xfId="4492" xr:uid="{00000000-0005-0000-0000-0000F9210000}"/>
    <cellStyle name="Note 3 5 5 2 2" xfId="8715" xr:uid="{00000000-0005-0000-0000-0000FA210000}"/>
    <cellStyle name="Note 3 5 5 2 2 2" xfId="25598" xr:uid="{E1C9A12C-EA3A-4DCE-810B-4B3DBE01A965}"/>
    <cellStyle name="Note 3 5 5 2 2 3" xfId="17157" xr:uid="{990355BA-3B81-439C-8FA9-F3972D7D036C}"/>
    <cellStyle name="Note 3 5 5 2 3" xfId="21380" xr:uid="{BD98F760-14F7-4234-9B96-3F45AF69ADA5}"/>
    <cellStyle name="Note 3 5 5 2 4" xfId="12939" xr:uid="{D9939DBC-6411-456E-B1FF-5FD50090E337}"/>
    <cellStyle name="Note 3 5 5 3" xfId="6570" xr:uid="{00000000-0005-0000-0000-0000FB210000}"/>
    <cellStyle name="Note 3 5 5 3 2" xfId="23453" xr:uid="{0829DE1C-520C-4C3B-AC7C-7CF74CC5B08B}"/>
    <cellStyle name="Note 3 5 5 3 3" xfId="15012" xr:uid="{E685CBA5-E891-4545-8D1A-F03FCF81A0A3}"/>
    <cellStyle name="Note 3 5 5 4" xfId="19235" xr:uid="{6AE7E29C-72CF-46DC-B6A9-4A9889B13216}"/>
    <cellStyle name="Note 3 5 5 5" xfId="10794" xr:uid="{C5DCF7AF-E9EE-41A7-A16E-21CE6A03DB26}"/>
    <cellStyle name="Note 3 5 6" xfId="2699" xr:uid="{00000000-0005-0000-0000-0000FC210000}"/>
    <cellStyle name="Note 3 5 6 2" xfId="6983" xr:uid="{00000000-0005-0000-0000-0000FD210000}"/>
    <cellStyle name="Note 3 5 6 2 2" xfId="23866" xr:uid="{7C598DC7-D2DF-4D4F-B598-F4AE0BB5E379}"/>
    <cellStyle name="Note 3 5 6 2 3" xfId="15425" xr:uid="{27405299-B33B-431F-94DD-A0CB73595DF3}"/>
    <cellStyle name="Note 3 5 6 3" xfId="19648" xr:uid="{D0A595EA-BDFE-4FF3-B828-9C02585B68A4}"/>
    <cellStyle name="Note 3 5 6 4" xfId="11207" xr:uid="{C7290F8B-7FE5-4D94-9DCC-245D6EAEF855}"/>
    <cellStyle name="Note 3 5 7" xfId="2758" xr:uid="{00000000-0005-0000-0000-0000FE210000}"/>
    <cellStyle name="Note 3 5 8" xfId="2839" xr:uid="{00000000-0005-0000-0000-0000FF210000}"/>
    <cellStyle name="Note 3 5 8 2" xfId="7063" xr:uid="{00000000-0005-0000-0000-000000220000}"/>
    <cellStyle name="Note 3 5 8 2 2" xfId="23946" xr:uid="{3185E83B-A7E8-4B46-99D4-AFD4DEA8C823}"/>
    <cellStyle name="Note 3 5 8 2 3" xfId="15505" xr:uid="{13F9056B-6013-4C84-B0B5-2DDE165DD5CC}"/>
    <cellStyle name="Note 3 5 8 3" xfId="19728" xr:uid="{A87080CB-8024-4784-9BA8-771373E67D44}"/>
    <cellStyle name="Note 3 5 8 4" xfId="11287" xr:uid="{8F20B136-A76A-4A1B-8E16-4189BD881537}"/>
    <cellStyle name="Note 3 5 9" xfId="4918" xr:uid="{00000000-0005-0000-0000-000001220000}"/>
    <cellStyle name="Note 3 5 9 2" xfId="21801" xr:uid="{DCA474F3-685E-4518-ACA9-82E58C8010B1}"/>
    <cellStyle name="Note 3 5 9 3" xfId="13360" xr:uid="{19B6D056-5852-4D95-ACE5-B7D20F523E56}"/>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21384" xr:uid="{B49DC773-DEFF-4A12-9B46-5AF8661547AE}"/>
    <cellStyle name="Percent 3 3" xfId="12943" xr:uid="{76D91F37-E4F8-4D37-903F-A676402BB840}"/>
    <cellStyle name="Percent 4" xfId="4502" xr:uid="{00000000-0005-0000-0000-000007220000}"/>
    <cellStyle name="Percent 4 2" xfId="8718" xr:uid="{00000000-0005-0000-0000-000008220000}"/>
    <cellStyle name="Percent 4 2 2" xfId="25601" xr:uid="{09FBF796-3741-409B-BD58-186F16DFCB0E}"/>
    <cellStyle name="Percent 4 2 3" xfId="17160" xr:uid="{2343936D-475A-41BD-BCD6-3F460BD4B473}"/>
    <cellStyle name="Percent 4 3" xfId="8721" xr:uid="{D09CD3FC-D632-4B66-A68A-5CC92F993799}"/>
    <cellStyle name="Percent 4 3 2" xfId="8725" xr:uid="{D57AE941-8E59-43F0-AB73-09B3BCCFA234}"/>
    <cellStyle name="Percent 4 3 2 2" xfId="8728" xr:uid="{D24D76A7-D076-4554-9944-551B122393DE}"/>
    <cellStyle name="Percent 4 3 2 2 2" xfId="25610" xr:uid="{6154C5D5-6616-4BB6-8CA7-0929F147E7D5}"/>
    <cellStyle name="Percent 4 3 2 2 3" xfId="17169" xr:uid="{73D6917F-87A1-44A6-A8F1-B18782DB8660}"/>
    <cellStyle name="Percent 4 3 2 3" xfId="25607" xr:uid="{36A2305A-45DD-475F-899D-D91A50029FD5}"/>
    <cellStyle name="Percent 4 3 2 4" xfId="17166" xr:uid="{17653083-8774-4B01-81C9-B698EB61B454}"/>
    <cellStyle name="Percent 4 3 3" xfId="25604" xr:uid="{F6AEC343-572F-494A-8769-B20929C20355}"/>
    <cellStyle name="Percent 4 3 4" xfId="17163" xr:uid="{DA30CC9F-A3A2-404F-9C82-66DE3B87398E}"/>
    <cellStyle name="Percent 4 4" xfId="21387" xr:uid="{7E6395EE-1E45-4852-A3E8-C46F58A2CFA9}"/>
    <cellStyle name="Percent 4 5" xfId="12946" xr:uid="{76621403-F35F-49A6-9ABA-E75FC0582BF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49"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661</v>
      </c>
      <c r="F42" s="1266" t="s">
        <v>1270</v>
      </c>
    </row>
    <row r="43" spans="1:38" s="1266"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abSelected="1" workbookViewId="0">
      <selection activeCell="H21" sqref="H2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64" t="s">
        <v>1695</v>
      </c>
      <c r="B1" s="2164"/>
      <c r="C1" s="2164"/>
      <c r="D1" s="2164"/>
      <c r="E1" s="2164"/>
      <c r="F1" s="2164"/>
      <c r="G1" s="2164"/>
      <c r="H1" s="2164"/>
      <c r="I1" s="2164"/>
      <c r="J1" s="2164"/>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35633054</v>
      </c>
      <c r="I3" s="1145"/>
    </row>
    <row r="4" spans="1:13" s="1086" customFormat="1" ht="20.100000000000001" customHeight="1">
      <c r="B4" s="1134"/>
      <c r="D4" s="1148"/>
      <c r="F4" s="1132" t="s">
        <v>2300</v>
      </c>
      <c r="G4" s="1131" t="s">
        <v>2299</v>
      </c>
      <c r="H4" s="1133">
        <f>I16</f>
        <v>50382631.837663397</v>
      </c>
      <c r="I4" s="1135"/>
      <c r="K4" s="1090"/>
    </row>
    <row r="5" spans="1:13" s="1086" customFormat="1" ht="20.100000000000001" customHeight="1" thickBot="1">
      <c r="B5" s="1136"/>
      <c r="C5" s="1137"/>
      <c r="D5" s="1149"/>
      <c r="E5" s="1138"/>
      <c r="F5" s="1149" t="s">
        <v>2240</v>
      </c>
      <c r="G5" s="1150"/>
      <c r="H5" s="1146">
        <f>H3/H4</f>
        <v>0.7072487621292266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6" t="s">
        <v>2238</v>
      </c>
      <c r="C8" s="2167"/>
      <c r="D8" s="2167"/>
      <c r="E8" s="2168"/>
      <c r="G8" s="2169" t="s">
        <v>2239</v>
      </c>
      <c r="H8" s="2170"/>
      <c r="I8" s="2171"/>
      <c r="K8" s="1092"/>
    </row>
    <row r="9" spans="1:13" ht="15" customHeight="1">
      <c r="A9" s="1081"/>
      <c r="B9" s="2165" t="s">
        <v>2277</v>
      </c>
      <c r="C9" s="2165"/>
      <c r="D9" s="2165"/>
      <c r="E9" s="1094">
        <f>G31</f>
        <v>7575000</v>
      </c>
      <c r="G9" s="2174" t="s">
        <v>2275</v>
      </c>
      <c r="H9" s="2174"/>
      <c r="I9" s="1095">
        <f>Application!AM554</f>
        <v>36968261</v>
      </c>
      <c r="K9" s="1096"/>
      <c r="M9" s="1097"/>
    </row>
    <row r="10" spans="1:13" ht="15" customHeight="1" thickBot="1">
      <c r="A10" s="1081"/>
      <c r="B10" s="2165" t="s">
        <v>2278</v>
      </c>
      <c r="C10" s="2165"/>
      <c r="D10" s="2165"/>
      <c r="E10" s="1095">
        <f>G40</f>
        <v>19377053.999999996</v>
      </c>
      <c r="G10" s="2174" t="s">
        <v>2241</v>
      </c>
      <c r="H10" s="2174"/>
      <c r="I10" s="1182">
        <f>'Basis &amp; Credits'!AB78</f>
        <v>21324906</v>
      </c>
      <c r="M10" s="1097"/>
    </row>
    <row r="11" spans="1:13" ht="15" customHeight="1">
      <c r="A11" s="1098"/>
      <c r="B11" s="2165" t="s">
        <v>2279</v>
      </c>
      <c r="C11" s="2165"/>
      <c r="D11" s="2165"/>
      <c r="E11" s="1095">
        <f>G49</f>
        <v>0</v>
      </c>
      <c r="G11" s="2174" t="s">
        <v>2290</v>
      </c>
      <c r="H11" s="2174"/>
      <c r="I11" s="1181">
        <f>I9+I10</f>
        <v>58293167</v>
      </c>
      <c r="M11" s="1097"/>
    </row>
    <row r="12" spans="1:13" ht="15" customHeight="1">
      <c r="A12" s="1084"/>
      <c r="B12" s="2165" t="s">
        <v>2280</v>
      </c>
      <c r="C12" s="2165"/>
      <c r="D12" s="2165"/>
      <c r="E12" s="1095">
        <f>G58</f>
        <v>500000</v>
      </c>
      <c r="G12" s="1183" t="s">
        <v>2315</v>
      </c>
      <c r="H12" s="1184"/>
      <c r="M12" s="1097"/>
    </row>
    <row r="13" spans="1:13" ht="15" customHeight="1">
      <c r="A13" s="1081"/>
      <c r="B13" s="2165" t="s">
        <v>2281</v>
      </c>
      <c r="C13" s="2165"/>
      <c r="D13" s="2165"/>
      <c r="E13" s="1100">
        <f>G83</f>
        <v>3636000</v>
      </c>
      <c r="G13" s="2175" t="s">
        <v>139</v>
      </c>
      <c r="H13" s="2175"/>
      <c r="I13" s="1099">
        <f>15%*(AND(G111="Yes",G113&lt;&gt;""))</f>
        <v>0.15</v>
      </c>
      <c r="M13" s="1097"/>
    </row>
    <row r="14" spans="1:13" ht="15" customHeight="1">
      <c r="A14" s="1081"/>
      <c r="B14" s="2165" t="s">
        <v>2282</v>
      </c>
      <c r="C14" s="2165"/>
      <c r="D14" s="2165"/>
      <c r="E14" s="1095">
        <f>IF(G96&gt;G106,G96,0)</f>
        <v>4545000</v>
      </c>
      <c r="G14" s="1179" t="s">
        <v>2291</v>
      </c>
      <c r="H14" s="1179"/>
      <c r="I14" s="1099">
        <f>IF(Application!AJ1031&gt;0,10%,IF(Application!AJ1035&gt;0,5%,0))</f>
        <v>0</v>
      </c>
      <c r="M14" s="1097"/>
    </row>
    <row r="15" spans="1:13" ht="15" customHeight="1" thickBot="1">
      <c r="A15" s="1081"/>
      <c r="B15" s="2172" t="s">
        <v>2301</v>
      </c>
      <c r="C15" s="2172"/>
      <c r="D15" s="2172"/>
      <c r="E15" s="1151">
        <f>IF(E14&gt;0,0,G106)</f>
        <v>0</v>
      </c>
      <c r="G15" s="2178" t="s">
        <v>2292</v>
      </c>
      <c r="H15" s="2179"/>
      <c r="I15" s="1153">
        <f>G123</f>
        <v>-1.4297385620915032E-2</v>
      </c>
      <c r="M15" s="1097"/>
    </row>
    <row r="16" spans="1:13" ht="15" customHeight="1">
      <c r="A16" s="1081"/>
      <c r="B16" s="2173" t="s">
        <v>2237</v>
      </c>
      <c r="C16" s="2173"/>
      <c r="D16" s="2173"/>
      <c r="E16" s="1152">
        <f>SUM(E9:E15)</f>
        <v>35633054</v>
      </c>
      <c r="G16" s="1180" t="s">
        <v>2276</v>
      </c>
      <c r="H16" s="1180"/>
      <c r="I16" s="1154">
        <f>I11-((I11*I13)+(I11*I14)+(I11*I15))</f>
        <v>50382631.837663397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127</v>
      </c>
      <c r="O18" s="1124" t="s">
        <v>590</v>
      </c>
      <c r="P18" s="1079">
        <f>MATCH(Application!T189,Application!BV490:BV547,0)</f>
        <v>9</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76" t="s">
        <v>2294</v>
      </c>
      <c r="D20" s="2176" t="s">
        <v>2295</v>
      </c>
      <c r="E20" s="2176" t="s">
        <v>2296</v>
      </c>
      <c r="F20" s="2176" t="s">
        <v>2297</v>
      </c>
      <c r="G20" s="2176" t="s">
        <v>2293</v>
      </c>
      <c r="H20" s="1108"/>
      <c r="I20" s="1107"/>
      <c r="L20" s="1079">
        <f>IFERROR(MIN(4,MATCH(Application!B718,UnitSizes,0)-1),"")</f>
        <v>1</v>
      </c>
      <c r="M20" s="1101">
        <f>Application!G718</f>
        <v>18</v>
      </c>
      <c r="N20" s="1109">
        <f>Application!AC718</f>
        <v>0.3</v>
      </c>
      <c r="O20" s="1109">
        <f>IF(Cdlac[[#This Row],[Quantity]]&gt;0,IF(Cdlac[[#This Row],[Federal]],30%,IF($G$36,40%,Cdlac[[#This Row],[iAMI]])),"")</f>
        <v>0.3</v>
      </c>
      <c r="P20" s="1101" cm="1">
        <f t="array" ref="P20">IF(Cdlac[[#This Row],[Quantity]]&gt;0,INDEX(TcacRents,$P$18,Cdlac[[#This Row],[Bedrooms]]+1)*Cdlac[[#This Row],[AMI]],"")</f>
        <v>663</v>
      </c>
      <c r="Q20" s="1101" cm="1">
        <f t="array" ref="Q20">IF(Cdlac[[#This Row],[Quantity]]&gt;0,INDEX(HudFmrs,$P$18,Cdlac[[#This Row],[Bedrooms]]+1),"")</f>
        <v>1666</v>
      </c>
      <c r="R20" s="1101">
        <f>IF(Cdlac[[#This Row],[Quantity]]&gt;0,MAX(0,Cdlac[[#This Row],[Fair Market Rent]]-Cdlac[[#This Row],[Restricted Rent]]),"")</f>
        <v>1003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7"/>
      <c r="D21" s="2177"/>
      <c r="E21" s="2177"/>
      <c r="F21" s="2177"/>
      <c r="G21" s="2177"/>
      <c r="H21" s="1108"/>
      <c r="I21" s="1107"/>
      <c r="L21" s="1079">
        <f>IFERROR(MIN(4,MATCH(Application!B719,UnitSizes,0)-1),"")</f>
        <v>1</v>
      </c>
      <c r="M21" s="1101">
        <f>Application!G719</f>
        <v>23</v>
      </c>
      <c r="N21" s="1109">
        <f>Application!AC719</f>
        <v>0.5</v>
      </c>
      <c r="O21" s="1109">
        <f>IF(Cdlac[[#This Row],[Quantity]]&gt;0,IF(Cdlac[[#This Row],[Federal]],30%,IF($G$36,40%,Cdlac[[#This Row],[iAMI]])),"")</f>
        <v>0.5</v>
      </c>
      <c r="P21" s="1101" cm="1">
        <f t="array" ref="P21">IF(Cdlac[[#This Row],[Quantity]]&gt;0,INDEX(TcacRents,$P$18,Cdlac[[#This Row],[Bedrooms]]+1)*Cdlac[[#This Row],[AMI]],"")</f>
        <v>1105</v>
      </c>
      <c r="Q21" s="1101" cm="1">
        <f t="array" ref="Q21">IF(Cdlac[[#This Row],[Quantity]]&gt;0,INDEX(HudFmrs,$P$18,Cdlac[[#This Row],[Bedrooms]]+1),"")</f>
        <v>1666</v>
      </c>
      <c r="R21" s="1101">
        <f>IF(Cdlac[[#This Row],[Quantity]]&gt;0,MAX(0,Cdlac[[#This Row],[Fair Market Rent]]-Cdlac[[#This Row],[Restricted Rent]]),"")</f>
        <v>561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21</v>
      </c>
      <c r="N22" s="1109">
        <f>Application!AC720</f>
        <v>0.55000000000000004</v>
      </c>
      <c r="O22" s="1109">
        <f>IF(Cdlac[[#This Row],[Quantity]]&gt;0,IF(Cdlac[[#This Row],[Federal]],30%,IF($G$36,40%,Cdlac[[#This Row],[iAMI]])),"")</f>
        <v>0.55000000000000004</v>
      </c>
      <c r="P22" s="1101" cm="1">
        <f t="array" ref="P22">IF(Cdlac[[#This Row],[Quantity]]&gt;0,INDEX(TcacRents,$P$18,Cdlac[[#This Row],[Bedrooms]]+1)*Cdlac[[#This Row],[AMI]],"")</f>
        <v>1215.5</v>
      </c>
      <c r="Q22" s="1101" cm="1">
        <f t="array" ref="Q22">IF(Cdlac[[#This Row],[Quantity]]&gt;0,INDEX(HudFmrs,$P$18,Cdlac[[#This Row],[Bedrooms]]+1),"")</f>
        <v>1666</v>
      </c>
      <c r="R22" s="1101">
        <f>IF(Cdlac[[#This Row],[Quantity]]&gt;0,MAX(0,Cdlac[[#This Row],[Fair Market Rent]]-Cdlac[[#This Row],[Restricted Rent]]),"")</f>
        <v>450.5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62</v>
      </c>
      <c r="F23" s="1110">
        <f>E23</f>
        <v>62</v>
      </c>
      <c r="G23" s="1110">
        <f>D23*F23</f>
        <v>62</v>
      </c>
      <c r="L23" s="1079">
        <f>IFERROR(MIN(4,MATCH(Application!B721,UnitSizes,0)-1),"")</f>
        <v>2</v>
      </c>
      <c r="M23" s="1101">
        <f>Application!G721</f>
        <v>3</v>
      </c>
      <c r="N23" s="1109">
        <f>Application!AC721</f>
        <v>0.3</v>
      </c>
      <c r="O23" s="1109">
        <f>IF(Cdlac[[#This Row],[Quantity]]&gt;0,IF(Cdlac[[#This Row],[Federal]],30%,IF($G$36,40%,Cdlac[[#This Row],[iAMI]])),"")</f>
        <v>0.3</v>
      </c>
      <c r="P23" s="1101" cm="1">
        <f t="array" ref="P23">IF(Cdlac[[#This Row],[Quantity]]&gt;0,INDEX(TcacRents,$P$18,Cdlac[[#This Row],[Bedrooms]]+1)*Cdlac[[#This Row],[AMI]],"")</f>
        <v>795.6</v>
      </c>
      <c r="Q23" s="1101" cm="1">
        <f t="array" ref="Q23">IF(Cdlac[[#This Row],[Quantity]]&gt;0,INDEX(HudFmrs,$P$18,Cdlac[[#This Row],[Bedrooms]]+1),"")</f>
        <v>2072</v>
      </c>
      <c r="R23" s="1101">
        <f>IF(Cdlac[[#This Row],[Quantity]]&gt;0,MAX(0,Cdlac[[#This Row],[Fair Market Rent]]-Cdlac[[#This Row],[Restricted Rent]]),"")</f>
        <v>1276.4000000000001</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32</v>
      </c>
      <c r="F24" s="1113">
        <f>SUM(E24:E26)-SUM(F25:F26)</f>
        <v>32</v>
      </c>
      <c r="G24" s="1110">
        <f>D24*F24</f>
        <v>40</v>
      </c>
      <c r="H24" s="1112"/>
      <c r="I24" s="1112"/>
      <c r="L24" s="1079">
        <f>IFERROR(MIN(4,MATCH(Application!B722,UnitSizes,0)-1),"")</f>
        <v>2</v>
      </c>
      <c r="M24" s="1101">
        <f>Application!G722</f>
        <v>11</v>
      </c>
      <c r="N24" s="1109">
        <f>Application!AC722</f>
        <v>0.5</v>
      </c>
      <c r="O24" s="1109">
        <f>IF(Cdlac[[#This Row],[Quantity]]&gt;0,IF(Cdlac[[#This Row],[Federal]],30%,IF($G$36,40%,Cdlac[[#This Row],[iAMI]])),"")</f>
        <v>0.5</v>
      </c>
      <c r="P24" s="1101" cm="1">
        <f t="array" ref="P24">IF(Cdlac[[#This Row],[Quantity]]&gt;0,INDEX(TcacRents,$P$18,Cdlac[[#This Row],[Bedrooms]]+1)*Cdlac[[#This Row],[AMI]],"")</f>
        <v>1326</v>
      </c>
      <c r="Q24" s="1101" cm="1">
        <f t="array" ref="Q24">IF(Cdlac[[#This Row],[Quantity]]&gt;0,INDEX(HudFmrs,$P$18,Cdlac[[#This Row],[Bedrooms]]+1),"")</f>
        <v>2072</v>
      </c>
      <c r="R24" s="1101">
        <f>IF(Cdlac[[#This Row],[Quantity]]&gt;0,MAX(0,Cdlac[[#This Row],[Fair Market Rent]]-Cdlac[[#This Row],[Restricted Rent]]),"")</f>
        <v>746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33</v>
      </c>
      <c r="F25" s="1113">
        <f>MIN(E25,ROUNDDOWN(E27*30%,0))</f>
        <v>33</v>
      </c>
      <c r="G25" s="1110">
        <f>D25*F25</f>
        <v>49.5</v>
      </c>
      <c r="H25" s="1112"/>
      <c r="I25" s="1112"/>
      <c r="L25" s="1079">
        <f>IFERROR(MIN(4,MATCH(Application!B723,UnitSizes,0)-1),"")</f>
        <v>2</v>
      </c>
      <c r="M25" s="1101">
        <f>Application!G723</f>
        <v>18</v>
      </c>
      <c r="N25" s="1109">
        <f>Application!AC723</f>
        <v>0.55000000000000004</v>
      </c>
      <c r="O25" s="1109">
        <f>IF(Cdlac[[#This Row],[Quantity]]&gt;0,IF(Cdlac[[#This Row],[Federal]],30%,IF($G$36,40%,Cdlac[[#This Row],[iAMI]])),"")</f>
        <v>0.55000000000000004</v>
      </c>
      <c r="P25" s="1101" cm="1">
        <f t="array" ref="P25">IF(Cdlac[[#This Row],[Quantity]]&gt;0,INDEX(TcacRents,$P$18,Cdlac[[#This Row],[Bedrooms]]+1)*Cdlac[[#This Row],[AMI]],"")</f>
        <v>1458.6000000000001</v>
      </c>
      <c r="Q25" s="1101" cm="1">
        <f t="array" ref="Q25">IF(Cdlac[[#This Row],[Quantity]]&gt;0,INDEX(HudFmrs,$P$18,Cdlac[[#This Row],[Bedrooms]]+1),"")</f>
        <v>2072</v>
      </c>
      <c r="R25" s="1101">
        <f>IF(Cdlac[[#This Row],[Quantity]]&gt;0,MAX(0,Cdlac[[#This Row],[Fair Market Rent]]-Cdlac[[#This Row],[Restricted Rent]]),"")</f>
        <v>613.39999999999986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4</v>
      </c>
      <c r="N26" s="1109">
        <f>Application!AC724</f>
        <v>0.3</v>
      </c>
      <c r="O26" s="1109">
        <f>IF(Cdlac[[#This Row],[Quantity]]&gt;0,IF(Cdlac[[#This Row],[Federal]],30%,IF($G$36,40%,Cdlac[[#This Row],[iAMI]])),"")</f>
        <v>0.3</v>
      </c>
      <c r="P26" s="1101" cm="1">
        <f t="array" ref="P26">IF(Cdlac[[#This Row],[Quantity]]&gt;0,INDEX(TcacRents,$P$18,Cdlac[[#This Row],[Bedrooms]]+1)*Cdlac[[#This Row],[AMI]],"")</f>
        <v>919.19999999999993</v>
      </c>
      <c r="Q26" s="1101" cm="1">
        <f t="array" ref="Q26">IF(Cdlac[[#This Row],[Quantity]]&gt;0,INDEX(HudFmrs,$P$18,Cdlac[[#This Row],[Bedrooms]]+1),"")</f>
        <v>2884</v>
      </c>
      <c r="R26" s="1101">
        <f>IF(Cdlac[[#This Row],[Quantity]]&gt;0,MAX(0,Cdlac[[#This Row],[Fair Market Rent]]-Cdlac[[#This Row],[Restricted Rent]]),"")</f>
        <v>1964.8000000000002</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0" t="s">
        <v>1696</v>
      </c>
      <c r="D27" s="2161"/>
      <c r="E27" s="1129">
        <f>SUM(E22:E26)</f>
        <v>127</v>
      </c>
      <c r="F27" s="1129">
        <f>SUM(F22:F26)</f>
        <v>127</v>
      </c>
      <c r="G27" s="1130">
        <f>SUMPRODUCT(D22:D26,F22:F26)</f>
        <v>151.5</v>
      </c>
      <c r="H27" s="1112"/>
      <c r="I27" s="1112"/>
      <c r="L27" s="1079">
        <f>IFERROR(MIN(4,MATCH(Application!B725,UnitSizes,0)-1),"")</f>
        <v>3</v>
      </c>
      <c r="M27" s="1101">
        <f>Application!G725</f>
        <v>10</v>
      </c>
      <c r="N27" s="1109">
        <f>Application!AC725</f>
        <v>0.5</v>
      </c>
      <c r="O27" s="1109">
        <f>IF(Cdlac[[#This Row],[Quantity]]&gt;0,IF(Cdlac[[#This Row],[Federal]],30%,IF($G$36,40%,Cdlac[[#This Row],[iAMI]])),"")</f>
        <v>0.5</v>
      </c>
      <c r="P27" s="1101" cm="1">
        <f t="array" ref="P27">IF(Cdlac[[#This Row],[Quantity]]&gt;0,INDEX(TcacRents,$P$18,Cdlac[[#This Row],[Bedrooms]]+1)*Cdlac[[#This Row],[AMI]],"")</f>
        <v>1532</v>
      </c>
      <c r="Q27" s="1101" cm="1">
        <f t="array" ref="Q27">IF(Cdlac[[#This Row],[Quantity]]&gt;0,INDEX(HudFmrs,$P$18,Cdlac[[#This Row],[Bedrooms]]+1),"")</f>
        <v>2884</v>
      </c>
      <c r="R27" s="1101">
        <f>IF(Cdlac[[#This Row],[Quantity]]&gt;0,MAX(0,Cdlac[[#This Row],[Fair Market Rent]]-Cdlac[[#This Row],[Restricted Rent]]),"")</f>
        <v>1352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19</v>
      </c>
      <c r="N28" s="1109">
        <f>Application!AC726</f>
        <v>0.55000000000000004</v>
      </c>
      <c r="O28" s="1109">
        <f>IF(Cdlac[[#This Row],[Quantity]]&gt;0,IF(Cdlac[[#This Row],[Federal]],30%,IF($G$36,40%,Cdlac[[#This Row],[iAMI]])),"")</f>
        <v>0.55000000000000004</v>
      </c>
      <c r="P28" s="1101" cm="1">
        <f t="array" ref="P28">IF(Cdlac[[#This Row],[Quantity]]&gt;0,INDEX(TcacRents,$P$18,Cdlac[[#This Row],[Bedrooms]]+1)*Cdlac[[#This Row],[AMI]],"")</f>
        <v>1685.2</v>
      </c>
      <c r="Q28" s="1101" cm="1">
        <f t="array" ref="Q28">IF(Cdlac[[#This Row],[Quantity]]&gt;0,INDEX(HudFmrs,$P$18,Cdlac[[#This Row],[Bedrooms]]+1),"")</f>
        <v>2884</v>
      </c>
      <c r="R28" s="1101">
        <f>IF(Cdlac[[#This Row],[Quantity]]&gt;0,MAX(0,Cdlac[[#This Row],[Fair Market Rent]]-Cdlac[[#This Row],[Restricted Rent]]),"")</f>
        <v>1198.8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151.5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7575000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0.48346456692913387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107650.29999999999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19377053.999999996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63</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25</v>
      </c>
    </row>
    <row r="54" spans="2:14" ht="15" customHeight="1">
      <c r="E54" s="1159" t="s">
        <v>2304</v>
      </c>
      <c r="G54" s="1117">
        <f>ROUNDDOWN(E27*50%,0)</f>
        <v>63</v>
      </c>
    </row>
    <row r="55" spans="2:14" ht="15" customHeight="1">
      <c r="E55" s="1159"/>
      <c r="G55" s="1117"/>
    </row>
    <row r="56" spans="2:14" ht="15" customHeight="1">
      <c r="E56" s="1159" t="s">
        <v>2255</v>
      </c>
      <c r="G56" s="1156">
        <f>MIN(G53:G54)</f>
        <v>25</v>
      </c>
    </row>
    <row r="57" spans="2:14" ht="15" customHeight="1">
      <c r="E57" s="1159" t="s">
        <v>2245</v>
      </c>
      <c r="F57" s="1155" t="s">
        <v>2302</v>
      </c>
      <c r="G57" s="1166">
        <v>20000</v>
      </c>
    </row>
    <row r="58" spans="2:14" ht="15" customHeight="1">
      <c r="E58" s="1160" t="s">
        <v>2284</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3</v>
      </c>
      <c r="L62" s="1169" t="str">
        <f>'Points System'!H627</f>
        <v>(i)</v>
      </c>
      <c r="M62" s="2162" t="s">
        <v>1514</v>
      </c>
      <c r="N62" s="2163"/>
    </row>
    <row r="63" spans="2:14" ht="15" customHeight="1">
      <c r="E63" s="1124" t="s">
        <v>2245</v>
      </c>
      <c r="F63" s="1155" t="s">
        <v>2302</v>
      </c>
      <c r="G63" s="1114">
        <v>4000</v>
      </c>
      <c r="L63" s="1170" t="str">
        <f>'Points System'!H639</f>
        <v>N/A</v>
      </c>
      <c r="M63" s="2154" t="s">
        <v>2259</v>
      </c>
      <c r="N63" s="2155"/>
    </row>
    <row r="64" spans="2:14" ht="15" customHeight="1">
      <c r="E64" s="1124" t="s">
        <v>2306</v>
      </c>
      <c r="F64" s="1155" t="s">
        <v>2302</v>
      </c>
      <c r="G64" s="1168">
        <f>G27</f>
        <v>151.5</v>
      </c>
      <c r="L64" s="1170" t="str">
        <f>'Points System'!H674</f>
        <v>(ii)</v>
      </c>
      <c r="M64" s="2154" t="s">
        <v>2260</v>
      </c>
      <c r="N64" s="2155"/>
    </row>
    <row r="65" spans="2:14" ht="15" customHeight="1">
      <c r="E65" s="1160" t="s">
        <v>2264</v>
      </c>
      <c r="F65" s="1081"/>
      <c r="G65" s="1165">
        <f>G62*G63*G64</f>
        <v>1818000</v>
      </c>
      <c r="L65" s="1170" t="str">
        <f>IF(OR('Points System'!H698="(ii)",'Points System'!H698="(i)"),"(i)","N/A")</f>
        <v>(i)</v>
      </c>
      <c r="M65" s="2154" t="s">
        <v>2261</v>
      </c>
      <c r="N65" s="2155"/>
    </row>
    <row r="66" spans="2:14" ht="15" customHeight="1">
      <c r="C66" s="1115"/>
      <c r="G66" s="1156"/>
      <c r="L66" s="1171" t="str">
        <f>'Points System'!H712</f>
        <v>N/A</v>
      </c>
      <c r="M66" s="2154" t="s">
        <v>1540</v>
      </c>
      <c r="N66" s="2155"/>
    </row>
    <row r="67" spans="2:14" ht="15" customHeight="1">
      <c r="E67" s="1124" t="s">
        <v>2307</v>
      </c>
      <c r="G67" s="1168">
        <f>COUNTIFS(L62:L69,"(i)")</f>
        <v>3</v>
      </c>
      <c r="L67" s="1170" t="str">
        <f>'Points System'!H724</f>
        <v>N/A</v>
      </c>
      <c r="M67" s="2154" t="s">
        <v>2262</v>
      </c>
      <c r="N67" s="2155"/>
    </row>
    <row r="68" spans="2:14" ht="15" customHeight="1">
      <c r="E68" s="1124" t="s">
        <v>2245</v>
      </c>
      <c r="F68" s="1155" t="s">
        <v>2302</v>
      </c>
      <c r="G68" s="1166">
        <v>4000</v>
      </c>
      <c r="L68" s="1170" t="str">
        <f>'Points System'!H740</f>
        <v>N/A</v>
      </c>
      <c r="M68" s="2154" t="s">
        <v>2263</v>
      </c>
      <c r="N68" s="2155"/>
    </row>
    <row r="69" spans="2:14" ht="15" customHeight="1" thickBot="1">
      <c r="E69" s="1160" t="s">
        <v>2265</v>
      </c>
      <c r="F69" s="1081"/>
      <c r="G69" s="1165">
        <f>G64*G67*G68</f>
        <v>1818000</v>
      </c>
      <c r="L69" s="1172" t="str">
        <f>'Points System'!H752</f>
        <v>(i)</v>
      </c>
      <c r="M69" s="2156" t="s">
        <v>1543</v>
      </c>
      <c r="N69" s="2157"/>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151.5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3636000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58" t="s">
        <v>2272</v>
      </c>
      <c r="M87" s="2159"/>
      <c r="N87" s="1173">
        <v>30000</v>
      </c>
    </row>
    <row r="88" spans="2:14" ht="15" customHeight="1">
      <c r="C88" s="1115" t="s">
        <v>2289</v>
      </c>
      <c r="G88" s="1119" t="str">
        <f>IF(Application!D211="Large Family","Yes","No")</f>
        <v>Yes</v>
      </c>
      <c r="L88" s="2150" t="s">
        <v>2236</v>
      </c>
      <c r="M88" s="2151"/>
      <c r="N88" s="1174">
        <v>20000</v>
      </c>
    </row>
    <row r="89" spans="2:14" ht="15" customHeight="1" thickBot="1">
      <c r="C89" s="1115" t="s">
        <v>2270</v>
      </c>
      <c r="G89" s="1078" t="s">
        <v>677</v>
      </c>
      <c r="L89" s="2152" t="s">
        <v>2273</v>
      </c>
      <c r="M89" s="2153"/>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151.5</v>
      </c>
    </row>
    <row r="96" spans="2:14" ht="15" customHeight="1">
      <c r="D96" s="1081"/>
      <c r="E96" s="1160" t="s">
        <v>2244</v>
      </c>
      <c r="F96" s="1081"/>
      <c r="G96" s="1165">
        <f>G95*G94*G92</f>
        <v>4545000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151.5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7" t="s">
        <v>2637</v>
      </c>
      <c r="D110" s="2147"/>
      <c r="E110" s="2147"/>
      <c r="F110" s="2147"/>
    </row>
    <row r="111" spans="2:9" ht="15" customHeight="1">
      <c r="C111" s="2147"/>
      <c r="D111" s="2147"/>
      <c r="E111" s="2147"/>
      <c r="F111" s="2147"/>
      <c r="G111" s="1078" t="s">
        <v>553</v>
      </c>
    </row>
    <row r="112" spans="2:9" ht="15" customHeight="1"/>
    <row r="113" spans="2:9" ht="15" customHeight="1">
      <c r="C113" s="1079" t="s">
        <v>2640</v>
      </c>
      <c r="G113" s="2148" t="s">
        <v>2727</v>
      </c>
      <c r="H113" s="2148"/>
    </row>
    <row r="114" spans="2:9" ht="15" customHeight="1">
      <c r="G114" s="2148"/>
      <c r="H114" s="2148"/>
    </row>
    <row r="115" spans="2:9" ht="15" customHeight="1">
      <c r="G115" s="2149"/>
      <c r="H115" s="2149"/>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El Dorado</v>
      </c>
    </row>
    <row r="120" spans="2:9" ht="15" customHeight="1">
      <c r="E120" s="1124"/>
      <c r="G120" s="1116"/>
    </row>
    <row r="121" spans="2:9" ht="15" customHeight="1">
      <c r="E121" s="1124" t="str">
        <f>"2-Bedroom "&amp;G119&amp;" County Basis Limit"</f>
        <v>2-Bedroom El Dorado County Basis Limit</v>
      </c>
      <c r="G121" s="1116">
        <f>Application!R987</f>
        <v>461600</v>
      </c>
    </row>
    <row r="122" spans="2:9" ht="15" customHeight="1">
      <c r="E122" s="1124" t="s">
        <v>2310</v>
      </c>
      <c r="G122" s="1116">
        <f>MEDIAN((Application!BR806:BR863))</f>
        <v>489600</v>
      </c>
    </row>
    <row r="123" spans="2:9" ht="15" customHeight="1">
      <c r="D123" s="1081"/>
      <c r="E123" s="1160" t="s">
        <v>2312</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40" t="s">
        <v>2411</v>
      </c>
      <c r="B1" s="2241"/>
      <c r="C1" s="2241"/>
      <c r="D1" s="2241"/>
      <c r="E1" s="2241"/>
      <c r="F1" s="2241"/>
      <c r="G1" s="2241"/>
      <c r="H1" s="2241"/>
      <c r="I1" s="2241"/>
      <c r="J1" s="2241"/>
      <c r="K1" s="2241"/>
      <c r="L1" s="2241"/>
      <c r="M1" s="2241"/>
      <c r="N1" s="2241"/>
      <c r="O1" s="2241"/>
      <c r="P1" s="2241"/>
      <c r="Q1" s="2241"/>
      <c r="R1" s="2241"/>
      <c r="S1" s="2241"/>
      <c r="T1" s="2241"/>
      <c r="U1" s="2241"/>
      <c r="V1" s="2241"/>
      <c r="W1" s="2241"/>
      <c r="X1" s="2241"/>
      <c r="Y1" s="2241"/>
      <c r="Z1" s="2241"/>
      <c r="AA1" s="2241"/>
      <c r="AB1" s="2241"/>
      <c r="AC1" s="2241"/>
      <c r="AD1" s="2241"/>
      <c r="AE1" s="2241"/>
      <c r="AF1" s="2241"/>
      <c r="AG1" s="2241"/>
      <c r="AH1" s="2241"/>
      <c r="AI1" s="2241"/>
      <c r="AJ1" s="2241"/>
      <c r="AK1" s="2241"/>
      <c r="AL1" s="2241"/>
      <c r="AM1" s="2241"/>
      <c r="AN1" s="2241"/>
      <c r="AO1" s="2241"/>
      <c r="AP1" s="2241"/>
      <c r="AQ1" s="2241"/>
      <c r="AR1" s="2241"/>
      <c r="AS1" s="2241"/>
      <c r="AT1" s="2241"/>
      <c r="AU1" s="2241"/>
      <c r="AV1" s="2241"/>
      <c r="AW1" s="2241"/>
      <c r="AX1" s="2241"/>
      <c r="AY1" s="2241"/>
      <c r="AZ1" s="2241"/>
      <c r="BA1" s="2241"/>
      <c r="BB1" s="2241"/>
      <c r="BC1" s="2241"/>
      <c r="BD1" s="2241"/>
      <c r="BE1" s="2242"/>
    </row>
    <row r="2" spans="1:65" ht="15.75" customHeight="1">
      <c r="A2" s="2243" t="s">
        <v>2458</v>
      </c>
      <c r="B2" s="2244"/>
      <c r="C2" s="2244"/>
      <c r="D2" s="2244"/>
      <c r="E2" s="2244"/>
      <c r="F2" s="2244"/>
      <c r="G2" s="2244"/>
      <c r="H2" s="2244"/>
      <c r="I2" s="2244"/>
      <c r="J2" s="2244"/>
      <c r="K2" s="2244"/>
      <c r="L2" s="2244"/>
      <c r="M2" s="2244"/>
      <c r="N2" s="2244"/>
      <c r="O2" s="2244"/>
      <c r="P2" s="2244"/>
      <c r="Q2" s="2244"/>
      <c r="R2" s="2244"/>
      <c r="S2" s="2244"/>
      <c r="T2" s="2244"/>
      <c r="U2" s="2244"/>
      <c r="V2" s="2244"/>
      <c r="W2" s="2244"/>
      <c r="X2" s="2244"/>
      <c r="Y2" s="2244"/>
      <c r="Z2" s="2244"/>
      <c r="AA2" s="2244"/>
      <c r="AB2" s="2244"/>
      <c r="AC2" s="2244"/>
      <c r="AD2" s="2244"/>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4"/>
      <c r="BC2" s="2244"/>
      <c r="BD2" s="2244"/>
      <c r="BE2" s="224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46" t="str">
        <f>IF(Application!H18="","",Application!H18)</f>
        <v>Green Valley Family Apartments</v>
      </c>
      <c r="M4" s="2247"/>
      <c r="N4" s="2247"/>
      <c r="O4" s="2247"/>
      <c r="P4" s="2247"/>
      <c r="Q4" s="2247"/>
      <c r="R4" s="2247"/>
      <c r="S4" s="2247"/>
      <c r="T4" s="2247"/>
      <c r="U4" s="2247"/>
      <c r="V4" s="2247"/>
      <c r="W4" s="2247"/>
      <c r="X4" s="2247"/>
      <c r="Y4" s="2247"/>
      <c r="Z4" s="2247"/>
      <c r="AA4" s="2247"/>
      <c r="AB4" s="2247"/>
      <c r="AC4" s="2248"/>
      <c r="AD4" s="1206"/>
      <c r="AE4" s="1206"/>
      <c r="AF4" s="2249" t="s">
        <v>2459</v>
      </c>
      <c r="AG4" s="2249"/>
      <c r="AH4" s="2249"/>
      <c r="AI4" s="2249"/>
      <c r="AJ4" s="2249"/>
      <c r="AK4" s="2249"/>
      <c r="AL4" s="2249"/>
      <c r="AM4" s="2249"/>
      <c r="AN4" s="2249"/>
      <c r="AO4" s="2249"/>
      <c r="AP4" s="2250"/>
      <c r="AQ4" s="2251"/>
      <c r="AR4" s="2251"/>
      <c r="AS4" s="2251"/>
      <c r="AT4" s="2251"/>
      <c r="AU4" s="225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9" t="s">
        <v>2460</v>
      </c>
      <c r="AG5" s="2249"/>
      <c r="AH5" s="2249"/>
      <c r="AI5" s="2249"/>
      <c r="AJ5" s="2249"/>
      <c r="AK5" s="2249"/>
      <c r="AL5" s="2249"/>
      <c r="AM5" s="2249"/>
      <c r="AN5" s="2249"/>
      <c r="AO5" s="2249"/>
      <c r="AP5" s="2250"/>
      <c r="AQ5" s="2251"/>
      <c r="AR5" s="2251"/>
      <c r="AS5" s="2251"/>
      <c r="AT5" s="2251"/>
      <c r="AU5" s="2251"/>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46" t="str">
        <f>IF(Application!H16="","",Application!H16)</f>
        <v xml:space="preserve">Compass for Affordable Housing </v>
      </c>
      <c r="M6" s="2247"/>
      <c r="N6" s="2247"/>
      <c r="O6" s="2247"/>
      <c r="P6" s="2247"/>
      <c r="Q6" s="2247"/>
      <c r="R6" s="2247"/>
      <c r="S6" s="2247"/>
      <c r="T6" s="2247"/>
      <c r="U6" s="2247"/>
      <c r="V6" s="2247"/>
      <c r="W6" s="2247"/>
      <c r="X6" s="2247"/>
      <c r="Y6" s="2247"/>
      <c r="Z6" s="2247"/>
      <c r="AA6" s="2247"/>
      <c r="AB6" s="2247"/>
      <c r="AC6" s="2248"/>
      <c r="AD6" s="1206"/>
      <c r="AE6" s="1206"/>
      <c r="AF6" s="2252" t="s">
        <v>2461</v>
      </c>
      <c r="AG6" s="2252"/>
      <c r="AH6" s="2252"/>
      <c r="AI6" s="2252"/>
      <c r="AJ6" s="2252"/>
      <c r="AK6" s="2252"/>
      <c r="AL6" s="2252"/>
      <c r="AM6" s="2252"/>
      <c r="AN6" s="2252"/>
      <c r="AO6" s="2252"/>
      <c r="AP6" s="2239">
        <v>0</v>
      </c>
      <c r="AQ6" s="2239"/>
      <c r="AR6" s="2239"/>
      <c r="AS6" s="2239"/>
      <c r="AT6" s="2239"/>
      <c r="AU6" s="223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52" t="s">
        <v>2462</v>
      </c>
      <c r="AG7" s="2252"/>
      <c r="AH7" s="2252"/>
      <c r="AI7" s="2252"/>
      <c r="AJ7" s="2252"/>
      <c r="AK7" s="2252"/>
      <c r="AL7" s="2252"/>
      <c r="AM7" s="2252"/>
      <c r="AN7" s="2252"/>
      <c r="AO7" s="2252"/>
      <c r="AP7" s="2239">
        <v>0</v>
      </c>
      <c r="AQ7" s="2239"/>
      <c r="AR7" s="2239"/>
      <c r="AS7" s="2239"/>
      <c r="AT7" s="2239"/>
      <c r="AU7" s="2239"/>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53" t="str">
        <f>Application!T197</f>
        <v>No</v>
      </c>
      <c r="AC8" s="2254"/>
      <c r="AD8" s="2255"/>
      <c r="AE8" s="1206"/>
      <c r="AF8" s="2252" t="s">
        <v>2463</v>
      </c>
      <c r="AG8" s="2252"/>
      <c r="AH8" s="2252"/>
      <c r="AI8" s="2252"/>
      <c r="AJ8" s="2252"/>
      <c r="AK8" s="2252"/>
      <c r="AL8" s="2252"/>
      <c r="AM8" s="2252"/>
      <c r="AN8" s="2252"/>
      <c r="AO8" s="2252"/>
      <c r="AP8" s="2239" t="s">
        <v>2415</v>
      </c>
      <c r="AQ8" s="2239"/>
      <c r="AR8" s="2239"/>
      <c r="AS8" s="2239"/>
      <c r="AT8" s="2239"/>
      <c r="AU8" s="2239"/>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9" t="s">
        <v>2621</v>
      </c>
      <c r="AG9" s="2249"/>
      <c r="AH9" s="2249"/>
      <c r="AI9" s="2249"/>
      <c r="AJ9" s="2249"/>
      <c r="AK9" s="2249"/>
      <c r="AL9" s="2249"/>
      <c r="AM9" s="2249"/>
      <c r="AN9" s="2249"/>
      <c r="AO9" s="2249"/>
      <c r="AP9" s="2250"/>
      <c r="AQ9" s="2251"/>
      <c r="AR9" s="2251"/>
      <c r="AS9" s="2251"/>
      <c r="AT9" s="2251"/>
      <c r="AU9" s="2251"/>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64">
        <f>Application!AO627</f>
        <v>10969225</v>
      </c>
      <c r="O10" s="2264"/>
      <c r="P10" s="2264"/>
      <c r="Q10" s="2264"/>
      <c r="R10" s="2264"/>
      <c r="S10" s="2264"/>
      <c r="T10" s="2264"/>
      <c r="U10" s="1206"/>
      <c r="V10" s="1206"/>
      <c r="W10" s="1206"/>
      <c r="X10" s="1255"/>
      <c r="Y10" s="1255"/>
      <c r="Z10" s="1255"/>
      <c r="AA10" s="1255"/>
      <c r="AB10" s="1255"/>
      <c r="AC10" s="1255"/>
      <c r="AD10" s="1255"/>
      <c r="AE10" s="1255"/>
      <c r="AF10" s="2249" t="s">
        <v>2620</v>
      </c>
      <c r="AG10" s="2249"/>
      <c r="AH10" s="2249"/>
      <c r="AI10" s="2249"/>
      <c r="AJ10" s="2249"/>
      <c r="AK10" s="2249"/>
      <c r="AL10" s="2249"/>
      <c r="AM10" s="2249"/>
      <c r="AN10" s="2249"/>
      <c r="AO10" s="2249"/>
      <c r="AP10" s="2250"/>
      <c r="AQ10" s="2251"/>
      <c r="AR10" s="2251"/>
      <c r="AS10" s="2251"/>
      <c r="AT10" s="2251"/>
      <c r="AU10" s="2251"/>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64">
        <f>Application!AA933</f>
        <v>0</v>
      </c>
      <c r="O11" s="2264"/>
      <c r="P11" s="2264"/>
      <c r="Q11" s="2264"/>
      <c r="R11" s="2264"/>
      <c r="S11" s="2264"/>
      <c r="T11" s="2264"/>
      <c r="U11" s="1206"/>
      <c r="V11" s="1206"/>
      <c r="W11" s="1206"/>
      <c r="X11" s="1255"/>
      <c r="Y11" s="1255"/>
      <c r="Z11" s="1255"/>
      <c r="AA11" s="1255"/>
      <c r="AB11" s="1255"/>
      <c r="AC11" s="1255"/>
      <c r="AD11" s="1255"/>
      <c r="AE11" s="1255"/>
      <c r="AF11" s="2249" t="s">
        <v>2619</v>
      </c>
      <c r="AG11" s="2249"/>
      <c r="AH11" s="2249"/>
      <c r="AI11" s="2249"/>
      <c r="AJ11" s="2249"/>
      <c r="AK11" s="2249"/>
      <c r="AL11" s="2249"/>
      <c r="AM11" s="2249"/>
      <c r="AN11" s="2249"/>
      <c r="AO11" s="2249"/>
      <c r="AP11" s="2250"/>
      <c r="AQ11" s="2251"/>
      <c r="AR11" s="2251"/>
      <c r="AS11" s="2251"/>
      <c r="AT11" s="2251"/>
      <c r="AU11" s="2251"/>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71" t="s">
        <v>1792</v>
      </c>
      <c r="C13" s="2272"/>
      <c r="D13" s="2272"/>
      <c r="E13" s="2272"/>
      <c r="F13" s="2272"/>
      <c r="G13" s="2272"/>
      <c r="H13" s="2272"/>
      <c r="I13" s="2272"/>
      <c r="J13" s="2272"/>
      <c r="K13" s="2272"/>
      <c r="L13" s="2272"/>
      <c r="M13" s="2272"/>
      <c r="N13" s="2272"/>
      <c r="O13" s="2272"/>
      <c r="P13" s="2273"/>
      <c r="Q13" s="2274" t="s">
        <v>677</v>
      </c>
      <c r="R13" s="2275"/>
      <c r="S13" s="2275"/>
      <c r="T13" s="2276"/>
      <c r="U13" s="1255"/>
      <c r="V13" s="1206"/>
      <c r="W13" s="1206"/>
      <c r="X13" s="1206"/>
      <c r="Y13" s="1206"/>
      <c r="Z13" s="1206"/>
      <c r="AA13" s="2265" t="s">
        <v>2465</v>
      </c>
      <c r="AB13" s="2265"/>
      <c r="AC13" s="2265"/>
      <c r="AD13" s="2265"/>
      <c r="AE13" s="2265"/>
      <c r="AF13" s="2265"/>
      <c r="AG13" s="2265"/>
      <c r="AH13" s="2265"/>
      <c r="AI13" s="2265"/>
      <c r="AJ13" s="2265"/>
      <c r="AK13" s="2265"/>
      <c r="AL13" s="2265"/>
      <c r="AM13" s="2265"/>
      <c r="AN13" s="2265"/>
      <c r="AO13" s="2266">
        <f>Application!W473</f>
        <v>20</v>
      </c>
      <c r="AP13" s="2267"/>
      <c r="AQ13" s="2267"/>
      <c r="AR13" s="2267"/>
      <c r="AS13" s="226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8" t="s">
        <v>2467</v>
      </c>
      <c r="AB14" s="2268"/>
      <c r="AC14" s="2268"/>
      <c r="AD14" s="2268"/>
      <c r="AE14" s="2268"/>
      <c r="AF14" s="2268"/>
      <c r="AG14" s="2268"/>
      <c r="AH14" s="2268"/>
      <c r="AI14" s="2268"/>
      <c r="AJ14" s="2268"/>
      <c r="AK14" s="2268"/>
      <c r="AL14" s="2268"/>
      <c r="AM14" s="2268"/>
      <c r="AN14" s="2268"/>
      <c r="AO14" s="2269"/>
      <c r="AP14" s="2270"/>
      <c r="AQ14" s="2270"/>
      <c r="AR14" s="2270"/>
      <c r="AS14" s="2270"/>
      <c r="AT14" s="1255"/>
      <c r="AU14" s="1255"/>
      <c r="AV14" s="1255"/>
      <c r="AW14" s="1255"/>
      <c r="AX14" s="1255"/>
      <c r="AY14" s="1255"/>
      <c r="AZ14" s="1255"/>
      <c r="BA14" s="1255"/>
      <c r="BB14" s="1255"/>
      <c r="BC14" s="1255"/>
      <c r="BD14" s="1255"/>
      <c r="BE14" s="1202"/>
    </row>
    <row r="15" spans="1:65" thickBot="1">
      <c r="A15" s="1206"/>
      <c r="B15" s="2277" t="s">
        <v>1793</v>
      </c>
      <c r="C15" s="2278"/>
      <c r="D15" s="2278"/>
      <c r="E15" s="2278"/>
      <c r="F15" s="2278"/>
      <c r="G15" s="2278"/>
      <c r="H15" s="2278"/>
      <c r="I15" s="2278"/>
      <c r="J15" s="2278"/>
      <c r="K15" s="2278"/>
      <c r="L15" s="2278"/>
      <c r="M15" s="2278"/>
      <c r="N15" s="2278"/>
      <c r="O15" s="2278"/>
      <c r="P15" s="2278"/>
      <c r="Q15" s="2278"/>
      <c r="R15" s="2279"/>
      <c r="S15" s="2280" t="str">
        <f>IF(Application!AB214="","",Application!AB214)</f>
        <v/>
      </c>
      <c r="T15" s="2280"/>
      <c r="U15" s="2280"/>
      <c r="V15" s="2280"/>
      <c r="W15" s="2281"/>
      <c r="X15" s="1255"/>
      <c r="Y15" s="1206"/>
      <c r="Z15" s="1206"/>
      <c r="AA15" s="2265" t="s">
        <v>2468</v>
      </c>
      <c r="AB15" s="2265"/>
      <c r="AC15" s="2265"/>
      <c r="AD15" s="2265"/>
      <c r="AE15" s="2265"/>
      <c r="AF15" s="2265"/>
      <c r="AG15" s="2265"/>
      <c r="AH15" s="2265"/>
      <c r="AI15" s="2265"/>
      <c r="AJ15" s="2265"/>
      <c r="AK15" s="2265"/>
      <c r="AL15" s="2265"/>
      <c r="AM15" s="2265"/>
      <c r="AN15" s="2265"/>
      <c r="AO15" s="2269"/>
      <c r="AP15" s="2270"/>
      <c r="AQ15" s="2270"/>
      <c r="AR15" s="2270"/>
      <c r="AS15" s="227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82" t="s">
        <v>1794</v>
      </c>
      <c r="C17" s="2283"/>
      <c r="D17" s="2283"/>
      <c r="E17" s="2283"/>
      <c r="F17" s="2283"/>
      <c r="G17" s="2283"/>
      <c r="H17" s="2283"/>
      <c r="I17" s="2283"/>
      <c r="J17" s="2283"/>
      <c r="K17" s="2283"/>
      <c r="L17" s="2283"/>
      <c r="M17" s="2283"/>
      <c r="N17" s="2283"/>
      <c r="O17" s="2283"/>
      <c r="P17" s="2283"/>
      <c r="Q17" s="2283"/>
      <c r="R17" s="2283"/>
      <c r="S17" s="2283"/>
      <c r="T17" s="2283"/>
      <c r="U17" s="2283"/>
      <c r="V17" s="2283"/>
      <c r="W17" s="2283"/>
      <c r="X17" s="2283"/>
      <c r="Y17" s="2283"/>
      <c r="Z17" s="2283"/>
      <c r="AA17" s="2283"/>
      <c r="AB17" s="2283"/>
      <c r="AC17" s="2283"/>
      <c r="AD17" s="2283"/>
      <c r="AE17" s="2283"/>
      <c r="AF17" s="2283"/>
      <c r="AG17" s="2283"/>
      <c r="AH17" s="2283"/>
      <c r="AI17" s="2283"/>
      <c r="AJ17" s="2283"/>
      <c r="AK17" s="2283"/>
      <c r="AL17" s="2283"/>
      <c r="AM17" s="2283"/>
      <c r="AN17" s="2283"/>
      <c r="AO17" s="2283"/>
      <c r="AP17" s="2283"/>
      <c r="AQ17" s="2283"/>
      <c r="AR17" s="2283"/>
      <c r="AS17" s="2283"/>
      <c r="AT17" s="2283"/>
      <c r="AU17" s="2283"/>
      <c r="AV17" s="2283"/>
      <c r="AW17" s="2283"/>
      <c r="AX17" s="2283"/>
      <c r="AY17" s="2284"/>
      <c r="AZ17" s="1206"/>
      <c r="BA17" s="1206"/>
      <c r="BB17" s="1206"/>
      <c r="BC17" s="1206"/>
      <c r="BD17" s="1206"/>
      <c r="BE17" s="1202"/>
      <c r="BF17" s="1198"/>
    </row>
    <row r="18" spans="1:58" ht="15.75" customHeight="1">
      <c r="A18" s="1206"/>
      <c r="B18" s="2285" t="s">
        <v>1795</v>
      </c>
      <c r="C18" s="2286"/>
      <c r="D18" s="2286"/>
      <c r="E18" s="2286"/>
      <c r="F18" s="2286"/>
      <c r="G18" s="2286"/>
      <c r="H18" s="2286"/>
      <c r="I18" s="2287"/>
      <c r="J18" s="2288" t="s">
        <v>1696</v>
      </c>
      <c r="K18" s="2289"/>
      <c r="L18" s="2289"/>
      <c r="M18" s="2289"/>
      <c r="N18" s="2289"/>
      <c r="O18" s="2290"/>
      <c r="P18" s="2288" t="s">
        <v>325</v>
      </c>
      <c r="Q18" s="2289"/>
      <c r="R18" s="2289"/>
      <c r="S18" s="2289"/>
      <c r="T18" s="2289"/>
      <c r="U18" s="2290"/>
      <c r="V18" s="2288" t="s">
        <v>326</v>
      </c>
      <c r="W18" s="2289"/>
      <c r="X18" s="2289"/>
      <c r="Y18" s="2289"/>
      <c r="Z18" s="2289"/>
      <c r="AA18" s="2290"/>
      <c r="AB18" s="2288" t="s">
        <v>163</v>
      </c>
      <c r="AC18" s="2289"/>
      <c r="AD18" s="2289"/>
      <c r="AE18" s="2289"/>
      <c r="AF18" s="2289"/>
      <c r="AG18" s="2290"/>
      <c r="AH18" s="2288" t="s">
        <v>164</v>
      </c>
      <c r="AI18" s="2289"/>
      <c r="AJ18" s="2289"/>
      <c r="AK18" s="2289"/>
      <c r="AL18" s="2289"/>
      <c r="AM18" s="2290"/>
      <c r="AN18" s="2288" t="s">
        <v>165</v>
      </c>
      <c r="AO18" s="2289"/>
      <c r="AP18" s="2289"/>
      <c r="AQ18" s="2289"/>
      <c r="AR18" s="2289"/>
      <c r="AS18" s="2290"/>
      <c r="AT18" s="2288" t="s">
        <v>1796</v>
      </c>
      <c r="AU18" s="2289"/>
      <c r="AV18" s="2289"/>
      <c r="AW18" s="2289"/>
      <c r="AX18" s="2289"/>
      <c r="AY18" s="2291"/>
      <c r="AZ18" s="1206"/>
      <c r="BA18" s="1206"/>
      <c r="BB18" s="1206"/>
      <c r="BC18" s="1206"/>
      <c r="BD18" s="1206"/>
      <c r="BE18" s="1202"/>
    </row>
    <row r="19" spans="1:58" ht="15">
      <c r="A19" s="1206"/>
      <c r="B19" s="2292">
        <v>0.3</v>
      </c>
      <c r="C19" s="2293"/>
      <c r="D19" s="2293"/>
      <c r="E19" s="2293"/>
      <c r="F19" s="2293"/>
      <c r="G19" s="2293"/>
      <c r="H19" s="2293"/>
      <c r="I19" s="2294"/>
      <c r="J19" s="2295">
        <f t="shared" ref="J19:J28" si="0">SUM(P19:AS19)</f>
        <v>25</v>
      </c>
      <c r="K19" s="2296"/>
      <c r="L19" s="2296"/>
      <c r="M19" s="2296"/>
      <c r="N19" s="2296"/>
      <c r="O19" s="2297"/>
      <c r="P19" s="2295" cm="1">
        <f t="array" ref="P19">SUMPRODUCT((Application!$B$718:$B$752 = 'CalHFA Addendum'!P$18)*(Application!$AC$718:$AC$752 = 'CalHFA Addendum'!$B19),Application!$G$718:$G$752)</f>
        <v>0</v>
      </c>
      <c r="Q19" s="2296"/>
      <c r="R19" s="2296"/>
      <c r="S19" s="2296"/>
      <c r="T19" s="2296"/>
      <c r="U19" s="2297"/>
      <c r="V19" s="2295" cm="1">
        <f t="array" ref="V19">SUMPRODUCT((Application!$B$714:$B$738 = 'CalHFA Addendum'!V$18)*(Application!$AC$714:$AC$738 = 'CalHFA Addendum'!$B19),Application!$G$714:$G$738)</f>
        <v>18</v>
      </c>
      <c r="W19" s="2296"/>
      <c r="X19" s="2296"/>
      <c r="Y19" s="2296"/>
      <c r="Z19" s="2296"/>
      <c r="AA19" s="2297"/>
      <c r="AB19" s="2295" cm="1">
        <f t="array" ref="AB19">SUMPRODUCT((Application!$B$714:$B$738 = 'CalHFA Addendum'!AB$18)*(Application!$AC$714:$AC$738 = 'CalHFA Addendum'!$B19),Application!$G$714:$G$738)</f>
        <v>3</v>
      </c>
      <c r="AC19" s="2296"/>
      <c r="AD19" s="2296"/>
      <c r="AE19" s="2296"/>
      <c r="AF19" s="2296"/>
      <c r="AG19" s="2297"/>
      <c r="AH19" s="2295" cm="1">
        <f t="array" ref="AH19">SUMPRODUCT((Application!$B$714:$B$738 = 'CalHFA Addendum'!AH$18)*(Application!$AC$714:$AC$738 = 'CalHFA Addendum'!$B19),Application!$G$714:$G$738)</f>
        <v>4</v>
      </c>
      <c r="AI19" s="2296"/>
      <c r="AJ19" s="2296"/>
      <c r="AK19" s="2296"/>
      <c r="AL19" s="2296"/>
      <c r="AM19" s="2297"/>
      <c r="AN19" s="2295" cm="1">
        <f t="array" ref="AN19">SUMPRODUCT((Application!$B$714:$B$738 = 'CalHFA Addendum'!AN$18)*(Application!$AC$714:$AC$738 = 'CalHFA Addendum'!$B19),Application!$G$714:$G$738)</f>
        <v>0</v>
      </c>
      <c r="AO19" s="2296"/>
      <c r="AP19" s="2296"/>
      <c r="AQ19" s="2296"/>
      <c r="AR19" s="2296"/>
      <c r="AS19" s="2297"/>
      <c r="AT19" s="2298">
        <f t="shared" ref="AT19:AT29" si="1">J19/$J$29</f>
        <v>0.36231884057971014</v>
      </c>
      <c r="AU19" s="2299"/>
      <c r="AV19" s="2299"/>
      <c r="AW19" s="2299"/>
      <c r="AX19" s="2299"/>
      <c r="AY19" s="2300"/>
      <c r="AZ19" s="1217"/>
      <c r="BA19" s="1206"/>
      <c r="BB19" s="1206"/>
      <c r="BC19" s="1206"/>
      <c r="BD19" s="1206"/>
      <c r="BE19" s="1202"/>
    </row>
    <row r="20" spans="1:58" ht="15" customHeight="1">
      <c r="A20" s="1206"/>
      <c r="B20" s="2292">
        <v>0.4</v>
      </c>
      <c r="C20" s="2293"/>
      <c r="D20" s="2293"/>
      <c r="E20" s="2293"/>
      <c r="F20" s="2293"/>
      <c r="G20" s="2293"/>
      <c r="H20" s="2293"/>
      <c r="I20" s="2294"/>
      <c r="J20" s="2295">
        <f t="shared" si="0"/>
        <v>0</v>
      </c>
      <c r="K20" s="2296"/>
      <c r="L20" s="2296"/>
      <c r="M20" s="2296"/>
      <c r="N20" s="2296"/>
      <c r="O20" s="2297"/>
      <c r="P20" s="2295" cm="1">
        <f t="array" ref="P20">SUMPRODUCT((Application!$B$718:$B$752 = 'CalHFA Addendum'!P$18)*(Application!$AC$718:$AC$752 = 'CalHFA Addendum'!$B20),Application!$G$718:$G$752)</f>
        <v>0</v>
      </c>
      <c r="Q20" s="2296"/>
      <c r="R20" s="2296"/>
      <c r="S20" s="2296"/>
      <c r="T20" s="2296"/>
      <c r="U20" s="2297"/>
      <c r="V20" s="2295" cm="1">
        <f t="array" ref="V20">SUMPRODUCT((Application!$B$714:$B$738 = 'CalHFA Addendum'!V$18)*(Application!$AC$714:$AC$738 = 'CalHFA Addendum'!$B20),Application!$G$714:$G$738)</f>
        <v>0</v>
      </c>
      <c r="W20" s="2296"/>
      <c r="X20" s="2296"/>
      <c r="Y20" s="2296"/>
      <c r="Z20" s="2296"/>
      <c r="AA20" s="2297"/>
      <c r="AB20" s="2295" cm="1">
        <f t="array" ref="AB20">SUMPRODUCT((Application!$B$714:$B$738 = 'CalHFA Addendum'!AB$18)*(Application!$AC$714:$AC$738 = 'CalHFA Addendum'!$B20),Application!$G$714:$G$738)</f>
        <v>0</v>
      </c>
      <c r="AC20" s="2296"/>
      <c r="AD20" s="2296"/>
      <c r="AE20" s="2296"/>
      <c r="AF20" s="2296"/>
      <c r="AG20" s="2297"/>
      <c r="AH20" s="2295" cm="1">
        <f t="array" ref="AH20">SUMPRODUCT((Application!$B$714:$B$738 = 'CalHFA Addendum'!AH$18)*(Application!$AC$714:$AC$738 = 'CalHFA Addendum'!$B20),Application!$G$714:$G$738)</f>
        <v>0</v>
      </c>
      <c r="AI20" s="2296"/>
      <c r="AJ20" s="2296"/>
      <c r="AK20" s="2296"/>
      <c r="AL20" s="2296"/>
      <c r="AM20" s="2297"/>
      <c r="AN20" s="2295" cm="1">
        <f t="array" ref="AN20">SUMPRODUCT((Application!$B$714:$B$738 = 'CalHFA Addendum'!AN$18)*(Application!$AC$714:$AC$738 = 'CalHFA Addendum'!$B20),Application!$G$714:$G$738)</f>
        <v>0</v>
      </c>
      <c r="AO20" s="2296"/>
      <c r="AP20" s="2296"/>
      <c r="AQ20" s="2296"/>
      <c r="AR20" s="2296"/>
      <c r="AS20" s="2297"/>
      <c r="AT20" s="2298">
        <f t="shared" si="1"/>
        <v>0</v>
      </c>
      <c r="AU20" s="2299"/>
      <c r="AV20" s="2299"/>
      <c r="AW20" s="2299"/>
      <c r="AX20" s="2299"/>
      <c r="AY20" s="2300"/>
      <c r="AZ20" s="1206"/>
      <c r="BA20" s="1206"/>
      <c r="BB20" s="1206"/>
      <c r="BC20" s="1206"/>
      <c r="BD20" s="1206"/>
      <c r="BE20" s="1202"/>
    </row>
    <row r="21" spans="1:58" ht="15">
      <c r="A21" s="1206"/>
      <c r="B21" s="2292">
        <v>0.5</v>
      </c>
      <c r="C21" s="2293"/>
      <c r="D21" s="2293"/>
      <c r="E21" s="2293"/>
      <c r="F21" s="2293"/>
      <c r="G21" s="2293"/>
      <c r="H21" s="2293"/>
      <c r="I21" s="2294"/>
      <c r="J21" s="2295">
        <f t="shared" si="0"/>
        <v>44</v>
      </c>
      <c r="K21" s="2296"/>
      <c r="L21" s="2296"/>
      <c r="M21" s="2296"/>
      <c r="N21" s="2296"/>
      <c r="O21" s="2297"/>
      <c r="P21" s="2295" cm="1">
        <f t="array" ref="P21">SUMPRODUCT((Application!$B$714:$B$738 = 'CalHFA Addendum'!P$18)*(Application!$AC$714:$AC$738 = 'CalHFA Addendum'!$B21),Application!$G$714:$G$738)</f>
        <v>0</v>
      </c>
      <c r="Q21" s="2296"/>
      <c r="R21" s="2296"/>
      <c r="S21" s="2296"/>
      <c r="T21" s="2296"/>
      <c r="U21" s="2297"/>
      <c r="V21" s="2295" cm="1">
        <f t="array" ref="V21">SUMPRODUCT((Application!$B$714:$B$738 = 'CalHFA Addendum'!V$18)*(Application!$AC$714:$AC$738 = 'CalHFA Addendum'!$B21),Application!$G$714:$G$738)</f>
        <v>23</v>
      </c>
      <c r="W21" s="2296"/>
      <c r="X21" s="2296"/>
      <c r="Y21" s="2296"/>
      <c r="Z21" s="2296"/>
      <c r="AA21" s="2297"/>
      <c r="AB21" s="2295" cm="1">
        <f t="array" ref="AB21">SUMPRODUCT((Application!$B$714:$B$738 = 'CalHFA Addendum'!AB$18)*(Application!$AC$714:$AC$738 = 'CalHFA Addendum'!$B21),Application!$G$714:$G$738)</f>
        <v>11</v>
      </c>
      <c r="AC21" s="2296"/>
      <c r="AD21" s="2296"/>
      <c r="AE21" s="2296"/>
      <c r="AF21" s="2296"/>
      <c r="AG21" s="2297"/>
      <c r="AH21" s="2295" cm="1">
        <f t="array" ref="AH21">SUMPRODUCT((Application!$B$714:$B$738 = 'CalHFA Addendum'!AH$18)*(Application!$AC$714:$AC$738 = 'CalHFA Addendum'!$B21),Application!$G$714:$G$738)</f>
        <v>10</v>
      </c>
      <c r="AI21" s="2296"/>
      <c r="AJ21" s="2296"/>
      <c r="AK21" s="2296"/>
      <c r="AL21" s="2296"/>
      <c r="AM21" s="2297"/>
      <c r="AN21" s="2295" cm="1">
        <f t="array" ref="AN21">SUMPRODUCT((Application!$B$714:$B$738 = 'CalHFA Addendum'!AN$18)*(Application!$AC$714:$AC$738 = 'CalHFA Addendum'!$B21),Application!$G$714:$G$738)</f>
        <v>0</v>
      </c>
      <c r="AO21" s="2296"/>
      <c r="AP21" s="2296"/>
      <c r="AQ21" s="2296"/>
      <c r="AR21" s="2296"/>
      <c r="AS21" s="2297"/>
      <c r="AT21" s="2298">
        <f t="shared" si="1"/>
        <v>0.6376811594202898</v>
      </c>
      <c r="AU21" s="2299"/>
      <c r="AV21" s="2299"/>
      <c r="AW21" s="2299"/>
      <c r="AX21" s="2299"/>
      <c r="AY21" s="2300"/>
      <c r="AZ21" s="1206"/>
      <c r="BA21" s="1206"/>
      <c r="BB21" s="1206"/>
      <c r="BC21" s="1206"/>
      <c r="BD21" s="1206"/>
      <c r="BE21" s="1202"/>
    </row>
    <row r="22" spans="1:58" ht="15">
      <c r="A22" s="1206"/>
      <c r="B22" s="2292">
        <v>0.6</v>
      </c>
      <c r="C22" s="2293"/>
      <c r="D22" s="2293"/>
      <c r="E22" s="2293"/>
      <c r="F22" s="2293"/>
      <c r="G22" s="2293"/>
      <c r="H22" s="2293"/>
      <c r="I22" s="2294"/>
      <c r="J22" s="2295">
        <f t="shared" si="0"/>
        <v>0</v>
      </c>
      <c r="K22" s="2296"/>
      <c r="L22" s="2296"/>
      <c r="M22" s="2296"/>
      <c r="N22" s="2296"/>
      <c r="O22" s="2297"/>
      <c r="P22" s="2295" cm="1">
        <f t="array" ref="P22">SUMPRODUCT((Application!$B$714:$B$738 = 'CalHFA Addendum'!P$18)*(Application!$AC$714:$AC$738 = 'CalHFA Addendum'!$B22),Application!$G$714:$G$738)</f>
        <v>0</v>
      </c>
      <c r="Q22" s="2296"/>
      <c r="R22" s="2296"/>
      <c r="S22" s="2296"/>
      <c r="T22" s="2296"/>
      <c r="U22" s="2297"/>
      <c r="V22" s="2295" cm="1">
        <f t="array" ref="V22">SUMPRODUCT((Application!$B$714:$B$738 = 'CalHFA Addendum'!V$18)*(Application!$AC$714:$AC$738 = 'CalHFA Addendum'!$B22),Application!$G$714:$G$738)</f>
        <v>0</v>
      </c>
      <c r="W22" s="2296"/>
      <c r="X22" s="2296"/>
      <c r="Y22" s="2296"/>
      <c r="Z22" s="2296"/>
      <c r="AA22" s="2297"/>
      <c r="AB22" s="2295" cm="1">
        <f t="array" ref="AB22">SUMPRODUCT((Application!$B$714:$B$738 = 'CalHFA Addendum'!AB$18)*(Application!$AC$714:$AC$738 = 'CalHFA Addendum'!$B22),Application!$G$714:$G$738)</f>
        <v>0</v>
      </c>
      <c r="AC22" s="2296"/>
      <c r="AD22" s="2296"/>
      <c r="AE22" s="2296"/>
      <c r="AF22" s="2296"/>
      <c r="AG22" s="2297"/>
      <c r="AH22" s="2295" cm="1">
        <f t="array" ref="AH22">SUMPRODUCT((Application!$B$714:$B$738 = 'CalHFA Addendum'!AH$18)*(Application!$AC$714:$AC$738 = 'CalHFA Addendum'!$B22),Application!$G$714:$G$738)</f>
        <v>0</v>
      </c>
      <c r="AI22" s="2296"/>
      <c r="AJ22" s="2296"/>
      <c r="AK22" s="2296"/>
      <c r="AL22" s="2296"/>
      <c r="AM22" s="2297"/>
      <c r="AN22" s="2295" cm="1">
        <f t="array" ref="AN22">SUMPRODUCT((Application!$B$714:$B$738 = 'CalHFA Addendum'!AN$18)*(Application!$AC$714:$AC$738 = 'CalHFA Addendum'!$B22),Application!$G$714:$G$738)</f>
        <v>0</v>
      </c>
      <c r="AO22" s="2296"/>
      <c r="AP22" s="2296"/>
      <c r="AQ22" s="2296"/>
      <c r="AR22" s="2296"/>
      <c r="AS22" s="2297"/>
      <c r="AT22" s="2298">
        <f t="shared" si="1"/>
        <v>0</v>
      </c>
      <c r="AU22" s="2299"/>
      <c r="AV22" s="2299"/>
      <c r="AW22" s="2299"/>
      <c r="AX22" s="2299"/>
      <c r="AY22" s="2300"/>
      <c r="AZ22" s="1206"/>
      <c r="BA22" s="1206"/>
      <c r="BB22" s="1206"/>
      <c r="BC22" s="1206"/>
      <c r="BD22" s="1206"/>
      <c r="BE22" s="1202"/>
    </row>
    <row r="23" spans="1:58" ht="15">
      <c r="A23" s="1206"/>
      <c r="B23" s="2292">
        <v>0.7</v>
      </c>
      <c r="C23" s="2293"/>
      <c r="D23" s="2293"/>
      <c r="E23" s="2293"/>
      <c r="F23" s="2293"/>
      <c r="G23" s="2293"/>
      <c r="H23" s="2293"/>
      <c r="I23" s="2294"/>
      <c r="J23" s="2295">
        <f t="shared" si="0"/>
        <v>0</v>
      </c>
      <c r="K23" s="2296"/>
      <c r="L23" s="2296"/>
      <c r="M23" s="2296"/>
      <c r="N23" s="2296"/>
      <c r="O23" s="2297"/>
      <c r="P23" s="2295" cm="1">
        <f t="array" ref="P23">SUMPRODUCT((Application!$B$714:$B$738 = 'CalHFA Addendum'!P$18)*(Application!$AC$714:$AC$738 = 'CalHFA Addendum'!$B23),Application!$G$714:$G$738)</f>
        <v>0</v>
      </c>
      <c r="Q23" s="2296"/>
      <c r="R23" s="2296"/>
      <c r="S23" s="2296"/>
      <c r="T23" s="2296"/>
      <c r="U23" s="2297"/>
      <c r="V23" s="2295" cm="1">
        <f t="array" ref="V23">SUMPRODUCT((Application!$B$714:$B$738 = 'CalHFA Addendum'!V$18)*(Application!$AC$714:$AC$738 = 'CalHFA Addendum'!$B23),Application!$G$714:$G$738)</f>
        <v>0</v>
      </c>
      <c r="W23" s="2296"/>
      <c r="X23" s="2296"/>
      <c r="Y23" s="2296"/>
      <c r="Z23" s="2296"/>
      <c r="AA23" s="2297"/>
      <c r="AB23" s="2295" cm="1">
        <f t="array" ref="AB23">SUMPRODUCT((Application!$B$714:$B$738 = 'CalHFA Addendum'!AB$18)*(Application!$AC$714:$AC$738 = 'CalHFA Addendum'!$B23),Application!$G$714:$G$738)</f>
        <v>0</v>
      </c>
      <c r="AC23" s="2296"/>
      <c r="AD23" s="2296"/>
      <c r="AE23" s="2296"/>
      <c r="AF23" s="2296"/>
      <c r="AG23" s="2297"/>
      <c r="AH23" s="2295" cm="1">
        <f t="array" ref="AH23">SUMPRODUCT((Application!$B$714:$B$738 = 'CalHFA Addendum'!AH$18)*(Application!$AC$714:$AC$738 = 'CalHFA Addendum'!$B23),Application!$G$714:$G$738)</f>
        <v>0</v>
      </c>
      <c r="AI23" s="2296"/>
      <c r="AJ23" s="2296"/>
      <c r="AK23" s="2296"/>
      <c r="AL23" s="2296"/>
      <c r="AM23" s="2297"/>
      <c r="AN23" s="2295" cm="1">
        <f t="array" ref="AN23">SUMPRODUCT((Application!$B$714:$B$738 = 'CalHFA Addendum'!AN$18)*(Application!$AC$714:$AC$738 = 'CalHFA Addendum'!$B23),Application!$G$714:$G$738)</f>
        <v>0</v>
      </c>
      <c r="AO23" s="2296"/>
      <c r="AP23" s="2296"/>
      <c r="AQ23" s="2296"/>
      <c r="AR23" s="2296"/>
      <c r="AS23" s="2297"/>
      <c r="AT23" s="2298">
        <f t="shared" si="1"/>
        <v>0</v>
      </c>
      <c r="AU23" s="2299"/>
      <c r="AV23" s="2299"/>
      <c r="AW23" s="2299"/>
      <c r="AX23" s="2299"/>
      <c r="AY23" s="2300"/>
      <c r="AZ23" s="1206"/>
      <c r="BA23" s="1206"/>
      <c r="BB23" s="1206"/>
      <c r="BC23" s="1206"/>
      <c r="BD23" s="1206"/>
      <c r="BE23" s="1202"/>
    </row>
    <row r="24" spans="1:58" ht="15">
      <c r="A24" s="1206"/>
      <c r="B24" s="2292">
        <v>0.8</v>
      </c>
      <c r="C24" s="2293"/>
      <c r="D24" s="2293"/>
      <c r="E24" s="2293"/>
      <c r="F24" s="2293"/>
      <c r="G24" s="2293"/>
      <c r="H24" s="2293"/>
      <c r="I24" s="2294"/>
      <c r="J24" s="2295">
        <f t="shared" si="0"/>
        <v>0</v>
      </c>
      <c r="K24" s="2296"/>
      <c r="L24" s="2296"/>
      <c r="M24" s="2296"/>
      <c r="N24" s="2296"/>
      <c r="O24" s="2297"/>
      <c r="P24" s="2295" cm="1">
        <f t="array" ref="P24">SUMPRODUCT((Application!$B$714:$B$738 = 'CalHFA Addendum'!P$18)*(Application!$AC$714:$AC$738 = 'CalHFA Addendum'!$B24),Application!$G$714:$G$738)</f>
        <v>0</v>
      </c>
      <c r="Q24" s="2296"/>
      <c r="R24" s="2296"/>
      <c r="S24" s="2296"/>
      <c r="T24" s="2296"/>
      <c r="U24" s="2297"/>
      <c r="V24" s="2295" cm="1">
        <f t="array" ref="V24">SUMPRODUCT((Application!$B$714:$B$738 = 'CalHFA Addendum'!V$18)*(Application!$AC$714:$AC$738 = 'CalHFA Addendum'!$B24),Application!$G$714:$G$738)</f>
        <v>0</v>
      </c>
      <c r="W24" s="2296"/>
      <c r="X24" s="2296"/>
      <c r="Y24" s="2296"/>
      <c r="Z24" s="2296"/>
      <c r="AA24" s="2297"/>
      <c r="AB24" s="2295" cm="1">
        <f t="array" ref="AB24">SUMPRODUCT((Application!$B$714:$B$738 = 'CalHFA Addendum'!AB$18)*(Application!$AC$714:$AC$738 = 'CalHFA Addendum'!$B24),Application!$G$714:$G$738)</f>
        <v>0</v>
      </c>
      <c r="AC24" s="2296"/>
      <c r="AD24" s="2296"/>
      <c r="AE24" s="2296"/>
      <c r="AF24" s="2296"/>
      <c r="AG24" s="2297"/>
      <c r="AH24" s="2295" cm="1">
        <f t="array" ref="AH24">SUMPRODUCT((Application!$B$714:$B$738 = 'CalHFA Addendum'!AH$18)*(Application!$AC$714:$AC$738 = 'CalHFA Addendum'!$B24),Application!$G$714:$G$738)</f>
        <v>0</v>
      </c>
      <c r="AI24" s="2296"/>
      <c r="AJ24" s="2296"/>
      <c r="AK24" s="2296"/>
      <c r="AL24" s="2296"/>
      <c r="AM24" s="2297"/>
      <c r="AN24" s="2295" cm="1">
        <f t="array" ref="AN24">SUMPRODUCT((Application!$B$714:$B$738 = 'CalHFA Addendum'!AN$18)*(Application!$AC$714:$AC$738 = 'CalHFA Addendum'!$B24),Application!$G$714:$G$738)</f>
        <v>0</v>
      </c>
      <c r="AO24" s="2296"/>
      <c r="AP24" s="2296"/>
      <c r="AQ24" s="2296"/>
      <c r="AR24" s="2296"/>
      <c r="AS24" s="2297"/>
      <c r="AT24" s="2298">
        <f t="shared" si="1"/>
        <v>0</v>
      </c>
      <c r="AU24" s="2299"/>
      <c r="AV24" s="2299"/>
      <c r="AW24" s="2299"/>
      <c r="AX24" s="2299"/>
      <c r="AY24" s="2300"/>
      <c r="AZ24" s="1206"/>
      <c r="BA24" s="1206"/>
      <c r="BB24" s="1206"/>
      <c r="BC24" s="1206"/>
      <c r="BD24" s="1206"/>
      <c r="BE24" s="1202"/>
    </row>
    <row r="25" spans="1:58" ht="15">
      <c r="A25" s="1206"/>
      <c r="B25" s="2292">
        <v>0.9</v>
      </c>
      <c r="C25" s="2293"/>
      <c r="D25" s="2293"/>
      <c r="E25" s="2293"/>
      <c r="F25" s="2293"/>
      <c r="G25" s="2293"/>
      <c r="H25" s="2293"/>
      <c r="I25" s="2294"/>
      <c r="J25" s="2295">
        <f t="shared" si="0"/>
        <v>0</v>
      </c>
      <c r="K25" s="2296"/>
      <c r="L25" s="2296"/>
      <c r="M25" s="2296"/>
      <c r="N25" s="2296"/>
      <c r="O25" s="2297"/>
      <c r="P25" s="2295" cm="1">
        <f t="array" ref="P25">SUMPRODUCT((Application!$B$714:$B$738 = 'CalHFA Addendum'!P$18)*(Application!$AC$714:$AC$738 = 'CalHFA Addendum'!$B25),Application!$G$714:$G$738)</f>
        <v>0</v>
      </c>
      <c r="Q25" s="2296"/>
      <c r="R25" s="2296"/>
      <c r="S25" s="2296"/>
      <c r="T25" s="2296"/>
      <c r="U25" s="2297"/>
      <c r="V25" s="2295" cm="1">
        <f t="array" ref="V25">SUMPRODUCT((Application!$B$714:$B$738 = 'CalHFA Addendum'!V$18)*(Application!$AC$714:$AC$738 = 'CalHFA Addendum'!$B25),Application!$G$714:$G$738)</f>
        <v>0</v>
      </c>
      <c r="W25" s="2296"/>
      <c r="X25" s="2296"/>
      <c r="Y25" s="2296"/>
      <c r="Z25" s="2296"/>
      <c r="AA25" s="2297"/>
      <c r="AB25" s="2295" cm="1">
        <f t="array" ref="AB25">SUMPRODUCT((Application!$B$714:$B$738 = 'CalHFA Addendum'!AB$18)*(Application!$AC$714:$AC$738 = 'CalHFA Addendum'!$B25),Application!$G$714:$G$738)</f>
        <v>0</v>
      </c>
      <c r="AC25" s="2296"/>
      <c r="AD25" s="2296"/>
      <c r="AE25" s="2296"/>
      <c r="AF25" s="2296"/>
      <c r="AG25" s="2297"/>
      <c r="AH25" s="2295" cm="1">
        <f t="array" ref="AH25">SUMPRODUCT((Application!$B$714:$B$738 = 'CalHFA Addendum'!AH$18)*(Application!$AC$714:$AC$738 = 'CalHFA Addendum'!$B25),Application!$G$714:$G$738)</f>
        <v>0</v>
      </c>
      <c r="AI25" s="2296"/>
      <c r="AJ25" s="2296"/>
      <c r="AK25" s="2296"/>
      <c r="AL25" s="2296"/>
      <c r="AM25" s="2297"/>
      <c r="AN25" s="2295" cm="1">
        <f t="array" ref="AN25">SUMPRODUCT((Application!$B$714:$B$738 = 'CalHFA Addendum'!AN$18)*(Application!$AC$714:$AC$738 = 'CalHFA Addendum'!$B25),Application!$G$714:$G$738)</f>
        <v>0</v>
      </c>
      <c r="AO25" s="2296"/>
      <c r="AP25" s="2296"/>
      <c r="AQ25" s="2296"/>
      <c r="AR25" s="2296"/>
      <c r="AS25" s="2297"/>
      <c r="AT25" s="2298">
        <f t="shared" si="1"/>
        <v>0</v>
      </c>
      <c r="AU25" s="2299"/>
      <c r="AV25" s="2299"/>
      <c r="AW25" s="2299"/>
      <c r="AX25" s="2299"/>
      <c r="AY25" s="2300"/>
      <c r="AZ25" s="1206"/>
      <c r="BA25" s="1206"/>
      <c r="BB25" s="1206"/>
      <c r="BC25" s="1206"/>
      <c r="BD25" s="1206"/>
      <c r="BE25" s="1202"/>
    </row>
    <row r="26" spans="1:58" ht="15">
      <c r="A26" s="1206"/>
      <c r="B26" s="2292">
        <v>1</v>
      </c>
      <c r="C26" s="2293"/>
      <c r="D26" s="2293"/>
      <c r="E26" s="2293"/>
      <c r="F26" s="2293"/>
      <c r="G26" s="2293"/>
      <c r="H26" s="2293"/>
      <c r="I26" s="2294"/>
      <c r="J26" s="2295">
        <f t="shared" si="0"/>
        <v>0</v>
      </c>
      <c r="K26" s="2296"/>
      <c r="L26" s="2296"/>
      <c r="M26" s="2296"/>
      <c r="N26" s="2296"/>
      <c r="O26" s="2297"/>
      <c r="P26" s="2295" cm="1">
        <f t="array" ref="P26">SUMPRODUCT((Application!$B$714:$B$738 = 'CalHFA Addendum'!P$18)*(Application!$AC$714:$AC$738 = 'CalHFA Addendum'!$B26),Application!$G$714:$G$738)</f>
        <v>0</v>
      </c>
      <c r="Q26" s="2296"/>
      <c r="R26" s="2296"/>
      <c r="S26" s="2296"/>
      <c r="T26" s="2296"/>
      <c r="U26" s="2297"/>
      <c r="V26" s="2295" cm="1">
        <f t="array" ref="V26">SUMPRODUCT((Application!$B$714:$B$738 = 'CalHFA Addendum'!V$18)*(Application!$AC$714:$AC$738 = 'CalHFA Addendum'!$B26),Application!$G$714:$G$738)</f>
        <v>0</v>
      </c>
      <c r="W26" s="2296"/>
      <c r="X26" s="2296"/>
      <c r="Y26" s="2296"/>
      <c r="Z26" s="2296"/>
      <c r="AA26" s="2297"/>
      <c r="AB26" s="2295" cm="1">
        <f t="array" ref="AB26">SUMPRODUCT((Application!$B$714:$B$738 = 'CalHFA Addendum'!AB$18)*(Application!$AC$714:$AC$738 = 'CalHFA Addendum'!$B26),Application!$G$714:$G$738)</f>
        <v>0</v>
      </c>
      <c r="AC26" s="2296"/>
      <c r="AD26" s="2296"/>
      <c r="AE26" s="2296"/>
      <c r="AF26" s="2296"/>
      <c r="AG26" s="2297"/>
      <c r="AH26" s="2295" cm="1">
        <f t="array" ref="AH26">SUMPRODUCT((Application!$B$714:$B$738 = 'CalHFA Addendum'!AH$18)*(Application!$AC$714:$AC$738 = 'CalHFA Addendum'!$B26),Application!$G$714:$G$738)</f>
        <v>0</v>
      </c>
      <c r="AI26" s="2296"/>
      <c r="AJ26" s="2296"/>
      <c r="AK26" s="2296"/>
      <c r="AL26" s="2296"/>
      <c r="AM26" s="2297"/>
      <c r="AN26" s="2295" cm="1">
        <f t="array" ref="AN26">SUMPRODUCT((Application!$B$714:$B$738 = 'CalHFA Addendum'!AN$18)*(Application!$AC$714:$AC$738 = 'CalHFA Addendum'!$B26),Application!$G$714:$G$738)</f>
        <v>0</v>
      </c>
      <c r="AO26" s="2296"/>
      <c r="AP26" s="2296"/>
      <c r="AQ26" s="2296"/>
      <c r="AR26" s="2296"/>
      <c r="AS26" s="2297"/>
      <c r="AT26" s="2298">
        <f t="shared" si="1"/>
        <v>0</v>
      </c>
      <c r="AU26" s="2299"/>
      <c r="AV26" s="2299"/>
      <c r="AW26" s="2299"/>
      <c r="AX26" s="2299"/>
      <c r="AY26" s="2300"/>
      <c r="AZ26" s="1206"/>
      <c r="BA26" s="1206"/>
      <c r="BB26" s="1206"/>
      <c r="BC26" s="1206"/>
      <c r="BD26" s="1206"/>
      <c r="BE26" s="1202"/>
    </row>
    <row r="27" spans="1:58" ht="15">
      <c r="A27" s="1206"/>
      <c r="B27" s="2292">
        <v>1.1000000000000001</v>
      </c>
      <c r="C27" s="2293"/>
      <c r="D27" s="2293"/>
      <c r="E27" s="2293"/>
      <c r="F27" s="2293"/>
      <c r="G27" s="2293"/>
      <c r="H27" s="2293"/>
      <c r="I27" s="2294"/>
      <c r="J27" s="2295">
        <f t="shared" si="0"/>
        <v>0</v>
      </c>
      <c r="K27" s="2296"/>
      <c r="L27" s="2296"/>
      <c r="M27" s="2296"/>
      <c r="N27" s="2296"/>
      <c r="O27" s="2297"/>
      <c r="P27" s="2295" cm="1">
        <f t="array" ref="P27">SUMPRODUCT((Application!$B$714:$B$738 = 'CalHFA Addendum'!P$18)*(Application!$AC$714:$AC$738 = 'CalHFA Addendum'!$B27),Application!$G$714:$G$738)</f>
        <v>0</v>
      </c>
      <c r="Q27" s="2296"/>
      <c r="R27" s="2296"/>
      <c r="S27" s="2296"/>
      <c r="T27" s="2296"/>
      <c r="U27" s="2297"/>
      <c r="V27" s="2295" cm="1">
        <f t="array" ref="V27">SUMPRODUCT((Application!$B$714:$B$738 = 'CalHFA Addendum'!V$18)*(Application!$AC$714:$AC$738 = 'CalHFA Addendum'!$B27),Application!$G$714:$G$738)</f>
        <v>0</v>
      </c>
      <c r="W27" s="2296"/>
      <c r="X27" s="2296"/>
      <c r="Y27" s="2296"/>
      <c r="Z27" s="2296"/>
      <c r="AA27" s="2297"/>
      <c r="AB27" s="2295" cm="1">
        <f t="array" ref="AB27">SUMPRODUCT((Application!$B$714:$B$738 = 'CalHFA Addendum'!AB$18)*(Application!$AC$714:$AC$738 = 'CalHFA Addendum'!$B27),Application!$G$714:$G$738)</f>
        <v>0</v>
      </c>
      <c r="AC27" s="2296"/>
      <c r="AD27" s="2296"/>
      <c r="AE27" s="2296"/>
      <c r="AF27" s="2296"/>
      <c r="AG27" s="2297"/>
      <c r="AH27" s="2295" cm="1">
        <f t="array" ref="AH27">SUMPRODUCT((Application!$B$714:$B$738 = 'CalHFA Addendum'!AH$18)*(Application!$AC$714:$AC$738 = 'CalHFA Addendum'!$B27),Application!$G$714:$G$738)</f>
        <v>0</v>
      </c>
      <c r="AI27" s="2296"/>
      <c r="AJ27" s="2296"/>
      <c r="AK27" s="2296"/>
      <c r="AL27" s="2296"/>
      <c r="AM27" s="2297"/>
      <c r="AN27" s="2295" cm="1">
        <f t="array" ref="AN27">SUMPRODUCT((Application!$B$714:$B$738 = 'CalHFA Addendum'!AN$18)*(Application!$AC$714:$AC$738 = 'CalHFA Addendum'!$B27),Application!$G$714:$G$738)</f>
        <v>0</v>
      </c>
      <c r="AO27" s="2296"/>
      <c r="AP27" s="2296"/>
      <c r="AQ27" s="2296"/>
      <c r="AR27" s="2296"/>
      <c r="AS27" s="2297"/>
      <c r="AT27" s="2298">
        <f t="shared" si="1"/>
        <v>0</v>
      </c>
      <c r="AU27" s="2299"/>
      <c r="AV27" s="2299"/>
      <c r="AW27" s="2299"/>
      <c r="AX27" s="2299"/>
      <c r="AY27" s="2300"/>
      <c r="AZ27" s="1206"/>
      <c r="BA27" s="1206"/>
      <c r="BB27" s="1206"/>
      <c r="BC27" s="1206"/>
      <c r="BD27" s="1206"/>
      <c r="BE27" s="1202"/>
    </row>
    <row r="28" spans="1:58" thickBot="1">
      <c r="A28" s="1206"/>
      <c r="B28" s="2311" t="s">
        <v>1797</v>
      </c>
      <c r="C28" s="2312"/>
      <c r="D28" s="2312"/>
      <c r="E28" s="2312"/>
      <c r="F28" s="2312"/>
      <c r="G28" s="2312"/>
      <c r="H28" s="2312"/>
      <c r="I28" s="2313"/>
      <c r="J28" s="2314">
        <f t="shared" si="0"/>
        <v>0</v>
      </c>
      <c r="K28" s="2315"/>
      <c r="L28" s="2315"/>
      <c r="M28" s="2315"/>
      <c r="N28" s="2315"/>
      <c r="O28" s="2316"/>
      <c r="P28" s="2314">
        <f>_xlfn.IFNA(VLOOKUP(P$18,Application!$J$758:$S$761,6,FALSE), 0)</f>
        <v>0</v>
      </c>
      <c r="Q28" s="2315"/>
      <c r="R28" s="2315"/>
      <c r="S28" s="2315"/>
      <c r="T28" s="2315"/>
      <c r="U28" s="2316"/>
      <c r="V28" s="2314">
        <f>_xlfn.IFNA(VLOOKUP(V$18,Application!$J$758:$S$761,6,FALSE), 0)</f>
        <v>0</v>
      </c>
      <c r="W28" s="2315"/>
      <c r="X28" s="2315"/>
      <c r="Y28" s="2315"/>
      <c r="Z28" s="2315"/>
      <c r="AA28" s="2316"/>
      <c r="AB28" s="2314">
        <f>_xlfn.IFNA(VLOOKUP(AB$18,Application!$J$758:$S$761,6,FALSE), 0)</f>
        <v>0</v>
      </c>
      <c r="AC28" s="2315"/>
      <c r="AD28" s="2315"/>
      <c r="AE28" s="2315"/>
      <c r="AF28" s="2315"/>
      <c r="AG28" s="2316"/>
      <c r="AH28" s="2314">
        <f>_xlfn.IFNA(VLOOKUP(AH$18,Application!$J$758:$S$761,6,FALSE), 0)</f>
        <v>0</v>
      </c>
      <c r="AI28" s="2315"/>
      <c r="AJ28" s="2315"/>
      <c r="AK28" s="2315"/>
      <c r="AL28" s="2315"/>
      <c r="AM28" s="2316"/>
      <c r="AN28" s="2314">
        <f>_xlfn.IFNA(VLOOKUP(AN$18,Application!$J$758:$S$761,6,FALSE), 0)</f>
        <v>0</v>
      </c>
      <c r="AO28" s="2315"/>
      <c r="AP28" s="2315"/>
      <c r="AQ28" s="2315"/>
      <c r="AR28" s="2315"/>
      <c r="AS28" s="2316"/>
      <c r="AT28" s="2317">
        <f t="shared" si="1"/>
        <v>0</v>
      </c>
      <c r="AU28" s="2318"/>
      <c r="AV28" s="2318"/>
      <c r="AW28" s="2318"/>
      <c r="AX28" s="2318"/>
      <c r="AY28" s="2319"/>
      <c r="AZ28" s="1206"/>
      <c r="BA28" s="1206"/>
      <c r="BB28" s="1206"/>
      <c r="BC28" s="1206"/>
      <c r="BD28" s="1206"/>
      <c r="BE28" s="1202"/>
    </row>
    <row r="29" spans="1:58" thickBot="1">
      <c r="A29" s="1206"/>
      <c r="B29" s="2326" t="s">
        <v>1696</v>
      </c>
      <c r="C29" s="2327"/>
      <c r="D29" s="2327"/>
      <c r="E29" s="2327"/>
      <c r="F29" s="2327"/>
      <c r="G29" s="2327"/>
      <c r="H29" s="2327"/>
      <c r="I29" s="2328"/>
      <c r="J29" s="2329">
        <f>SUM(J19:O28)</f>
        <v>69</v>
      </c>
      <c r="K29" s="2327"/>
      <c r="L29" s="2327"/>
      <c r="M29" s="2327"/>
      <c r="N29" s="2327"/>
      <c r="O29" s="2328"/>
      <c r="P29" s="2329">
        <f>SUM(P19:U28)</f>
        <v>0</v>
      </c>
      <c r="Q29" s="2327"/>
      <c r="R29" s="2327"/>
      <c r="S29" s="2327"/>
      <c r="T29" s="2327"/>
      <c r="U29" s="2328"/>
      <c r="V29" s="2329">
        <f>SUM(V19:AA28)</f>
        <v>41</v>
      </c>
      <c r="W29" s="2327"/>
      <c r="X29" s="2327"/>
      <c r="Y29" s="2327"/>
      <c r="Z29" s="2327"/>
      <c r="AA29" s="2328"/>
      <c r="AB29" s="2329">
        <f>SUM(AB19:AG28)</f>
        <v>14</v>
      </c>
      <c r="AC29" s="2327"/>
      <c r="AD29" s="2327"/>
      <c r="AE29" s="2327"/>
      <c r="AF29" s="2327"/>
      <c r="AG29" s="2328"/>
      <c r="AH29" s="2329">
        <f>SUM(AH19:AM28)</f>
        <v>14</v>
      </c>
      <c r="AI29" s="2327"/>
      <c r="AJ29" s="2327"/>
      <c r="AK29" s="2327"/>
      <c r="AL29" s="2327"/>
      <c r="AM29" s="2328"/>
      <c r="AN29" s="2329">
        <f>SUM(AN19:AS28)</f>
        <v>0</v>
      </c>
      <c r="AO29" s="2327"/>
      <c r="AP29" s="2327"/>
      <c r="AQ29" s="2327"/>
      <c r="AR29" s="2327"/>
      <c r="AS29" s="2328"/>
      <c r="AT29" s="2346">
        <f t="shared" si="1"/>
        <v>1</v>
      </c>
      <c r="AU29" s="2347"/>
      <c r="AV29" s="2347"/>
      <c r="AW29" s="2347"/>
      <c r="AX29" s="2347"/>
      <c r="AY29" s="234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34" t="s">
        <v>1798</v>
      </c>
      <c r="C31" s="2335"/>
      <c r="D31" s="2335"/>
      <c r="E31" s="2335"/>
      <c r="F31" s="2335"/>
      <c r="G31" s="2335"/>
      <c r="H31" s="2335"/>
      <c r="I31" s="2335"/>
      <c r="J31" s="2335"/>
      <c r="K31" s="2335"/>
      <c r="L31" s="2335"/>
      <c r="M31" s="2335"/>
      <c r="N31" s="2335"/>
      <c r="O31" s="2335"/>
      <c r="P31" s="2335"/>
      <c r="Q31" s="2335"/>
      <c r="R31" s="2335"/>
      <c r="S31" s="2335"/>
      <c r="T31" s="2335"/>
      <c r="U31" s="2335"/>
      <c r="V31" s="2335"/>
      <c r="W31" s="2335"/>
      <c r="X31" s="2335"/>
      <c r="Y31" s="2335"/>
      <c r="Z31" s="2335"/>
      <c r="AA31" s="2335"/>
      <c r="AB31" s="2335"/>
      <c r="AC31" s="2335"/>
      <c r="AD31" s="2335"/>
      <c r="AE31" s="2335"/>
      <c r="AF31" s="2335"/>
      <c r="AG31" s="2335"/>
      <c r="AH31" s="2335"/>
      <c r="AI31" s="2335"/>
      <c r="AJ31" s="2335"/>
      <c r="AK31" s="2335"/>
      <c r="AL31" s="2335"/>
      <c r="AM31" s="2335"/>
      <c r="AN31" s="2335"/>
      <c r="AO31" s="2335"/>
      <c r="AP31" s="2335"/>
      <c r="AQ31" s="2335"/>
      <c r="AR31" s="2335"/>
      <c r="AS31" s="2335"/>
      <c r="AT31" s="2335"/>
      <c r="AU31" s="2335"/>
      <c r="AV31" s="2335"/>
      <c r="AW31" s="2335"/>
      <c r="AX31" s="2335"/>
      <c r="AY31" s="2335"/>
      <c r="AZ31" s="2335"/>
      <c r="BA31" s="2335"/>
      <c r="BB31" s="2335"/>
      <c r="BC31" s="2335"/>
      <c r="BD31" s="2336"/>
      <c r="BE31" s="1202"/>
    </row>
    <row r="32" spans="1:58" thickBot="1">
      <c r="A32" s="1206"/>
      <c r="B32" s="2349" t="s">
        <v>2471</v>
      </c>
      <c r="C32" s="2350"/>
      <c r="D32" s="2350"/>
      <c r="E32" s="2350"/>
      <c r="F32" s="2350"/>
      <c r="G32" s="2350"/>
      <c r="H32" s="2350"/>
      <c r="I32" s="2350"/>
      <c r="J32" s="2320" t="s">
        <v>2472</v>
      </c>
      <c r="K32" s="2321"/>
      <c r="L32" s="2321"/>
      <c r="M32" s="2321"/>
      <c r="N32" s="2320" t="s">
        <v>1799</v>
      </c>
      <c r="O32" s="2321"/>
      <c r="P32" s="2321"/>
      <c r="Q32" s="2323"/>
      <c r="R32" s="2343" t="s">
        <v>1800</v>
      </c>
      <c r="S32" s="2344"/>
      <c r="T32" s="2344"/>
      <c r="U32" s="2344"/>
      <c r="V32" s="2344"/>
      <c r="W32" s="2344"/>
      <c r="X32" s="2344"/>
      <c r="Y32" s="2344"/>
      <c r="Z32" s="2344"/>
      <c r="AA32" s="2344"/>
      <c r="AB32" s="2344"/>
      <c r="AC32" s="2344"/>
      <c r="AD32" s="2344"/>
      <c r="AE32" s="2344"/>
      <c r="AF32" s="2344"/>
      <c r="AG32" s="2344"/>
      <c r="AH32" s="2344"/>
      <c r="AI32" s="2344"/>
      <c r="AJ32" s="2344"/>
      <c r="AK32" s="2344"/>
      <c r="AL32" s="2344"/>
      <c r="AM32" s="2344"/>
      <c r="AN32" s="2344"/>
      <c r="AO32" s="2344"/>
      <c r="AP32" s="2344"/>
      <c r="AQ32" s="2344"/>
      <c r="AR32" s="2344"/>
      <c r="AS32" s="2344"/>
      <c r="AT32" s="2344"/>
      <c r="AU32" s="2344"/>
      <c r="AV32" s="2344"/>
      <c r="AW32" s="2344"/>
      <c r="AX32" s="2344"/>
      <c r="AY32" s="2344"/>
      <c r="AZ32" s="2344"/>
      <c r="BA32" s="2344"/>
      <c r="BB32" s="2344"/>
      <c r="BC32" s="2344"/>
      <c r="BD32" s="2345"/>
      <c r="BE32" s="1202"/>
    </row>
    <row r="33" spans="1:58" ht="15" customHeight="1">
      <c r="A33" s="1206"/>
      <c r="B33" s="2351"/>
      <c r="C33" s="2352"/>
      <c r="D33" s="2352"/>
      <c r="E33" s="2352"/>
      <c r="F33" s="2352"/>
      <c r="G33" s="2352"/>
      <c r="H33" s="2352"/>
      <c r="I33" s="2352"/>
      <c r="J33" s="2322"/>
      <c r="K33" s="2322"/>
      <c r="L33" s="2322"/>
      <c r="M33" s="2322"/>
      <c r="N33" s="2322"/>
      <c r="O33" s="2322"/>
      <c r="P33" s="2322"/>
      <c r="Q33" s="2324"/>
      <c r="R33" s="2337" t="s">
        <v>1801</v>
      </c>
      <c r="S33" s="2338"/>
      <c r="T33" s="2338"/>
      <c r="U33" s="2338"/>
      <c r="V33" s="2338"/>
      <c r="W33" s="2338"/>
      <c r="X33" s="2338"/>
      <c r="Y33" s="2338"/>
      <c r="Z33" s="2338"/>
      <c r="AA33" s="2338"/>
      <c r="AB33" s="2338"/>
      <c r="AC33" s="2338"/>
      <c r="AD33" s="2338"/>
      <c r="AE33" s="2338"/>
      <c r="AF33" s="2338"/>
      <c r="AG33" s="2338"/>
      <c r="AH33" s="2338"/>
      <c r="AI33" s="2338"/>
      <c r="AJ33" s="2338"/>
      <c r="AK33" s="2338"/>
      <c r="AL33" s="2338"/>
      <c r="AM33" s="2338"/>
      <c r="AN33" s="2338"/>
      <c r="AO33" s="2338"/>
      <c r="AP33" s="2338"/>
      <c r="AQ33" s="2338"/>
      <c r="AR33" s="2338"/>
      <c r="AS33" s="2338"/>
      <c r="AT33" s="2338"/>
      <c r="AU33" s="2338"/>
      <c r="AV33" s="2338"/>
      <c r="AW33" s="2338"/>
      <c r="AX33" s="2338"/>
      <c r="AY33" s="2338"/>
      <c r="AZ33" s="2338"/>
      <c r="BA33" s="2338"/>
      <c r="BB33" s="2338"/>
      <c r="BC33" s="2338"/>
      <c r="BD33" s="2339"/>
      <c r="BE33" s="1202"/>
    </row>
    <row r="34" spans="1:58" ht="15.75" customHeight="1" thickBot="1">
      <c r="A34" s="1206"/>
      <c r="B34" s="2351"/>
      <c r="C34" s="2352"/>
      <c r="D34" s="2352"/>
      <c r="E34" s="2352"/>
      <c r="F34" s="2352"/>
      <c r="G34" s="2352"/>
      <c r="H34" s="2352"/>
      <c r="I34" s="2352"/>
      <c r="J34" s="2322"/>
      <c r="K34" s="2322"/>
      <c r="L34" s="2322"/>
      <c r="M34" s="2322"/>
      <c r="N34" s="2322"/>
      <c r="O34" s="2322"/>
      <c r="P34" s="2322"/>
      <c r="Q34" s="2324"/>
      <c r="R34" s="2340"/>
      <c r="S34" s="2341"/>
      <c r="T34" s="2341"/>
      <c r="U34" s="2341"/>
      <c r="V34" s="2341"/>
      <c r="W34" s="2341"/>
      <c r="X34" s="2341"/>
      <c r="Y34" s="2341"/>
      <c r="Z34" s="2341"/>
      <c r="AA34" s="2341"/>
      <c r="AB34" s="2341"/>
      <c r="AC34" s="2341"/>
      <c r="AD34" s="2341"/>
      <c r="AE34" s="2341"/>
      <c r="AF34" s="2341"/>
      <c r="AG34" s="2341"/>
      <c r="AH34" s="2341"/>
      <c r="AI34" s="2341"/>
      <c r="AJ34" s="2341"/>
      <c r="AK34" s="2341"/>
      <c r="AL34" s="2341"/>
      <c r="AM34" s="2341"/>
      <c r="AN34" s="2341"/>
      <c r="AO34" s="2341"/>
      <c r="AP34" s="2341"/>
      <c r="AQ34" s="2341"/>
      <c r="AR34" s="2341"/>
      <c r="AS34" s="2341"/>
      <c r="AT34" s="2341"/>
      <c r="AU34" s="2341"/>
      <c r="AV34" s="2341"/>
      <c r="AW34" s="2341"/>
      <c r="AX34" s="2341"/>
      <c r="AY34" s="2341"/>
      <c r="AZ34" s="2341"/>
      <c r="BA34" s="2341"/>
      <c r="BB34" s="2341"/>
      <c r="BC34" s="2341"/>
      <c r="BD34" s="2342"/>
      <c r="BE34" s="1202"/>
    </row>
    <row r="35" spans="1:58" ht="15.75" customHeight="1">
      <c r="A35" s="1206"/>
      <c r="B35" s="2351"/>
      <c r="C35" s="2352"/>
      <c r="D35" s="2352"/>
      <c r="E35" s="2352"/>
      <c r="F35" s="2352"/>
      <c r="G35" s="2352"/>
      <c r="H35" s="2352"/>
      <c r="I35" s="2352"/>
      <c r="J35" s="2322"/>
      <c r="K35" s="2322"/>
      <c r="L35" s="2322"/>
      <c r="M35" s="2322"/>
      <c r="N35" s="2322"/>
      <c r="O35" s="2322"/>
      <c r="P35" s="2322"/>
      <c r="Q35" s="2322"/>
      <c r="R35" s="2325">
        <v>0.3</v>
      </c>
      <c r="S35" s="2325"/>
      <c r="T35" s="2325"/>
      <c r="U35" s="2325"/>
      <c r="V35" s="2325">
        <v>0.4</v>
      </c>
      <c r="W35" s="2325"/>
      <c r="X35" s="2325"/>
      <c r="Y35" s="2325"/>
      <c r="Z35" s="2325">
        <v>0.5</v>
      </c>
      <c r="AA35" s="2325"/>
      <c r="AB35" s="2325"/>
      <c r="AC35" s="2325"/>
      <c r="AD35" s="2325">
        <v>0.6</v>
      </c>
      <c r="AE35" s="2325"/>
      <c r="AF35" s="2325"/>
      <c r="AG35" s="2325"/>
      <c r="AH35" s="2325">
        <v>0.7</v>
      </c>
      <c r="AI35" s="2325"/>
      <c r="AJ35" s="2325"/>
      <c r="AK35" s="2325"/>
      <c r="AL35" s="2301">
        <v>0.8</v>
      </c>
      <c r="AM35" s="2302"/>
      <c r="AN35" s="2302"/>
      <c r="AO35" s="2303"/>
      <c r="AP35" s="2304">
        <v>1.2</v>
      </c>
      <c r="AQ35" s="2305"/>
      <c r="AR35" s="2306"/>
      <c r="AS35" s="2307" t="s">
        <v>1802</v>
      </c>
      <c r="AT35" s="2308"/>
      <c r="AU35" s="2308"/>
      <c r="AV35" s="2308"/>
      <c r="AW35" s="2308"/>
      <c r="AX35" s="2309"/>
      <c r="AY35" s="2307" t="s">
        <v>1803</v>
      </c>
      <c r="AZ35" s="2308"/>
      <c r="BA35" s="2308"/>
      <c r="BB35" s="2308"/>
      <c r="BC35" s="2308"/>
      <c r="BD35" s="2310"/>
      <c r="BE35" s="1202"/>
    </row>
    <row r="36" spans="1:58" ht="15.75" customHeight="1">
      <c r="A36" s="1206"/>
      <c r="B36" s="2330" t="s">
        <v>1804</v>
      </c>
      <c r="C36" s="2331"/>
      <c r="D36" s="2331"/>
      <c r="E36" s="2331"/>
      <c r="F36" s="2331"/>
      <c r="G36" s="2331"/>
      <c r="H36" s="2331"/>
      <c r="I36" s="2331"/>
      <c r="J36" s="2332" t="s">
        <v>1805</v>
      </c>
      <c r="K36" s="2332"/>
      <c r="L36" s="2332"/>
      <c r="M36" s="2332"/>
      <c r="N36" s="2332">
        <v>55</v>
      </c>
      <c r="O36" s="2332"/>
      <c r="P36" s="2332"/>
      <c r="Q36" s="2332"/>
      <c r="R36" s="2333">
        <v>0</v>
      </c>
      <c r="S36" s="2333"/>
      <c r="T36" s="2333"/>
      <c r="U36" s="2333"/>
      <c r="V36" s="2333">
        <v>0</v>
      </c>
      <c r="W36" s="2333"/>
      <c r="X36" s="2333"/>
      <c r="Y36" s="2333"/>
      <c r="Z36" s="2333">
        <v>10</v>
      </c>
      <c r="AA36" s="2333"/>
      <c r="AB36" s="2333"/>
      <c r="AC36" s="2333"/>
      <c r="AD36" s="2333">
        <v>10</v>
      </c>
      <c r="AE36" s="2333"/>
      <c r="AF36" s="2333"/>
      <c r="AG36" s="2333"/>
      <c r="AH36" s="2333">
        <v>30</v>
      </c>
      <c r="AI36" s="2333"/>
      <c r="AJ36" s="2333"/>
      <c r="AK36" s="2333"/>
      <c r="AL36" s="2353">
        <v>0</v>
      </c>
      <c r="AM36" s="2354"/>
      <c r="AN36" s="2354"/>
      <c r="AO36" s="2355"/>
      <c r="AP36" s="2353">
        <v>0</v>
      </c>
      <c r="AQ36" s="2354"/>
      <c r="AR36" s="2355"/>
      <c r="AS36" s="2356">
        <f t="shared" ref="AS36:AS47" si="2">SUM(R36:AR36)</f>
        <v>50</v>
      </c>
      <c r="AT36" s="2357"/>
      <c r="AU36" s="2357"/>
      <c r="AV36" s="2357"/>
      <c r="AW36" s="2357"/>
      <c r="AX36" s="2358"/>
      <c r="AY36" s="2359">
        <f t="shared" ref="AY36:AY47" si="3">AS36/$J$29</f>
        <v>0.72463768115942029</v>
      </c>
      <c r="AZ36" s="2360"/>
      <c r="BA36" s="2360"/>
      <c r="BB36" s="2360"/>
      <c r="BC36" s="2360"/>
      <c r="BD36" s="2361"/>
      <c r="BE36" s="1202"/>
    </row>
    <row r="37" spans="1:58" ht="15.75" customHeight="1">
      <c r="A37" s="1206"/>
      <c r="B37" s="2330" t="s">
        <v>2473</v>
      </c>
      <c r="C37" s="2331"/>
      <c r="D37" s="2331"/>
      <c r="E37" s="2331"/>
      <c r="F37" s="2331"/>
      <c r="G37" s="2331"/>
      <c r="H37" s="2331"/>
      <c r="I37" s="2331"/>
      <c r="J37" s="2332" t="s">
        <v>1806</v>
      </c>
      <c r="K37" s="2332"/>
      <c r="L37" s="2332"/>
      <c r="M37" s="2332"/>
      <c r="N37" s="2332">
        <v>55</v>
      </c>
      <c r="O37" s="2332"/>
      <c r="P37" s="2332"/>
      <c r="Q37" s="2332"/>
      <c r="R37" s="2333">
        <v>10</v>
      </c>
      <c r="S37" s="2333"/>
      <c r="T37" s="2333"/>
      <c r="U37" s="2333"/>
      <c r="V37" s="2333"/>
      <c r="W37" s="2333"/>
      <c r="X37" s="2333"/>
      <c r="Y37" s="2333"/>
      <c r="Z37" s="2333"/>
      <c r="AA37" s="2333"/>
      <c r="AB37" s="2333"/>
      <c r="AC37" s="2333"/>
      <c r="AD37" s="2333"/>
      <c r="AE37" s="2333"/>
      <c r="AF37" s="2333"/>
      <c r="AG37" s="2333"/>
      <c r="AH37" s="2333"/>
      <c r="AI37" s="2333"/>
      <c r="AJ37" s="2333"/>
      <c r="AK37" s="2333"/>
      <c r="AL37" s="2353"/>
      <c r="AM37" s="2354"/>
      <c r="AN37" s="2354"/>
      <c r="AO37" s="2355"/>
      <c r="AP37" s="2353"/>
      <c r="AQ37" s="2354"/>
      <c r="AR37" s="2355"/>
      <c r="AS37" s="2356">
        <f t="shared" si="2"/>
        <v>10</v>
      </c>
      <c r="AT37" s="2357"/>
      <c r="AU37" s="2357"/>
      <c r="AV37" s="2357"/>
      <c r="AW37" s="2357"/>
      <c r="AX37" s="2358"/>
      <c r="AY37" s="2359">
        <f t="shared" si="3"/>
        <v>0.14492753623188406</v>
      </c>
      <c r="AZ37" s="2360"/>
      <c r="BA37" s="2360"/>
      <c r="BB37" s="2360"/>
      <c r="BC37" s="2360"/>
      <c r="BD37" s="2361"/>
      <c r="BE37" s="1202"/>
    </row>
    <row r="38" spans="1:58" ht="15.75" customHeight="1">
      <c r="A38" s="1206"/>
      <c r="B38" s="2330" t="s">
        <v>2412</v>
      </c>
      <c r="C38" s="2331"/>
      <c r="D38" s="2331"/>
      <c r="E38" s="2331"/>
      <c r="F38" s="2331"/>
      <c r="G38" s="2331"/>
      <c r="H38" s="2331"/>
      <c r="I38" s="2331"/>
      <c r="J38" s="2332" t="s">
        <v>1807</v>
      </c>
      <c r="K38" s="2332"/>
      <c r="L38" s="2332"/>
      <c r="M38" s="2332"/>
      <c r="N38" s="2332">
        <v>55</v>
      </c>
      <c r="O38" s="2332"/>
      <c r="P38" s="2332"/>
      <c r="Q38" s="2332"/>
      <c r="R38" s="2333"/>
      <c r="S38" s="2333"/>
      <c r="T38" s="2333"/>
      <c r="U38" s="2333"/>
      <c r="V38" s="2333"/>
      <c r="W38" s="2333"/>
      <c r="X38" s="2333"/>
      <c r="Y38" s="2333"/>
      <c r="Z38" s="2333"/>
      <c r="AA38" s="2333"/>
      <c r="AB38" s="2333"/>
      <c r="AC38" s="2333"/>
      <c r="AD38" s="2333"/>
      <c r="AE38" s="2333"/>
      <c r="AF38" s="2333"/>
      <c r="AG38" s="2333"/>
      <c r="AH38" s="2333"/>
      <c r="AI38" s="2333"/>
      <c r="AJ38" s="2333"/>
      <c r="AK38" s="2333"/>
      <c r="AL38" s="2353"/>
      <c r="AM38" s="2354"/>
      <c r="AN38" s="2354"/>
      <c r="AO38" s="2355"/>
      <c r="AP38" s="2353"/>
      <c r="AQ38" s="2354"/>
      <c r="AR38" s="2355"/>
      <c r="AS38" s="2356">
        <f t="shared" si="2"/>
        <v>0</v>
      </c>
      <c r="AT38" s="2357"/>
      <c r="AU38" s="2357"/>
      <c r="AV38" s="2357"/>
      <c r="AW38" s="2357"/>
      <c r="AX38" s="2358"/>
      <c r="AY38" s="2359">
        <f t="shared" si="3"/>
        <v>0</v>
      </c>
      <c r="AZ38" s="2360"/>
      <c r="BA38" s="2360"/>
      <c r="BB38" s="2360"/>
      <c r="BC38" s="2360"/>
      <c r="BD38" s="2361"/>
      <c r="BE38" s="1202"/>
    </row>
    <row r="39" spans="1:58" ht="15.75" customHeight="1">
      <c r="A39" s="1206"/>
      <c r="B39" s="2330" t="s">
        <v>1808</v>
      </c>
      <c r="C39" s="2331"/>
      <c r="D39" s="2331"/>
      <c r="E39" s="2331"/>
      <c r="F39" s="2331"/>
      <c r="G39" s="2331"/>
      <c r="H39" s="2331"/>
      <c r="I39" s="2331"/>
      <c r="J39" s="2332"/>
      <c r="K39" s="2332"/>
      <c r="L39" s="2332"/>
      <c r="M39" s="2332"/>
      <c r="N39" s="2332"/>
      <c r="O39" s="2332"/>
      <c r="P39" s="2332"/>
      <c r="Q39" s="2332"/>
      <c r="R39" s="2333"/>
      <c r="S39" s="2333"/>
      <c r="T39" s="2333"/>
      <c r="U39" s="2333"/>
      <c r="V39" s="2333"/>
      <c r="W39" s="2333"/>
      <c r="X39" s="2333"/>
      <c r="Y39" s="2333"/>
      <c r="Z39" s="2333"/>
      <c r="AA39" s="2333"/>
      <c r="AB39" s="2333"/>
      <c r="AC39" s="2333"/>
      <c r="AD39" s="2333"/>
      <c r="AE39" s="2333"/>
      <c r="AF39" s="2333"/>
      <c r="AG39" s="2333"/>
      <c r="AH39" s="2333"/>
      <c r="AI39" s="2333"/>
      <c r="AJ39" s="2333"/>
      <c r="AK39" s="2333"/>
      <c r="AL39" s="2353"/>
      <c r="AM39" s="2354"/>
      <c r="AN39" s="2354"/>
      <c r="AO39" s="2355"/>
      <c r="AP39" s="2353"/>
      <c r="AQ39" s="2354"/>
      <c r="AR39" s="2355"/>
      <c r="AS39" s="2356">
        <f t="shared" si="2"/>
        <v>0</v>
      </c>
      <c r="AT39" s="2357"/>
      <c r="AU39" s="2357"/>
      <c r="AV39" s="2357"/>
      <c r="AW39" s="2357"/>
      <c r="AX39" s="2358"/>
      <c r="AY39" s="2359">
        <f t="shared" si="3"/>
        <v>0</v>
      </c>
      <c r="AZ39" s="2360"/>
      <c r="BA39" s="2360"/>
      <c r="BB39" s="2360"/>
      <c r="BC39" s="2360"/>
      <c r="BD39" s="2361"/>
      <c r="BE39" s="1202"/>
    </row>
    <row r="40" spans="1:58" ht="15.75" customHeight="1">
      <c r="A40" s="1206"/>
      <c r="B40" s="2330" t="s">
        <v>1808</v>
      </c>
      <c r="C40" s="2331"/>
      <c r="D40" s="2331"/>
      <c r="E40" s="2331"/>
      <c r="F40" s="2331"/>
      <c r="G40" s="2331"/>
      <c r="H40" s="2331"/>
      <c r="I40" s="2331"/>
      <c r="J40" s="2332"/>
      <c r="K40" s="2332"/>
      <c r="L40" s="2332"/>
      <c r="M40" s="2332"/>
      <c r="N40" s="2332"/>
      <c r="O40" s="2332"/>
      <c r="P40" s="2332"/>
      <c r="Q40" s="2332"/>
      <c r="R40" s="2333"/>
      <c r="S40" s="2333"/>
      <c r="T40" s="2333"/>
      <c r="U40" s="2333"/>
      <c r="V40" s="2333"/>
      <c r="W40" s="2333"/>
      <c r="X40" s="2333"/>
      <c r="Y40" s="2333"/>
      <c r="Z40" s="2333"/>
      <c r="AA40" s="2333"/>
      <c r="AB40" s="2333"/>
      <c r="AC40" s="2333"/>
      <c r="AD40" s="2333"/>
      <c r="AE40" s="2333"/>
      <c r="AF40" s="2333"/>
      <c r="AG40" s="2333"/>
      <c r="AH40" s="2333"/>
      <c r="AI40" s="2333"/>
      <c r="AJ40" s="2333"/>
      <c r="AK40" s="2333"/>
      <c r="AL40" s="2353"/>
      <c r="AM40" s="2354"/>
      <c r="AN40" s="2354"/>
      <c r="AO40" s="2355"/>
      <c r="AP40" s="2353"/>
      <c r="AQ40" s="2354"/>
      <c r="AR40" s="2355"/>
      <c r="AS40" s="2356">
        <f t="shared" si="2"/>
        <v>0</v>
      </c>
      <c r="AT40" s="2357"/>
      <c r="AU40" s="2357"/>
      <c r="AV40" s="2357"/>
      <c r="AW40" s="2357"/>
      <c r="AX40" s="2358"/>
      <c r="AY40" s="2359">
        <f t="shared" si="3"/>
        <v>0</v>
      </c>
      <c r="AZ40" s="2360"/>
      <c r="BA40" s="2360"/>
      <c r="BB40" s="2360"/>
      <c r="BC40" s="2360"/>
      <c r="BD40" s="2361"/>
      <c r="BE40" s="1202"/>
    </row>
    <row r="41" spans="1:58" ht="15.75" customHeight="1">
      <c r="A41" s="1206"/>
      <c r="B41" s="2330" t="s">
        <v>1809</v>
      </c>
      <c r="C41" s="2331"/>
      <c r="D41" s="2331"/>
      <c r="E41" s="2331"/>
      <c r="F41" s="2331"/>
      <c r="G41" s="2331"/>
      <c r="H41" s="2331"/>
      <c r="I41" s="2331"/>
      <c r="J41" s="2332"/>
      <c r="K41" s="2332"/>
      <c r="L41" s="2332"/>
      <c r="M41" s="2332"/>
      <c r="N41" s="2332"/>
      <c r="O41" s="2332"/>
      <c r="P41" s="2332"/>
      <c r="Q41" s="2332"/>
      <c r="R41" s="2333"/>
      <c r="S41" s="2333"/>
      <c r="T41" s="2333"/>
      <c r="U41" s="2333"/>
      <c r="V41" s="2333"/>
      <c r="W41" s="2333"/>
      <c r="X41" s="2333"/>
      <c r="Y41" s="2333"/>
      <c r="Z41" s="2333"/>
      <c r="AA41" s="2333"/>
      <c r="AB41" s="2333"/>
      <c r="AC41" s="2333"/>
      <c r="AD41" s="2333"/>
      <c r="AE41" s="2333"/>
      <c r="AF41" s="2333"/>
      <c r="AG41" s="2333"/>
      <c r="AH41" s="2333"/>
      <c r="AI41" s="2333"/>
      <c r="AJ41" s="2333"/>
      <c r="AK41" s="2333"/>
      <c r="AL41" s="2353"/>
      <c r="AM41" s="2354"/>
      <c r="AN41" s="2354"/>
      <c r="AO41" s="2355"/>
      <c r="AP41" s="2353"/>
      <c r="AQ41" s="2354"/>
      <c r="AR41" s="2355"/>
      <c r="AS41" s="2356">
        <f t="shared" si="2"/>
        <v>0</v>
      </c>
      <c r="AT41" s="2357"/>
      <c r="AU41" s="2357"/>
      <c r="AV41" s="2357"/>
      <c r="AW41" s="2357"/>
      <c r="AX41" s="2358"/>
      <c r="AY41" s="2359">
        <f t="shared" si="3"/>
        <v>0</v>
      </c>
      <c r="AZ41" s="2360"/>
      <c r="BA41" s="2360"/>
      <c r="BB41" s="2360"/>
      <c r="BC41" s="2360"/>
      <c r="BD41" s="2361"/>
      <c r="BE41" s="1202"/>
    </row>
    <row r="42" spans="1:58" ht="15.75" customHeight="1">
      <c r="A42" s="1206"/>
      <c r="B42" s="2330" t="s">
        <v>1809</v>
      </c>
      <c r="C42" s="2331"/>
      <c r="D42" s="2331"/>
      <c r="E42" s="2331"/>
      <c r="F42" s="2331"/>
      <c r="G42" s="2331"/>
      <c r="H42" s="2331"/>
      <c r="I42" s="2331"/>
      <c r="J42" s="2332"/>
      <c r="K42" s="2332"/>
      <c r="L42" s="2332"/>
      <c r="M42" s="2332"/>
      <c r="N42" s="2332"/>
      <c r="O42" s="2332"/>
      <c r="P42" s="2332"/>
      <c r="Q42" s="2332"/>
      <c r="R42" s="2333"/>
      <c r="S42" s="2333"/>
      <c r="T42" s="2333"/>
      <c r="U42" s="2333"/>
      <c r="V42" s="2333"/>
      <c r="W42" s="2333"/>
      <c r="X42" s="2333"/>
      <c r="Y42" s="2333"/>
      <c r="Z42" s="2333"/>
      <c r="AA42" s="2333"/>
      <c r="AB42" s="2333"/>
      <c r="AC42" s="2333"/>
      <c r="AD42" s="2333"/>
      <c r="AE42" s="2333"/>
      <c r="AF42" s="2333"/>
      <c r="AG42" s="2333"/>
      <c r="AH42" s="2333"/>
      <c r="AI42" s="2333"/>
      <c r="AJ42" s="2333"/>
      <c r="AK42" s="2333"/>
      <c r="AL42" s="2353"/>
      <c r="AM42" s="2354"/>
      <c r="AN42" s="2354"/>
      <c r="AO42" s="2355"/>
      <c r="AP42" s="2353"/>
      <c r="AQ42" s="2354"/>
      <c r="AR42" s="2355"/>
      <c r="AS42" s="2356">
        <f t="shared" si="2"/>
        <v>0</v>
      </c>
      <c r="AT42" s="2357"/>
      <c r="AU42" s="2357"/>
      <c r="AV42" s="2357"/>
      <c r="AW42" s="2357"/>
      <c r="AX42" s="2358"/>
      <c r="AY42" s="2359">
        <f t="shared" si="3"/>
        <v>0</v>
      </c>
      <c r="AZ42" s="2360"/>
      <c r="BA42" s="2360"/>
      <c r="BB42" s="2360"/>
      <c r="BC42" s="2360"/>
      <c r="BD42" s="2361"/>
      <c r="BE42" s="1202"/>
    </row>
    <row r="43" spans="1:58" ht="15.75" customHeight="1">
      <c r="A43" s="1206"/>
      <c r="B43" s="2362" t="s">
        <v>1810</v>
      </c>
      <c r="C43" s="2363"/>
      <c r="D43" s="2363"/>
      <c r="E43" s="2363"/>
      <c r="F43" s="2363"/>
      <c r="G43" s="2363"/>
      <c r="H43" s="2363"/>
      <c r="I43" s="2363"/>
      <c r="J43" s="2332"/>
      <c r="K43" s="2332"/>
      <c r="L43" s="2332"/>
      <c r="M43" s="2332"/>
      <c r="N43" s="2332"/>
      <c r="O43" s="2332"/>
      <c r="P43" s="2332"/>
      <c r="Q43" s="2332"/>
      <c r="R43" s="2333"/>
      <c r="S43" s="2333"/>
      <c r="T43" s="2333"/>
      <c r="U43" s="2333"/>
      <c r="V43" s="2333"/>
      <c r="W43" s="2333"/>
      <c r="X43" s="2333"/>
      <c r="Y43" s="2333"/>
      <c r="Z43" s="2333"/>
      <c r="AA43" s="2333"/>
      <c r="AB43" s="2333"/>
      <c r="AC43" s="2333"/>
      <c r="AD43" s="2333"/>
      <c r="AE43" s="2333"/>
      <c r="AF43" s="2333"/>
      <c r="AG43" s="2333"/>
      <c r="AH43" s="2333"/>
      <c r="AI43" s="2333"/>
      <c r="AJ43" s="2333"/>
      <c r="AK43" s="2333"/>
      <c r="AL43" s="2353"/>
      <c r="AM43" s="2354"/>
      <c r="AN43" s="2354"/>
      <c r="AO43" s="2355"/>
      <c r="AP43" s="2353"/>
      <c r="AQ43" s="2354"/>
      <c r="AR43" s="2355"/>
      <c r="AS43" s="2356">
        <f t="shared" si="2"/>
        <v>0</v>
      </c>
      <c r="AT43" s="2357"/>
      <c r="AU43" s="2357"/>
      <c r="AV43" s="2357"/>
      <c r="AW43" s="2357"/>
      <c r="AX43" s="2358"/>
      <c r="AY43" s="2359">
        <f t="shared" si="3"/>
        <v>0</v>
      </c>
      <c r="AZ43" s="2360"/>
      <c r="BA43" s="2360"/>
      <c r="BB43" s="2360"/>
      <c r="BC43" s="2360"/>
      <c r="BD43" s="2361"/>
      <c r="BE43" s="1202"/>
    </row>
    <row r="44" spans="1:58" ht="15.75" customHeight="1">
      <c r="A44" s="1206"/>
      <c r="B44" s="2362" t="s">
        <v>1811</v>
      </c>
      <c r="C44" s="2363"/>
      <c r="D44" s="2363"/>
      <c r="E44" s="2363"/>
      <c r="F44" s="2363"/>
      <c r="G44" s="2363"/>
      <c r="H44" s="2363"/>
      <c r="I44" s="2363"/>
      <c r="J44" s="2332"/>
      <c r="K44" s="2332"/>
      <c r="L44" s="2332"/>
      <c r="M44" s="2332"/>
      <c r="N44" s="2332"/>
      <c r="O44" s="2332"/>
      <c r="P44" s="2332"/>
      <c r="Q44" s="2332"/>
      <c r="R44" s="2333"/>
      <c r="S44" s="2333"/>
      <c r="T44" s="2333"/>
      <c r="U44" s="2333"/>
      <c r="V44" s="2333"/>
      <c r="W44" s="2333"/>
      <c r="X44" s="2333"/>
      <c r="Y44" s="2333"/>
      <c r="Z44" s="2333"/>
      <c r="AA44" s="2333"/>
      <c r="AB44" s="2333"/>
      <c r="AC44" s="2333"/>
      <c r="AD44" s="2333"/>
      <c r="AE44" s="2333"/>
      <c r="AF44" s="2333"/>
      <c r="AG44" s="2333"/>
      <c r="AH44" s="2333"/>
      <c r="AI44" s="2333"/>
      <c r="AJ44" s="2333"/>
      <c r="AK44" s="2333"/>
      <c r="AL44" s="2353"/>
      <c r="AM44" s="2354"/>
      <c r="AN44" s="2354"/>
      <c r="AO44" s="2355"/>
      <c r="AP44" s="2353"/>
      <c r="AQ44" s="2354"/>
      <c r="AR44" s="2355"/>
      <c r="AS44" s="2356">
        <f t="shared" si="2"/>
        <v>0</v>
      </c>
      <c r="AT44" s="2357"/>
      <c r="AU44" s="2357"/>
      <c r="AV44" s="2357"/>
      <c r="AW44" s="2357"/>
      <c r="AX44" s="2358"/>
      <c r="AY44" s="2359">
        <f t="shared" si="3"/>
        <v>0</v>
      </c>
      <c r="AZ44" s="2360"/>
      <c r="BA44" s="2360"/>
      <c r="BB44" s="2360"/>
      <c r="BC44" s="2360"/>
      <c r="BD44" s="2361"/>
      <c r="BE44" s="1202"/>
    </row>
    <row r="45" spans="1:58" ht="15.75" customHeight="1">
      <c r="A45" s="1206"/>
      <c r="B45" s="2362" t="s">
        <v>1812</v>
      </c>
      <c r="C45" s="2363"/>
      <c r="D45" s="2363"/>
      <c r="E45" s="2363"/>
      <c r="F45" s="2363"/>
      <c r="G45" s="2363"/>
      <c r="H45" s="2363"/>
      <c r="I45" s="2363"/>
      <c r="J45" s="2332"/>
      <c r="K45" s="2332"/>
      <c r="L45" s="2332"/>
      <c r="M45" s="2332"/>
      <c r="N45" s="2332"/>
      <c r="O45" s="2332"/>
      <c r="P45" s="2332"/>
      <c r="Q45" s="2332"/>
      <c r="R45" s="2333"/>
      <c r="S45" s="2333"/>
      <c r="T45" s="2333"/>
      <c r="U45" s="2333"/>
      <c r="V45" s="2333"/>
      <c r="W45" s="2333"/>
      <c r="X45" s="2333"/>
      <c r="Y45" s="2333"/>
      <c r="Z45" s="2333"/>
      <c r="AA45" s="2333"/>
      <c r="AB45" s="2333"/>
      <c r="AC45" s="2333"/>
      <c r="AD45" s="2333"/>
      <c r="AE45" s="2333"/>
      <c r="AF45" s="2333"/>
      <c r="AG45" s="2333"/>
      <c r="AH45" s="2333"/>
      <c r="AI45" s="2333"/>
      <c r="AJ45" s="2333"/>
      <c r="AK45" s="2333"/>
      <c r="AL45" s="2353"/>
      <c r="AM45" s="2354"/>
      <c r="AN45" s="2354"/>
      <c r="AO45" s="2355"/>
      <c r="AP45" s="2353"/>
      <c r="AQ45" s="2354"/>
      <c r="AR45" s="2355"/>
      <c r="AS45" s="2356">
        <f t="shared" si="2"/>
        <v>0</v>
      </c>
      <c r="AT45" s="2357"/>
      <c r="AU45" s="2357"/>
      <c r="AV45" s="2357"/>
      <c r="AW45" s="2357"/>
      <c r="AX45" s="2358"/>
      <c r="AY45" s="2359">
        <f t="shared" si="3"/>
        <v>0</v>
      </c>
      <c r="AZ45" s="2360"/>
      <c r="BA45" s="2360"/>
      <c r="BB45" s="2360"/>
      <c r="BC45" s="2360"/>
      <c r="BD45" s="2361"/>
      <c r="BE45" s="1202"/>
    </row>
    <row r="46" spans="1:58" ht="15.75" customHeight="1">
      <c r="A46" s="1206"/>
      <c r="B46" s="2362" t="s">
        <v>1813</v>
      </c>
      <c r="C46" s="2363"/>
      <c r="D46" s="2363"/>
      <c r="E46" s="2363"/>
      <c r="F46" s="2363"/>
      <c r="G46" s="2363"/>
      <c r="H46" s="2363"/>
      <c r="I46" s="2363"/>
      <c r="J46" s="2332"/>
      <c r="K46" s="2332"/>
      <c r="L46" s="2332"/>
      <c r="M46" s="2332"/>
      <c r="N46" s="2332">
        <v>99</v>
      </c>
      <c r="O46" s="2332"/>
      <c r="P46" s="2332"/>
      <c r="Q46" s="2332"/>
      <c r="R46" s="2333"/>
      <c r="S46" s="2333"/>
      <c r="T46" s="2333"/>
      <c r="U46" s="2333"/>
      <c r="V46" s="2333"/>
      <c r="W46" s="2333"/>
      <c r="X46" s="2333"/>
      <c r="Y46" s="2333"/>
      <c r="Z46" s="2333"/>
      <c r="AA46" s="2333"/>
      <c r="AB46" s="2333"/>
      <c r="AC46" s="2333"/>
      <c r="AD46" s="2333"/>
      <c r="AE46" s="2333"/>
      <c r="AF46" s="2333"/>
      <c r="AG46" s="2333"/>
      <c r="AH46" s="2333"/>
      <c r="AI46" s="2333"/>
      <c r="AJ46" s="2333"/>
      <c r="AK46" s="2333"/>
      <c r="AL46" s="2353"/>
      <c r="AM46" s="2354"/>
      <c r="AN46" s="2354"/>
      <c r="AO46" s="2355"/>
      <c r="AP46" s="2353"/>
      <c r="AQ46" s="2354"/>
      <c r="AR46" s="2355"/>
      <c r="AS46" s="2356">
        <f t="shared" si="2"/>
        <v>0</v>
      </c>
      <c r="AT46" s="2357"/>
      <c r="AU46" s="2357"/>
      <c r="AV46" s="2357"/>
      <c r="AW46" s="2357"/>
      <c r="AX46" s="2358"/>
      <c r="AY46" s="2359">
        <f t="shared" si="3"/>
        <v>0</v>
      </c>
      <c r="AZ46" s="2360"/>
      <c r="BA46" s="2360"/>
      <c r="BB46" s="2360"/>
      <c r="BC46" s="2360"/>
      <c r="BD46" s="2361"/>
      <c r="BE46" s="1202"/>
    </row>
    <row r="47" spans="1:58" ht="15.75" customHeight="1" thickBot="1">
      <c r="A47" s="1206"/>
      <c r="B47" s="2376" t="s">
        <v>301</v>
      </c>
      <c r="C47" s="2377"/>
      <c r="D47" s="2377"/>
      <c r="E47" s="2377"/>
      <c r="F47" s="2377"/>
      <c r="G47" s="2377"/>
      <c r="H47" s="2377"/>
      <c r="I47" s="2377"/>
      <c r="J47" s="2378"/>
      <c r="K47" s="2378"/>
      <c r="L47" s="2378"/>
      <c r="M47" s="2378"/>
      <c r="N47" s="2378"/>
      <c r="O47" s="2378"/>
      <c r="P47" s="2378"/>
      <c r="Q47" s="2378"/>
      <c r="R47" s="2375"/>
      <c r="S47" s="2375"/>
      <c r="T47" s="2375"/>
      <c r="U47" s="2375"/>
      <c r="V47" s="2375"/>
      <c r="W47" s="2375"/>
      <c r="X47" s="2375"/>
      <c r="Y47" s="2375"/>
      <c r="Z47" s="2375"/>
      <c r="AA47" s="2375"/>
      <c r="AB47" s="2375"/>
      <c r="AC47" s="2375"/>
      <c r="AD47" s="2375"/>
      <c r="AE47" s="2375"/>
      <c r="AF47" s="2375"/>
      <c r="AG47" s="2375"/>
      <c r="AH47" s="2375"/>
      <c r="AI47" s="2375"/>
      <c r="AJ47" s="2375"/>
      <c r="AK47" s="2375"/>
      <c r="AL47" s="2364"/>
      <c r="AM47" s="2365"/>
      <c r="AN47" s="2365"/>
      <c r="AO47" s="2366"/>
      <c r="AP47" s="2364"/>
      <c r="AQ47" s="2365"/>
      <c r="AR47" s="2366"/>
      <c r="AS47" s="2356">
        <f t="shared" si="2"/>
        <v>0</v>
      </c>
      <c r="AT47" s="2357"/>
      <c r="AU47" s="2357"/>
      <c r="AV47" s="2357"/>
      <c r="AW47" s="2357"/>
      <c r="AX47" s="2358"/>
      <c r="AY47" s="2367">
        <f t="shared" si="3"/>
        <v>0</v>
      </c>
      <c r="AZ47" s="2368"/>
      <c r="BA47" s="2368"/>
      <c r="BB47" s="2368"/>
      <c r="BC47" s="2368"/>
      <c r="BD47" s="2369"/>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70" t="s">
        <v>1814</v>
      </c>
      <c r="C50" s="2371"/>
      <c r="D50" s="2371"/>
      <c r="E50" s="2371"/>
      <c r="F50" s="2371"/>
      <c r="G50" s="2371"/>
      <c r="H50" s="2371"/>
      <c r="I50" s="2371"/>
      <c r="J50" s="2371"/>
      <c r="K50" s="2371"/>
      <c r="L50" s="2371"/>
      <c r="M50" s="2371"/>
      <c r="N50" s="2371"/>
      <c r="O50" s="2371"/>
      <c r="P50" s="2371"/>
      <c r="Q50" s="2371"/>
      <c r="R50" s="2371"/>
      <c r="S50" s="2371"/>
      <c r="T50" s="2371"/>
      <c r="U50" s="2371"/>
      <c r="V50" s="2371"/>
      <c r="W50" s="2371"/>
      <c r="X50" s="2371"/>
      <c r="Y50" s="2371"/>
      <c r="Z50" s="2371"/>
      <c r="AA50" s="2371"/>
      <c r="AB50" s="2371"/>
      <c r="AC50" s="2371"/>
      <c r="AD50" s="2371"/>
      <c r="AE50" s="2371"/>
      <c r="AF50" s="2371"/>
      <c r="AG50" s="2371"/>
      <c r="AH50" s="2371"/>
      <c r="AI50" s="2371"/>
      <c r="AJ50" s="2371"/>
      <c r="AK50" s="2371"/>
      <c r="AL50" s="2371"/>
      <c r="AM50" s="2371"/>
      <c r="AN50" s="2371"/>
      <c r="AO50" s="237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15" t="s">
        <v>1815</v>
      </c>
      <c r="C51" s="2216"/>
      <c r="D51" s="2216"/>
      <c r="E51" s="2216"/>
      <c r="F51" s="2216"/>
      <c r="G51" s="2216"/>
      <c r="H51" s="2216"/>
      <c r="I51" s="2216"/>
      <c r="J51" s="2216" t="s">
        <v>2475</v>
      </c>
      <c r="K51" s="2216"/>
      <c r="L51" s="2216"/>
      <c r="M51" s="2216"/>
      <c r="N51" s="2216"/>
      <c r="O51" s="2216"/>
      <c r="P51" s="2216"/>
      <c r="Q51" s="2216"/>
      <c r="R51" s="2373" t="s">
        <v>2476</v>
      </c>
      <c r="S51" s="2373"/>
      <c r="T51" s="2373"/>
      <c r="U51" s="2373"/>
      <c r="V51" s="2373"/>
      <c r="W51" s="2373"/>
      <c r="X51" s="2373"/>
      <c r="Y51" s="2373"/>
      <c r="Z51" s="2373" t="s">
        <v>1816</v>
      </c>
      <c r="AA51" s="2373"/>
      <c r="AB51" s="2373"/>
      <c r="AC51" s="2373"/>
      <c r="AD51" s="2373"/>
      <c r="AE51" s="2373"/>
      <c r="AF51" s="2373"/>
      <c r="AG51" s="2373"/>
      <c r="AH51" s="2373" t="s">
        <v>1817</v>
      </c>
      <c r="AI51" s="2373"/>
      <c r="AJ51" s="2373"/>
      <c r="AK51" s="2373"/>
      <c r="AL51" s="2373"/>
      <c r="AM51" s="2373"/>
      <c r="AN51" s="2373"/>
      <c r="AO51" s="237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62" t="s">
        <v>2183</v>
      </c>
      <c r="C52" s="2363"/>
      <c r="D52" s="2363"/>
      <c r="E52" s="2363"/>
      <c r="F52" s="2363"/>
      <c r="G52" s="2363"/>
      <c r="H52" s="2363"/>
      <c r="I52" s="2363"/>
      <c r="J52" s="2379">
        <v>0</v>
      </c>
      <c r="K52" s="2379"/>
      <c r="L52" s="2379"/>
      <c r="M52" s="2379"/>
      <c r="N52" s="2379"/>
      <c r="O52" s="2379"/>
      <c r="P52" s="2379"/>
      <c r="Q52" s="2379"/>
      <c r="R52" s="2380">
        <v>0</v>
      </c>
      <c r="S52" s="2380"/>
      <c r="T52" s="2380"/>
      <c r="U52" s="2380"/>
      <c r="V52" s="2380"/>
      <c r="W52" s="2380"/>
      <c r="X52" s="2380"/>
      <c r="Y52" s="2380"/>
      <c r="Z52" s="2381">
        <v>0</v>
      </c>
      <c r="AA52" s="2381"/>
      <c r="AB52" s="2381"/>
      <c r="AC52" s="2381"/>
      <c r="AD52" s="2381"/>
      <c r="AE52" s="2381"/>
      <c r="AF52" s="2381"/>
      <c r="AG52" s="2381"/>
      <c r="AH52" s="2382"/>
      <c r="AI52" s="2382"/>
      <c r="AJ52" s="2382"/>
      <c r="AK52" s="2382"/>
      <c r="AL52" s="2382"/>
      <c r="AM52" s="2382"/>
      <c r="AN52" s="2382"/>
      <c r="AO52" s="238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62" t="s">
        <v>2184</v>
      </c>
      <c r="C53" s="2363"/>
      <c r="D53" s="2363"/>
      <c r="E53" s="2363"/>
      <c r="F53" s="2363"/>
      <c r="G53" s="2363"/>
      <c r="H53" s="2363"/>
      <c r="I53" s="2363"/>
      <c r="J53" s="2379">
        <v>0</v>
      </c>
      <c r="K53" s="2379"/>
      <c r="L53" s="2379"/>
      <c r="M53" s="2379"/>
      <c r="N53" s="2379"/>
      <c r="O53" s="2379"/>
      <c r="P53" s="2379"/>
      <c r="Q53" s="2379"/>
      <c r="R53" s="2380">
        <v>0</v>
      </c>
      <c r="S53" s="2380"/>
      <c r="T53" s="2380"/>
      <c r="U53" s="2380"/>
      <c r="V53" s="2380"/>
      <c r="W53" s="2380"/>
      <c r="X53" s="2380"/>
      <c r="Y53" s="2380"/>
      <c r="Z53" s="2381">
        <v>0</v>
      </c>
      <c r="AA53" s="2381"/>
      <c r="AB53" s="2381"/>
      <c r="AC53" s="2381"/>
      <c r="AD53" s="2381"/>
      <c r="AE53" s="2381"/>
      <c r="AF53" s="2381"/>
      <c r="AG53" s="2381"/>
      <c r="AH53" s="2382"/>
      <c r="AI53" s="2382"/>
      <c r="AJ53" s="2382"/>
      <c r="AK53" s="2382"/>
      <c r="AL53" s="2382"/>
      <c r="AM53" s="2382"/>
      <c r="AN53" s="2382"/>
      <c r="AO53" s="238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62"/>
      <c r="C54" s="2363"/>
      <c r="D54" s="2363"/>
      <c r="E54" s="2363"/>
      <c r="F54" s="2363"/>
      <c r="G54" s="2363"/>
      <c r="H54" s="2363"/>
      <c r="I54" s="2363"/>
      <c r="J54" s="2379"/>
      <c r="K54" s="2379"/>
      <c r="L54" s="2379"/>
      <c r="M54" s="2379"/>
      <c r="N54" s="2379"/>
      <c r="O54" s="2379"/>
      <c r="P54" s="2379"/>
      <c r="Q54" s="2379"/>
      <c r="R54" s="2380"/>
      <c r="S54" s="2380"/>
      <c r="T54" s="2380"/>
      <c r="U54" s="2380"/>
      <c r="V54" s="2380"/>
      <c r="W54" s="2380"/>
      <c r="X54" s="2380"/>
      <c r="Y54" s="2380"/>
      <c r="Z54" s="2381"/>
      <c r="AA54" s="2381"/>
      <c r="AB54" s="2381"/>
      <c r="AC54" s="2381"/>
      <c r="AD54" s="2381"/>
      <c r="AE54" s="2381"/>
      <c r="AF54" s="2381"/>
      <c r="AG54" s="2381"/>
      <c r="AH54" s="2382"/>
      <c r="AI54" s="2382"/>
      <c r="AJ54" s="2382"/>
      <c r="AK54" s="2382"/>
      <c r="AL54" s="2382"/>
      <c r="AM54" s="2382"/>
      <c r="AN54" s="2382"/>
      <c r="AO54" s="238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62"/>
      <c r="C55" s="2363"/>
      <c r="D55" s="2363"/>
      <c r="E55" s="2363"/>
      <c r="F55" s="2363"/>
      <c r="G55" s="2363"/>
      <c r="H55" s="2363"/>
      <c r="I55" s="2363"/>
      <c r="J55" s="2379"/>
      <c r="K55" s="2379"/>
      <c r="L55" s="2379"/>
      <c r="M55" s="2379"/>
      <c r="N55" s="2379"/>
      <c r="O55" s="2379"/>
      <c r="P55" s="2379"/>
      <c r="Q55" s="2379"/>
      <c r="R55" s="2380"/>
      <c r="S55" s="2380"/>
      <c r="T55" s="2380"/>
      <c r="U55" s="2380"/>
      <c r="V55" s="2380"/>
      <c r="W55" s="2380"/>
      <c r="X55" s="2380"/>
      <c r="Y55" s="2380"/>
      <c r="Z55" s="2381"/>
      <c r="AA55" s="2381"/>
      <c r="AB55" s="2381"/>
      <c r="AC55" s="2381"/>
      <c r="AD55" s="2381"/>
      <c r="AE55" s="2381"/>
      <c r="AF55" s="2381"/>
      <c r="AG55" s="2381"/>
      <c r="AH55" s="2382"/>
      <c r="AI55" s="2382"/>
      <c r="AJ55" s="2382"/>
      <c r="AK55" s="2382"/>
      <c r="AL55" s="2382"/>
      <c r="AM55" s="2382"/>
      <c r="AN55" s="2382"/>
      <c r="AO55" s="238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62"/>
      <c r="C56" s="2363"/>
      <c r="D56" s="2363"/>
      <c r="E56" s="2363"/>
      <c r="F56" s="2363"/>
      <c r="G56" s="2363"/>
      <c r="H56" s="2363"/>
      <c r="I56" s="2363"/>
      <c r="J56" s="2379"/>
      <c r="K56" s="2379"/>
      <c r="L56" s="2379"/>
      <c r="M56" s="2379"/>
      <c r="N56" s="2379"/>
      <c r="O56" s="2379"/>
      <c r="P56" s="2379"/>
      <c r="Q56" s="2379"/>
      <c r="R56" s="2380"/>
      <c r="S56" s="2380"/>
      <c r="T56" s="2380"/>
      <c r="U56" s="2380"/>
      <c r="V56" s="2380"/>
      <c r="W56" s="2380"/>
      <c r="X56" s="2380"/>
      <c r="Y56" s="2380"/>
      <c r="Z56" s="2381"/>
      <c r="AA56" s="2381"/>
      <c r="AB56" s="2381"/>
      <c r="AC56" s="2381"/>
      <c r="AD56" s="2381"/>
      <c r="AE56" s="2381"/>
      <c r="AF56" s="2381"/>
      <c r="AG56" s="2381"/>
      <c r="AH56" s="2382"/>
      <c r="AI56" s="2382"/>
      <c r="AJ56" s="2382"/>
      <c r="AK56" s="2382"/>
      <c r="AL56" s="2382"/>
      <c r="AM56" s="2382"/>
      <c r="AN56" s="2382"/>
      <c r="AO56" s="238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35" t="s">
        <v>1696</v>
      </c>
      <c r="C57" s="2236"/>
      <c r="D57" s="2236"/>
      <c r="E57" s="2236"/>
      <c r="F57" s="2236"/>
      <c r="G57" s="2236"/>
      <c r="H57" s="2236"/>
      <c r="I57" s="2236"/>
      <c r="J57" s="2236"/>
      <c r="K57" s="2236"/>
      <c r="L57" s="2236"/>
      <c r="M57" s="2236"/>
      <c r="N57" s="2236"/>
      <c r="O57" s="2236"/>
      <c r="P57" s="2236"/>
      <c r="Q57" s="2236"/>
      <c r="R57" s="2393">
        <f>SUM(R52:Y56)</f>
        <v>0</v>
      </c>
      <c r="S57" s="2393"/>
      <c r="T57" s="2393"/>
      <c r="U57" s="2393"/>
      <c r="V57" s="2393"/>
      <c r="W57" s="2393"/>
      <c r="X57" s="2393"/>
      <c r="Y57" s="2393"/>
      <c r="Z57" s="2394">
        <f>SUM(Z52:AG56)</f>
        <v>0</v>
      </c>
      <c r="AA57" s="2394"/>
      <c r="AB57" s="2394"/>
      <c r="AC57" s="2394"/>
      <c r="AD57" s="2394"/>
      <c r="AE57" s="2394"/>
      <c r="AF57" s="2394"/>
      <c r="AG57" s="2394"/>
      <c r="AH57" s="2395"/>
      <c r="AI57" s="2395"/>
      <c r="AJ57" s="2395"/>
      <c r="AK57" s="2395"/>
      <c r="AL57" s="2395"/>
      <c r="AM57" s="2395"/>
      <c r="AN57" s="2395"/>
      <c r="AO57" s="239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7" t="s">
        <v>1815</v>
      </c>
      <c r="C59" s="2398"/>
      <c r="D59" s="2398"/>
      <c r="E59" s="2398"/>
      <c r="F59" s="2398"/>
      <c r="G59" s="2398"/>
      <c r="H59" s="2398"/>
      <c r="I59" s="2399"/>
      <c r="J59" s="2283" t="s">
        <v>2477</v>
      </c>
      <c r="K59" s="2283"/>
      <c r="L59" s="2283"/>
      <c r="M59" s="2283"/>
      <c r="N59" s="2283"/>
      <c r="O59" s="2283"/>
      <c r="P59" s="2283"/>
      <c r="Q59" s="2283"/>
      <c r="R59" s="2283"/>
      <c r="S59" s="2283"/>
      <c r="T59" s="2283"/>
      <c r="U59" s="2283"/>
      <c r="V59" s="2283"/>
      <c r="W59" s="2283"/>
      <c r="X59" s="2283"/>
      <c r="Y59" s="2283"/>
      <c r="Z59" s="2283"/>
      <c r="AA59" s="2283"/>
      <c r="AB59" s="2283"/>
      <c r="AC59" s="2283"/>
      <c r="AD59" s="2283"/>
      <c r="AE59" s="2283"/>
      <c r="AF59" s="2283"/>
      <c r="AG59" s="2283"/>
      <c r="AH59" s="2283"/>
      <c r="AI59" s="2283"/>
      <c r="AJ59" s="2283"/>
      <c r="AK59" s="2283"/>
      <c r="AL59" s="2283"/>
      <c r="AM59" s="2283"/>
      <c r="AN59" s="2283"/>
      <c r="AO59" s="2283"/>
      <c r="AP59" s="2283"/>
      <c r="AQ59" s="2283"/>
      <c r="AR59" s="2283"/>
      <c r="AS59" s="2283"/>
      <c r="AT59" s="2283"/>
      <c r="AU59" s="2283"/>
      <c r="AV59" s="2283"/>
      <c r="AW59" s="2284"/>
      <c r="AX59" s="1206"/>
      <c r="AY59" s="1206"/>
      <c r="AZ59" s="1206"/>
      <c r="BA59" s="1206"/>
      <c r="BB59" s="1206"/>
      <c r="BC59" s="1206"/>
      <c r="BD59" s="1206"/>
      <c r="BE59" s="1202"/>
    </row>
    <row r="60" spans="1:58" ht="15.75" customHeight="1">
      <c r="A60" s="1206"/>
      <c r="B60" s="2384" t="str">
        <f>IF(B52="", "", B52)</f>
        <v>Services Company 1</v>
      </c>
      <c r="C60" s="2385"/>
      <c r="D60" s="2385"/>
      <c r="E60" s="2385"/>
      <c r="F60" s="2385"/>
      <c r="G60" s="2385"/>
      <c r="H60" s="2385"/>
      <c r="I60" s="2386"/>
      <c r="J60" s="2387"/>
      <c r="K60" s="2388"/>
      <c r="L60" s="2388"/>
      <c r="M60" s="2388"/>
      <c r="N60" s="2388"/>
      <c r="O60" s="2388"/>
      <c r="P60" s="2388"/>
      <c r="Q60" s="2388"/>
      <c r="R60" s="2388"/>
      <c r="S60" s="2388"/>
      <c r="T60" s="2388"/>
      <c r="U60" s="2388"/>
      <c r="V60" s="2388"/>
      <c r="W60" s="2388"/>
      <c r="X60" s="2388"/>
      <c r="Y60" s="2388"/>
      <c r="Z60" s="2388"/>
      <c r="AA60" s="2388"/>
      <c r="AB60" s="2388"/>
      <c r="AC60" s="2388"/>
      <c r="AD60" s="2388"/>
      <c r="AE60" s="2388"/>
      <c r="AF60" s="2388"/>
      <c r="AG60" s="2388"/>
      <c r="AH60" s="2388"/>
      <c r="AI60" s="2388"/>
      <c r="AJ60" s="2388"/>
      <c r="AK60" s="2388"/>
      <c r="AL60" s="2388"/>
      <c r="AM60" s="2388"/>
      <c r="AN60" s="2388"/>
      <c r="AO60" s="2388"/>
      <c r="AP60" s="2388"/>
      <c r="AQ60" s="2388"/>
      <c r="AR60" s="2388"/>
      <c r="AS60" s="2388"/>
      <c r="AT60" s="2388"/>
      <c r="AU60" s="2388"/>
      <c r="AV60" s="2388"/>
      <c r="AW60" s="2389"/>
      <c r="AX60" s="1206"/>
      <c r="AY60" s="1206"/>
      <c r="AZ60" s="1206"/>
      <c r="BA60" s="1206"/>
      <c r="BB60" s="1206"/>
      <c r="BC60" s="1206"/>
      <c r="BD60" s="1206"/>
      <c r="BE60" s="1202"/>
    </row>
    <row r="61" spans="1:58" ht="15.75" customHeight="1">
      <c r="A61" s="1206"/>
      <c r="B61" s="2384" t="str">
        <f>IF(B53="", "", B53)</f>
        <v>Services Company 2</v>
      </c>
      <c r="C61" s="2385"/>
      <c r="D61" s="2385"/>
      <c r="E61" s="2385"/>
      <c r="F61" s="2385"/>
      <c r="G61" s="2385"/>
      <c r="H61" s="2385"/>
      <c r="I61" s="2386"/>
      <c r="J61" s="2387"/>
      <c r="K61" s="2388"/>
      <c r="L61" s="2388"/>
      <c r="M61" s="2388"/>
      <c r="N61" s="2388"/>
      <c r="O61" s="2388"/>
      <c r="P61" s="2388"/>
      <c r="Q61" s="2388"/>
      <c r="R61" s="2388"/>
      <c r="S61" s="2388"/>
      <c r="T61" s="2388"/>
      <c r="U61" s="2388"/>
      <c r="V61" s="2388"/>
      <c r="W61" s="2388"/>
      <c r="X61" s="2388"/>
      <c r="Y61" s="2388"/>
      <c r="Z61" s="2388"/>
      <c r="AA61" s="2388"/>
      <c r="AB61" s="2388"/>
      <c r="AC61" s="2388"/>
      <c r="AD61" s="2388"/>
      <c r="AE61" s="2388"/>
      <c r="AF61" s="2388"/>
      <c r="AG61" s="2388"/>
      <c r="AH61" s="2388"/>
      <c r="AI61" s="2388"/>
      <c r="AJ61" s="2388"/>
      <c r="AK61" s="2388"/>
      <c r="AL61" s="2388"/>
      <c r="AM61" s="2388"/>
      <c r="AN61" s="2388"/>
      <c r="AO61" s="2388"/>
      <c r="AP61" s="2388"/>
      <c r="AQ61" s="2388"/>
      <c r="AR61" s="2388"/>
      <c r="AS61" s="2388"/>
      <c r="AT61" s="2388"/>
      <c r="AU61" s="2388"/>
      <c r="AV61" s="2388"/>
      <c r="AW61" s="2389"/>
      <c r="AX61" s="1206"/>
      <c r="AY61" s="1206"/>
      <c r="AZ61" s="1206"/>
      <c r="BA61" s="1206"/>
      <c r="BB61" s="1206"/>
      <c r="BC61" s="1206"/>
      <c r="BD61" s="1206"/>
      <c r="BE61" s="1202"/>
    </row>
    <row r="62" spans="1:58" ht="15.75" customHeight="1">
      <c r="A62" s="1206"/>
      <c r="B62" s="2384" t="str">
        <f>IF(B54="", "", B54)</f>
        <v/>
      </c>
      <c r="C62" s="2385"/>
      <c r="D62" s="2385"/>
      <c r="E62" s="2385"/>
      <c r="F62" s="2385"/>
      <c r="G62" s="2385"/>
      <c r="H62" s="2385"/>
      <c r="I62" s="2386"/>
      <c r="J62" s="2387"/>
      <c r="K62" s="2388"/>
      <c r="L62" s="2388"/>
      <c r="M62" s="2388"/>
      <c r="N62" s="2388"/>
      <c r="O62" s="2388"/>
      <c r="P62" s="2388"/>
      <c r="Q62" s="2388"/>
      <c r="R62" s="2388"/>
      <c r="S62" s="2388"/>
      <c r="T62" s="2388"/>
      <c r="U62" s="2388"/>
      <c r="V62" s="2388"/>
      <c r="W62" s="2388"/>
      <c r="X62" s="2388"/>
      <c r="Y62" s="2388"/>
      <c r="Z62" s="2388"/>
      <c r="AA62" s="2388"/>
      <c r="AB62" s="2388"/>
      <c r="AC62" s="2388"/>
      <c r="AD62" s="2388"/>
      <c r="AE62" s="2388"/>
      <c r="AF62" s="2388"/>
      <c r="AG62" s="2388"/>
      <c r="AH62" s="2388"/>
      <c r="AI62" s="2388"/>
      <c r="AJ62" s="2388"/>
      <c r="AK62" s="2388"/>
      <c r="AL62" s="2388"/>
      <c r="AM62" s="2388"/>
      <c r="AN62" s="2388"/>
      <c r="AO62" s="2388"/>
      <c r="AP62" s="2388"/>
      <c r="AQ62" s="2388"/>
      <c r="AR62" s="2388"/>
      <c r="AS62" s="2388"/>
      <c r="AT62" s="2388"/>
      <c r="AU62" s="2388"/>
      <c r="AV62" s="2388"/>
      <c r="AW62" s="2389"/>
      <c r="AX62" s="1206"/>
      <c r="AY62" s="1206"/>
      <c r="AZ62" s="1206"/>
      <c r="BA62" s="1206"/>
      <c r="BB62" s="1206"/>
      <c r="BC62" s="1206"/>
      <c r="BD62" s="1206"/>
      <c r="BE62" s="1202"/>
    </row>
    <row r="63" spans="1:58" ht="15.75" customHeight="1">
      <c r="A63" s="1206"/>
      <c r="B63" s="2384" t="str">
        <f>IF(B55="", "", B55)</f>
        <v/>
      </c>
      <c r="C63" s="2385"/>
      <c r="D63" s="2385"/>
      <c r="E63" s="2385"/>
      <c r="F63" s="2385"/>
      <c r="G63" s="2385"/>
      <c r="H63" s="2385"/>
      <c r="I63" s="2386"/>
      <c r="J63" s="2387"/>
      <c r="K63" s="2388"/>
      <c r="L63" s="2388"/>
      <c r="M63" s="2388"/>
      <c r="N63" s="2388"/>
      <c r="O63" s="2388"/>
      <c r="P63" s="2388"/>
      <c r="Q63" s="2388"/>
      <c r="R63" s="2388"/>
      <c r="S63" s="2388"/>
      <c r="T63" s="2388"/>
      <c r="U63" s="2388"/>
      <c r="V63" s="2388"/>
      <c r="W63" s="2388"/>
      <c r="X63" s="2388"/>
      <c r="Y63" s="2388"/>
      <c r="Z63" s="2388"/>
      <c r="AA63" s="2388"/>
      <c r="AB63" s="2388"/>
      <c r="AC63" s="2388"/>
      <c r="AD63" s="2388"/>
      <c r="AE63" s="2388"/>
      <c r="AF63" s="2388"/>
      <c r="AG63" s="2388"/>
      <c r="AH63" s="2388"/>
      <c r="AI63" s="2388"/>
      <c r="AJ63" s="2388"/>
      <c r="AK63" s="2388"/>
      <c r="AL63" s="2388"/>
      <c r="AM63" s="2388"/>
      <c r="AN63" s="2388"/>
      <c r="AO63" s="2388"/>
      <c r="AP63" s="2388"/>
      <c r="AQ63" s="2388"/>
      <c r="AR63" s="2388"/>
      <c r="AS63" s="2388"/>
      <c r="AT63" s="2388"/>
      <c r="AU63" s="2388"/>
      <c r="AV63" s="2388"/>
      <c r="AW63" s="2389"/>
      <c r="AX63" s="1206"/>
      <c r="AY63" s="1206"/>
      <c r="AZ63" s="1206"/>
      <c r="BA63" s="1206"/>
      <c r="BB63" s="1206"/>
      <c r="BC63" s="1206"/>
      <c r="BD63" s="1206"/>
      <c r="BE63" s="1202"/>
    </row>
    <row r="64" spans="1:58" ht="15.75" customHeight="1" thickBot="1">
      <c r="A64" s="1206"/>
      <c r="B64" s="2390" t="str">
        <f>IF(B56="", "", B56)</f>
        <v/>
      </c>
      <c r="C64" s="2391"/>
      <c r="D64" s="2391"/>
      <c r="E64" s="2391"/>
      <c r="F64" s="2391"/>
      <c r="G64" s="2391"/>
      <c r="H64" s="2391"/>
      <c r="I64" s="2392"/>
      <c r="J64" s="2400"/>
      <c r="K64" s="2401"/>
      <c r="L64" s="2401"/>
      <c r="M64" s="2401"/>
      <c r="N64" s="2401"/>
      <c r="O64" s="2401"/>
      <c r="P64" s="2401"/>
      <c r="Q64" s="2401"/>
      <c r="R64" s="2401"/>
      <c r="S64" s="2401"/>
      <c r="T64" s="2401"/>
      <c r="U64" s="2401"/>
      <c r="V64" s="2401"/>
      <c r="W64" s="2401"/>
      <c r="X64" s="2401"/>
      <c r="Y64" s="2401"/>
      <c r="Z64" s="2401"/>
      <c r="AA64" s="2401"/>
      <c r="AB64" s="2401"/>
      <c r="AC64" s="2401"/>
      <c r="AD64" s="2401"/>
      <c r="AE64" s="2401"/>
      <c r="AF64" s="2401"/>
      <c r="AG64" s="2401"/>
      <c r="AH64" s="2401"/>
      <c r="AI64" s="2401"/>
      <c r="AJ64" s="2401"/>
      <c r="AK64" s="2401"/>
      <c r="AL64" s="2401"/>
      <c r="AM64" s="2401"/>
      <c r="AN64" s="2401"/>
      <c r="AO64" s="2401"/>
      <c r="AP64" s="2401"/>
      <c r="AQ64" s="2401"/>
      <c r="AR64" s="2401"/>
      <c r="AS64" s="2401"/>
      <c r="AT64" s="2401"/>
      <c r="AU64" s="2401"/>
      <c r="AV64" s="2401"/>
      <c r="AW64" s="240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82" t="s">
        <v>1819</v>
      </c>
      <c r="C68" s="2283"/>
      <c r="D68" s="2283"/>
      <c r="E68" s="2283"/>
      <c r="F68" s="2283"/>
      <c r="G68" s="2283"/>
      <c r="H68" s="2283"/>
      <c r="I68" s="2283"/>
      <c r="J68" s="2283"/>
      <c r="K68" s="2283"/>
      <c r="L68" s="2283"/>
      <c r="M68" s="2283"/>
      <c r="N68" s="2283"/>
      <c r="O68" s="2283"/>
      <c r="P68" s="2283"/>
      <c r="Q68" s="2283"/>
      <c r="R68" s="2283"/>
      <c r="S68" s="2283"/>
      <c r="T68" s="2283"/>
      <c r="U68" s="2283"/>
      <c r="V68" s="2283"/>
      <c r="W68" s="2283"/>
      <c r="X68" s="2283"/>
      <c r="Y68" s="2283"/>
      <c r="Z68" s="2283"/>
      <c r="AA68" s="2284"/>
      <c r="AB68" s="1206"/>
      <c r="AC68" s="2475" t="s">
        <v>1820</v>
      </c>
      <c r="AD68" s="2476"/>
      <c r="AE68" s="2476"/>
      <c r="AF68" s="2476"/>
      <c r="AG68" s="2476"/>
      <c r="AH68" s="2476"/>
      <c r="AI68" s="2476"/>
      <c r="AJ68" s="2476"/>
      <c r="AK68" s="2476"/>
      <c r="AL68" s="2476"/>
      <c r="AM68" s="2476"/>
      <c r="AN68" s="2476"/>
      <c r="AO68" s="2476"/>
      <c r="AP68" s="2476"/>
      <c r="AQ68" s="2476"/>
      <c r="AR68" s="2476"/>
      <c r="AS68" s="2476"/>
      <c r="AT68" s="2476"/>
      <c r="AU68" s="2476"/>
      <c r="AV68" s="2602" t="s">
        <v>677</v>
      </c>
      <c r="AW68" s="2435"/>
      <c r="AX68" s="2435"/>
      <c r="AY68" s="2435"/>
      <c r="AZ68" s="2435"/>
      <c r="BA68" s="2435"/>
      <c r="BB68" s="2435"/>
      <c r="BC68" s="2436"/>
      <c r="BD68" s="1206"/>
      <c r="BE68" s="1202"/>
      <c r="BM68" s="1251" t="s">
        <v>2478</v>
      </c>
    </row>
    <row r="69" spans="1:65" ht="15.75" customHeight="1" thickTop="1" thickBot="1">
      <c r="A69" s="1206"/>
      <c r="B69" s="2603" t="s">
        <v>1821</v>
      </c>
      <c r="C69" s="2604"/>
      <c r="D69" s="2604"/>
      <c r="E69" s="2604"/>
      <c r="F69" s="2604"/>
      <c r="G69" s="2604"/>
      <c r="H69" s="2604"/>
      <c r="I69" s="2604"/>
      <c r="J69" s="2604"/>
      <c r="K69" s="2604"/>
      <c r="L69" s="2604"/>
      <c r="M69" s="2604"/>
      <c r="N69" s="2604"/>
      <c r="O69" s="2605" t="s">
        <v>1822</v>
      </c>
      <c r="P69" s="2606"/>
      <c r="Q69" s="2606"/>
      <c r="R69" s="2606"/>
      <c r="S69" s="2606"/>
      <c r="T69" s="2606"/>
      <c r="U69" s="2606"/>
      <c r="V69" s="2606"/>
      <c r="W69" s="2606"/>
      <c r="X69" s="2606"/>
      <c r="Y69" s="2606"/>
      <c r="Z69" s="2606"/>
      <c r="AA69" s="2607"/>
      <c r="AB69" s="1206"/>
      <c r="AC69" s="2608" t="s">
        <v>1823</v>
      </c>
      <c r="AD69" s="2609"/>
      <c r="AE69" s="2609"/>
      <c r="AF69" s="2609"/>
      <c r="AG69" s="2609"/>
      <c r="AH69" s="2609"/>
      <c r="AI69" s="2609"/>
      <c r="AJ69" s="2609"/>
      <c r="AK69" s="2609"/>
      <c r="AL69" s="2609"/>
      <c r="AM69" s="2609"/>
      <c r="AN69" s="2609"/>
      <c r="AO69" s="2609"/>
      <c r="AP69" s="2609"/>
      <c r="AQ69" s="2609"/>
      <c r="AR69" s="2609"/>
      <c r="AS69" s="2609"/>
      <c r="AT69" s="2609"/>
      <c r="AU69" s="2609"/>
      <c r="AV69" s="2610"/>
      <c r="AW69" s="2611"/>
      <c r="AX69" s="2611"/>
      <c r="AY69" s="2611"/>
      <c r="AZ69" s="2611"/>
      <c r="BA69" s="2611"/>
      <c r="BB69" s="2611"/>
      <c r="BC69" s="2612"/>
      <c r="BD69" s="1206"/>
      <c r="BE69" s="1202"/>
      <c r="BM69" s="1250" t="s">
        <v>553</v>
      </c>
    </row>
    <row r="70" spans="1:65" ht="15.75" customHeight="1">
      <c r="A70" s="1206"/>
      <c r="B70" s="2330" t="s">
        <v>2479</v>
      </c>
      <c r="C70" s="2331"/>
      <c r="D70" s="2331"/>
      <c r="E70" s="2331"/>
      <c r="F70" s="2331"/>
      <c r="G70" s="2331"/>
      <c r="H70" s="2331"/>
      <c r="I70" s="2331"/>
      <c r="J70" s="2331"/>
      <c r="K70" s="2331"/>
      <c r="L70" s="2331"/>
      <c r="M70" s="2331"/>
      <c r="N70" s="2331"/>
      <c r="O70" s="2410">
        <v>0</v>
      </c>
      <c r="P70" s="2410"/>
      <c r="Q70" s="2410"/>
      <c r="R70" s="2410"/>
      <c r="S70" s="2410"/>
      <c r="T70" s="2410"/>
      <c r="U70" s="2410"/>
      <c r="V70" s="2410"/>
      <c r="W70" s="2410"/>
      <c r="X70" s="2410"/>
      <c r="Y70" s="2410"/>
      <c r="Z70" s="2410"/>
      <c r="AA70" s="2411"/>
      <c r="AB70" s="1206"/>
      <c r="AC70" s="2370" t="s">
        <v>1824</v>
      </c>
      <c r="AD70" s="2371"/>
      <c r="AE70" s="2371"/>
      <c r="AF70" s="2414"/>
      <c r="AG70" s="2414"/>
      <c r="AH70" s="2414"/>
      <c r="AI70" s="2414"/>
      <c r="AJ70" s="2414"/>
      <c r="AK70" s="2414"/>
      <c r="AL70" s="2414"/>
      <c r="AM70" s="2414"/>
      <c r="AN70" s="2414"/>
      <c r="AO70" s="2414"/>
      <c r="AP70" s="2414"/>
      <c r="AQ70" s="2414"/>
      <c r="AR70" s="2414"/>
      <c r="AS70" s="2414"/>
      <c r="AT70" s="2414"/>
      <c r="AU70" s="2415"/>
      <c r="AV70" s="1206"/>
      <c r="AW70" s="1206"/>
      <c r="AX70" s="1206"/>
      <c r="AY70" s="1206"/>
      <c r="AZ70" s="1206"/>
      <c r="BA70" s="1206"/>
      <c r="BB70" s="1206"/>
      <c r="BC70" s="1206"/>
      <c r="BD70" s="1206"/>
      <c r="BE70" s="1202"/>
      <c r="BM70" s="1249" t="s">
        <v>677</v>
      </c>
    </row>
    <row r="71" spans="1:65" ht="15.75" customHeight="1" thickBot="1">
      <c r="A71" s="1206"/>
      <c r="B71" s="2330" t="s">
        <v>2480</v>
      </c>
      <c r="C71" s="2331"/>
      <c r="D71" s="2331"/>
      <c r="E71" s="2331"/>
      <c r="F71" s="2331"/>
      <c r="G71" s="2331"/>
      <c r="H71" s="2331"/>
      <c r="I71" s="2331"/>
      <c r="J71" s="2331"/>
      <c r="K71" s="2331"/>
      <c r="L71" s="2331"/>
      <c r="M71" s="2331"/>
      <c r="N71" s="2331"/>
      <c r="O71" s="2410">
        <v>0</v>
      </c>
      <c r="P71" s="2410"/>
      <c r="Q71" s="2410"/>
      <c r="R71" s="2410"/>
      <c r="S71" s="2410"/>
      <c r="T71" s="2410"/>
      <c r="U71" s="2410"/>
      <c r="V71" s="2410"/>
      <c r="W71" s="2410"/>
      <c r="X71" s="2410"/>
      <c r="Y71" s="2410"/>
      <c r="Z71" s="2410"/>
      <c r="AA71" s="2411"/>
      <c r="AB71" s="1206"/>
      <c r="AC71" s="2416" t="s">
        <v>1825</v>
      </c>
      <c r="AD71" s="2417"/>
      <c r="AE71" s="2417"/>
      <c r="AF71" s="2401"/>
      <c r="AG71" s="2401"/>
      <c r="AH71" s="2401"/>
      <c r="AI71" s="2401"/>
      <c r="AJ71" s="2401"/>
      <c r="AK71" s="2401"/>
      <c r="AL71" s="2401"/>
      <c r="AM71" s="2401"/>
      <c r="AN71" s="2401"/>
      <c r="AO71" s="2401"/>
      <c r="AP71" s="2401"/>
      <c r="AQ71" s="2401"/>
      <c r="AR71" s="2401"/>
      <c r="AS71" s="2401"/>
      <c r="AT71" s="2401"/>
      <c r="AU71" s="2402"/>
      <c r="AV71" s="1206"/>
      <c r="AW71" s="1206"/>
      <c r="AX71" s="1206"/>
      <c r="AY71" s="1206"/>
      <c r="AZ71" s="1206"/>
      <c r="BA71" s="1206"/>
      <c r="BB71" s="1206"/>
      <c r="BC71" s="1206"/>
      <c r="BD71" s="1206"/>
      <c r="BE71" s="1202"/>
      <c r="BM71" s="1197" t="s">
        <v>2481</v>
      </c>
    </row>
    <row r="72" spans="1:65" ht="15.75" customHeight="1">
      <c r="A72" s="1206"/>
      <c r="B72" s="2330" t="s">
        <v>2482</v>
      </c>
      <c r="C72" s="2331"/>
      <c r="D72" s="2331"/>
      <c r="E72" s="2331"/>
      <c r="F72" s="2331"/>
      <c r="G72" s="2331"/>
      <c r="H72" s="2331"/>
      <c r="I72" s="2331"/>
      <c r="J72" s="2331"/>
      <c r="K72" s="2331"/>
      <c r="L72" s="2331"/>
      <c r="M72" s="2331"/>
      <c r="N72" s="2331"/>
      <c r="O72" s="2410">
        <v>0</v>
      </c>
      <c r="P72" s="2410"/>
      <c r="Q72" s="2410"/>
      <c r="R72" s="2410"/>
      <c r="S72" s="2410"/>
      <c r="T72" s="2410"/>
      <c r="U72" s="2410"/>
      <c r="V72" s="2410"/>
      <c r="W72" s="2410"/>
      <c r="X72" s="2410"/>
      <c r="Y72" s="2410"/>
      <c r="Z72" s="2410"/>
      <c r="AA72" s="2411"/>
      <c r="AB72" s="1206"/>
      <c r="AC72" s="2617" t="s">
        <v>2483</v>
      </c>
      <c r="AD72" s="2618"/>
      <c r="AE72" s="2618"/>
      <c r="AF72" s="2618"/>
      <c r="AG72" s="2618"/>
      <c r="AH72" s="2618"/>
      <c r="AI72" s="2618"/>
      <c r="AJ72" s="2618"/>
      <c r="AK72" s="2618"/>
      <c r="AL72" s="2618"/>
      <c r="AM72" s="2618"/>
      <c r="AN72" s="2618"/>
      <c r="AO72" s="2618"/>
      <c r="AP72" s="2618"/>
      <c r="AQ72" s="2618"/>
      <c r="AR72" s="2618"/>
      <c r="AS72" s="2618"/>
      <c r="AT72" s="2618"/>
      <c r="AU72" s="2618"/>
      <c r="AV72" s="2371"/>
      <c r="AW72" s="2371"/>
      <c r="AX72" s="2371"/>
      <c r="AY72" s="2371"/>
      <c r="AZ72" s="2371"/>
      <c r="BA72" s="2371"/>
      <c r="BB72" s="2371"/>
      <c r="BC72" s="2372"/>
      <c r="BD72" s="1206"/>
      <c r="BE72" s="1202"/>
    </row>
    <row r="73" spans="1:65" ht="15.75" customHeight="1">
      <c r="A73" s="1206"/>
      <c r="B73" s="2362" t="s">
        <v>2484</v>
      </c>
      <c r="C73" s="2363"/>
      <c r="D73" s="2363"/>
      <c r="E73" s="2363"/>
      <c r="F73" s="2363"/>
      <c r="G73" s="2363"/>
      <c r="H73" s="2363"/>
      <c r="I73" s="2363"/>
      <c r="J73" s="2363"/>
      <c r="K73" s="2363"/>
      <c r="L73" s="2363"/>
      <c r="M73" s="2363"/>
      <c r="N73" s="2363"/>
      <c r="O73" s="2410">
        <v>0</v>
      </c>
      <c r="P73" s="2410"/>
      <c r="Q73" s="2410"/>
      <c r="R73" s="2410"/>
      <c r="S73" s="2410"/>
      <c r="T73" s="2410"/>
      <c r="U73" s="2410"/>
      <c r="V73" s="2410"/>
      <c r="W73" s="2410"/>
      <c r="X73" s="2410"/>
      <c r="Y73" s="2410"/>
      <c r="Z73" s="2410"/>
      <c r="AA73" s="2411"/>
      <c r="AB73" s="1206"/>
      <c r="AC73" s="2403" t="s">
        <v>2185</v>
      </c>
      <c r="AD73" s="2404"/>
      <c r="AE73" s="2404"/>
      <c r="AF73" s="2404"/>
      <c r="AG73" s="2404"/>
      <c r="AH73" s="2404"/>
      <c r="AI73" s="2404"/>
      <c r="AJ73" s="2404"/>
      <c r="AK73" s="2404"/>
      <c r="AL73" s="2404"/>
      <c r="AM73" s="2404"/>
      <c r="AN73" s="2404"/>
      <c r="AO73" s="2404"/>
      <c r="AP73" s="2404"/>
      <c r="AQ73" s="2404"/>
      <c r="AR73" s="2404"/>
      <c r="AS73" s="2404"/>
      <c r="AT73" s="2404"/>
      <c r="AU73" s="2404"/>
      <c r="AV73" s="2404"/>
      <c r="AW73" s="2404"/>
      <c r="AX73" s="2404"/>
      <c r="AY73" s="2404"/>
      <c r="AZ73" s="2404"/>
      <c r="BA73" s="2404"/>
      <c r="BB73" s="2404"/>
      <c r="BC73" s="2405"/>
      <c r="BD73" s="1206"/>
      <c r="BE73" s="1202"/>
    </row>
    <row r="74" spans="1:65" ht="15.75" customHeight="1">
      <c r="A74" s="1206"/>
      <c r="B74" s="2409"/>
      <c r="C74" s="2379"/>
      <c r="D74" s="2379"/>
      <c r="E74" s="2379"/>
      <c r="F74" s="2379"/>
      <c r="G74" s="2379"/>
      <c r="H74" s="2379"/>
      <c r="I74" s="2379"/>
      <c r="J74" s="2379"/>
      <c r="K74" s="2379"/>
      <c r="L74" s="2379"/>
      <c r="M74" s="2379"/>
      <c r="N74" s="2379"/>
      <c r="O74" s="2410"/>
      <c r="P74" s="2410"/>
      <c r="Q74" s="2410"/>
      <c r="R74" s="2410"/>
      <c r="S74" s="2410"/>
      <c r="T74" s="2410"/>
      <c r="U74" s="2410"/>
      <c r="V74" s="2410"/>
      <c r="W74" s="2410"/>
      <c r="X74" s="2410"/>
      <c r="Y74" s="2410"/>
      <c r="Z74" s="2410"/>
      <c r="AA74" s="2411"/>
      <c r="AB74" s="1206"/>
      <c r="AC74" s="2403"/>
      <c r="AD74" s="2404"/>
      <c r="AE74" s="2404"/>
      <c r="AF74" s="2404"/>
      <c r="AG74" s="2404"/>
      <c r="AH74" s="2404"/>
      <c r="AI74" s="2404"/>
      <c r="AJ74" s="2404"/>
      <c r="AK74" s="2404"/>
      <c r="AL74" s="2404"/>
      <c r="AM74" s="2404"/>
      <c r="AN74" s="2404"/>
      <c r="AO74" s="2404"/>
      <c r="AP74" s="2404"/>
      <c r="AQ74" s="2404"/>
      <c r="AR74" s="2404"/>
      <c r="AS74" s="2404"/>
      <c r="AT74" s="2404"/>
      <c r="AU74" s="2404"/>
      <c r="AV74" s="2404"/>
      <c r="AW74" s="2404"/>
      <c r="AX74" s="2404"/>
      <c r="AY74" s="2404"/>
      <c r="AZ74" s="2404"/>
      <c r="BA74" s="2404"/>
      <c r="BB74" s="2404"/>
      <c r="BC74" s="2405"/>
      <c r="BD74" s="1206"/>
      <c r="BE74" s="1202"/>
    </row>
    <row r="75" spans="1:65" ht="15.75" customHeight="1" thickBot="1">
      <c r="A75" s="1206"/>
      <c r="B75" s="2412" t="s">
        <v>124</v>
      </c>
      <c r="C75" s="2413"/>
      <c r="D75" s="2413"/>
      <c r="E75" s="2413"/>
      <c r="F75" s="2413"/>
      <c r="G75" s="2413"/>
      <c r="H75" s="2413"/>
      <c r="I75" s="2413"/>
      <c r="J75" s="2413"/>
      <c r="K75" s="2413"/>
      <c r="L75" s="2413"/>
      <c r="M75" s="2413"/>
      <c r="N75" s="2413"/>
      <c r="O75" s="2593">
        <f>SUM(O70:AA74)</f>
        <v>0</v>
      </c>
      <c r="P75" s="2593"/>
      <c r="Q75" s="2593"/>
      <c r="R75" s="2593"/>
      <c r="S75" s="2593"/>
      <c r="T75" s="2593"/>
      <c r="U75" s="2593"/>
      <c r="V75" s="2593"/>
      <c r="W75" s="2593"/>
      <c r="X75" s="2593"/>
      <c r="Y75" s="2593"/>
      <c r="Z75" s="2593"/>
      <c r="AA75" s="2594"/>
      <c r="AB75" s="1206"/>
      <c r="AC75" s="2403"/>
      <c r="AD75" s="2404"/>
      <c r="AE75" s="2404"/>
      <c r="AF75" s="2404"/>
      <c r="AG75" s="2404"/>
      <c r="AH75" s="2404"/>
      <c r="AI75" s="2404"/>
      <c r="AJ75" s="2404"/>
      <c r="AK75" s="2404"/>
      <c r="AL75" s="2404"/>
      <c r="AM75" s="2404"/>
      <c r="AN75" s="2404"/>
      <c r="AO75" s="2404"/>
      <c r="AP75" s="2404"/>
      <c r="AQ75" s="2404"/>
      <c r="AR75" s="2404"/>
      <c r="AS75" s="2404"/>
      <c r="AT75" s="2404"/>
      <c r="AU75" s="2404"/>
      <c r="AV75" s="2404"/>
      <c r="AW75" s="2404"/>
      <c r="AX75" s="2404"/>
      <c r="AY75" s="2404"/>
      <c r="AZ75" s="2404"/>
      <c r="BA75" s="2404"/>
      <c r="BB75" s="2404"/>
      <c r="BC75" s="240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3"/>
      <c r="AD76" s="2404"/>
      <c r="AE76" s="2404"/>
      <c r="AF76" s="2404"/>
      <c r="AG76" s="2404"/>
      <c r="AH76" s="2404"/>
      <c r="AI76" s="2404"/>
      <c r="AJ76" s="2404"/>
      <c r="AK76" s="2404"/>
      <c r="AL76" s="2404"/>
      <c r="AM76" s="2404"/>
      <c r="AN76" s="2404"/>
      <c r="AO76" s="2404"/>
      <c r="AP76" s="2404"/>
      <c r="AQ76" s="2404"/>
      <c r="AR76" s="2404"/>
      <c r="AS76" s="2404"/>
      <c r="AT76" s="2404"/>
      <c r="AU76" s="2404"/>
      <c r="AV76" s="2404"/>
      <c r="AW76" s="2404"/>
      <c r="AX76" s="2404"/>
      <c r="AY76" s="2404"/>
      <c r="AZ76" s="2404"/>
      <c r="BA76" s="2404"/>
      <c r="BB76" s="2404"/>
      <c r="BC76" s="240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6"/>
      <c r="AD77" s="2407"/>
      <c r="AE77" s="2407"/>
      <c r="AF77" s="2407"/>
      <c r="AG77" s="2407"/>
      <c r="AH77" s="2407"/>
      <c r="AI77" s="2407"/>
      <c r="AJ77" s="2407"/>
      <c r="AK77" s="2407"/>
      <c r="AL77" s="2407"/>
      <c r="AM77" s="2407"/>
      <c r="AN77" s="2407"/>
      <c r="AO77" s="2407"/>
      <c r="AP77" s="2407"/>
      <c r="AQ77" s="2407"/>
      <c r="AR77" s="2407"/>
      <c r="AS77" s="2407"/>
      <c r="AT77" s="2407"/>
      <c r="AU77" s="2407"/>
      <c r="AV77" s="2407"/>
      <c r="AW77" s="2407"/>
      <c r="AX77" s="2407"/>
      <c r="AY77" s="2407"/>
      <c r="AZ77" s="2407"/>
      <c r="BA77" s="2407"/>
      <c r="BB77" s="2407"/>
      <c r="BC77" s="2408"/>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95"/>
      <c r="G79" s="2596"/>
      <c r="H79" s="2596"/>
      <c r="I79" s="2596"/>
      <c r="J79" s="2596"/>
      <c r="K79" s="2596"/>
      <c r="L79" s="2596"/>
      <c r="M79" s="2597"/>
      <c r="N79" s="2597"/>
      <c r="O79" s="2597"/>
      <c r="P79" s="2597"/>
      <c r="Q79" s="25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99" t="e">
        <f>BR96/SUM($BR$96:$BR$98)</f>
        <v>#DIV/0!</v>
      </c>
      <c r="P80" s="2600"/>
      <c r="Q80" s="26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13" t="s">
        <v>2549</v>
      </c>
      <c r="P81" s="2614"/>
      <c r="Q81" s="261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20" t="s">
        <v>2168</v>
      </c>
      <c r="C83" s="2221"/>
      <c r="D83" s="2221"/>
      <c r="E83" s="2221"/>
      <c r="F83" s="2221"/>
      <c r="G83" s="2221"/>
      <c r="H83" s="2221"/>
      <c r="I83" s="2221"/>
      <c r="J83" s="2221"/>
      <c r="K83" s="2221"/>
      <c r="L83" s="2221"/>
      <c r="M83" s="2221"/>
      <c r="N83" s="2221"/>
      <c r="O83" s="2221"/>
      <c r="P83" s="2221"/>
      <c r="Q83" s="2221"/>
      <c r="R83" s="2221"/>
      <c r="S83" s="2221"/>
      <c r="T83" s="2221"/>
      <c r="U83" s="2221"/>
      <c r="V83" s="2221"/>
      <c r="W83" s="2221"/>
      <c r="X83" s="2221"/>
      <c r="Y83" s="2221"/>
      <c r="Z83" s="2221"/>
      <c r="AA83" s="2221"/>
      <c r="AB83" s="2221"/>
      <c r="AC83" s="2221"/>
      <c r="AD83" s="2221"/>
      <c r="AE83" s="2221"/>
      <c r="AF83" s="2221"/>
      <c r="AG83" s="2221"/>
      <c r="AH83" s="2222"/>
      <c r="AI83" s="1206"/>
      <c r="AJ83" s="2256" t="s">
        <v>2616</v>
      </c>
      <c r="AK83" s="2257"/>
      <c r="AL83" s="2257"/>
      <c r="AM83" s="2257"/>
      <c r="AN83" s="2257"/>
      <c r="AO83" s="2257"/>
      <c r="AP83" s="2257"/>
      <c r="AQ83" s="2257"/>
      <c r="AR83" s="2257"/>
      <c r="AS83" s="2257"/>
      <c r="AT83" s="2257"/>
      <c r="AU83" s="2257"/>
      <c r="AV83" s="2257"/>
      <c r="AW83" s="2257"/>
      <c r="AX83" s="2257"/>
      <c r="AY83" s="2260" t="s">
        <v>553</v>
      </c>
      <c r="AZ83" s="2260"/>
      <c r="BA83" s="2260"/>
      <c r="BB83" s="2261"/>
      <c r="BC83" s="1206"/>
      <c r="BD83" s="1206"/>
      <c r="BE83" s="1202"/>
    </row>
    <row r="84" spans="1:70" ht="15.75" customHeight="1">
      <c r="A84" s="1206"/>
      <c r="B84" s="2215"/>
      <c r="C84" s="2216"/>
      <c r="D84" s="2216"/>
      <c r="E84" s="2216"/>
      <c r="F84" s="2216"/>
      <c r="G84" s="2216"/>
      <c r="H84" s="2216"/>
      <c r="I84" s="2216" t="s">
        <v>1826</v>
      </c>
      <c r="J84" s="2216"/>
      <c r="K84" s="2216"/>
      <c r="L84" s="2216"/>
      <c r="M84" s="2216"/>
      <c r="N84" s="2216"/>
      <c r="O84" s="2216" t="s">
        <v>1827</v>
      </c>
      <c r="P84" s="2216"/>
      <c r="Q84" s="2216"/>
      <c r="R84" s="2216"/>
      <c r="S84" s="2216"/>
      <c r="T84" s="2216"/>
      <c r="U84" s="2216"/>
      <c r="V84" s="2212" t="s">
        <v>2186</v>
      </c>
      <c r="W84" s="2212"/>
      <c r="X84" s="2212"/>
      <c r="Y84" s="2212"/>
      <c r="Z84" s="2212"/>
      <c r="AA84" s="2212"/>
      <c r="AB84" s="2213" t="s">
        <v>1828</v>
      </c>
      <c r="AC84" s="2213"/>
      <c r="AD84" s="2213"/>
      <c r="AE84" s="2213"/>
      <c r="AF84" s="2213"/>
      <c r="AG84" s="2213"/>
      <c r="AH84" s="2214"/>
      <c r="AI84" s="1206"/>
      <c r="AJ84" s="2258"/>
      <c r="AK84" s="2259"/>
      <c r="AL84" s="2259"/>
      <c r="AM84" s="2259"/>
      <c r="AN84" s="2259"/>
      <c r="AO84" s="2259"/>
      <c r="AP84" s="2259"/>
      <c r="AQ84" s="2259"/>
      <c r="AR84" s="2259"/>
      <c r="AS84" s="2259"/>
      <c r="AT84" s="2259"/>
      <c r="AU84" s="2259"/>
      <c r="AV84" s="2259"/>
      <c r="AW84" s="2259"/>
      <c r="AX84" s="2259"/>
      <c r="AY84" s="2262"/>
      <c r="AZ84" s="2262"/>
      <c r="BA84" s="2262"/>
      <c r="BB84" s="2263"/>
      <c r="BC84" s="1206"/>
      <c r="BD84" s="1206"/>
      <c r="BE84" s="1202"/>
    </row>
    <row r="85" spans="1:70" ht="15.75" customHeight="1">
      <c r="A85" s="1206"/>
      <c r="B85" s="2215"/>
      <c r="C85" s="2216"/>
      <c r="D85" s="2216"/>
      <c r="E85" s="2216"/>
      <c r="F85" s="2216"/>
      <c r="G85" s="2216"/>
      <c r="H85" s="2216"/>
      <c r="I85" s="2216"/>
      <c r="J85" s="2216"/>
      <c r="K85" s="2216"/>
      <c r="L85" s="2216"/>
      <c r="M85" s="2216"/>
      <c r="N85" s="2216"/>
      <c r="O85" s="2216"/>
      <c r="P85" s="2216"/>
      <c r="Q85" s="2216"/>
      <c r="R85" s="2216"/>
      <c r="S85" s="2216"/>
      <c r="T85" s="2216"/>
      <c r="U85" s="2216"/>
      <c r="V85" s="2212"/>
      <c r="W85" s="2212"/>
      <c r="X85" s="2212"/>
      <c r="Y85" s="2212"/>
      <c r="Z85" s="2212"/>
      <c r="AA85" s="2212"/>
      <c r="AB85" s="2213"/>
      <c r="AC85" s="2213"/>
      <c r="AD85" s="2213"/>
      <c r="AE85" s="2213"/>
      <c r="AF85" s="2213"/>
      <c r="AG85" s="2213"/>
      <c r="AH85" s="2214"/>
      <c r="AI85" s="1206"/>
      <c r="AJ85" s="2258"/>
      <c r="AK85" s="2259"/>
      <c r="AL85" s="2259"/>
      <c r="AM85" s="2259"/>
      <c r="AN85" s="2259"/>
      <c r="AO85" s="2259"/>
      <c r="AP85" s="2259"/>
      <c r="AQ85" s="2259"/>
      <c r="AR85" s="2259"/>
      <c r="AS85" s="2259"/>
      <c r="AT85" s="2259"/>
      <c r="AU85" s="2259"/>
      <c r="AV85" s="2259"/>
      <c r="AW85" s="2259"/>
      <c r="AX85" s="2259"/>
      <c r="AY85" s="2262"/>
      <c r="AZ85" s="2262"/>
      <c r="BA85" s="2262"/>
      <c r="BB85" s="2263"/>
      <c r="BC85" s="1206"/>
      <c r="BD85" s="1206"/>
      <c r="BE85" s="1202"/>
    </row>
    <row r="86" spans="1:70" ht="15.75" customHeight="1">
      <c r="A86" s="1206"/>
      <c r="B86" s="2215" t="s">
        <v>2169</v>
      </c>
      <c r="C86" s="2216"/>
      <c r="D86" s="2216"/>
      <c r="E86" s="2216"/>
      <c r="F86" s="2216"/>
      <c r="G86" s="2216"/>
      <c r="H86" s="2216"/>
      <c r="I86" s="2217">
        <v>0</v>
      </c>
      <c r="J86" s="2217"/>
      <c r="K86" s="2217"/>
      <c r="L86" s="2217"/>
      <c r="M86" s="2217"/>
      <c r="N86" s="2217"/>
      <c r="O86" s="2217">
        <v>0</v>
      </c>
      <c r="P86" s="2217"/>
      <c r="Q86" s="2217"/>
      <c r="R86" s="2217"/>
      <c r="S86" s="2217"/>
      <c r="T86" s="2217"/>
      <c r="U86" s="2217"/>
      <c r="V86" s="2217">
        <v>0</v>
      </c>
      <c r="W86" s="2217"/>
      <c r="X86" s="2217"/>
      <c r="Y86" s="2217"/>
      <c r="Z86" s="2217"/>
      <c r="AA86" s="2217"/>
      <c r="AB86" s="2217">
        <v>0</v>
      </c>
      <c r="AC86" s="2217"/>
      <c r="AD86" s="2217"/>
      <c r="AE86" s="2217"/>
      <c r="AF86" s="2217"/>
      <c r="AG86" s="2217"/>
      <c r="AH86" s="2223"/>
      <c r="AI86" s="1206"/>
      <c r="AJ86" s="2258"/>
      <c r="AK86" s="2259"/>
      <c r="AL86" s="2259"/>
      <c r="AM86" s="2259"/>
      <c r="AN86" s="2259"/>
      <c r="AO86" s="2259"/>
      <c r="AP86" s="2259"/>
      <c r="AQ86" s="2259"/>
      <c r="AR86" s="2259"/>
      <c r="AS86" s="2259"/>
      <c r="AT86" s="2259"/>
      <c r="AU86" s="2259"/>
      <c r="AV86" s="2259"/>
      <c r="AW86" s="2259"/>
      <c r="AX86" s="2259"/>
      <c r="AY86" s="2262"/>
      <c r="AZ86" s="2262"/>
      <c r="BA86" s="2262"/>
      <c r="BB86" s="2263"/>
      <c r="BC86" s="1206"/>
      <c r="BD86" s="1206"/>
      <c r="BE86" s="1202"/>
    </row>
    <row r="87" spans="1:70" ht="15.75" customHeight="1">
      <c r="A87" s="1206"/>
      <c r="B87" s="2215" t="s">
        <v>2170</v>
      </c>
      <c r="C87" s="2216"/>
      <c r="D87" s="2216"/>
      <c r="E87" s="2216"/>
      <c r="F87" s="2216"/>
      <c r="G87" s="2216"/>
      <c r="H87" s="2216"/>
      <c r="I87" s="2217">
        <v>0</v>
      </c>
      <c r="J87" s="2217"/>
      <c r="K87" s="2217"/>
      <c r="L87" s="2217"/>
      <c r="M87" s="2217"/>
      <c r="N87" s="2217"/>
      <c r="O87" s="2217">
        <v>0</v>
      </c>
      <c r="P87" s="2217"/>
      <c r="Q87" s="2217"/>
      <c r="R87" s="2217"/>
      <c r="S87" s="2217"/>
      <c r="T87" s="2217"/>
      <c r="U87" s="2217"/>
      <c r="V87" s="2217">
        <v>0</v>
      </c>
      <c r="W87" s="2217"/>
      <c r="X87" s="2217"/>
      <c r="Y87" s="2217"/>
      <c r="Z87" s="2217"/>
      <c r="AA87" s="2217"/>
      <c r="AB87" s="2217">
        <v>0</v>
      </c>
      <c r="AC87" s="2217"/>
      <c r="AD87" s="2217"/>
      <c r="AE87" s="2217"/>
      <c r="AF87" s="2217"/>
      <c r="AG87" s="2217"/>
      <c r="AH87" s="2223"/>
      <c r="AI87" s="1206"/>
      <c r="AJ87" s="2229" t="s">
        <v>2485</v>
      </c>
      <c r="AK87" s="2230"/>
      <c r="AL87" s="2230"/>
      <c r="AM87" s="2230"/>
      <c r="AN87" s="2230"/>
      <c r="AO87" s="2230"/>
      <c r="AP87" s="2230"/>
      <c r="AQ87" s="2230"/>
      <c r="AR87" s="2230"/>
      <c r="AS87" s="2230"/>
      <c r="AT87" s="2230"/>
      <c r="AU87" s="2230"/>
      <c r="AV87" s="2230"/>
      <c r="AW87" s="2230"/>
      <c r="AX87" s="2230"/>
      <c r="AY87" s="2230"/>
      <c r="AZ87" s="2230"/>
      <c r="BA87" s="2230"/>
      <c r="BB87" s="2231"/>
      <c r="BC87" s="1206"/>
      <c r="BD87" s="1206"/>
      <c r="BE87" s="1202"/>
    </row>
    <row r="88" spans="1:70" ht="15.75" customHeight="1" thickBot="1">
      <c r="A88" s="1206"/>
      <c r="B88" s="2235" t="s">
        <v>1829</v>
      </c>
      <c r="C88" s="2236"/>
      <c r="D88" s="2236"/>
      <c r="E88" s="2236"/>
      <c r="F88" s="2236"/>
      <c r="G88" s="2236"/>
      <c r="H88" s="2236"/>
      <c r="I88" s="2237">
        <v>0</v>
      </c>
      <c r="J88" s="2237"/>
      <c r="K88" s="2237"/>
      <c r="L88" s="2237"/>
      <c r="M88" s="2237"/>
      <c r="N88" s="2237"/>
      <c r="O88" s="2237">
        <v>0</v>
      </c>
      <c r="P88" s="2237"/>
      <c r="Q88" s="2237"/>
      <c r="R88" s="2237"/>
      <c r="S88" s="2237"/>
      <c r="T88" s="2237"/>
      <c r="U88" s="2237"/>
      <c r="V88" s="2237">
        <v>0</v>
      </c>
      <c r="W88" s="2237"/>
      <c r="X88" s="2237"/>
      <c r="Y88" s="2237"/>
      <c r="Z88" s="2237"/>
      <c r="AA88" s="2237"/>
      <c r="AB88" s="2237">
        <v>0</v>
      </c>
      <c r="AC88" s="2237"/>
      <c r="AD88" s="2237"/>
      <c r="AE88" s="2237"/>
      <c r="AF88" s="2237"/>
      <c r="AG88" s="2237"/>
      <c r="AH88" s="2238"/>
      <c r="AI88" s="1206"/>
      <c r="AJ88" s="2232"/>
      <c r="AK88" s="2233"/>
      <c r="AL88" s="2233"/>
      <c r="AM88" s="2233"/>
      <c r="AN88" s="2233"/>
      <c r="AO88" s="2233"/>
      <c r="AP88" s="2233"/>
      <c r="AQ88" s="2233"/>
      <c r="AR88" s="2233"/>
      <c r="AS88" s="2233"/>
      <c r="AT88" s="2233"/>
      <c r="AU88" s="2233"/>
      <c r="AV88" s="2233"/>
      <c r="AW88" s="2233"/>
      <c r="AX88" s="2233"/>
      <c r="AY88" s="2233"/>
      <c r="AZ88" s="2233"/>
      <c r="BA88" s="2233"/>
      <c r="BB88" s="223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16"/>
      <c r="G92" s="2597"/>
      <c r="H92" s="2597"/>
      <c r="I92" s="2597"/>
      <c r="J92" s="2597"/>
      <c r="K92" s="2597"/>
      <c r="L92" s="2597"/>
      <c r="M92" s="2597"/>
      <c r="N92" s="2597"/>
      <c r="O92" s="2597"/>
      <c r="P92" s="2597"/>
      <c r="Q92" s="25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99" t="e">
        <f>BR97/SUM($BR$96:$BR$98)</f>
        <v>#DIV/0!</v>
      </c>
      <c r="P93" s="2600"/>
      <c r="Q93" s="26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13" t="s">
        <v>2549</v>
      </c>
      <c r="P94" s="2614"/>
      <c r="Q94" s="261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20" t="s">
        <v>2613</v>
      </c>
      <c r="C96" s="2221"/>
      <c r="D96" s="2221"/>
      <c r="E96" s="2221"/>
      <c r="F96" s="2221"/>
      <c r="G96" s="2221"/>
      <c r="H96" s="2221"/>
      <c r="I96" s="2221"/>
      <c r="J96" s="2221"/>
      <c r="K96" s="2221"/>
      <c r="L96" s="2221"/>
      <c r="M96" s="2221"/>
      <c r="N96" s="2221"/>
      <c r="O96" s="2221"/>
      <c r="P96" s="2221"/>
      <c r="Q96" s="2221"/>
      <c r="R96" s="2221"/>
      <c r="S96" s="2221"/>
      <c r="T96" s="2221"/>
      <c r="U96" s="2221"/>
      <c r="V96" s="2221"/>
      <c r="W96" s="2221"/>
      <c r="X96" s="2221"/>
      <c r="Y96" s="2221"/>
      <c r="Z96" s="2221"/>
      <c r="AA96" s="2221"/>
      <c r="AB96" s="2221"/>
      <c r="AC96" s="2221"/>
      <c r="AD96" s="2221"/>
      <c r="AE96" s="2221"/>
      <c r="AF96" s="2221"/>
      <c r="AG96" s="2221"/>
      <c r="AH96" s="2222"/>
      <c r="AI96" s="1206"/>
      <c r="AJ96" s="2256" t="s">
        <v>2612</v>
      </c>
      <c r="AK96" s="2257"/>
      <c r="AL96" s="2257"/>
      <c r="AM96" s="2257"/>
      <c r="AN96" s="2257"/>
      <c r="AO96" s="2257"/>
      <c r="AP96" s="2257"/>
      <c r="AQ96" s="2257"/>
      <c r="AR96" s="2257"/>
      <c r="AS96" s="2257"/>
      <c r="AT96" s="2257"/>
      <c r="AU96" s="2257"/>
      <c r="AV96" s="2257"/>
      <c r="AW96" s="2257"/>
      <c r="AX96" s="2257"/>
      <c r="AY96" s="2260" t="s">
        <v>553</v>
      </c>
      <c r="AZ96" s="2260"/>
      <c r="BA96" s="2260"/>
      <c r="BB96" s="2261"/>
      <c r="BC96" s="1206"/>
      <c r="BD96" s="1206"/>
      <c r="BE96" s="1202"/>
      <c r="BQ96" s="1245" t="str">
        <f>Application!M243</f>
        <v>AHG Green Valley, LLC</v>
      </c>
      <c r="BR96" s="1245">
        <f>Application!AH245</f>
        <v>0</v>
      </c>
    </row>
    <row r="97" spans="1:70" ht="15.75" customHeight="1">
      <c r="A97" s="1206"/>
      <c r="B97" s="2215"/>
      <c r="C97" s="2216"/>
      <c r="D97" s="2216"/>
      <c r="E97" s="2216"/>
      <c r="F97" s="2216"/>
      <c r="G97" s="2216"/>
      <c r="H97" s="2216"/>
      <c r="I97" s="2216" t="s">
        <v>1826</v>
      </c>
      <c r="J97" s="2216"/>
      <c r="K97" s="2216"/>
      <c r="L97" s="2216"/>
      <c r="M97" s="2216"/>
      <c r="N97" s="2216"/>
      <c r="O97" s="2216" t="s">
        <v>1827</v>
      </c>
      <c r="P97" s="2216"/>
      <c r="Q97" s="2216"/>
      <c r="R97" s="2216"/>
      <c r="S97" s="2216"/>
      <c r="T97" s="2216"/>
      <c r="U97" s="2216"/>
      <c r="V97" s="2212" t="s">
        <v>2186</v>
      </c>
      <c r="W97" s="2212"/>
      <c r="X97" s="2212"/>
      <c r="Y97" s="2212"/>
      <c r="Z97" s="2212"/>
      <c r="AA97" s="2212"/>
      <c r="AB97" s="2213" t="s">
        <v>1828</v>
      </c>
      <c r="AC97" s="2213"/>
      <c r="AD97" s="2213"/>
      <c r="AE97" s="2213"/>
      <c r="AF97" s="2213"/>
      <c r="AG97" s="2213"/>
      <c r="AH97" s="2214"/>
      <c r="AI97" s="1206"/>
      <c r="AJ97" s="2258"/>
      <c r="AK97" s="2259"/>
      <c r="AL97" s="2259"/>
      <c r="AM97" s="2259"/>
      <c r="AN97" s="2259"/>
      <c r="AO97" s="2259"/>
      <c r="AP97" s="2259"/>
      <c r="AQ97" s="2259"/>
      <c r="AR97" s="2259"/>
      <c r="AS97" s="2259"/>
      <c r="AT97" s="2259"/>
      <c r="AU97" s="2259"/>
      <c r="AV97" s="2259"/>
      <c r="AW97" s="2259"/>
      <c r="AX97" s="2259"/>
      <c r="AY97" s="2262"/>
      <c r="AZ97" s="2262"/>
      <c r="BA97" s="2262"/>
      <c r="BB97" s="2263"/>
      <c r="BC97" s="1206"/>
      <c r="BD97" s="1206"/>
      <c r="BE97" s="1202"/>
      <c r="BQ97" s="1245" t="str">
        <f>Application!M251</f>
        <v>CFAH Housing, LLC</v>
      </c>
      <c r="BR97" s="1245">
        <f>Application!AH253</f>
        <v>0</v>
      </c>
    </row>
    <row r="98" spans="1:70" ht="15.75" customHeight="1">
      <c r="A98" s="1206"/>
      <c r="B98" s="2215"/>
      <c r="C98" s="2216"/>
      <c r="D98" s="2216"/>
      <c r="E98" s="2216"/>
      <c r="F98" s="2216"/>
      <c r="G98" s="2216"/>
      <c r="H98" s="2216"/>
      <c r="I98" s="2216"/>
      <c r="J98" s="2216"/>
      <c r="K98" s="2216"/>
      <c r="L98" s="2216"/>
      <c r="M98" s="2216"/>
      <c r="N98" s="2216"/>
      <c r="O98" s="2216"/>
      <c r="P98" s="2216"/>
      <c r="Q98" s="2216"/>
      <c r="R98" s="2216"/>
      <c r="S98" s="2216"/>
      <c r="T98" s="2216"/>
      <c r="U98" s="2216"/>
      <c r="V98" s="2212"/>
      <c r="W98" s="2212"/>
      <c r="X98" s="2212"/>
      <c r="Y98" s="2212"/>
      <c r="Z98" s="2212"/>
      <c r="AA98" s="2212"/>
      <c r="AB98" s="2213"/>
      <c r="AC98" s="2213"/>
      <c r="AD98" s="2213"/>
      <c r="AE98" s="2213"/>
      <c r="AF98" s="2213"/>
      <c r="AG98" s="2213"/>
      <c r="AH98" s="2214"/>
      <c r="AI98" s="1206"/>
      <c r="AJ98" s="2258"/>
      <c r="AK98" s="2259"/>
      <c r="AL98" s="2259"/>
      <c r="AM98" s="2259"/>
      <c r="AN98" s="2259"/>
      <c r="AO98" s="2259"/>
      <c r="AP98" s="2259"/>
      <c r="AQ98" s="2259"/>
      <c r="AR98" s="2259"/>
      <c r="AS98" s="2259"/>
      <c r="AT98" s="2259"/>
      <c r="AU98" s="2259"/>
      <c r="AV98" s="2259"/>
      <c r="AW98" s="2259"/>
      <c r="AX98" s="2259"/>
      <c r="AY98" s="2262"/>
      <c r="AZ98" s="2262"/>
      <c r="BA98" s="2262"/>
      <c r="BB98" s="2263"/>
      <c r="BC98" s="1206"/>
      <c r="BD98" s="1206"/>
      <c r="BE98" s="1202"/>
      <c r="BQ98" s="1245">
        <f>Application!M259</f>
        <v>0</v>
      </c>
      <c r="BR98" s="1245">
        <f>Application!AH261</f>
        <v>0</v>
      </c>
    </row>
    <row r="99" spans="1:70" ht="15.75" customHeight="1">
      <c r="A99" s="1206"/>
      <c r="B99" s="2215" t="s">
        <v>2169</v>
      </c>
      <c r="C99" s="2216"/>
      <c r="D99" s="2216"/>
      <c r="E99" s="2216"/>
      <c r="F99" s="2216"/>
      <c r="G99" s="2216"/>
      <c r="H99" s="2216"/>
      <c r="I99" s="2217">
        <v>0</v>
      </c>
      <c r="J99" s="2217"/>
      <c r="K99" s="2217"/>
      <c r="L99" s="2217"/>
      <c r="M99" s="2217"/>
      <c r="N99" s="2217"/>
      <c r="O99" s="2217">
        <v>0</v>
      </c>
      <c r="P99" s="2217"/>
      <c r="Q99" s="2217"/>
      <c r="R99" s="2217"/>
      <c r="S99" s="2217"/>
      <c r="T99" s="2217"/>
      <c r="U99" s="2217"/>
      <c r="V99" s="2217">
        <v>0</v>
      </c>
      <c r="W99" s="2217"/>
      <c r="X99" s="2217"/>
      <c r="Y99" s="2217"/>
      <c r="Z99" s="2217"/>
      <c r="AA99" s="2217"/>
      <c r="AB99" s="2217">
        <v>0</v>
      </c>
      <c r="AC99" s="2217"/>
      <c r="AD99" s="2217"/>
      <c r="AE99" s="2217"/>
      <c r="AF99" s="2217"/>
      <c r="AG99" s="2217"/>
      <c r="AH99" s="2223"/>
      <c r="AI99" s="1206"/>
      <c r="AJ99" s="2258"/>
      <c r="AK99" s="2259"/>
      <c r="AL99" s="2259"/>
      <c r="AM99" s="2259"/>
      <c r="AN99" s="2259"/>
      <c r="AO99" s="2259"/>
      <c r="AP99" s="2259"/>
      <c r="AQ99" s="2259"/>
      <c r="AR99" s="2259"/>
      <c r="AS99" s="2259"/>
      <c r="AT99" s="2259"/>
      <c r="AU99" s="2259"/>
      <c r="AV99" s="2259"/>
      <c r="AW99" s="2259"/>
      <c r="AX99" s="2259"/>
      <c r="AY99" s="2262"/>
      <c r="AZ99" s="2262"/>
      <c r="BA99" s="2262"/>
      <c r="BB99" s="2263"/>
      <c r="BC99" s="1206"/>
      <c r="BD99" s="1206"/>
      <c r="BE99" s="1202"/>
    </row>
    <row r="100" spans="1:70" ht="15.75" customHeight="1">
      <c r="A100" s="1206"/>
      <c r="B100" s="2215" t="s">
        <v>2170</v>
      </c>
      <c r="C100" s="2216"/>
      <c r="D100" s="2216"/>
      <c r="E100" s="2216"/>
      <c r="F100" s="2216"/>
      <c r="G100" s="2216"/>
      <c r="H100" s="2216"/>
      <c r="I100" s="2217">
        <v>0</v>
      </c>
      <c r="J100" s="2217"/>
      <c r="K100" s="2217"/>
      <c r="L100" s="2217"/>
      <c r="M100" s="2217"/>
      <c r="N100" s="2217"/>
      <c r="O100" s="2217">
        <v>0</v>
      </c>
      <c r="P100" s="2217"/>
      <c r="Q100" s="2217"/>
      <c r="R100" s="2217"/>
      <c r="S100" s="2217"/>
      <c r="T100" s="2217"/>
      <c r="U100" s="2217"/>
      <c r="V100" s="2217">
        <v>0</v>
      </c>
      <c r="W100" s="2217"/>
      <c r="X100" s="2217"/>
      <c r="Y100" s="2217"/>
      <c r="Z100" s="2217"/>
      <c r="AA100" s="2217"/>
      <c r="AB100" s="2217">
        <v>0</v>
      </c>
      <c r="AC100" s="2217"/>
      <c r="AD100" s="2217"/>
      <c r="AE100" s="2217"/>
      <c r="AF100" s="2217"/>
      <c r="AG100" s="2217"/>
      <c r="AH100" s="2223"/>
      <c r="AI100" s="1206"/>
      <c r="AJ100" s="2229" t="s">
        <v>2485</v>
      </c>
      <c r="AK100" s="2230"/>
      <c r="AL100" s="2230"/>
      <c r="AM100" s="2230"/>
      <c r="AN100" s="2230"/>
      <c r="AO100" s="2230"/>
      <c r="AP100" s="2230"/>
      <c r="AQ100" s="2230"/>
      <c r="AR100" s="2230"/>
      <c r="AS100" s="2230"/>
      <c r="AT100" s="2230"/>
      <c r="AU100" s="2230"/>
      <c r="AV100" s="2230"/>
      <c r="AW100" s="2230"/>
      <c r="AX100" s="2230"/>
      <c r="AY100" s="2230"/>
      <c r="AZ100" s="2230"/>
      <c r="BA100" s="2230"/>
      <c r="BB100" s="2231"/>
      <c r="BC100" s="1206"/>
      <c r="BD100" s="1206"/>
      <c r="BE100" s="1202"/>
    </row>
    <row r="101" spans="1:70" ht="15.75" customHeight="1" thickBot="1">
      <c r="A101" s="1206"/>
      <c r="B101" s="2235" t="s">
        <v>1829</v>
      </c>
      <c r="C101" s="2236"/>
      <c r="D101" s="2236"/>
      <c r="E101" s="2236"/>
      <c r="F101" s="2236"/>
      <c r="G101" s="2236"/>
      <c r="H101" s="2236"/>
      <c r="I101" s="2237">
        <v>0</v>
      </c>
      <c r="J101" s="2237"/>
      <c r="K101" s="2237"/>
      <c r="L101" s="2237"/>
      <c r="M101" s="2237"/>
      <c r="N101" s="2237"/>
      <c r="O101" s="2237">
        <v>0</v>
      </c>
      <c r="P101" s="2237"/>
      <c r="Q101" s="2237"/>
      <c r="R101" s="2237"/>
      <c r="S101" s="2237"/>
      <c r="T101" s="2237"/>
      <c r="U101" s="2237"/>
      <c r="V101" s="2237">
        <v>0</v>
      </c>
      <c r="W101" s="2237"/>
      <c r="X101" s="2237"/>
      <c r="Y101" s="2237"/>
      <c r="Z101" s="2237"/>
      <c r="AA101" s="2237"/>
      <c r="AB101" s="2237">
        <v>0</v>
      </c>
      <c r="AC101" s="2237"/>
      <c r="AD101" s="2237"/>
      <c r="AE101" s="2237"/>
      <c r="AF101" s="2237"/>
      <c r="AG101" s="2237"/>
      <c r="AH101" s="2238"/>
      <c r="AI101" s="1206"/>
      <c r="AJ101" s="2232"/>
      <c r="AK101" s="2233"/>
      <c r="AL101" s="2233"/>
      <c r="AM101" s="2233"/>
      <c r="AN101" s="2233"/>
      <c r="AO101" s="2233"/>
      <c r="AP101" s="2233"/>
      <c r="AQ101" s="2233"/>
      <c r="AR101" s="2233"/>
      <c r="AS101" s="2233"/>
      <c r="AT101" s="2233"/>
      <c r="AU101" s="2233"/>
      <c r="AV101" s="2233"/>
      <c r="AW101" s="2233"/>
      <c r="AX101" s="2233"/>
      <c r="AY101" s="2233"/>
      <c r="AZ101" s="2233"/>
      <c r="BA101" s="2233"/>
      <c r="BB101" s="223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54"/>
      <c r="G104" s="2555"/>
      <c r="H104" s="2555"/>
      <c r="I104" s="2555"/>
      <c r="J104" s="2555"/>
      <c r="K104" s="2555"/>
      <c r="L104" s="2555"/>
      <c r="M104" s="2555"/>
      <c r="N104" s="2555"/>
      <c r="O104" s="2555"/>
      <c r="P104" s="2555"/>
      <c r="Q104" s="2555"/>
      <c r="R104" s="255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13" t="e">
        <f>BR98/SUM(BR96:BR98)</f>
        <v>#DIV/0!</v>
      </c>
      <c r="P105" s="2614"/>
      <c r="Q105" s="2614"/>
      <c r="R105" s="261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75" t="s">
        <v>2609</v>
      </c>
      <c r="C107" s="2476"/>
      <c r="D107" s="2476"/>
      <c r="E107" s="2476"/>
      <c r="F107" s="2476"/>
      <c r="G107" s="2476"/>
      <c r="H107" s="2476"/>
      <c r="I107" s="2476"/>
      <c r="J107" s="2476"/>
      <c r="K107" s="2476"/>
      <c r="L107" s="2476"/>
      <c r="M107" s="2476"/>
      <c r="N107" s="2476"/>
      <c r="O107" s="2476"/>
      <c r="P107" s="2476"/>
      <c r="Q107" s="2476"/>
      <c r="R107" s="2476"/>
      <c r="S107" s="2476"/>
      <c r="T107" s="2476"/>
      <c r="U107" s="2476"/>
      <c r="V107" s="2476"/>
      <c r="W107" s="2476"/>
      <c r="X107" s="2476"/>
      <c r="Y107" s="2476"/>
      <c r="Z107" s="2476"/>
      <c r="AA107" s="2476"/>
      <c r="AB107" s="2476"/>
      <c r="AC107" s="2476"/>
      <c r="AD107" s="2476"/>
      <c r="AE107" s="2476"/>
      <c r="AF107" s="2476"/>
      <c r="AG107" s="2476"/>
      <c r="AH107" s="247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15"/>
      <c r="C108" s="2216"/>
      <c r="D108" s="2216"/>
      <c r="E108" s="2216"/>
      <c r="F108" s="2216"/>
      <c r="G108" s="2216"/>
      <c r="H108" s="2216"/>
      <c r="I108" s="2216" t="s">
        <v>1826</v>
      </c>
      <c r="J108" s="2216"/>
      <c r="K108" s="2216"/>
      <c r="L108" s="2216"/>
      <c r="M108" s="2216"/>
      <c r="N108" s="2216"/>
      <c r="O108" s="2216" t="s">
        <v>1827</v>
      </c>
      <c r="P108" s="2216"/>
      <c r="Q108" s="2216"/>
      <c r="R108" s="2216"/>
      <c r="S108" s="2216"/>
      <c r="T108" s="2216"/>
      <c r="U108" s="2216"/>
      <c r="V108" s="2212" t="s">
        <v>2186</v>
      </c>
      <c r="W108" s="2212"/>
      <c r="X108" s="2212"/>
      <c r="Y108" s="2212"/>
      <c r="Z108" s="2212"/>
      <c r="AA108" s="2212"/>
      <c r="AB108" s="2213" t="s">
        <v>1828</v>
      </c>
      <c r="AC108" s="2213"/>
      <c r="AD108" s="2213"/>
      <c r="AE108" s="2213"/>
      <c r="AF108" s="2213"/>
      <c r="AG108" s="2213"/>
      <c r="AH108" s="221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15"/>
      <c r="C109" s="2216"/>
      <c r="D109" s="2216"/>
      <c r="E109" s="2216"/>
      <c r="F109" s="2216"/>
      <c r="G109" s="2216"/>
      <c r="H109" s="2216"/>
      <c r="I109" s="2216"/>
      <c r="J109" s="2216"/>
      <c r="K109" s="2216"/>
      <c r="L109" s="2216"/>
      <c r="M109" s="2216"/>
      <c r="N109" s="2216"/>
      <c r="O109" s="2216"/>
      <c r="P109" s="2216"/>
      <c r="Q109" s="2216"/>
      <c r="R109" s="2216"/>
      <c r="S109" s="2216"/>
      <c r="T109" s="2216"/>
      <c r="U109" s="2216"/>
      <c r="V109" s="2212"/>
      <c r="W109" s="2212"/>
      <c r="X109" s="2212"/>
      <c r="Y109" s="2212"/>
      <c r="Z109" s="2212"/>
      <c r="AA109" s="2212"/>
      <c r="AB109" s="2213"/>
      <c r="AC109" s="2213"/>
      <c r="AD109" s="2213"/>
      <c r="AE109" s="2213"/>
      <c r="AF109" s="2213"/>
      <c r="AG109" s="2213"/>
      <c r="AH109" s="221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15" t="s">
        <v>2169</v>
      </c>
      <c r="C110" s="2216"/>
      <c r="D110" s="2216"/>
      <c r="E110" s="2216"/>
      <c r="F110" s="2216"/>
      <c r="G110" s="2216"/>
      <c r="H110" s="2216"/>
      <c r="I110" s="2217">
        <v>0</v>
      </c>
      <c r="J110" s="2217"/>
      <c r="K110" s="2217"/>
      <c r="L110" s="2217"/>
      <c r="M110" s="2217"/>
      <c r="N110" s="2217"/>
      <c r="O110" s="2217">
        <v>0</v>
      </c>
      <c r="P110" s="2217"/>
      <c r="Q110" s="2217"/>
      <c r="R110" s="2217"/>
      <c r="S110" s="2217"/>
      <c r="T110" s="2217"/>
      <c r="U110" s="2217"/>
      <c r="V110" s="2217">
        <v>0</v>
      </c>
      <c r="W110" s="2217"/>
      <c r="X110" s="2217"/>
      <c r="Y110" s="2217"/>
      <c r="Z110" s="2217"/>
      <c r="AA110" s="2217"/>
      <c r="AB110" s="2217">
        <v>0</v>
      </c>
      <c r="AC110" s="2217"/>
      <c r="AD110" s="2217"/>
      <c r="AE110" s="2217"/>
      <c r="AF110" s="2217"/>
      <c r="AG110" s="2217"/>
      <c r="AH110" s="222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15" t="s">
        <v>2170</v>
      </c>
      <c r="C111" s="2216"/>
      <c r="D111" s="2216"/>
      <c r="E111" s="2216"/>
      <c r="F111" s="2216"/>
      <c r="G111" s="2216"/>
      <c r="H111" s="2216"/>
      <c r="I111" s="2217">
        <v>0</v>
      </c>
      <c r="J111" s="2217"/>
      <c r="K111" s="2217"/>
      <c r="L111" s="2217"/>
      <c r="M111" s="2217"/>
      <c r="N111" s="2217"/>
      <c r="O111" s="2217">
        <v>0</v>
      </c>
      <c r="P111" s="2217"/>
      <c r="Q111" s="2217"/>
      <c r="R111" s="2217"/>
      <c r="S111" s="2217"/>
      <c r="T111" s="2217"/>
      <c r="U111" s="2217"/>
      <c r="V111" s="2217">
        <v>0</v>
      </c>
      <c r="W111" s="2217"/>
      <c r="X111" s="2217"/>
      <c r="Y111" s="2217"/>
      <c r="Z111" s="2217"/>
      <c r="AA111" s="2217"/>
      <c r="AB111" s="2217">
        <v>0</v>
      </c>
      <c r="AC111" s="2217"/>
      <c r="AD111" s="2217"/>
      <c r="AE111" s="2217"/>
      <c r="AF111" s="2217"/>
      <c r="AG111" s="2217"/>
      <c r="AH111" s="222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35" t="s">
        <v>1829</v>
      </c>
      <c r="C112" s="2236"/>
      <c r="D112" s="2236"/>
      <c r="E112" s="2236"/>
      <c r="F112" s="2236"/>
      <c r="G112" s="2236"/>
      <c r="H112" s="2236"/>
      <c r="I112" s="2237">
        <v>0</v>
      </c>
      <c r="J112" s="2237"/>
      <c r="K112" s="2237"/>
      <c r="L112" s="2237"/>
      <c r="M112" s="2237"/>
      <c r="N112" s="2237"/>
      <c r="O112" s="2237">
        <v>0</v>
      </c>
      <c r="P112" s="2237"/>
      <c r="Q112" s="2237"/>
      <c r="R112" s="2237"/>
      <c r="S112" s="2237"/>
      <c r="T112" s="2237"/>
      <c r="U112" s="2237"/>
      <c r="V112" s="2237">
        <v>0</v>
      </c>
      <c r="W112" s="2237"/>
      <c r="X112" s="2237"/>
      <c r="Y112" s="2237"/>
      <c r="Z112" s="2237"/>
      <c r="AA112" s="2237"/>
      <c r="AB112" s="2237">
        <v>0</v>
      </c>
      <c r="AC112" s="2237"/>
      <c r="AD112" s="2237"/>
      <c r="AE112" s="2237"/>
      <c r="AF112" s="2237"/>
      <c r="AG112" s="2237"/>
      <c r="AH112" s="223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54"/>
      <c r="G115" s="2555"/>
      <c r="H115" s="2555"/>
      <c r="I115" s="2555"/>
      <c r="J115" s="2555"/>
      <c r="K115" s="2555"/>
      <c r="L115" s="2555"/>
      <c r="M115" s="2555"/>
      <c r="N115" s="2555"/>
      <c r="O115" s="2555"/>
      <c r="P115" s="2555"/>
      <c r="Q115" s="2555"/>
      <c r="R115" s="255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56" t="s">
        <v>2486</v>
      </c>
      <c r="C117" s="2257"/>
      <c r="D117" s="2257"/>
      <c r="E117" s="2257"/>
      <c r="F117" s="2257"/>
      <c r="G117" s="2257"/>
      <c r="H117" s="2257"/>
      <c r="I117" s="2257"/>
      <c r="J117" s="2257"/>
      <c r="K117" s="2257"/>
      <c r="L117" s="2257"/>
      <c r="M117" s="2257"/>
      <c r="N117" s="2257"/>
      <c r="O117" s="2257"/>
      <c r="P117" s="2257"/>
      <c r="Q117" s="2260" t="s">
        <v>553</v>
      </c>
      <c r="R117" s="2260"/>
      <c r="S117" s="2260"/>
      <c r="T117" s="226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8"/>
      <c r="C118" s="2259"/>
      <c r="D118" s="2259"/>
      <c r="E118" s="2259"/>
      <c r="F118" s="2259"/>
      <c r="G118" s="2259"/>
      <c r="H118" s="2259"/>
      <c r="I118" s="2259"/>
      <c r="J118" s="2259"/>
      <c r="K118" s="2259"/>
      <c r="L118" s="2259"/>
      <c r="M118" s="2259"/>
      <c r="N118" s="2259"/>
      <c r="O118" s="2259"/>
      <c r="P118" s="2259"/>
      <c r="Q118" s="2262"/>
      <c r="R118" s="2262"/>
      <c r="S118" s="2262"/>
      <c r="T118" s="226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8"/>
      <c r="C119" s="2259"/>
      <c r="D119" s="2259"/>
      <c r="E119" s="2259"/>
      <c r="F119" s="2259"/>
      <c r="G119" s="2259"/>
      <c r="H119" s="2259"/>
      <c r="I119" s="2259"/>
      <c r="J119" s="2259"/>
      <c r="K119" s="2259"/>
      <c r="L119" s="2259"/>
      <c r="M119" s="2259"/>
      <c r="N119" s="2259"/>
      <c r="O119" s="2259"/>
      <c r="P119" s="2259"/>
      <c r="Q119" s="2262"/>
      <c r="R119" s="2262"/>
      <c r="S119" s="2262"/>
      <c r="T119" s="226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8"/>
      <c r="C120" s="2259"/>
      <c r="D120" s="2259"/>
      <c r="E120" s="2259"/>
      <c r="F120" s="2259"/>
      <c r="G120" s="2259"/>
      <c r="H120" s="2259"/>
      <c r="I120" s="2259"/>
      <c r="J120" s="2259"/>
      <c r="K120" s="2259"/>
      <c r="L120" s="2259"/>
      <c r="M120" s="2259"/>
      <c r="N120" s="2259"/>
      <c r="O120" s="2259"/>
      <c r="P120" s="2259"/>
      <c r="Q120" s="2262"/>
      <c r="R120" s="2262"/>
      <c r="S120" s="2262"/>
      <c r="T120" s="226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9" t="s">
        <v>2187</v>
      </c>
      <c r="C121" s="2230"/>
      <c r="D121" s="2230"/>
      <c r="E121" s="2230"/>
      <c r="F121" s="2230"/>
      <c r="G121" s="2230"/>
      <c r="H121" s="2230"/>
      <c r="I121" s="2230"/>
      <c r="J121" s="2230"/>
      <c r="K121" s="2230"/>
      <c r="L121" s="2230"/>
      <c r="M121" s="2230"/>
      <c r="N121" s="2230"/>
      <c r="O121" s="2230"/>
      <c r="P121" s="2230"/>
      <c r="Q121" s="2230"/>
      <c r="R121" s="2230"/>
      <c r="S121" s="2230"/>
      <c r="T121" s="223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32"/>
      <c r="C122" s="2233"/>
      <c r="D122" s="2233"/>
      <c r="E122" s="2233"/>
      <c r="F122" s="2233"/>
      <c r="G122" s="2233"/>
      <c r="H122" s="2233"/>
      <c r="I122" s="2233"/>
      <c r="J122" s="2233"/>
      <c r="K122" s="2233"/>
      <c r="L122" s="2233"/>
      <c r="M122" s="2233"/>
      <c r="N122" s="2233"/>
      <c r="O122" s="2233"/>
      <c r="P122" s="2233"/>
      <c r="Q122" s="2233"/>
      <c r="R122" s="2233"/>
      <c r="S122" s="2233"/>
      <c r="T122" s="223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56" t="s">
        <v>2171</v>
      </c>
      <c r="Y125" s="2257"/>
      <c r="Z125" s="2257"/>
      <c r="AA125" s="2257"/>
      <c r="AB125" s="2257"/>
      <c r="AC125" s="2257"/>
      <c r="AD125" s="2257"/>
      <c r="AE125" s="2257"/>
      <c r="AF125" s="2257"/>
      <c r="AG125" s="2257"/>
      <c r="AH125" s="2257"/>
      <c r="AI125" s="2257"/>
      <c r="AJ125" s="2257"/>
      <c r="AK125" s="2257"/>
      <c r="AL125" s="2257"/>
      <c r="AM125" s="2257"/>
      <c r="AN125" s="2257"/>
      <c r="AO125" s="2257"/>
      <c r="AP125" s="2257"/>
      <c r="AQ125" s="2257"/>
      <c r="AR125" s="2257"/>
      <c r="AS125" s="2257"/>
      <c r="AT125" s="2257"/>
      <c r="AU125" s="2257"/>
      <c r="AV125" s="2257"/>
      <c r="AW125" s="2257"/>
      <c r="AX125" s="2257"/>
      <c r="AY125" s="2257"/>
      <c r="AZ125" s="2257"/>
      <c r="BA125" s="2257"/>
      <c r="BB125" s="2257"/>
      <c r="BC125" s="2257"/>
      <c r="BD125" s="2418"/>
      <c r="BE125" s="1202"/>
    </row>
    <row r="126" spans="1:57" ht="15.75" customHeight="1">
      <c r="A126" s="1206"/>
      <c r="B126" s="2420" t="s">
        <v>1686</v>
      </c>
      <c r="C126" s="2421"/>
      <c r="D126" s="2421"/>
      <c r="E126" s="2421"/>
      <c r="F126" s="2421"/>
      <c r="G126" s="2421"/>
      <c r="H126" s="2421"/>
      <c r="I126" s="2421"/>
      <c r="J126" s="2421"/>
      <c r="K126" s="2421"/>
      <c r="L126" s="2421"/>
      <c r="M126" s="2421"/>
      <c r="N126" s="2421"/>
      <c r="O126" s="2421"/>
      <c r="P126" s="2421"/>
      <c r="Q126" s="2421"/>
      <c r="R126" s="2421"/>
      <c r="S126" s="2421"/>
      <c r="T126" s="2421"/>
      <c r="U126" s="2422"/>
      <c r="V126" s="1206"/>
      <c r="W126" s="1206"/>
      <c r="X126" s="2258"/>
      <c r="Y126" s="2259"/>
      <c r="Z126" s="2259"/>
      <c r="AA126" s="2259"/>
      <c r="AB126" s="2259"/>
      <c r="AC126" s="2259"/>
      <c r="AD126" s="2259"/>
      <c r="AE126" s="2259"/>
      <c r="AF126" s="2259"/>
      <c r="AG126" s="2259"/>
      <c r="AH126" s="2259"/>
      <c r="AI126" s="2259"/>
      <c r="AJ126" s="2259"/>
      <c r="AK126" s="2259"/>
      <c r="AL126" s="2259"/>
      <c r="AM126" s="2259"/>
      <c r="AN126" s="2259"/>
      <c r="AO126" s="2259"/>
      <c r="AP126" s="2259"/>
      <c r="AQ126" s="2259"/>
      <c r="AR126" s="2259"/>
      <c r="AS126" s="2259"/>
      <c r="AT126" s="2259"/>
      <c r="AU126" s="2259"/>
      <c r="AV126" s="2259"/>
      <c r="AW126" s="2259"/>
      <c r="AX126" s="2259"/>
      <c r="AY126" s="2259"/>
      <c r="AZ126" s="2259"/>
      <c r="BA126" s="2259"/>
      <c r="BB126" s="2259"/>
      <c r="BC126" s="2259"/>
      <c r="BD126" s="2419"/>
      <c r="BE126" s="1202"/>
    </row>
    <row r="127" spans="1:57" ht="15.75" customHeight="1">
      <c r="A127" s="1206"/>
      <c r="B127" s="2423"/>
      <c r="C127" s="2424"/>
      <c r="D127" s="2424"/>
      <c r="E127" s="2424"/>
      <c r="F127" s="2424"/>
      <c r="G127" s="2424"/>
      <c r="H127" s="2424"/>
      <c r="I127" s="2216" t="s">
        <v>2172</v>
      </c>
      <c r="J127" s="2216"/>
      <c r="K127" s="2216"/>
      <c r="L127" s="2216"/>
      <c r="M127" s="2216"/>
      <c r="N127" s="2216"/>
      <c r="O127" s="2425" t="s">
        <v>2173</v>
      </c>
      <c r="P127" s="2425"/>
      <c r="Q127" s="2425"/>
      <c r="R127" s="2425"/>
      <c r="S127" s="2425"/>
      <c r="T127" s="2425"/>
      <c r="U127" s="2426"/>
      <c r="V127" s="1206"/>
      <c r="W127" s="1206"/>
      <c r="X127" s="2403" t="s">
        <v>2185</v>
      </c>
      <c r="Y127" s="2404"/>
      <c r="Z127" s="2404"/>
      <c r="AA127" s="2404"/>
      <c r="AB127" s="2404"/>
      <c r="AC127" s="2404"/>
      <c r="AD127" s="2404"/>
      <c r="AE127" s="2404"/>
      <c r="AF127" s="2404"/>
      <c r="AG127" s="2404"/>
      <c r="AH127" s="2404"/>
      <c r="AI127" s="2404"/>
      <c r="AJ127" s="2404"/>
      <c r="AK127" s="2404"/>
      <c r="AL127" s="2404"/>
      <c r="AM127" s="2404"/>
      <c r="AN127" s="2404"/>
      <c r="AO127" s="2404"/>
      <c r="AP127" s="2404"/>
      <c r="AQ127" s="2404"/>
      <c r="AR127" s="2404"/>
      <c r="AS127" s="2404"/>
      <c r="AT127" s="2404"/>
      <c r="AU127" s="2404"/>
      <c r="AV127" s="2404"/>
      <c r="AW127" s="2404"/>
      <c r="AX127" s="2404"/>
      <c r="AY127" s="2404"/>
      <c r="AZ127" s="2404"/>
      <c r="BA127" s="2404"/>
      <c r="BB127" s="2404"/>
      <c r="BC127" s="2404"/>
      <c r="BD127" s="2405"/>
      <c r="BE127" s="1202"/>
    </row>
    <row r="128" spans="1:57" ht="15.75" customHeight="1">
      <c r="A128" s="1206"/>
      <c r="B128" s="2429" t="s">
        <v>2174</v>
      </c>
      <c r="C128" s="2430"/>
      <c r="D128" s="2430"/>
      <c r="E128" s="2430"/>
      <c r="F128" s="2430"/>
      <c r="G128" s="2430"/>
      <c r="H128" s="2430"/>
      <c r="I128" s="2217">
        <v>0</v>
      </c>
      <c r="J128" s="2217"/>
      <c r="K128" s="2217"/>
      <c r="L128" s="2217"/>
      <c r="M128" s="2217"/>
      <c r="N128" s="2217"/>
      <c r="O128" s="2217">
        <v>0</v>
      </c>
      <c r="P128" s="2217"/>
      <c r="Q128" s="2217"/>
      <c r="R128" s="2217"/>
      <c r="S128" s="2217"/>
      <c r="T128" s="2217"/>
      <c r="U128" s="2223"/>
      <c r="V128" s="1206"/>
      <c r="W128" s="1206"/>
      <c r="X128" s="2403"/>
      <c r="Y128" s="2404"/>
      <c r="Z128" s="2404"/>
      <c r="AA128" s="2404"/>
      <c r="AB128" s="2404"/>
      <c r="AC128" s="2404"/>
      <c r="AD128" s="2404"/>
      <c r="AE128" s="2404"/>
      <c r="AF128" s="2404"/>
      <c r="AG128" s="2404"/>
      <c r="AH128" s="2404"/>
      <c r="AI128" s="2404"/>
      <c r="AJ128" s="2404"/>
      <c r="AK128" s="2404"/>
      <c r="AL128" s="2404"/>
      <c r="AM128" s="2404"/>
      <c r="AN128" s="2404"/>
      <c r="AO128" s="2404"/>
      <c r="AP128" s="2404"/>
      <c r="AQ128" s="2404"/>
      <c r="AR128" s="2404"/>
      <c r="AS128" s="2404"/>
      <c r="AT128" s="2404"/>
      <c r="AU128" s="2404"/>
      <c r="AV128" s="2404"/>
      <c r="AW128" s="2404"/>
      <c r="AX128" s="2404"/>
      <c r="AY128" s="2404"/>
      <c r="AZ128" s="2404"/>
      <c r="BA128" s="2404"/>
      <c r="BB128" s="2404"/>
      <c r="BC128" s="2404"/>
      <c r="BD128" s="2405"/>
      <c r="BE128" s="1202"/>
    </row>
    <row r="129" spans="1:57" ht="15.75" customHeight="1" thickBot="1">
      <c r="A129" s="1206"/>
      <c r="B129" s="2431" t="s">
        <v>2175</v>
      </c>
      <c r="C129" s="2432"/>
      <c r="D129" s="2432"/>
      <c r="E129" s="2432"/>
      <c r="F129" s="2432"/>
      <c r="G129" s="2432"/>
      <c r="H129" s="2432"/>
      <c r="I129" s="2237">
        <v>0</v>
      </c>
      <c r="J129" s="2237"/>
      <c r="K129" s="2237"/>
      <c r="L129" s="2237"/>
      <c r="M129" s="2237"/>
      <c r="N129" s="2237"/>
      <c r="O129" s="2427"/>
      <c r="P129" s="2427"/>
      <c r="Q129" s="2427"/>
      <c r="R129" s="2427"/>
      <c r="S129" s="2427"/>
      <c r="T129" s="2427"/>
      <c r="U129" s="2428"/>
      <c r="V129" s="1206"/>
      <c r="W129" s="1206"/>
      <c r="X129" s="2403"/>
      <c r="Y129" s="2404"/>
      <c r="Z129" s="2404"/>
      <c r="AA129" s="2404"/>
      <c r="AB129" s="2404"/>
      <c r="AC129" s="2404"/>
      <c r="AD129" s="2404"/>
      <c r="AE129" s="2404"/>
      <c r="AF129" s="2404"/>
      <c r="AG129" s="2404"/>
      <c r="AH129" s="2404"/>
      <c r="AI129" s="2404"/>
      <c r="AJ129" s="2404"/>
      <c r="AK129" s="2404"/>
      <c r="AL129" s="2404"/>
      <c r="AM129" s="2404"/>
      <c r="AN129" s="2404"/>
      <c r="AO129" s="2404"/>
      <c r="AP129" s="2404"/>
      <c r="AQ129" s="2404"/>
      <c r="AR129" s="2404"/>
      <c r="AS129" s="2404"/>
      <c r="AT129" s="2404"/>
      <c r="AU129" s="2404"/>
      <c r="AV129" s="2404"/>
      <c r="AW129" s="2404"/>
      <c r="AX129" s="2404"/>
      <c r="AY129" s="2404"/>
      <c r="AZ129" s="2404"/>
      <c r="BA129" s="2404"/>
      <c r="BB129" s="2404"/>
      <c r="BC129" s="2404"/>
      <c r="BD129" s="240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3"/>
      <c r="Y130" s="2404"/>
      <c r="Z130" s="2404"/>
      <c r="AA130" s="2404"/>
      <c r="AB130" s="2404"/>
      <c r="AC130" s="2404"/>
      <c r="AD130" s="2404"/>
      <c r="AE130" s="2404"/>
      <c r="AF130" s="2404"/>
      <c r="AG130" s="2404"/>
      <c r="AH130" s="2404"/>
      <c r="AI130" s="2404"/>
      <c r="AJ130" s="2404"/>
      <c r="AK130" s="2404"/>
      <c r="AL130" s="2404"/>
      <c r="AM130" s="2404"/>
      <c r="AN130" s="2404"/>
      <c r="AO130" s="2404"/>
      <c r="AP130" s="2404"/>
      <c r="AQ130" s="2404"/>
      <c r="AR130" s="2404"/>
      <c r="AS130" s="2404"/>
      <c r="AT130" s="2404"/>
      <c r="AU130" s="2404"/>
      <c r="AV130" s="2404"/>
      <c r="AW130" s="2404"/>
      <c r="AX130" s="2404"/>
      <c r="AY130" s="2404"/>
      <c r="AZ130" s="2404"/>
      <c r="BA130" s="2404"/>
      <c r="BB130" s="2404"/>
      <c r="BC130" s="2404"/>
      <c r="BD130" s="2405"/>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3"/>
      <c r="Y131" s="2404"/>
      <c r="Z131" s="2404"/>
      <c r="AA131" s="2404"/>
      <c r="AB131" s="2404"/>
      <c r="AC131" s="2404"/>
      <c r="AD131" s="2404"/>
      <c r="AE131" s="2404"/>
      <c r="AF131" s="2404"/>
      <c r="AG131" s="2404"/>
      <c r="AH131" s="2404"/>
      <c r="AI131" s="2404"/>
      <c r="AJ131" s="2404"/>
      <c r="AK131" s="2404"/>
      <c r="AL131" s="2404"/>
      <c r="AM131" s="2404"/>
      <c r="AN131" s="2404"/>
      <c r="AO131" s="2404"/>
      <c r="AP131" s="2404"/>
      <c r="AQ131" s="2404"/>
      <c r="AR131" s="2404"/>
      <c r="AS131" s="2404"/>
      <c r="AT131" s="2404"/>
      <c r="AU131" s="2404"/>
      <c r="AV131" s="2404"/>
      <c r="AW131" s="2404"/>
      <c r="AX131" s="2404"/>
      <c r="AY131" s="2404"/>
      <c r="AZ131" s="2404"/>
      <c r="BA131" s="2404"/>
      <c r="BB131" s="2404"/>
      <c r="BC131" s="2404"/>
      <c r="BD131" s="240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3"/>
      <c r="Y132" s="2404"/>
      <c r="Z132" s="2404"/>
      <c r="AA132" s="2404"/>
      <c r="AB132" s="2404"/>
      <c r="AC132" s="2404"/>
      <c r="AD132" s="2404"/>
      <c r="AE132" s="2404"/>
      <c r="AF132" s="2404"/>
      <c r="AG132" s="2404"/>
      <c r="AH132" s="2404"/>
      <c r="AI132" s="2404"/>
      <c r="AJ132" s="2404"/>
      <c r="AK132" s="2404"/>
      <c r="AL132" s="2404"/>
      <c r="AM132" s="2404"/>
      <c r="AN132" s="2404"/>
      <c r="AO132" s="2404"/>
      <c r="AP132" s="2404"/>
      <c r="AQ132" s="2404"/>
      <c r="AR132" s="2404"/>
      <c r="AS132" s="2404"/>
      <c r="AT132" s="2404"/>
      <c r="AU132" s="2404"/>
      <c r="AV132" s="2404"/>
      <c r="AW132" s="2404"/>
      <c r="AX132" s="2404"/>
      <c r="AY132" s="2404"/>
      <c r="AZ132" s="2404"/>
      <c r="BA132" s="2404"/>
      <c r="BB132" s="2404"/>
      <c r="BC132" s="2404"/>
      <c r="BD132" s="2405"/>
      <c r="BE132" s="1202"/>
    </row>
    <row r="133" spans="1:57" ht="15.75" customHeight="1">
      <c r="A133" s="1206"/>
      <c r="B133" s="2282" t="s">
        <v>1832</v>
      </c>
      <c r="C133" s="2283"/>
      <c r="D133" s="2283"/>
      <c r="E133" s="2283"/>
      <c r="F133" s="2283"/>
      <c r="G133" s="2283"/>
      <c r="H133" s="2283"/>
      <c r="I133" s="2283"/>
      <c r="J133" s="2283"/>
      <c r="K133" s="2283"/>
      <c r="L133" s="2283"/>
      <c r="M133" s="2283"/>
      <c r="N133" s="2283"/>
      <c r="O133" s="2283"/>
      <c r="P133" s="2283"/>
      <c r="Q133" s="2283"/>
      <c r="R133" s="2283"/>
      <c r="S133" s="2283"/>
      <c r="T133" s="2283"/>
      <c r="U133" s="2284"/>
      <c r="V133" s="1206"/>
      <c r="W133" s="1206"/>
      <c r="X133" s="2403"/>
      <c r="Y133" s="2404"/>
      <c r="Z133" s="2404"/>
      <c r="AA133" s="2404"/>
      <c r="AB133" s="2404"/>
      <c r="AC133" s="2404"/>
      <c r="AD133" s="2404"/>
      <c r="AE133" s="2404"/>
      <c r="AF133" s="2404"/>
      <c r="AG133" s="2404"/>
      <c r="AH133" s="2404"/>
      <c r="AI133" s="2404"/>
      <c r="AJ133" s="2404"/>
      <c r="AK133" s="2404"/>
      <c r="AL133" s="2404"/>
      <c r="AM133" s="2404"/>
      <c r="AN133" s="2404"/>
      <c r="AO133" s="2404"/>
      <c r="AP133" s="2404"/>
      <c r="AQ133" s="2404"/>
      <c r="AR133" s="2404"/>
      <c r="AS133" s="2404"/>
      <c r="AT133" s="2404"/>
      <c r="AU133" s="2404"/>
      <c r="AV133" s="2404"/>
      <c r="AW133" s="2404"/>
      <c r="AX133" s="2404"/>
      <c r="AY133" s="2404"/>
      <c r="AZ133" s="2404"/>
      <c r="BA133" s="2404"/>
      <c r="BB133" s="2404"/>
      <c r="BC133" s="2404"/>
      <c r="BD133" s="2405"/>
      <c r="BE133" s="1202"/>
    </row>
    <row r="134" spans="1:57" ht="15.75" customHeight="1">
      <c r="A134" s="1206"/>
      <c r="B134" s="2423"/>
      <c r="C134" s="2424"/>
      <c r="D134" s="2424"/>
      <c r="E134" s="2424"/>
      <c r="F134" s="2424"/>
      <c r="G134" s="2424"/>
      <c r="H134" s="2424"/>
      <c r="I134" s="2447" t="s">
        <v>1827</v>
      </c>
      <c r="J134" s="2447"/>
      <c r="K134" s="2447"/>
      <c r="L134" s="2447"/>
      <c r="M134" s="2447"/>
      <c r="N134" s="2447"/>
      <c r="O134" s="2447"/>
      <c r="P134" s="2447" t="s">
        <v>2186</v>
      </c>
      <c r="Q134" s="2447"/>
      <c r="R134" s="2447"/>
      <c r="S134" s="2447"/>
      <c r="T134" s="2447"/>
      <c r="U134" s="2448"/>
      <c r="V134" s="1206"/>
      <c r="W134" s="1206"/>
      <c r="X134" s="2403"/>
      <c r="Y134" s="2404"/>
      <c r="Z134" s="2404"/>
      <c r="AA134" s="2404"/>
      <c r="AB134" s="2404"/>
      <c r="AC134" s="2404"/>
      <c r="AD134" s="2404"/>
      <c r="AE134" s="2404"/>
      <c r="AF134" s="2404"/>
      <c r="AG134" s="2404"/>
      <c r="AH134" s="2404"/>
      <c r="AI134" s="2404"/>
      <c r="AJ134" s="2404"/>
      <c r="AK134" s="2404"/>
      <c r="AL134" s="2404"/>
      <c r="AM134" s="2404"/>
      <c r="AN134" s="2404"/>
      <c r="AO134" s="2404"/>
      <c r="AP134" s="2404"/>
      <c r="AQ134" s="2404"/>
      <c r="AR134" s="2404"/>
      <c r="AS134" s="2404"/>
      <c r="AT134" s="2404"/>
      <c r="AU134" s="2404"/>
      <c r="AV134" s="2404"/>
      <c r="AW134" s="2404"/>
      <c r="AX134" s="2404"/>
      <c r="AY134" s="2404"/>
      <c r="AZ134" s="2404"/>
      <c r="BA134" s="2404"/>
      <c r="BB134" s="2404"/>
      <c r="BC134" s="2404"/>
      <c r="BD134" s="2405"/>
      <c r="BE134" s="1202"/>
    </row>
    <row r="135" spans="1:57" ht="15.75" customHeight="1">
      <c r="A135" s="1206"/>
      <c r="B135" s="2423"/>
      <c r="C135" s="2424"/>
      <c r="D135" s="2424"/>
      <c r="E135" s="2424"/>
      <c r="F135" s="2424"/>
      <c r="G135" s="2424"/>
      <c r="H135" s="2424"/>
      <c r="I135" s="2447"/>
      <c r="J135" s="2447"/>
      <c r="K135" s="2447"/>
      <c r="L135" s="2447"/>
      <c r="M135" s="2447"/>
      <c r="N135" s="2447"/>
      <c r="O135" s="2447"/>
      <c r="P135" s="2447"/>
      <c r="Q135" s="2447"/>
      <c r="R135" s="2447"/>
      <c r="S135" s="2447"/>
      <c r="T135" s="2447"/>
      <c r="U135" s="2448"/>
      <c r="V135" s="1206"/>
      <c r="W135" s="1206"/>
      <c r="X135" s="2403"/>
      <c r="Y135" s="2404"/>
      <c r="Z135" s="2404"/>
      <c r="AA135" s="2404"/>
      <c r="AB135" s="2404"/>
      <c r="AC135" s="2404"/>
      <c r="AD135" s="2404"/>
      <c r="AE135" s="2404"/>
      <c r="AF135" s="2404"/>
      <c r="AG135" s="2404"/>
      <c r="AH135" s="2404"/>
      <c r="AI135" s="2404"/>
      <c r="AJ135" s="2404"/>
      <c r="AK135" s="2404"/>
      <c r="AL135" s="2404"/>
      <c r="AM135" s="2404"/>
      <c r="AN135" s="2404"/>
      <c r="AO135" s="2404"/>
      <c r="AP135" s="2404"/>
      <c r="AQ135" s="2404"/>
      <c r="AR135" s="2404"/>
      <c r="AS135" s="2404"/>
      <c r="AT135" s="2404"/>
      <c r="AU135" s="2404"/>
      <c r="AV135" s="2404"/>
      <c r="AW135" s="2404"/>
      <c r="AX135" s="2404"/>
      <c r="AY135" s="2404"/>
      <c r="AZ135" s="2404"/>
      <c r="BA135" s="2404"/>
      <c r="BB135" s="2404"/>
      <c r="BC135" s="2404"/>
      <c r="BD135" s="2405"/>
      <c r="BE135" s="1202"/>
    </row>
    <row r="136" spans="1:57" ht="15.75" customHeight="1">
      <c r="A136" s="1206"/>
      <c r="B136" s="2429" t="s">
        <v>2174</v>
      </c>
      <c r="C136" s="2430"/>
      <c r="D136" s="2430"/>
      <c r="E136" s="2430"/>
      <c r="F136" s="2430"/>
      <c r="G136" s="2430"/>
      <c r="H136" s="2430"/>
      <c r="I136" s="2217">
        <v>0</v>
      </c>
      <c r="J136" s="2217"/>
      <c r="K136" s="2217"/>
      <c r="L136" s="2217"/>
      <c r="M136" s="2217"/>
      <c r="N136" s="2217"/>
      <c r="O136" s="2217"/>
      <c r="P136" s="2217">
        <v>0</v>
      </c>
      <c r="Q136" s="2217"/>
      <c r="R136" s="2217"/>
      <c r="S136" s="2217"/>
      <c r="T136" s="2217"/>
      <c r="U136" s="2223"/>
      <c r="V136" s="1206"/>
      <c r="W136" s="1206"/>
      <c r="X136" s="2403"/>
      <c r="Y136" s="2404"/>
      <c r="Z136" s="2404"/>
      <c r="AA136" s="2404"/>
      <c r="AB136" s="2404"/>
      <c r="AC136" s="2404"/>
      <c r="AD136" s="2404"/>
      <c r="AE136" s="2404"/>
      <c r="AF136" s="2404"/>
      <c r="AG136" s="2404"/>
      <c r="AH136" s="2404"/>
      <c r="AI136" s="2404"/>
      <c r="AJ136" s="2404"/>
      <c r="AK136" s="2404"/>
      <c r="AL136" s="2404"/>
      <c r="AM136" s="2404"/>
      <c r="AN136" s="2404"/>
      <c r="AO136" s="2404"/>
      <c r="AP136" s="2404"/>
      <c r="AQ136" s="2404"/>
      <c r="AR136" s="2404"/>
      <c r="AS136" s="2404"/>
      <c r="AT136" s="2404"/>
      <c r="AU136" s="2404"/>
      <c r="AV136" s="2404"/>
      <c r="AW136" s="2404"/>
      <c r="AX136" s="2404"/>
      <c r="AY136" s="2404"/>
      <c r="AZ136" s="2404"/>
      <c r="BA136" s="2404"/>
      <c r="BB136" s="2404"/>
      <c r="BC136" s="2404"/>
      <c r="BD136" s="2405"/>
      <c r="BE136" s="1202"/>
    </row>
    <row r="137" spans="1:57" ht="15.75" customHeight="1" thickBot="1">
      <c r="A137" s="1206"/>
      <c r="B137" s="2431" t="s">
        <v>2175</v>
      </c>
      <c r="C137" s="2432"/>
      <c r="D137" s="2432"/>
      <c r="E137" s="2432"/>
      <c r="F137" s="2432"/>
      <c r="G137" s="2432"/>
      <c r="H137" s="2432"/>
      <c r="I137" s="2237">
        <v>0</v>
      </c>
      <c r="J137" s="2237"/>
      <c r="K137" s="2237"/>
      <c r="L137" s="2237"/>
      <c r="M137" s="2237"/>
      <c r="N137" s="2237"/>
      <c r="O137" s="2237"/>
      <c r="P137" s="2237">
        <v>0</v>
      </c>
      <c r="Q137" s="2237"/>
      <c r="R137" s="2237"/>
      <c r="S137" s="2237"/>
      <c r="T137" s="2237"/>
      <c r="U137" s="2238"/>
      <c r="V137" s="1206"/>
      <c r="W137" s="1206"/>
      <c r="X137" s="2406"/>
      <c r="Y137" s="2407"/>
      <c r="Z137" s="2407"/>
      <c r="AA137" s="2407"/>
      <c r="AB137" s="2407"/>
      <c r="AC137" s="2407"/>
      <c r="AD137" s="2407"/>
      <c r="AE137" s="2407"/>
      <c r="AF137" s="2407"/>
      <c r="AG137" s="2407"/>
      <c r="AH137" s="2407"/>
      <c r="AI137" s="2407"/>
      <c r="AJ137" s="2407"/>
      <c r="AK137" s="2407"/>
      <c r="AL137" s="2407"/>
      <c r="AM137" s="2407"/>
      <c r="AN137" s="2407"/>
      <c r="AO137" s="2407"/>
      <c r="AP137" s="2407"/>
      <c r="AQ137" s="2407"/>
      <c r="AR137" s="2407"/>
      <c r="AS137" s="2407"/>
      <c r="AT137" s="2407"/>
      <c r="AU137" s="2407"/>
      <c r="AV137" s="2407"/>
      <c r="AW137" s="2407"/>
      <c r="AX137" s="2407"/>
      <c r="AY137" s="2407"/>
      <c r="AZ137" s="2407"/>
      <c r="BA137" s="2407"/>
      <c r="BB137" s="2407"/>
      <c r="BC137" s="2407"/>
      <c r="BD137" s="240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33" t="s">
        <v>1833</v>
      </c>
      <c r="C139" s="2434"/>
      <c r="D139" s="2434"/>
      <c r="E139" s="2434"/>
      <c r="F139" s="2434"/>
      <c r="G139" s="2434"/>
      <c r="H139" s="2434"/>
      <c r="I139" s="2434"/>
      <c r="J139" s="2434"/>
      <c r="K139" s="2434"/>
      <c r="L139" s="2434"/>
      <c r="M139" s="2434"/>
      <c r="N139" s="2434"/>
      <c r="O139" s="2434"/>
      <c r="P139" s="2434"/>
      <c r="Q139" s="2434"/>
      <c r="R139" s="2434"/>
      <c r="S139" s="2434"/>
      <c r="T139" s="2434"/>
      <c r="U139" s="2434"/>
      <c r="V139" s="2434"/>
      <c r="W139" s="2434"/>
      <c r="X139" s="2434"/>
      <c r="Y139" s="2434"/>
      <c r="Z139" s="2434"/>
      <c r="AA139" s="2434"/>
      <c r="AB139" s="2434"/>
      <c r="AC139" s="2434"/>
      <c r="AD139" s="2434"/>
      <c r="AE139" s="2434"/>
      <c r="AF139" s="2434"/>
      <c r="AG139" s="2434"/>
      <c r="AH139" s="2435" t="s">
        <v>553</v>
      </c>
      <c r="AI139" s="2435"/>
      <c r="AJ139" s="2435"/>
      <c r="AK139" s="2435"/>
      <c r="AL139" s="2435"/>
      <c r="AM139" s="2435"/>
      <c r="AN139" s="2435"/>
      <c r="AO139" s="2435"/>
      <c r="AP139" s="2435"/>
      <c r="AQ139" s="2435"/>
      <c r="AR139" s="2435"/>
      <c r="AS139" s="2435"/>
      <c r="AT139" s="2435"/>
      <c r="AU139" s="2435"/>
      <c r="AV139" s="2435"/>
      <c r="AW139" s="2435"/>
      <c r="AX139" s="2436"/>
      <c r="AY139" s="1206"/>
      <c r="AZ139" s="1206"/>
      <c r="BA139" s="1206"/>
      <c r="BB139" s="1206"/>
      <c r="BC139" s="1206"/>
      <c r="BD139" s="1206"/>
      <c r="BE139" s="1202"/>
    </row>
    <row r="140" spans="1:57" ht="15.75" customHeight="1">
      <c r="A140" s="1206"/>
      <c r="B140" s="2437" t="s">
        <v>1834</v>
      </c>
      <c r="C140" s="2438"/>
      <c r="D140" s="2438"/>
      <c r="E140" s="2438"/>
      <c r="F140" s="2438"/>
      <c r="G140" s="2438"/>
      <c r="H140" s="2438"/>
      <c r="I140" s="2438"/>
      <c r="J140" s="2438"/>
      <c r="K140" s="2438"/>
      <c r="L140" s="2438"/>
      <c r="M140" s="2438"/>
      <c r="N140" s="2438"/>
      <c r="O140" s="2438"/>
      <c r="P140" s="2438"/>
      <c r="Q140" s="2438"/>
      <c r="R140" s="2439" t="s">
        <v>2188</v>
      </c>
      <c r="S140" s="2439"/>
      <c r="T140" s="2439"/>
      <c r="U140" s="2439"/>
      <c r="V140" s="2439"/>
      <c r="W140" s="2439"/>
      <c r="X140" s="2439"/>
      <c r="Y140" s="2439"/>
      <c r="Z140" s="2439"/>
      <c r="AA140" s="2439"/>
      <c r="AB140" s="2439"/>
      <c r="AC140" s="2439"/>
      <c r="AD140" s="2439"/>
      <c r="AE140" s="2439"/>
      <c r="AF140" s="2439"/>
      <c r="AG140" s="2439"/>
      <c r="AH140" s="2439"/>
      <c r="AI140" s="2439"/>
      <c r="AJ140" s="2439"/>
      <c r="AK140" s="2439"/>
      <c r="AL140" s="2439"/>
      <c r="AM140" s="2439"/>
      <c r="AN140" s="2439"/>
      <c r="AO140" s="2439"/>
      <c r="AP140" s="2439"/>
      <c r="AQ140" s="2439"/>
      <c r="AR140" s="2439"/>
      <c r="AS140" s="2439"/>
      <c r="AT140" s="2439"/>
      <c r="AU140" s="2439"/>
      <c r="AV140" s="2439"/>
      <c r="AW140" s="2439"/>
      <c r="AX140" s="2440"/>
      <c r="AY140" s="1206"/>
      <c r="AZ140" s="1206"/>
      <c r="BA140" s="1206"/>
      <c r="BB140" s="1206"/>
      <c r="BC140" s="1206" t="s">
        <v>251</v>
      </c>
      <c r="BD140" s="1206"/>
      <c r="BE140" s="1202"/>
    </row>
    <row r="141" spans="1:57" ht="15.75" customHeight="1">
      <c r="A141" s="1206"/>
      <c r="B141" s="2441" t="s">
        <v>2189</v>
      </c>
      <c r="C141" s="2442"/>
      <c r="D141" s="2442"/>
      <c r="E141" s="2442"/>
      <c r="F141" s="2442"/>
      <c r="G141" s="2442"/>
      <c r="H141" s="2442"/>
      <c r="I141" s="2442"/>
      <c r="J141" s="2442"/>
      <c r="K141" s="2442"/>
      <c r="L141" s="2442"/>
      <c r="M141" s="2442"/>
      <c r="N141" s="2442"/>
      <c r="O141" s="2442"/>
      <c r="P141" s="2442"/>
      <c r="Q141" s="2442"/>
      <c r="R141" s="2442"/>
      <c r="S141" s="2442"/>
      <c r="T141" s="2442"/>
      <c r="U141" s="2442"/>
      <c r="V141" s="2442"/>
      <c r="W141" s="2442"/>
      <c r="X141" s="2442"/>
      <c r="Y141" s="2442"/>
      <c r="Z141" s="2442"/>
      <c r="AA141" s="2442"/>
      <c r="AB141" s="2442"/>
      <c r="AC141" s="2442"/>
      <c r="AD141" s="2442"/>
      <c r="AE141" s="2442"/>
      <c r="AF141" s="2442"/>
      <c r="AG141" s="2442"/>
      <c r="AH141" s="2442"/>
      <c r="AI141" s="2442"/>
      <c r="AJ141" s="2442"/>
      <c r="AK141" s="2442"/>
      <c r="AL141" s="2442"/>
      <c r="AM141" s="2442"/>
      <c r="AN141" s="2442"/>
      <c r="AO141" s="2442"/>
      <c r="AP141" s="2442"/>
      <c r="AQ141" s="2442"/>
      <c r="AR141" s="2442"/>
      <c r="AS141" s="2442"/>
      <c r="AT141" s="2442"/>
      <c r="AU141" s="2442"/>
      <c r="AV141" s="2442"/>
      <c r="AW141" s="2442"/>
      <c r="AX141" s="2443"/>
      <c r="AY141" s="1206"/>
      <c r="AZ141" s="1206"/>
      <c r="BA141" s="1206"/>
      <c r="BB141" s="1206"/>
      <c r="BC141" s="1206"/>
      <c r="BD141" s="1206"/>
      <c r="BE141" s="1202"/>
    </row>
    <row r="142" spans="1:57" ht="15.75" customHeight="1">
      <c r="A142" s="1206"/>
      <c r="B142" s="2441"/>
      <c r="C142" s="2442"/>
      <c r="D142" s="2442"/>
      <c r="E142" s="2442"/>
      <c r="F142" s="2442"/>
      <c r="G142" s="2442"/>
      <c r="H142" s="2442"/>
      <c r="I142" s="2442"/>
      <c r="J142" s="2442"/>
      <c r="K142" s="2442"/>
      <c r="L142" s="2442"/>
      <c r="M142" s="2442"/>
      <c r="N142" s="2442"/>
      <c r="O142" s="2442"/>
      <c r="P142" s="2442"/>
      <c r="Q142" s="2442"/>
      <c r="R142" s="2442"/>
      <c r="S142" s="2442"/>
      <c r="T142" s="2442"/>
      <c r="U142" s="2442"/>
      <c r="V142" s="2442"/>
      <c r="W142" s="2442"/>
      <c r="X142" s="2442"/>
      <c r="Y142" s="2442"/>
      <c r="Z142" s="2442"/>
      <c r="AA142" s="2442"/>
      <c r="AB142" s="2442"/>
      <c r="AC142" s="2442"/>
      <c r="AD142" s="2442"/>
      <c r="AE142" s="2442"/>
      <c r="AF142" s="2442"/>
      <c r="AG142" s="2442"/>
      <c r="AH142" s="2442"/>
      <c r="AI142" s="2442"/>
      <c r="AJ142" s="2442"/>
      <c r="AK142" s="2442"/>
      <c r="AL142" s="2442"/>
      <c r="AM142" s="2442"/>
      <c r="AN142" s="2442"/>
      <c r="AO142" s="2442"/>
      <c r="AP142" s="2442"/>
      <c r="AQ142" s="2442"/>
      <c r="AR142" s="2442"/>
      <c r="AS142" s="2442"/>
      <c r="AT142" s="2442"/>
      <c r="AU142" s="2442"/>
      <c r="AV142" s="2442"/>
      <c r="AW142" s="2442"/>
      <c r="AX142" s="2443"/>
      <c r="AY142" s="1206"/>
      <c r="AZ142" s="1206"/>
      <c r="BA142" s="1206"/>
      <c r="BB142" s="1206"/>
      <c r="BC142" s="1206"/>
      <c r="BD142" s="1206"/>
      <c r="BE142" s="1202"/>
    </row>
    <row r="143" spans="1:57" ht="15.75" customHeight="1">
      <c r="A143" s="1206"/>
      <c r="B143" s="2441"/>
      <c r="C143" s="2442"/>
      <c r="D143" s="2442"/>
      <c r="E143" s="2442"/>
      <c r="F143" s="2442"/>
      <c r="G143" s="2442"/>
      <c r="H143" s="2442"/>
      <c r="I143" s="2442"/>
      <c r="J143" s="2442"/>
      <c r="K143" s="2442"/>
      <c r="L143" s="2442"/>
      <c r="M143" s="2442"/>
      <c r="N143" s="2442"/>
      <c r="O143" s="2442"/>
      <c r="P143" s="2442"/>
      <c r="Q143" s="2442"/>
      <c r="R143" s="2442"/>
      <c r="S143" s="2442"/>
      <c r="T143" s="2442"/>
      <c r="U143" s="2442"/>
      <c r="V143" s="2442"/>
      <c r="W143" s="2442"/>
      <c r="X143" s="2442"/>
      <c r="Y143" s="2442"/>
      <c r="Z143" s="2442"/>
      <c r="AA143" s="2442"/>
      <c r="AB143" s="2442"/>
      <c r="AC143" s="2442"/>
      <c r="AD143" s="2442"/>
      <c r="AE143" s="2442"/>
      <c r="AF143" s="2442"/>
      <c r="AG143" s="2442"/>
      <c r="AH143" s="2442"/>
      <c r="AI143" s="2442"/>
      <c r="AJ143" s="2442"/>
      <c r="AK143" s="2442"/>
      <c r="AL143" s="2442"/>
      <c r="AM143" s="2442"/>
      <c r="AN143" s="2442"/>
      <c r="AO143" s="2442"/>
      <c r="AP143" s="2442"/>
      <c r="AQ143" s="2442"/>
      <c r="AR143" s="2442"/>
      <c r="AS143" s="2442"/>
      <c r="AT143" s="2442"/>
      <c r="AU143" s="2442"/>
      <c r="AV143" s="2442"/>
      <c r="AW143" s="2442"/>
      <c r="AX143" s="2443"/>
      <c r="AY143" s="1206"/>
      <c r="AZ143" s="1206"/>
      <c r="BA143" s="1206"/>
      <c r="BB143" s="1206"/>
      <c r="BC143" s="1206"/>
      <c r="BD143" s="1206"/>
      <c r="BE143" s="1202"/>
    </row>
    <row r="144" spans="1:57" ht="15.75" customHeight="1">
      <c r="A144" s="1206"/>
      <c r="B144" s="2441"/>
      <c r="C144" s="2442"/>
      <c r="D144" s="2442"/>
      <c r="E144" s="2442"/>
      <c r="F144" s="2442"/>
      <c r="G144" s="2442"/>
      <c r="H144" s="2442"/>
      <c r="I144" s="2442"/>
      <c r="J144" s="2442"/>
      <c r="K144" s="2442"/>
      <c r="L144" s="2442"/>
      <c r="M144" s="2442"/>
      <c r="N144" s="2442"/>
      <c r="O144" s="2442"/>
      <c r="P144" s="2442"/>
      <c r="Q144" s="2442"/>
      <c r="R144" s="2442"/>
      <c r="S144" s="2442"/>
      <c r="T144" s="2442"/>
      <c r="U144" s="2442"/>
      <c r="V144" s="2442"/>
      <c r="W144" s="2442"/>
      <c r="X144" s="2442"/>
      <c r="Y144" s="2442"/>
      <c r="Z144" s="2442"/>
      <c r="AA144" s="2442"/>
      <c r="AB144" s="2442"/>
      <c r="AC144" s="2442"/>
      <c r="AD144" s="2442"/>
      <c r="AE144" s="2442"/>
      <c r="AF144" s="2442"/>
      <c r="AG144" s="2442"/>
      <c r="AH144" s="2442"/>
      <c r="AI144" s="2442"/>
      <c r="AJ144" s="2442"/>
      <c r="AK144" s="2442"/>
      <c r="AL144" s="2442"/>
      <c r="AM144" s="2442"/>
      <c r="AN144" s="2442"/>
      <c r="AO144" s="2442"/>
      <c r="AP144" s="2442"/>
      <c r="AQ144" s="2442"/>
      <c r="AR144" s="2442"/>
      <c r="AS144" s="2442"/>
      <c r="AT144" s="2442"/>
      <c r="AU144" s="2442"/>
      <c r="AV144" s="2442"/>
      <c r="AW144" s="2442"/>
      <c r="AX144" s="2443"/>
      <c r="AY144" s="1206"/>
      <c r="AZ144" s="1206"/>
      <c r="BA144" s="1206"/>
      <c r="BB144" s="1206"/>
      <c r="BC144" s="1206"/>
      <c r="BD144" s="1206"/>
      <c r="BE144" s="1202"/>
    </row>
    <row r="145" spans="1:57" ht="15.75" customHeight="1">
      <c r="A145" s="1206"/>
      <c r="B145" s="2441"/>
      <c r="C145" s="2442"/>
      <c r="D145" s="2442"/>
      <c r="E145" s="2442"/>
      <c r="F145" s="2442"/>
      <c r="G145" s="2442"/>
      <c r="H145" s="2442"/>
      <c r="I145" s="2442"/>
      <c r="J145" s="2442"/>
      <c r="K145" s="2442"/>
      <c r="L145" s="2442"/>
      <c r="M145" s="2442"/>
      <c r="N145" s="2442"/>
      <c r="O145" s="2442"/>
      <c r="P145" s="2442"/>
      <c r="Q145" s="2442"/>
      <c r="R145" s="2442"/>
      <c r="S145" s="2442"/>
      <c r="T145" s="2442"/>
      <c r="U145" s="2442"/>
      <c r="V145" s="2442"/>
      <c r="W145" s="2442"/>
      <c r="X145" s="2442"/>
      <c r="Y145" s="2442"/>
      <c r="Z145" s="2442"/>
      <c r="AA145" s="2442"/>
      <c r="AB145" s="2442"/>
      <c r="AC145" s="2442"/>
      <c r="AD145" s="2442"/>
      <c r="AE145" s="2442"/>
      <c r="AF145" s="2442"/>
      <c r="AG145" s="2442"/>
      <c r="AH145" s="2442"/>
      <c r="AI145" s="2442"/>
      <c r="AJ145" s="2442"/>
      <c r="AK145" s="2442"/>
      <c r="AL145" s="2442"/>
      <c r="AM145" s="2442"/>
      <c r="AN145" s="2442"/>
      <c r="AO145" s="2442"/>
      <c r="AP145" s="2442"/>
      <c r="AQ145" s="2442"/>
      <c r="AR145" s="2442"/>
      <c r="AS145" s="2442"/>
      <c r="AT145" s="2442"/>
      <c r="AU145" s="2442"/>
      <c r="AV145" s="2442"/>
      <c r="AW145" s="2442"/>
      <c r="AX145" s="2443"/>
      <c r="AY145" s="1206"/>
      <c r="AZ145" s="1206"/>
      <c r="BA145" s="1206"/>
      <c r="BB145" s="1206"/>
      <c r="BC145" s="1206"/>
      <c r="BD145" s="1206"/>
      <c r="BE145" s="1202"/>
    </row>
    <row r="146" spans="1:57" ht="15.75" customHeight="1">
      <c r="A146" s="1206"/>
      <c r="B146" s="2441"/>
      <c r="C146" s="2442"/>
      <c r="D146" s="2442"/>
      <c r="E146" s="2442"/>
      <c r="F146" s="2442"/>
      <c r="G146" s="2442"/>
      <c r="H146" s="2442"/>
      <c r="I146" s="2442"/>
      <c r="J146" s="2442"/>
      <c r="K146" s="2442"/>
      <c r="L146" s="2442"/>
      <c r="M146" s="2442"/>
      <c r="N146" s="2442"/>
      <c r="O146" s="2442"/>
      <c r="P146" s="2442"/>
      <c r="Q146" s="2442"/>
      <c r="R146" s="2442"/>
      <c r="S146" s="2442"/>
      <c r="T146" s="2442"/>
      <c r="U146" s="2442"/>
      <c r="V146" s="2442"/>
      <c r="W146" s="2442"/>
      <c r="X146" s="2442"/>
      <c r="Y146" s="2442"/>
      <c r="Z146" s="2442"/>
      <c r="AA146" s="2442"/>
      <c r="AB146" s="2442"/>
      <c r="AC146" s="2442"/>
      <c r="AD146" s="2442"/>
      <c r="AE146" s="2442"/>
      <c r="AF146" s="2442"/>
      <c r="AG146" s="2442"/>
      <c r="AH146" s="2442"/>
      <c r="AI146" s="2442"/>
      <c r="AJ146" s="2442"/>
      <c r="AK146" s="2442"/>
      <c r="AL146" s="2442"/>
      <c r="AM146" s="2442"/>
      <c r="AN146" s="2442"/>
      <c r="AO146" s="2442"/>
      <c r="AP146" s="2442"/>
      <c r="AQ146" s="2442"/>
      <c r="AR146" s="2442"/>
      <c r="AS146" s="2442"/>
      <c r="AT146" s="2442"/>
      <c r="AU146" s="2442"/>
      <c r="AV146" s="2442"/>
      <c r="AW146" s="2442"/>
      <c r="AX146" s="2443"/>
      <c r="AY146" s="1206"/>
      <c r="AZ146" s="1206"/>
      <c r="BA146" s="1206"/>
      <c r="BB146" s="1206"/>
      <c r="BC146" s="1206"/>
      <c r="BD146" s="1206"/>
      <c r="BE146" s="1202"/>
    </row>
    <row r="147" spans="1:57" ht="15.75" customHeight="1">
      <c r="A147" s="1206"/>
      <c r="B147" s="2441"/>
      <c r="C147" s="2442"/>
      <c r="D147" s="2442"/>
      <c r="E147" s="2442"/>
      <c r="F147" s="2442"/>
      <c r="G147" s="2442"/>
      <c r="H147" s="2442"/>
      <c r="I147" s="2442"/>
      <c r="J147" s="2442"/>
      <c r="K147" s="2442"/>
      <c r="L147" s="2442"/>
      <c r="M147" s="2442"/>
      <c r="N147" s="2442"/>
      <c r="O147" s="2442"/>
      <c r="P147" s="2442"/>
      <c r="Q147" s="2442"/>
      <c r="R147" s="2442"/>
      <c r="S147" s="2442"/>
      <c r="T147" s="2442"/>
      <c r="U147" s="2442"/>
      <c r="V147" s="2442"/>
      <c r="W147" s="2442"/>
      <c r="X147" s="2442"/>
      <c r="Y147" s="2442"/>
      <c r="Z147" s="2442"/>
      <c r="AA147" s="2442"/>
      <c r="AB147" s="2442"/>
      <c r="AC147" s="2442"/>
      <c r="AD147" s="2442"/>
      <c r="AE147" s="2442"/>
      <c r="AF147" s="2442"/>
      <c r="AG147" s="2442"/>
      <c r="AH147" s="2442"/>
      <c r="AI147" s="2442"/>
      <c r="AJ147" s="2442"/>
      <c r="AK147" s="2442"/>
      <c r="AL147" s="2442"/>
      <c r="AM147" s="2442"/>
      <c r="AN147" s="2442"/>
      <c r="AO147" s="2442"/>
      <c r="AP147" s="2442"/>
      <c r="AQ147" s="2442"/>
      <c r="AR147" s="2442"/>
      <c r="AS147" s="2442"/>
      <c r="AT147" s="2442"/>
      <c r="AU147" s="2442"/>
      <c r="AV147" s="2442"/>
      <c r="AW147" s="2442"/>
      <c r="AX147" s="2443"/>
      <c r="AY147" s="1206"/>
      <c r="AZ147" s="1206"/>
      <c r="BA147" s="1206"/>
      <c r="BB147" s="1206"/>
      <c r="BC147" s="1206"/>
      <c r="BD147" s="1206"/>
      <c r="BE147" s="1202"/>
    </row>
    <row r="148" spans="1:57" ht="15.75" customHeight="1">
      <c r="A148" s="1206"/>
      <c r="B148" s="2441"/>
      <c r="C148" s="2442"/>
      <c r="D148" s="2442"/>
      <c r="E148" s="2442"/>
      <c r="F148" s="2442"/>
      <c r="G148" s="2442"/>
      <c r="H148" s="2442"/>
      <c r="I148" s="2442"/>
      <c r="J148" s="2442"/>
      <c r="K148" s="2442"/>
      <c r="L148" s="2442"/>
      <c r="M148" s="2442"/>
      <c r="N148" s="2442"/>
      <c r="O148" s="2442"/>
      <c r="P148" s="2442"/>
      <c r="Q148" s="2442"/>
      <c r="R148" s="2442"/>
      <c r="S148" s="2442"/>
      <c r="T148" s="2442"/>
      <c r="U148" s="2442"/>
      <c r="V148" s="2442"/>
      <c r="W148" s="2442"/>
      <c r="X148" s="2442"/>
      <c r="Y148" s="2442"/>
      <c r="Z148" s="2442"/>
      <c r="AA148" s="2442"/>
      <c r="AB148" s="2442"/>
      <c r="AC148" s="2442"/>
      <c r="AD148" s="2442"/>
      <c r="AE148" s="2442"/>
      <c r="AF148" s="2442"/>
      <c r="AG148" s="2442"/>
      <c r="AH148" s="2442"/>
      <c r="AI148" s="2442"/>
      <c r="AJ148" s="2442"/>
      <c r="AK148" s="2442"/>
      <c r="AL148" s="2442"/>
      <c r="AM148" s="2442"/>
      <c r="AN148" s="2442"/>
      <c r="AO148" s="2442"/>
      <c r="AP148" s="2442"/>
      <c r="AQ148" s="2442"/>
      <c r="AR148" s="2442"/>
      <c r="AS148" s="2442"/>
      <c r="AT148" s="2442"/>
      <c r="AU148" s="2442"/>
      <c r="AV148" s="2442"/>
      <c r="AW148" s="2442"/>
      <c r="AX148" s="2443"/>
      <c r="AY148" s="1206"/>
      <c r="AZ148" s="1206"/>
      <c r="BA148" s="1206"/>
      <c r="BB148" s="1206"/>
      <c r="BC148" s="1206"/>
      <c r="BD148" s="1206"/>
      <c r="BE148" s="1202"/>
    </row>
    <row r="149" spans="1:57" ht="15.75" customHeight="1">
      <c r="A149" s="1206"/>
      <c r="B149" s="2441"/>
      <c r="C149" s="2442"/>
      <c r="D149" s="2442"/>
      <c r="E149" s="2442"/>
      <c r="F149" s="2442"/>
      <c r="G149" s="2442"/>
      <c r="H149" s="2442"/>
      <c r="I149" s="2442"/>
      <c r="J149" s="2442"/>
      <c r="K149" s="2442"/>
      <c r="L149" s="2442"/>
      <c r="M149" s="2442"/>
      <c r="N149" s="2442"/>
      <c r="O149" s="2442"/>
      <c r="P149" s="2442"/>
      <c r="Q149" s="2442"/>
      <c r="R149" s="2442"/>
      <c r="S149" s="2442"/>
      <c r="T149" s="2442"/>
      <c r="U149" s="2442"/>
      <c r="V149" s="2442"/>
      <c r="W149" s="2442"/>
      <c r="X149" s="2442"/>
      <c r="Y149" s="2442"/>
      <c r="Z149" s="2442"/>
      <c r="AA149" s="2442"/>
      <c r="AB149" s="2442"/>
      <c r="AC149" s="2442"/>
      <c r="AD149" s="2442"/>
      <c r="AE149" s="2442"/>
      <c r="AF149" s="2442"/>
      <c r="AG149" s="2442"/>
      <c r="AH149" s="2442"/>
      <c r="AI149" s="2442"/>
      <c r="AJ149" s="2442"/>
      <c r="AK149" s="2442"/>
      <c r="AL149" s="2442"/>
      <c r="AM149" s="2442"/>
      <c r="AN149" s="2442"/>
      <c r="AO149" s="2442"/>
      <c r="AP149" s="2442"/>
      <c r="AQ149" s="2442"/>
      <c r="AR149" s="2442"/>
      <c r="AS149" s="2442"/>
      <c r="AT149" s="2442"/>
      <c r="AU149" s="2442"/>
      <c r="AV149" s="2442"/>
      <c r="AW149" s="2442"/>
      <c r="AX149" s="2443"/>
      <c r="AY149" s="1206"/>
      <c r="AZ149" s="1206"/>
      <c r="BA149" s="1206"/>
      <c r="BB149" s="1206"/>
      <c r="BC149" s="1206"/>
      <c r="BD149" s="1206"/>
      <c r="BE149" s="1202"/>
    </row>
    <row r="150" spans="1:57" ht="15.75" customHeight="1" thickBot="1">
      <c r="A150" s="1206"/>
      <c r="B150" s="2444"/>
      <c r="C150" s="2445"/>
      <c r="D150" s="2445"/>
      <c r="E150" s="2445"/>
      <c r="F150" s="2445"/>
      <c r="G150" s="2445"/>
      <c r="H150" s="2445"/>
      <c r="I150" s="2445"/>
      <c r="J150" s="2445"/>
      <c r="K150" s="2445"/>
      <c r="L150" s="2445"/>
      <c r="M150" s="2445"/>
      <c r="N150" s="2445"/>
      <c r="O150" s="2445"/>
      <c r="P150" s="2445"/>
      <c r="Q150" s="2445"/>
      <c r="R150" s="2445"/>
      <c r="S150" s="2445"/>
      <c r="T150" s="2445"/>
      <c r="U150" s="2445"/>
      <c r="V150" s="2445"/>
      <c r="W150" s="2445"/>
      <c r="X150" s="2445"/>
      <c r="Y150" s="2445"/>
      <c r="Z150" s="2445"/>
      <c r="AA150" s="2445"/>
      <c r="AB150" s="2445"/>
      <c r="AC150" s="2445"/>
      <c r="AD150" s="2445"/>
      <c r="AE150" s="2445"/>
      <c r="AF150" s="2445"/>
      <c r="AG150" s="2445"/>
      <c r="AH150" s="2445"/>
      <c r="AI150" s="2445"/>
      <c r="AJ150" s="2445"/>
      <c r="AK150" s="2445"/>
      <c r="AL150" s="2445"/>
      <c r="AM150" s="2445"/>
      <c r="AN150" s="2445"/>
      <c r="AO150" s="2445"/>
      <c r="AP150" s="2445"/>
      <c r="AQ150" s="2445"/>
      <c r="AR150" s="2445"/>
      <c r="AS150" s="2445"/>
      <c r="AT150" s="2445"/>
      <c r="AU150" s="2445"/>
      <c r="AV150" s="2445"/>
      <c r="AW150" s="2445"/>
      <c r="AX150" s="244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70" t="s">
        <v>1836</v>
      </c>
      <c r="C154" s="2371"/>
      <c r="D154" s="2371"/>
      <c r="E154" s="2371"/>
      <c r="F154" s="2371"/>
      <c r="G154" s="2371"/>
      <c r="H154" s="2371"/>
      <c r="I154" s="2371"/>
      <c r="J154" s="2371"/>
      <c r="K154" s="2371"/>
      <c r="L154" s="2371"/>
      <c r="M154" s="2371"/>
      <c r="N154" s="2371"/>
      <c r="O154" s="2371"/>
      <c r="P154" s="2371"/>
      <c r="Q154" s="2371"/>
      <c r="R154" s="2371"/>
      <c r="S154" s="2371"/>
      <c r="T154" s="2371"/>
      <c r="U154" s="2372"/>
      <c r="V154" s="1206"/>
      <c r="W154" s="1214"/>
      <c r="X154" s="2370" t="s">
        <v>2191</v>
      </c>
      <c r="Y154" s="2371"/>
      <c r="Z154" s="2371"/>
      <c r="AA154" s="2371"/>
      <c r="AB154" s="2371"/>
      <c r="AC154" s="2371"/>
      <c r="AD154" s="2371"/>
      <c r="AE154" s="2371"/>
      <c r="AF154" s="2371"/>
      <c r="AG154" s="2371"/>
      <c r="AH154" s="2371"/>
      <c r="AI154" s="2371"/>
      <c r="AJ154" s="2371"/>
      <c r="AK154" s="2371"/>
      <c r="AL154" s="2371"/>
      <c r="AM154" s="2371"/>
      <c r="AN154" s="2371"/>
      <c r="AO154" s="2371"/>
      <c r="AP154" s="2371"/>
      <c r="AQ154" s="2372"/>
      <c r="AR154" s="1206"/>
      <c r="AS154" s="1206"/>
      <c r="AT154" s="1206"/>
      <c r="AU154" s="1206"/>
      <c r="AV154" s="1206"/>
      <c r="AW154" s="1206"/>
      <c r="AX154" s="1206"/>
      <c r="AY154" s="1206"/>
      <c r="AZ154" s="1206"/>
      <c r="BA154" s="1206"/>
      <c r="BB154" s="1206"/>
      <c r="BC154" s="1206"/>
      <c r="BD154" s="1206"/>
      <c r="BE154" s="1202"/>
    </row>
    <row r="155" spans="1:57" ht="15.75" customHeight="1">
      <c r="A155" s="1206"/>
      <c r="B155" s="2423"/>
      <c r="C155" s="2424"/>
      <c r="D155" s="2424"/>
      <c r="E155" s="2424"/>
      <c r="F155" s="2424"/>
      <c r="G155" s="2424"/>
      <c r="H155" s="2424"/>
      <c r="I155" s="2447" t="s">
        <v>1827</v>
      </c>
      <c r="J155" s="2447"/>
      <c r="K155" s="2447"/>
      <c r="L155" s="2447"/>
      <c r="M155" s="2447"/>
      <c r="N155" s="2447"/>
      <c r="O155" s="2447"/>
      <c r="P155" s="2447" t="s">
        <v>2192</v>
      </c>
      <c r="Q155" s="2447"/>
      <c r="R155" s="2447"/>
      <c r="S155" s="2447"/>
      <c r="T155" s="2447"/>
      <c r="U155" s="2448"/>
      <c r="V155" s="1206"/>
      <c r="W155" s="1206"/>
      <c r="X155" s="2423"/>
      <c r="Y155" s="2424"/>
      <c r="Z155" s="2424"/>
      <c r="AA155" s="2424"/>
      <c r="AB155" s="2424"/>
      <c r="AC155" s="2424"/>
      <c r="AD155" s="2424"/>
      <c r="AE155" s="2447" t="s">
        <v>1827</v>
      </c>
      <c r="AF155" s="2447"/>
      <c r="AG155" s="2447"/>
      <c r="AH155" s="2447"/>
      <c r="AI155" s="2447"/>
      <c r="AJ155" s="2447"/>
      <c r="AK155" s="2447"/>
      <c r="AL155" s="2447" t="s">
        <v>2186</v>
      </c>
      <c r="AM155" s="2447"/>
      <c r="AN155" s="2447"/>
      <c r="AO155" s="2447"/>
      <c r="AP155" s="2447"/>
      <c r="AQ155" s="244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23"/>
      <c r="C156" s="2424"/>
      <c r="D156" s="2424"/>
      <c r="E156" s="2424"/>
      <c r="F156" s="2424"/>
      <c r="G156" s="2424"/>
      <c r="H156" s="2424"/>
      <c r="I156" s="2447"/>
      <c r="J156" s="2447"/>
      <c r="K156" s="2447"/>
      <c r="L156" s="2447"/>
      <c r="M156" s="2447"/>
      <c r="N156" s="2447"/>
      <c r="O156" s="2447"/>
      <c r="P156" s="2447"/>
      <c r="Q156" s="2447"/>
      <c r="R156" s="2447"/>
      <c r="S156" s="2447"/>
      <c r="T156" s="2447"/>
      <c r="U156" s="2448"/>
      <c r="V156" s="1206"/>
      <c r="W156" s="1206"/>
      <c r="X156" s="2423"/>
      <c r="Y156" s="2424"/>
      <c r="Z156" s="2424"/>
      <c r="AA156" s="2424"/>
      <c r="AB156" s="2424"/>
      <c r="AC156" s="2424"/>
      <c r="AD156" s="2424"/>
      <c r="AE156" s="2447"/>
      <c r="AF156" s="2447"/>
      <c r="AG156" s="2447"/>
      <c r="AH156" s="2447"/>
      <c r="AI156" s="2447"/>
      <c r="AJ156" s="2447"/>
      <c r="AK156" s="2447"/>
      <c r="AL156" s="2447"/>
      <c r="AM156" s="2447"/>
      <c r="AN156" s="2447"/>
      <c r="AO156" s="2447"/>
      <c r="AP156" s="2447"/>
      <c r="AQ156" s="244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9" t="s">
        <v>2174</v>
      </c>
      <c r="C157" s="2430"/>
      <c r="D157" s="2430"/>
      <c r="E157" s="2430"/>
      <c r="F157" s="2430"/>
      <c r="G157" s="2430"/>
      <c r="H157" s="2430"/>
      <c r="I157" s="2217">
        <v>0</v>
      </c>
      <c r="J157" s="2217"/>
      <c r="K157" s="2217"/>
      <c r="L157" s="2217"/>
      <c r="M157" s="2217"/>
      <c r="N157" s="2217"/>
      <c r="O157" s="2217"/>
      <c r="P157" s="2217">
        <v>0</v>
      </c>
      <c r="Q157" s="2217"/>
      <c r="R157" s="2217"/>
      <c r="S157" s="2217"/>
      <c r="T157" s="2217"/>
      <c r="U157" s="2223"/>
      <c r="V157" s="1206"/>
      <c r="W157" s="1206"/>
      <c r="X157" s="2431" t="s">
        <v>2174</v>
      </c>
      <c r="Y157" s="2432"/>
      <c r="Z157" s="2432"/>
      <c r="AA157" s="2432"/>
      <c r="AB157" s="2432"/>
      <c r="AC157" s="2432"/>
      <c r="AD157" s="2432"/>
      <c r="AE157" s="2237">
        <v>0</v>
      </c>
      <c r="AF157" s="2237"/>
      <c r="AG157" s="2237"/>
      <c r="AH157" s="2237"/>
      <c r="AI157" s="2237"/>
      <c r="AJ157" s="2237"/>
      <c r="AK157" s="2237"/>
      <c r="AL157" s="2237">
        <v>0</v>
      </c>
      <c r="AM157" s="2237"/>
      <c r="AN157" s="2237"/>
      <c r="AO157" s="2237"/>
      <c r="AP157" s="2237"/>
      <c r="AQ157" s="223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31" t="s">
        <v>2175</v>
      </c>
      <c r="C158" s="2432"/>
      <c r="D158" s="2432"/>
      <c r="E158" s="2432"/>
      <c r="F158" s="2432"/>
      <c r="G158" s="2432"/>
      <c r="H158" s="2432"/>
      <c r="I158" s="2237">
        <v>0</v>
      </c>
      <c r="J158" s="2237"/>
      <c r="K158" s="2237"/>
      <c r="L158" s="2237"/>
      <c r="M158" s="2237"/>
      <c r="N158" s="2237"/>
      <c r="O158" s="2237"/>
      <c r="P158" s="2237">
        <v>0</v>
      </c>
      <c r="Q158" s="2237"/>
      <c r="R158" s="2237"/>
      <c r="S158" s="2237"/>
      <c r="T158" s="2237"/>
      <c r="U158" s="223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70" t="s">
        <v>2176</v>
      </c>
      <c r="D160" s="2371"/>
      <c r="E160" s="2371"/>
      <c r="F160" s="2371"/>
      <c r="G160" s="2371"/>
      <c r="H160" s="2371"/>
      <c r="I160" s="2371"/>
      <c r="J160" s="2371"/>
      <c r="K160" s="2371"/>
      <c r="L160" s="2371"/>
      <c r="M160" s="2371"/>
      <c r="N160" s="2371"/>
      <c r="O160" s="2371"/>
      <c r="P160" s="2371"/>
      <c r="Q160" s="2371"/>
      <c r="R160" s="2371"/>
      <c r="S160" s="2371"/>
      <c r="T160" s="2371"/>
      <c r="U160" s="2371"/>
      <c r="V160" s="2371"/>
      <c r="W160" s="2371"/>
      <c r="X160" s="2371"/>
      <c r="Y160" s="2371"/>
      <c r="Z160" s="2371"/>
      <c r="AA160" s="2371"/>
      <c r="AB160" s="2371"/>
      <c r="AC160" s="2371"/>
      <c r="AD160" s="2371"/>
      <c r="AE160" s="2371"/>
      <c r="AF160" s="2371"/>
      <c r="AG160" s="237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23" t="s">
        <v>1837</v>
      </c>
      <c r="D161" s="2424"/>
      <c r="E161" s="2424"/>
      <c r="F161" s="2424"/>
      <c r="G161" s="2424"/>
      <c r="H161" s="2424"/>
      <c r="I161" s="2424"/>
      <c r="J161" s="2424"/>
      <c r="K161" s="2424"/>
      <c r="L161" s="2424"/>
      <c r="M161" s="2424"/>
      <c r="N161" s="2424"/>
      <c r="O161" s="2424"/>
      <c r="P161" s="2424"/>
      <c r="Q161" s="2424" t="s">
        <v>1838</v>
      </c>
      <c r="R161" s="2424"/>
      <c r="S161" s="2424"/>
      <c r="T161" s="2213" t="s">
        <v>2177</v>
      </c>
      <c r="U161" s="2213"/>
      <c r="V161" s="2213"/>
      <c r="W161" s="2213"/>
      <c r="X161" s="2213"/>
      <c r="Y161" s="2213"/>
      <c r="Z161" s="2213"/>
      <c r="AA161" s="2213"/>
      <c r="AB161" s="2424" t="s">
        <v>1839</v>
      </c>
      <c r="AC161" s="2424"/>
      <c r="AD161" s="2424"/>
      <c r="AE161" s="2424"/>
      <c r="AF161" s="2424"/>
      <c r="AG161" s="244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50" t="s">
        <v>1840</v>
      </c>
      <c r="D162" s="2451"/>
      <c r="E162" s="2451"/>
      <c r="F162" s="2451"/>
      <c r="G162" s="2451"/>
      <c r="H162" s="2451"/>
      <c r="I162" s="2451"/>
      <c r="J162" s="2451"/>
      <c r="K162" s="2451"/>
      <c r="L162" s="2451"/>
      <c r="M162" s="2451"/>
      <c r="N162" s="2451"/>
      <c r="O162" s="2451"/>
      <c r="P162" s="2451"/>
      <c r="Q162" s="2452">
        <v>55</v>
      </c>
      <c r="R162" s="2452"/>
      <c r="S162" s="2452"/>
      <c r="T162" s="2453"/>
      <c r="U162" s="2453"/>
      <c r="V162" s="2453"/>
      <c r="W162" s="2453"/>
      <c r="X162" s="2453"/>
      <c r="Y162" s="2453"/>
      <c r="Z162" s="2453"/>
      <c r="AA162" s="245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50" t="s">
        <v>1841</v>
      </c>
      <c r="D163" s="2451"/>
      <c r="E163" s="2451"/>
      <c r="F163" s="2451"/>
      <c r="G163" s="2451"/>
      <c r="H163" s="2451"/>
      <c r="I163" s="2451"/>
      <c r="J163" s="2451"/>
      <c r="K163" s="2451"/>
      <c r="L163" s="2451"/>
      <c r="M163" s="2451"/>
      <c r="N163" s="2451"/>
      <c r="O163" s="2451"/>
      <c r="P163" s="2451"/>
      <c r="Q163" s="2452">
        <v>55</v>
      </c>
      <c r="R163" s="2452"/>
      <c r="S163" s="2452"/>
      <c r="T163" s="2456"/>
      <c r="U163" s="2456"/>
      <c r="V163" s="2456"/>
      <c r="W163" s="2456"/>
      <c r="X163" s="2456"/>
      <c r="Y163" s="2456"/>
      <c r="Z163" s="2456"/>
      <c r="AA163" s="245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50" t="s">
        <v>1842</v>
      </c>
      <c r="D164" s="2451"/>
      <c r="E164" s="2451"/>
      <c r="F164" s="2451"/>
      <c r="G164" s="2451"/>
      <c r="H164" s="2451"/>
      <c r="I164" s="2451"/>
      <c r="J164" s="2451"/>
      <c r="K164" s="2451"/>
      <c r="L164" s="2451"/>
      <c r="M164" s="2451"/>
      <c r="N164" s="2451"/>
      <c r="O164" s="2451"/>
      <c r="P164" s="2451"/>
      <c r="Q164" s="2452">
        <v>55</v>
      </c>
      <c r="R164" s="2452"/>
      <c r="S164" s="2452"/>
      <c r="T164" s="2453"/>
      <c r="U164" s="2453"/>
      <c r="V164" s="2453"/>
      <c r="W164" s="2453"/>
      <c r="X164" s="2453"/>
      <c r="Y164" s="2453"/>
      <c r="Z164" s="2453"/>
      <c r="AA164" s="245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50" t="s">
        <v>1813</v>
      </c>
      <c r="D165" s="2451"/>
      <c r="E165" s="2451"/>
      <c r="F165" s="2451"/>
      <c r="G165" s="2451"/>
      <c r="H165" s="2451"/>
      <c r="I165" s="2451"/>
      <c r="J165" s="2451"/>
      <c r="K165" s="2451"/>
      <c r="L165" s="2451"/>
      <c r="M165" s="2451"/>
      <c r="N165" s="2451"/>
      <c r="O165" s="2451"/>
      <c r="P165" s="2451"/>
      <c r="Q165" s="2452">
        <v>55</v>
      </c>
      <c r="R165" s="2452"/>
      <c r="S165" s="2452"/>
      <c r="T165" s="2453"/>
      <c r="U165" s="2453"/>
      <c r="V165" s="2453"/>
      <c r="W165" s="2453"/>
      <c r="X165" s="2453"/>
      <c r="Y165" s="2453"/>
      <c r="Z165" s="2453"/>
      <c r="AA165" s="2453"/>
      <c r="AB165" s="2454">
        <v>0</v>
      </c>
      <c r="AC165" s="2454"/>
      <c r="AD165" s="2454"/>
      <c r="AE165" s="2454"/>
      <c r="AF165" s="2454"/>
      <c r="AG165" s="245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50" t="s">
        <v>170</v>
      </c>
      <c r="D166" s="2451"/>
      <c r="E166" s="2451"/>
      <c r="F166" s="2457" t="s">
        <v>1843</v>
      </c>
      <c r="G166" s="2457"/>
      <c r="H166" s="2457"/>
      <c r="I166" s="2457"/>
      <c r="J166" s="2457"/>
      <c r="K166" s="2457"/>
      <c r="L166" s="2457"/>
      <c r="M166" s="2457"/>
      <c r="N166" s="2457"/>
      <c r="O166" s="2457"/>
      <c r="P166" s="2457"/>
      <c r="Q166" s="2452">
        <v>55</v>
      </c>
      <c r="R166" s="2452"/>
      <c r="S166" s="2452"/>
      <c r="T166" s="2456"/>
      <c r="U166" s="2456"/>
      <c r="V166" s="2456"/>
      <c r="W166" s="2456"/>
      <c r="X166" s="2456"/>
      <c r="Y166" s="2456"/>
      <c r="Z166" s="2456"/>
      <c r="AA166" s="2456"/>
      <c r="AB166" s="2454">
        <v>0</v>
      </c>
      <c r="AC166" s="2454"/>
      <c r="AD166" s="2454"/>
      <c r="AE166" s="2454"/>
      <c r="AF166" s="2454"/>
      <c r="AG166" s="245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50" t="s">
        <v>170</v>
      </c>
      <c r="D167" s="2451"/>
      <c r="E167" s="2451"/>
      <c r="F167" s="2457" t="s">
        <v>1843</v>
      </c>
      <c r="G167" s="2457"/>
      <c r="H167" s="2457"/>
      <c r="I167" s="2457"/>
      <c r="J167" s="2457"/>
      <c r="K167" s="2457"/>
      <c r="L167" s="2457"/>
      <c r="M167" s="2457"/>
      <c r="N167" s="2457"/>
      <c r="O167" s="2457"/>
      <c r="P167" s="2457"/>
      <c r="Q167" s="2452">
        <v>55</v>
      </c>
      <c r="R167" s="2452"/>
      <c r="S167" s="2452"/>
      <c r="T167" s="2456"/>
      <c r="U167" s="2456"/>
      <c r="V167" s="2456"/>
      <c r="W167" s="2456"/>
      <c r="X167" s="2456"/>
      <c r="Y167" s="2456"/>
      <c r="Z167" s="2456"/>
      <c r="AA167" s="2456"/>
      <c r="AB167" s="2454">
        <v>0</v>
      </c>
      <c r="AC167" s="2454"/>
      <c r="AD167" s="2454"/>
      <c r="AE167" s="2454"/>
      <c r="AF167" s="2454"/>
      <c r="AG167" s="245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8" t="s">
        <v>170</v>
      </c>
      <c r="D168" s="2459"/>
      <c r="E168" s="2459"/>
      <c r="F168" s="2460" t="s">
        <v>1843</v>
      </c>
      <c r="G168" s="2460"/>
      <c r="H168" s="2460"/>
      <c r="I168" s="2460"/>
      <c r="J168" s="2460"/>
      <c r="K168" s="2460"/>
      <c r="L168" s="2460"/>
      <c r="M168" s="2460"/>
      <c r="N168" s="2460"/>
      <c r="O168" s="2460"/>
      <c r="P168" s="2460"/>
      <c r="Q168" s="2461">
        <v>55</v>
      </c>
      <c r="R168" s="2461"/>
      <c r="S168" s="2461"/>
      <c r="T168" s="2462"/>
      <c r="U168" s="2462"/>
      <c r="V168" s="2462"/>
      <c r="W168" s="2462"/>
      <c r="X168" s="2462"/>
      <c r="Y168" s="2462"/>
      <c r="Z168" s="2462"/>
      <c r="AA168" s="2462"/>
      <c r="AB168" s="2463">
        <v>0</v>
      </c>
      <c r="AC168" s="2463"/>
      <c r="AD168" s="2463"/>
      <c r="AE168" s="2463"/>
      <c r="AF168" s="2463"/>
      <c r="AG168" s="246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75" t="s">
        <v>1844</v>
      </c>
      <c r="D170" s="2476"/>
      <c r="E170" s="2476"/>
      <c r="F170" s="2476"/>
      <c r="G170" s="2476"/>
      <c r="H170" s="2476"/>
      <c r="I170" s="2476"/>
      <c r="J170" s="2476"/>
      <c r="K170" s="2476"/>
      <c r="L170" s="2476"/>
      <c r="M170" s="2476"/>
      <c r="N170" s="2477"/>
      <c r="O170" s="1206"/>
      <c r="P170" s="2433" t="s">
        <v>1845</v>
      </c>
      <c r="Q170" s="2434"/>
      <c r="R170" s="2434"/>
      <c r="S170" s="2434"/>
      <c r="T170" s="2434"/>
      <c r="U170" s="2434"/>
      <c r="V170" s="2434"/>
      <c r="W170" s="2434"/>
      <c r="X170" s="2434"/>
      <c r="Y170" s="2434"/>
      <c r="Z170" s="2434"/>
      <c r="AA170" s="2434"/>
      <c r="AB170" s="2434"/>
      <c r="AC170" s="2434"/>
      <c r="AD170" s="2434"/>
      <c r="AE170" s="2434"/>
      <c r="AF170" s="2434"/>
      <c r="AG170" s="2434"/>
      <c r="AH170" s="2434"/>
      <c r="AI170" s="2434"/>
      <c r="AJ170" s="2434"/>
      <c r="AK170" s="2434"/>
      <c r="AL170" s="2434"/>
      <c r="AM170" s="2434"/>
      <c r="AN170" s="2434"/>
      <c r="AO170" s="247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23" t="s">
        <v>1846</v>
      </c>
      <c r="D171" s="2424"/>
      <c r="E171" s="2424"/>
      <c r="F171" s="2424"/>
      <c r="G171" s="2424"/>
      <c r="H171" s="2424"/>
      <c r="I171" s="2424" t="s">
        <v>1847</v>
      </c>
      <c r="J171" s="2424"/>
      <c r="K171" s="2424"/>
      <c r="L171" s="2424"/>
      <c r="M171" s="2424"/>
      <c r="N171" s="2449"/>
      <c r="O171" s="1206"/>
      <c r="P171" s="2403" t="s">
        <v>2185</v>
      </c>
      <c r="Q171" s="2404"/>
      <c r="R171" s="2404"/>
      <c r="S171" s="2404"/>
      <c r="T171" s="2404"/>
      <c r="U171" s="2404"/>
      <c r="V171" s="2404"/>
      <c r="W171" s="2404"/>
      <c r="X171" s="2404"/>
      <c r="Y171" s="2404"/>
      <c r="Z171" s="2404"/>
      <c r="AA171" s="2404"/>
      <c r="AB171" s="2404"/>
      <c r="AC171" s="2404"/>
      <c r="AD171" s="2404"/>
      <c r="AE171" s="2404"/>
      <c r="AF171" s="2404"/>
      <c r="AG171" s="2404"/>
      <c r="AH171" s="2404"/>
      <c r="AI171" s="2404"/>
      <c r="AJ171" s="2404"/>
      <c r="AK171" s="2404"/>
      <c r="AL171" s="2404"/>
      <c r="AM171" s="2404"/>
      <c r="AN171" s="2404"/>
      <c r="AO171" s="240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9"/>
      <c r="D172" s="2379"/>
      <c r="E172" s="2379"/>
      <c r="F172" s="2379"/>
      <c r="G172" s="2379"/>
      <c r="H172" s="2379"/>
      <c r="I172" s="2453"/>
      <c r="J172" s="2453"/>
      <c r="K172" s="2453"/>
      <c r="L172" s="2453"/>
      <c r="M172" s="2453"/>
      <c r="N172" s="2479"/>
      <c r="O172" s="1206"/>
      <c r="P172" s="2403"/>
      <c r="Q172" s="2404"/>
      <c r="R172" s="2404"/>
      <c r="S172" s="2404"/>
      <c r="T172" s="2404"/>
      <c r="U172" s="2404"/>
      <c r="V172" s="2404"/>
      <c r="W172" s="2404"/>
      <c r="X172" s="2404"/>
      <c r="Y172" s="2404"/>
      <c r="Z172" s="2404"/>
      <c r="AA172" s="2404"/>
      <c r="AB172" s="2404"/>
      <c r="AC172" s="2404"/>
      <c r="AD172" s="2404"/>
      <c r="AE172" s="2404"/>
      <c r="AF172" s="2404"/>
      <c r="AG172" s="2404"/>
      <c r="AH172" s="2404"/>
      <c r="AI172" s="2404"/>
      <c r="AJ172" s="2404"/>
      <c r="AK172" s="2404"/>
      <c r="AL172" s="2404"/>
      <c r="AM172" s="2404"/>
      <c r="AN172" s="2404"/>
      <c r="AO172" s="240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9"/>
      <c r="D173" s="2379"/>
      <c r="E173" s="2379"/>
      <c r="F173" s="2379"/>
      <c r="G173" s="2379"/>
      <c r="H173" s="2379"/>
      <c r="I173" s="2453"/>
      <c r="J173" s="2453"/>
      <c r="K173" s="2453"/>
      <c r="L173" s="2453"/>
      <c r="M173" s="2453"/>
      <c r="N173" s="2479"/>
      <c r="O173" s="1206"/>
      <c r="P173" s="2403"/>
      <c r="Q173" s="2404"/>
      <c r="R173" s="2404"/>
      <c r="S173" s="2404"/>
      <c r="T173" s="2404"/>
      <c r="U173" s="2404"/>
      <c r="V173" s="2404"/>
      <c r="W173" s="2404"/>
      <c r="X173" s="2404"/>
      <c r="Y173" s="2404"/>
      <c r="Z173" s="2404"/>
      <c r="AA173" s="2404"/>
      <c r="AB173" s="2404"/>
      <c r="AC173" s="2404"/>
      <c r="AD173" s="2404"/>
      <c r="AE173" s="2404"/>
      <c r="AF173" s="2404"/>
      <c r="AG173" s="2404"/>
      <c r="AH173" s="2404"/>
      <c r="AI173" s="2404"/>
      <c r="AJ173" s="2404"/>
      <c r="AK173" s="2404"/>
      <c r="AL173" s="2404"/>
      <c r="AM173" s="2404"/>
      <c r="AN173" s="2404"/>
      <c r="AO173" s="240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9"/>
      <c r="D174" s="2379"/>
      <c r="E174" s="2379"/>
      <c r="F174" s="2379"/>
      <c r="G174" s="2379"/>
      <c r="H174" s="2379"/>
      <c r="I174" s="2453"/>
      <c r="J174" s="2453"/>
      <c r="K174" s="2453"/>
      <c r="L174" s="2453"/>
      <c r="M174" s="2453"/>
      <c r="N174" s="2479"/>
      <c r="O174" s="1206"/>
      <c r="P174" s="2403"/>
      <c r="Q174" s="2404"/>
      <c r="R174" s="2404"/>
      <c r="S174" s="2404"/>
      <c r="T174" s="2404"/>
      <c r="U174" s="2404"/>
      <c r="V174" s="2404"/>
      <c r="W174" s="2404"/>
      <c r="X174" s="2404"/>
      <c r="Y174" s="2404"/>
      <c r="Z174" s="2404"/>
      <c r="AA174" s="2404"/>
      <c r="AB174" s="2404"/>
      <c r="AC174" s="2404"/>
      <c r="AD174" s="2404"/>
      <c r="AE174" s="2404"/>
      <c r="AF174" s="2404"/>
      <c r="AG174" s="2404"/>
      <c r="AH174" s="2404"/>
      <c r="AI174" s="2404"/>
      <c r="AJ174" s="2404"/>
      <c r="AK174" s="2404"/>
      <c r="AL174" s="2404"/>
      <c r="AM174" s="2404"/>
      <c r="AN174" s="2404"/>
      <c r="AO174" s="240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9"/>
      <c r="D175" s="2379"/>
      <c r="E175" s="2379"/>
      <c r="F175" s="2379"/>
      <c r="G175" s="2379"/>
      <c r="H175" s="2379"/>
      <c r="I175" s="2453"/>
      <c r="J175" s="2453"/>
      <c r="K175" s="2453"/>
      <c r="L175" s="2453"/>
      <c r="M175" s="2453"/>
      <c r="N175" s="2479"/>
      <c r="O175" s="1206"/>
      <c r="P175" s="2403"/>
      <c r="Q175" s="2404"/>
      <c r="R175" s="2404"/>
      <c r="S175" s="2404"/>
      <c r="T175" s="2404"/>
      <c r="U175" s="2404"/>
      <c r="V175" s="2404"/>
      <c r="W175" s="2404"/>
      <c r="X175" s="2404"/>
      <c r="Y175" s="2404"/>
      <c r="Z175" s="2404"/>
      <c r="AA175" s="2404"/>
      <c r="AB175" s="2404"/>
      <c r="AC175" s="2404"/>
      <c r="AD175" s="2404"/>
      <c r="AE175" s="2404"/>
      <c r="AF175" s="2404"/>
      <c r="AG175" s="2404"/>
      <c r="AH175" s="2404"/>
      <c r="AI175" s="2404"/>
      <c r="AJ175" s="2404"/>
      <c r="AK175" s="2404"/>
      <c r="AL175" s="2404"/>
      <c r="AM175" s="2404"/>
      <c r="AN175" s="2404"/>
      <c r="AO175" s="240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9"/>
      <c r="D176" s="2379"/>
      <c r="E176" s="2379"/>
      <c r="F176" s="2379"/>
      <c r="G176" s="2379"/>
      <c r="H176" s="2379"/>
      <c r="I176" s="2453"/>
      <c r="J176" s="2453"/>
      <c r="K176" s="2453"/>
      <c r="L176" s="2453"/>
      <c r="M176" s="2453"/>
      <c r="N176" s="2479"/>
      <c r="O176" s="1206"/>
      <c r="P176" s="2403"/>
      <c r="Q176" s="2404"/>
      <c r="R176" s="2404"/>
      <c r="S176" s="2404"/>
      <c r="T176" s="2404"/>
      <c r="U176" s="2404"/>
      <c r="V176" s="2404"/>
      <c r="W176" s="2404"/>
      <c r="X176" s="2404"/>
      <c r="Y176" s="2404"/>
      <c r="Z176" s="2404"/>
      <c r="AA176" s="2404"/>
      <c r="AB176" s="2404"/>
      <c r="AC176" s="2404"/>
      <c r="AD176" s="2404"/>
      <c r="AE176" s="2404"/>
      <c r="AF176" s="2404"/>
      <c r="AG176" s="2404"/>
      <c r="AH176" s="2404"/>
      <c r="AI176" s="2404"/>
      <c r="AJ176" s="2404"/>
      <c r="AK176" s="2404"/>
      <c r="AL176" s="2404"/>
      <c r="AM176" s="2404"/>
      <c r="AN176" s="2404"/>
      <c r="AO176" s="240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9"/>
      <c r="D177" s="2379"/>
      <c r="E177" s="2379"/>
      <c r="F177" s="2379"/>
      <c r="G177" s="2379"/>
      <c r="H177" s="2379"/>
      <c r="I177" s="2453"/>
      <c r="J177" s="2453"/>
      <c r="K177" s="2453"/>
      <c r="L177" s="2453"/>
      <c r="M177" s="2453"/>
      <c r="N177" s="2479"/>
      <c r="O177" s="1206"/>
      <c r="P177" s="2403"/>
      <c r="Q177" s="2404"/>
      <c r="R177" s="2404"/>
      <c r="S177" s="2404"/>
      <c r="T177" s="2404"/>
      <c r="U177" s="2404"/>
      <c r="V177" s="2404"/>
      <c r="W177" s="2404"/>
      <c r="X177" s="2404"/>
      <c r="Y177" s="2404"/>
      <c r="Z177" s="2404"/>
      <c r="AA177" s="2404"/>
      <c r="AB177" s="2404"/>
      <c r="AC177" s="2404"/>
      <c r="AD177" s="2404"/>
      <c r="AE177" s="2404"/>
      <c r="AF177" s="2404"/>
      <c r="AG177" s="2404"/>
      <c r="AH177" s="2404"/>
      <c r="AI177" s="2404"/>
      <c r="AJ177" s="2404"/>
      <c r="AK177" s="2404"/>
      <c r="AL177" s="2404"/>
      <c r="AM177" s="2404"/>
      <c r="AN177" s="2404"/>
      <c r="AO177" s="240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65"/>
      <c r="D178" s="2466"/>
      <c r="E178" s="2466"/>
      <c r="F178" s="2466"/>
      <c r="G178" s="2466"/>
      <c r="H178" s="2466"/>
      <c r="I178" s="2467"/>
      <c r="J178" s="2467"/>
      <c r="K178" s="2467"/>
      <c r="L178" s="2467"/>
      <c r="M178" s="2467"/>
      <c r="N178" s="2468"/>
      <c r="O178" s="1206"/>
      <c r="P178" s="2406"/>
      <c r="Q178" s="2407"/>
      <c r="R178" s="2407"/>
      <c r="S178" s="2407"/>
      <c r="T178" s="2407"/>
      <c r="U178" s="2407"/>
      <c r="V178" s="2407"/>
      <c r="W178" s="2407"/>
      <c r="X178" s="2407"/>
      <c r="Y178" s="2407"/>
      <c r="Z178" s="2407"/>
      <c r="AA178" s="2407"/>
      <c r="AB178" s="2407"/>
      <c r="AC178" s="2407"/>
      <c r="AD178" s="2407"/>
      <c r="AE178" s="2407"/>
      <c r="AF178" s="2407"/>
      <c r="AG178" s="2407"/>
      <c r="AH178" s="2407"/>
      <c r="AI178" s="2407"/>
      <c r="AJ178" s="2407"/>
      <c r="AK178" s="2407"/>
      <c r="AL178" s="2407"/>
      <c r="AM178" s="2407"/>
      <c r="AN178" s="2407"/>
      <c r="AO178" s="240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9" t="s">
        <v>2487</v>
      </c>
      <c r="D180" s="2470"/>
      <c r="E180" s="2470"/>
      <c r="F180" s="2470"/>
      <c r="G180" s="2470"/>
      <c r="H180" s="2470"/>
      <c r="I180" s="2470"/>
      <c r="J180" s="2470"/>
      <c r="K180" s="2470"/>
      <c r="L180" s="2470"/>
      <c r="M180" s="2470"/>
      <c r="N180" s="2470"/>
      <c r="O180" s="2470"/>
      <c r="P180" s="2470"/>
      <c r="Q180" s="2470"/>
      <c r="R180" s="2470"/>
      <c r="S180" s="2470"/>
      <c r="T180" s="2470"/>
      <c r="U180" s="2470"/>
      <c r="V180" s="2470"/>
      <c r="W180" s="2470"/>
      <c r="X180" s="2470"/>
      <c r="Y180" s="2470"/>
      <c r="Z180" s="2470"/>
      <c r="AA180" s="2470"/>
      <c r="AB180" s="2470"/>
      <c r="AC180" s="2470"/>
      <c r="AD180" s="2470"/>
      <c r="AE180" s="2471"/>
      <c r="AF180" s="1206"/>
      <c r="AG180" s="1206"/>
      <c r="AH180" s="2224" t="s">
        <v>2602</v>
      </c>
      <c r="AI180" s="2225"/>
      <c r="AJ180" s="2225"/>
      <c r="AK180" s="2225"/>
      <c r="AL180" s="2225"/>
      <c r="AM180" s="2225"/>
      <c r="AN180" s="2225"/>
      <c r="AO180" s="2225"/>
      <c r="AP180" s="2225"/>
      <c r="AQ180" s="2225"/>
      <c r="AR180" s="2225"/>
      <c r="AS180" s="2225"/>
      <c r="AT180" s="2225"/>
      <c r="AU180" s="2225"/>
      <c r="AV180" s="2225"/>
      <c r="AW180" s="2225"/>
      <c r="AX180" s="2225"/>
      <c r="AY180" s="2225"/>
      <c r="AZ180" s="2225"/>
      <c r="BA180" s="2225"/>
      <c r="BB180" s="2225"/>
      <c r="BC180" s="2225"/>
      <c r="BD180" s="2225"/>
      <c r="BE180" s="2226"/>
    </row>
    <row r="181" spans="1:57" ht="15.75" customHeight="1" thickBot="1">
      <c r="A181" s="1206"/>
      <c r="B181" s="1206"/>
      <c r="C181" s="2472"/>
      <c r="D181" s="2473"/>
      <c r="E181" s="2473"/>
      <c r="F181" s="2473"/>
      <c r="G181" s="2473"/>
      <c r="H181" s="2473"/>
      <c r="I181" s="2473"/>
      <c r="J181" s="2473"/>
      <c r="K181" s="2473"/>
      <c r="L181" s="2473"/>
      <c r="M181" s="2473"/>
      <c r="N181" s="2473"/>
      <c r="O181" s="2473"/>
      <c r="P181" s="2473"/>
      <c r="Q181" s="2473"/>
      <c r="R181" s="2473"/>
      <c r="S181" s="2473"/>
      <c r="T181" s="2473"/>
      <c r="U181" s="2473"/>
      <c r="V181" s="2473"/>
      <c r="W181" s="2473"/>
      <c r="X181" s="2473"/>
      <c r="Y181" s="2473"/>
      <c r="Z181" s="2473"/>
      <c r="AA181" s="2473"/>
      <c r="AB181" s="2473"/>
      <c r="AC181" s="2473"/>
      <c r="AD181" s="2473"/>
      <c r="AE181" s="2474"/>
      <c r="AF181" s="1206"/>
      <c r="AG181" s="1206"/>
      <c r="AH181" s="2227" t="s">
        <v>2623</v>
      </c>
      <c r="AI181" s="2227"/>
      <c r="AJ181" s="2227"/>
      <c r="AK181" s="2227"/>
      <c r="AL181" s="2227"/>
      <c r="AM181" s="2227"/>
      <c r="AN181" s="2227"/>
      <c r="AO181" s="2227"/>
      <c r="AP181" s="2227"/>
      <c r="AQ181" s="2227"/>
      <c r="AR181" s="2227"/>
      <c r="AS181" s="2227"/>
      <c r="AT181" s="2227"/>
      <c r="AU181" s="2227"/>
      <c r="AV181" s="2227"/>
      <c r="AW181" s="2227"/>
      <c r="AX181" s="2227"/>
      <c r="AY181" s="2227"/>
      <c r="AZ181" s="2227"/>
      <c r="BA181" s="2227"/>
      <c r="BB181" s="2227"/>
      <c r="BC181" s="2227"/>
      <c r="BD181" s="2227"/>
      <c r="BE181" s="2227"/>
    </row>
    <row r="182" spans="1:57" ht="15.75" customHeight="1">
      <c r="A182" s="1206"/>
      <c r="B182" s="1206"/>
      <c r="C182" s="2475" t="s">
        <v>1837</v>
      </c>
      <c r="D182" s="2476"/>
      <c r="E182" s="2476"/>
      <c r="F182" s="2476"/>
      <c r="G182" s="2476"/>
      <c r="H182" s="2476"/>
      <c r="I182" s="2476"/>
      <c r="J182" s="2476"/>
      <c r="K182" s="2476"/>
      <c r="L182" s="2476"/>
      <c r="M182" s="2476"/>
      <c r="N182" s="2476" t="s">
        <v>1848</v>
      </c>
      <c r="O182" s="2476"/>
      <c r="P182" s="2476"/>
      <c r="Q182" s="2476"/>
      <c r="R182" s="2476"/>
      <c r="S182" s="2476"/>
      <c r="T182" s="2476"/>
      <c r="U182" s="2371" t="s">
        <v>1837</v>
      </c>
      <c r="V182" s="2371"/>
      <c r="W182" s="2371"/>
      <c r="X182" s="2371"/>
      <c r="Y182" s="2371"/>
      <c r="Z182" s="2371"/>
      <c r="AA182" s="2371"/>
      <c r="AB182" s="2371"/>
      <c r="AC182" s="2371"/>
      <c r="AD182" s="2371"/>
      <c r="AE182" s="2372"/>
      <c r="AF182" s="1206"/>
      <c r="AG182" s="1206"/>
      <c r="AH182" s="2228" t="s">
        <v>2607</v>
      </c>
      <c r="AI182" s="2228"/>
      <c r="AJ182" s="2228"/>
      <c r="AK182" s="2228"/>
      <c r="AL182" s="2228"/>
      <c r="AM182" s="2228"/>
      <c r="AN182" s="2228"/>
      <c r="AO182" s="2228"/>
      <c r="AP182" s="2228"/>
      <c r="AQ182" s="2228"/>
      <c r="AR182" s="2228"/>
      <c r="AS182" s="2228"/>
      <c r="AT182" s="2228"/>
      <c r="AU182" s="2194">
        <v>2500000</v>
      </c>
      <c r="AV182" s="2194"/>
      <c r="AW182" s="2194"/>
      <c r="AX182" s="2194"/>
      <c r="AY182" s="2194"/>
      <c r="AZ182" s="2194"/>
      <c r="BA182" s="2194"/>
      <c r="BB182" s="2194"/>
      <c r="BC182" s="2202"/>
      <c r="BD182" s="2203"/>
      <c r="BE182" s="2204"/>
    </row>
    <row r="183" spans="1:57" ht="15.75" customHeight="1">
      <c r="A183" s="1206"/>
      <c r="B183" s="1206"/>
      <c r="C183" s="2218" t="s">
        <v>2488</v>
      </c>
      <c r="D183" s="2219"/>
      <c r="E183" s="2219"/>
      <c r="F183" s="2219"/>
      <c r="G183" s="2219"/>
      <c r="H183" s="2219"/>
      <c r="I183" s="2219"/>
      <c r="J183" s="2219"/>
      <c r="K183" s="2219"/>
      <c r="L183" s="2219"/>
      <c r="M183" s="2219"/>
      <c r="N183" s="2481">
        <f>'Sources and Uses Budget'!B105</f>
        <v>74451434</v>
      </c>
      <c r="O183" s="2481"/>
      <c r="P183" s="2481"/>
      <c r="Q183" s="2481"/>
      <c r="R183" s="2481"/>
      <c r="S183" s="2481"/>
      <c r="T183" s="2481"/>
      <c r="U183" s="2482"/>
      <c r="V183" s="2482"/>
      <c r="W183" s="2482"/>
      <c r="X183" s="2482"/>
      <c r="Y183" s="2482"/>
      <c r="Z183" s="2482"/>
      <c r="AA183" s="2482"/>
      <c r="AB183" s="2482"/>
      <c r="AC183" s="2482"/>
      <c r="AD183" s="2482"/>
      <c r="AE183" s="2483"/>
      <c r="AF183" s="1206"/>
      <c r="AG183" s="1206"/>
      <c r="AH183" s="2228" t="s">
        <v>2606</v>
      </c>
      <c r="AI183" s="2228"/>
      <c r="AJ183" s="2228"/>
      <c r="AK183" s="2228"/>
      <c r="AL183" s="2228"/>
      <c r="AM183" s="2228"/>
      <c r="AN183" s="2228"/>
      <c r="AO183" s="2228"/>
      <c r="AP183" s="2228"/>
      <c r="AQ183" s="2228"/>
      <c r="AR183" s="2228"/>
      <c r="AS183" s="2228"/>
      <c r="AT183" s="2228"/>
      <c r="AU183" s="2195">
        <f>MAX(0,Application!AG439-100)*20000</f>
        <v>540000</v>
      </c>
      <c r="AV183" s="2195"/>
      <c r="AW183" s="2195"/>
      <c r="AX183" s="2195"/>
      <c r="AY183" s="2195"/>
      <c r="AZ183" s="2195"/>
      <c r="BA183" s="2195"/>
      <c r="BB183" s="2195"/>
      <c r="BC183" s="2199"/>
      <c r="BD183" s="2200"/>
      <c r="BE183" s="2201"/>
    </row>
    <row r="184" spans="1:57" ht="15.75" customHeight="1">
      <c r="A184" s="1206"/>
      <c r="B184" s="1206"/>
      <c r="C184" s="2218" t="s">
        <v>2489</v>
      </c>
      <c r="D184" s="2219"/>
      <c r="E184" s="2219"/>
      <c r="F184" s="2219"/>
      <c r="G184" s="2219"/>
      <c r="H184" s="2219"/>
      <c r="I184" s="2219"/>
      <c r="J184" s="2219"/>
      <c r="K184" s="2219"/>
      <c r="L184" s="2219"/>
      <c r="M184" s="2219"/>
      <c r="N184" s="2481">
        <f>N183/J29</f>
        <v>1079006.2898550725</v>
      </c>
      <c r="O184" s="2481"/>
      <c r="P184" s="2481"/>
      <c r="Q184" s="2481"/>
      <c r="R184" s="2481"/>
      <c r="S184" s="2481"/>
      <c r="T184" s="2481"/>
      <c r="U184" s="1222"/>
      <c r="V184" s="1222"/>
      <c r="W184" s="1222"/>
      <c r="X184" s="1222"/>
      <c r="Y184" s="1222"/>
      <c r="Z184" s="1222"/>
      <c r="AA184" s="1222"/>
      <c r="AB184" s="1222"/>
      <c r="AC184" s="1222"/>
      <c r="AD184" s="1222"/>
      <c r="AE184" s="1221"/>
      <c r="AF184" s="1206"/>
      <c r="AG184" s="1206"/>
      <c r="AH184" s="2205" t="s">
        <v>2605</v>
      </c>
      <c r="AI184" s="2205"/>
      <c r="AJ184" s="2205"/>
      <c r="AK184" s="2205"/>
      <c r="AL184" s="2205"/>
      <c r="AM184" s="2205"/>
      <c r="AN184" s="2205"/>
      <c r="AO184" s="2205"/>
      <c r="AP184" s="2205"/>
      <c r="AQ184" s="2205"/>
      <c r="AR184" s="2205"/>
      <c r="AS184" s="2205"/>
      <c r="AT184" s="2205"/>
      <c r="AU184" s="2196">
        <f>AU182+AU183</f>
        <v>3040000</v>
      </c>
      <c r="AV184" s="2196"/>
      <c r="AW184" s="2196"/>
      <c r="AX184" s="2196"/>
      <c r="AY184" s="2196"/>
      <c r="AZ184" s="2196"/>
      <c r="BA184" s="2196"/>
      <c r="BB184" s="2196"/>
      <c r="BC184" s="2199"/>
      <c r="BD184" s="2200"/>
      <c r="BE184" s="2201"/>
    </row>
    <row r="185" spans="1:57" ht="15.75" customHeight="1">
      <c r="A185" s="1206"/>
      <c r="B185" s="1206"/>
      <c r="C185" s="2484" t="s">
        <v>2490</v>
      </c>
      <c r="D185" s="2485"/>
      <c r="E185" s="2485"/>
      <c r="F185" s="2485"/>
      <c r="G185" s="2485"/>
      <c r="H185" s="2485"/>
      <c r="I185" s="2485"/>
      <c r="J185" s="2485"/>
      <c r="K185" s="2485"/>
      <c r="L185" s="2485"/>
      <c r="M185" s="2485"/>
      <c r="N185" s="2410">
        <v>0</v>
      </c>
      <c r="O185" s="2410"/>
      <c r="P185" s="2410"/>
      <c r="Q185" s="2410"/>
      <c r="R185" s="2410"/>
      <c r="S185" s="2410"/>
      <c r="T185" s="2410"/>
      <c r="U185" s="2388"/>
      <c r="V185" s="2388"/>
      <c r="W185" s="2388"/>
      <c r="X185" s="2388"/>
      <c r="Y185" s="2388"/>
      <c r="Z185" s="2388"/>
      <c r="AA185" s="2388"/>
      <c r="AB185" s="2388"/>
      <c r="AC185" s="2388"/>
      <c r="AD185" s="2388"/>
      <c r="AE185" s="2389"/>
      <c r="AF185" s="1206"/>
      <c r="AG185" s="1206"/>
      <c r="AH185" s="2198" t="s">
        <v>2604</v>
      </c>
      <c r="AI185" s="2198"/>
      <c r="AJ185" s="2198"/>
      <c r="AK185" s="2198"/>
      <c r="AL185" s="2198"/>
      <c r="AM185" s="2198"/>
      <c r="AN185" s="2198"/>
      <c r="AO185" s="2198"/>
      <c r="AP185" s="2198"/>
      <c r="AQ185" s="2198"/>
      <c r="AR185" s="2198"/>
      <c r="AS185" s="2198"/>
      <c r="AT185" s="2198"/>
      <c r="AU185" s="2197" t="str">
        <f>IF(AU189-AU192&lt;=AU184,"Y","N")</f>
        <v>Y</v>
      </c>
      <c r="AV185" s="2197"/>
      <c r="AW185" s="2197"/>
      <c r="AX185" s="2197"/>
      <c r="AY185" s="2197"/>
      <c r="AZ185" s="2197"/>
      <c r="BA185" s="2197"/>
      <c r="BB185" s="2197"/>
      <c r="BC185" s="2199"/>
      <c r="BD185" s="2200"/>
      <c r="BE185" s="2201"/>
    </row>
    <row r="186" spans="1:57" ht="15.75" customHeight="1" thickBot="1">
      <c r="A186" s="1206"/>
      <c r="B186" s="1206"/>
      <c r="C186" s="2218" t="s">
        <v>2491</v>
      </c>
      <c r="D186" s="2219"/>
      <c r="E186" s="2219"/>
      <c r="F186" s="2219"/>
      <c r="G186" s="2219"/>
      <c r="H186" s="2219"/>
      <c r="I186" s="2219"/>
      <c r="J186" s="2219"/>
      <c r="K186" s="2219"/>
      <c r="L186" s="2219"/>
      <c r="M186" s="2219"/>
      <c r="N186" s="2480">
        <f>SUM('Sources and Uses Budget'!B85:B86)</f>
        <v>2352000</v>
      </c>
      <c r="O186" s="2480"/>
      <c r="P186" s="2480"/>
      <c r="Q186" s="2480"/>
      <c r="R186" s="2480"/>
      <c r="S186" s="2480"/>
      <c r="T186" s="2480"/>
      <c r="U186" s="2388"/>
      <c r="V186" s="2388"/>
      <c r="W186" s="2388"/>
      <c r="X186" s="2388"/>
      <c r="Y186" s="2388"/>
      <c r="Z186" s="2388"/>
      <c r="AA186" s="2388"/>
      <c r="AB186" s="2388"/>
      <c r="AC186" s="2388"/>
      <c r="AD186" s="2388"/>
      <c r="AE186" s="238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8" t="s">
        <v>2492</v>
      </c>
      <c r="D187" s="2219"/>
      <c r="E187" s="2219"/>
      <c r="F187" s="2219"/>
      <c r="G187" s="2219"/>
      <c r="H187" s="2219"/>
      <c r="I187" s="2219"/>
      <c r="J187" s="2219"/>
      <c r="K187" s="2219"/>
      <c r="L187" s="2219"/>
      <c r="M187" s="2219"/>
      <c r="N187" s="2480">
        <f>'Sources and Uses Budget'!B8</f>
        <v>750000</v>
      </c>
      <c r="O187" s="2480"/>
      <c r="P187" s="2480"/>
      <c r="Q187" s="2480"/>
      <c r="R187" s="2480"/>
      <c r="S187" s="2480"/>
      <c r="T187" s="2480"/>
      <c r="U187" s="2388"/>
      <c r="V187" s="2388"/>
      <c r="W187" s="2388"/>
      <c r="X187" s="2388"/>
      <c r="Y187" s="2388"/>
      <c r="Z187" s="2388"/>
      <c r="AA187" s="2388"/>
      <c r="AB187" s="2388"/>
      <c r="AC187" s="2388"/>
      <c r="AD187" s="2388"/>
      <c r="AE187" s="2389"/>
      <c r="AF187" s="1206"/>
      <c r="AG187" s="1206"/>
      <c r="AH187" s="2487" t="s">
        <v>1849</v>
      </c>
      <c r="AI187" s="2488"/>
      <c r="AJ187" s="2488"/>
      <c r="AK187" s="2488"/>
      <c r="AL187" s="2488"/>
      <c r="AM187" s="2488"/>
      <c r="AN187" s="2488"/>
      <c r="AO187" s="2488"/>
      <c r="AP187" s="2488"/>
      <c r="AQ187" s="2488"/>
      <c r="AR187" s="2488"/>
      <c r="AS187" s="2488"/>
      <c r="AT187" s="2488"/>
      <c r="AU187" s="2488"/>
      <c r="AV187" s="2488"/>
      <c r="AW187" s="2488"/>
      <c r="AX187" s="2488"/>
      <c r="AY187" s="2488"/>
      <c r="AZ187" s="2488"/>
      <c r="BA187" s="2488"/>
      <c r="BB187" s="2488"/>
      <c r="BC187" s="2488"/>
      <c r="BD187" s="2488"/>
      <c r="BE187" s="2489"/>
    </row>
    <row r="188" spans="1:57" ht="15.75" customHeight="1">
      <c r="A188" s="1206"/>
      <c r="B188" s="1206"/>
      <c r="C188" s="2218" t="s">
        <v>2493</v>
      </c>
      <c r="D188" s="2219"/>
      <c r="E188" s="2219"/>
      <c r="F188" s="2219"/>
      <c r="G188" s="2219"/>
      <c r="H188" s="2219"/>
      <c r="I188" s="2219"/>
      <c r="J188" s="2219"/>
      <c r="K188" s="2219"/>
      <c r="L188" s="2219"/>
      <c r="M188" s="2219"/>
      <c r="N188" s="2495">
        <v>0</v>
      </c>
      <c r="O188" s="2495"/>
      <c r="P188" s="2495"/>
      <c r="Q188" s="2495"/>
      <c r="R188" s="2495"/>
      <c r="S188" s="2495"/>
      <c r="T188" s="2495"/>
      <c r="U188" s="2388"/>
      <c r="V188" s="2388"/>
      <c r="W188" s="2388"/>
      <c r="X188" s="2388"/>
      <c r="Y188" s="2388"/>
      <c r="Z188" s="2388"/>
      <c r="AA188" s="2388"/>
      <c r="AB188" s="2388"/>
      <c r="AC188" s="2388"/>
      <c r="AD188" s="2388"/>
      <c r="AE188" s="2389"/>
      <c r="AF188" s="1206"/>
      <c r="AG188" s="1206"/>
      <c r="AH188" s="2490" t="s">
        <v>1849</v>
      </c>
      <c r="AI188" s="2490"/>
      <c r="AJ188" s="2490"/>
      <c r="AK188" s="2490"/>
      <c r="AL188" s="2490"/>
      <c r="AM188" s="2490"/>
      <c r="AN188" s="2490"/>
      <c r="AO188" s="2490"/>
      <c r="AP188" s="2490"/>
      <c r="AQ188" s="2490"/>
      <c r="AR188" s="2490"/>
      <c r="AS188" s="2490"/>
      <c r="AT188" s="2490"/>
      <c r="AU188" s="2491">
        <v>0</v>
      </c>
      <c r="AV188" s="2491"/>
      <c r="AW188" s="2491"/>
      <c r="AX188" s="2491"/>
      <c r="AY188" s="2491"/>
      <c r="AZ188" s="2491"/>
      <c r="BA188" s="2491"/>
      <c r="BB188" s="2491"/>
      <c r="BC188" s="2492"/>
      <c r="BD188" s="2493"/>
      <c r="BE188" s="2494"/>
    </row>
    <row r="189" spans="1:57" ht="15.75" customHeight="1">
      <c r="A189" s="1206"/>
      <c r="B189" s="1206"/>
      <c r="C189" s="2218" t="s">
        <v>2494</v>
      </c>
      <c r="D189" s="2219"/>
      <c r="E189" s="2219"/>
      <c r="F189" s="2219"/>
      <c r="G189" s="2219"/>
      <c r="H189" s="2219"/>
      <c r="I189" s="2219"/>
      <c r="J189" s="2219"/>
      <c r="K189" s="2219"/>
      <c r="L189" s="2219"/>
      <c r="M189" s="2219"/>
      <c r="N189" s="2495">
        <v>0</v>
      </c>
      <c r="O189" s="2495"/>
      <c r="P189" s="2495"/>
      <c r="Q189" s="2495"/>
      <c r="R189" s="2495"/>
      <c r="S189" s="2495"/>
      <c r="T189" s="2495"/>
      <c r="U189" s="2388"/>
      <c r="V189" s="2388"/>
      <c r="W189" s="2388"/>
      <c r="X189" s="2388"/>
      <c r="Y189" s="2388"/>
      <c r="Z189" s="2388"/>
      <c r="AA189" s="2388"/>
      <c r="AB189" s="2388"/>
      <c r="AC189" s="2388"/>
      <c r="AD189" s="2388"/>
      <c r="AE189" s="2389"/>
      <c r="AF189" s="1206"/>
      <c r="AG189" s="1206"/>
      <c r="AH189" s="2228" t="s">
        <v>2603</v>
      </c>
      <c r="AI189" s="2228"/>
      <c r="AJ189" s="2228"/>
      <c r="AK189" s="2228"/>
      <c r="AL189" s="2228"/>
      <c r="AM189" s="2228"/>
      <c r="AN189" s="2228"/>
      <c r="AO189" s="2228"/>
      <c r="AP189" s="2228"/>
      <c r="AQ189" s="2228"/>
      <c r="AR189" s="2228"/>
      <c r="AS189" s="2228"/>
      <c r="AT189" s="2228"/>
      <c r="AU189" s="2486"/>
      <c r="AV189" s="2486"/>
      <c r="AW189" s="2486"/>
      <c r="AX189" s="2486"/>
      <c r="AY189" s="2486"/>
      <c r="AZ189" s="2486"/>
      <c r="BA189" s="2486"/>
      <c r="BB189" s="2486"/>
      <c r="BC189" s="2199"/>
      <c r="BD189" s="2200"/>
      <c r="BE189" s="2201"/>
    </row>
    <row r="190" spans="1:57" ht="15.75" customHeight="1">
      <c r="A190" s="1206"/>
      <c r="B190" s="1206"/>
      <c r="C190" s="2521" t="s">
        <v>301</v>
      </c>
      <c r="D190" s="2452"/>
      <c r="E190" s="2520" t="s">
        <v>1843</v>
      </c>
      <c r="F190" s="2520"/>
      <c r="G190" s="2520"/>
      <c r="H190" s="2520"/>
      <c r="I190" s="2520"/>
      <c r="J190" s="2520"/>
      <c r="K190" s="2520"/>
      <c r="L190" s="2520"/>
      <c r="M190" s="2520"/>
      <c r="N190" s="2495">
        <v>0</v>
      </c>
      <c r="O190" s="2495"/>
      <c r="P190" s="2495"/>
      <c r="Q190" s="2495"/>
      <c r="R190" s="2495"/>
      <c r="S190" s="2495"/>
      <c r="T190" s="2495"/>
      <c r="U190" s="2388"/>
      <c r="V190" s="2388"/>
      <c r="W190" s="2388"/>
      <c r="X190" s="2388"/>
      <c r="Y190" s="2388"/>
      <c r="Z190" s="2388"/>
      <c r="AA190" s="2388"/>
      <c r="AB190" s="2388"/>
      <c r="AC190" s="2388"/>
      <c r="AD190" s="2388"/>
      <c r="AE190" s="2389"/>
      <c r="AF190" s="1206"/>
      <c r="AG190" s="1206"/>
      <c r="AH190" s="2205" t="s">
        <v>2602</v>
      </c>
      <c r="AI190" s="2205"/>
      <c r="AJ190" s="2205"/>
      <c r="AK190" s="2205"/>
      <c r="AL190" s="2205"/>
      <c r="AM190" s="2205"/>
      <c r="AN190" s="2205"/>
      <c r="AO190" s="2205"/>
      <c r="AP190" s="2205"/>
      <c r="AQ190" s="2205"/>
      <c r="AR190" s="2205"/>
      <c r="AS190" s="2205"/>
      <c r="AT190" s="2205"/>
      <c r="AU190" s="2196">
        <f>SUM(AU188:BB189)</f>
        <v>0</v>
      </c>
      <c r="AV190" s="2196"/>
      <c r="AW190" s="2196"/>
      <c r="AX190" s="2196"/>
      <c r="AY190" s="2196"/>
      <c r="AZ190" s="2196"/>
      <c r="BA190" s="2196"/>
      <c r="BB190" s="2196"/>
      <c r="BC190" s="2199"/>
      <c r="BD190" s="2200"/>
      <c r="BE190" s="2201"/>
    </row>
    <row r="191" spans="1:57" ht="15.75" customHeight="1" thickBot="1">
      <c r="A191" s="1206"/>
      <c r="B191" s="1206"/>
      <c r="C191" s="2409" t="s">
        <v>301</v>
      </c>
      <c r="D191" s="2379"/>
      <c r="E191" s="2520" t="s">
        <v>1843</v>
      </c>
      <c r="F191" s="2520"/>
      <c r="G191" s="2520"/>
      <c r="H191" s="2520"/>
      <c r="I191" s="2520"/>
      <c r="J191" s="2520"/>
      <c r="K191" s="2520"/>
      <c r="L191" s="2520"/>
      <c r="M191" s="2520"/>
      <c r="N191" s="2495">
        <v>0</v>
      </c>
      <c r="O191" s="2495"/>
      <c r="P191" s="2495"/>
      <c r="Q191" s="2495"/>
      <c r="R191" s="2495"/>
      <c r="S191" s="2495"/>
      <c r="T191" s="2495"/>
      <c r="U191" s="2388"/>
      <c r="V191" s="2388"/>
      <c r="W191" s="2388"/>
      <c r="X191" s="2388"/>
      <c r="Y191" s="2388"/>
      <c r="Z191" s="2388"/>
      <c r="AA191" s="2388"/>
      <c r="AB191" s="2388"/>
      <c r="AC191" s="2388"/>
      <c r="AD191" s="2388"/>
      <c r="AE191" s="238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502"/>
      <c r="BD191" s="2503"/>
      <c r="BE191" s="2504"/>
    </row>
    <row r="192" spans="1:57" ht="15.75" customHeight="1" thickBot="1">
      <c r="A192" s="1206"/>
      <c r="B192" s="1206"/>
      <c r="C192" s="2509" t="s">
        <v>301</v>
      </c>
      <c r="D192" s="2510"/>
      <c r="E192" s="2511" t="s">
        <v>1843</v>
      </c>
      <c r="F192" s="2511"/>
      <c r="G192" s="2511"/>
      <c r="H192" s="2511"/>
      <c r="I192" s="2511"/>
      <c r="J192" s="2511"/>
      <c r="K192" s="2511"/>
      <c r="L192" s="2511"/>
      <c r="M192" s="2512"/>
      <c r="N192" s="2513">
        <v>0</v>
      </c>
      <c r="O192" s="2513"/>
      <c r="P192" s="2513"/>
      <c r="Q192" s="2513"/>
      <c r="R192" s="2513"/>
      <c r="S192" s="2513"/>
      <c r="T192" s="2514"/>
      <c r="U192" s="2515"/>
      <c r="V192" s="2516"/>
      <c r="W192" s="2516"/>
      <c r="X192" s="2516"/>
      <c r="Y192" s="2516"/>
      <c r="Z192" s="2516"/>
      <c r="AA192" s="2516"/>
      <c r="AB192" s="2516"/>
      <c r="AC192" s="2516"/>
      <c r="AD192" s="2516"/>
      <c r="AE192" s="2517"/>
      <c r="AF192" s="1206"/>
      <c r="AG192" s="1206"/>
      <c r="AH192" s="2546" t="s">
        <v>1850</v>
      </c>
      <c r="AI192" s="2547"/>
      <c r="AJ192" s="2547"/>
      <c r="AK192" s="2547"/>
      <c r="AL192" s="2547"/>
      <c r="AM192" s="2547"/>
      <c r="AN192" s="2547"/>
      <c r="AO192" s="2547"/>
      <c r="AP192" s="2547"/>
      <c r="AQ192" s="2547"/>
      <c r="AR192" s="2547"/>
      <c r="AS192" s="2547"/>
      <c r="AT192" s="2547"/>
      <c r="AU192" s="2496"/>
      <c r="AV192" s="2496"/>
      <c r="AW192" s="2496"/>
      <c r="AX192" s="2496"/>
      <c r="AY192" s="2496"/>
      <c r="AZ192" s="2496"/>
      <c r="BA192" s="2496"/>
      <c r="BB192" s="2496"/>
      <c r="BC192" s="1219"/>
      <c r="BD192" s="1219"/>
      <c r="BE192" s="1218"/>
    </row>
    <row r="193" spans="1:57" ht="15.75" customHeight="1">
      <c r="A193" s="1206"/>
      <c r="B193" s="1206"/>
      <c r="C193" s="2505" t="s">
        <v>1851</v>
      </c>
      <c r="D193" s="2506"/>
      <c r="E193" s="2506"/>
      <c r="F193" s="2506"/>
      <c r="G193" s="2506"/>
      <c r="H193" s="2506"/>
      <c r="I193" s="2506"/>
      <c r="J193" s="2506"/>
      <c r="K193" s="2506"/>
      <c r="L193" s="2506"/>
      <c r="M193" s="2506"/>
      <c r="N193" s="2507">
        <f>SUM(N185:T192)</f>
        <v>3102000</v>
      </c>
      <c r="O193" s="2507"/>
      <c r="P193" s="2507"/>
      <c r="Q193" s="2507"/>
      <c r="R193" s="2507"/>
      <c r="S193" s="2507"/>
      <c r="T193" s="2508"/>
      <c r="U193" s="1206"/>
      <c r="V193" s="1206"/>
      <c r="W193" s="1206"/>
      <c r="X193" s="1206"/>
      <c r="Y193" s="1206"/>
      <c r="Z193" s="1206"/>
      <c r="AA193" s="1206"/>
      <c r="AB193" s="1206"/>
      <c r="AC193" s="1206"/>
      <c r="AD193" s="1206"/>
      <c r="AE193" s="1206"/>
      <c r="AF193" s="1206"/>
      <c r="AG193" s="1206"/>
      <c r="AH193" s="2518" t="s">
        <v>2601</v>
      </c>
      <c r="AI193" s="2518"/>
      <c r="AJ193" s="2518"/>
      <c r="AK193" s="2518"/>
      <c r="AL193" s="2518"/>
      <c r="AM193" s="2518"/>
      <c r="AN193" s="2518"/>
      <c r="AO193" s="2518"/>
      <c r="AP193" s="2518"/>
      <c r="AQ193" s="2518"/>
      <c r="AR193" s="2518"/>
      <c r="AS193" s="2518"/>
      <c r="AT193" s="2518"/>
      <c r="AU193" s="2518"/>
      <c r="AV193" s="2518"/>
      <c r="AW193" s="2518"/>
      <c r="AX193" s="2518"/>
      <c r="AY193" s="2518"/>
      <c r="AZ193" s="2518"/>
      <c r="BA193" s="2518"/>
      <c r="BB193" s="2518"/>
      <c r="BC193" s="2518"/>
      <c r="BD193" s="2518"/>
      <c r="BE193" s="2519"/>
    </row>
    <row r="194" spans="1:57" ht="15.75" customHeight="1" thickBot="1">
      <c r="A194" s="1206"/>
      <c r="B194" s="1206"/>
      <c r="C194" s="2548" t="s">
        <v>2495</v>
      </c>
      <c r="D194" s="2549"/>
      <c r="E194" s="2549"/>
      <c r="F194" s="2549"/>
      <c r="G194" s="2549"/>
      <c r="H194" s="2549"/>
      <c r="I194" s="2549"/>
      <c r="J194" s="2549"/>
      <c r="K194" s="2549"/>
      <c r="L194" s="2549"/>
      <c r="M194" s="2549"/>
      <c r="N194" s="2550">
        <f>(N183-N193)/J29</f>
        <v>1034049.768115942</v>
      </c>
      <c r="O194" s="2551"/>
      <c r="P194" s="2551"/>
      <c r="Q194" s="2551"/>
      <c r="R194" s="2551"/>
      <c r="S194" s="2551"/>
      <c r="T194" s="2552"/>
      <c r="U194" s="1217"/>
      <c r="V194" s="1206"/>
      <c r="W194" s="1206"/>
      <c r="X194" s="1206"/>
      <c r="Y194" s="1206"/>
      <c r="Z194" s="1206"/>
      <c r="AA194" s="1206"/>
      <c r="AB194" s="1206"/>
      <c r="AC194" s="1206"/>
      <c r="AD194" s="1206"/>
      <c r="AE194" s="1206"/>
      <c r="AF194" s="1206"/>
      <c r="AG194" s="1206"/>
      <c r="AH194" s="2518"/>
      <c r="AI194" s="2518"/>
      <c r="AJ194" s="2518"/>
      <c r="AK194" s="2518"/>
      <c r="AL194" s="2518"/>
      <c r="AM194" s="2518"/>
      <c r="AN194" s="2518"/>
      <c r="AO194" s="2518"/>
      <c r="AP194" s="2518"/>
      <c r="AQ194" s="2518"/>
      <c r="AR194" s="2518"/>
      <c r="AS194" s="2518"/>
      <c r="AT194" s="2518"/>
      <c r="AU194" s="2518"/>
      <c r="AV194" s="2518"/>
      <c r="AW194" s="2518"/>
      <c r="AX194" s="2518"/>
      <c r="AY194" s="2518"/>
      <c r="AZ194" s="2518"/>
      <c r="BA194" s="2518"/>
      <c r="BB194" s="2518"/>
      <c r="BC194" s="2518"/>
      <c r="BD194" s="2518"/>
      <c r="BE194" s="251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53"/>
      <c r="AI195" s="2553"/>
      <c r="AJ195" s="2553"/>
      <c r="AK195" s="2553"/>
      <c r="AL195" s="2553"/>
      <c r="AM195" s="2553"/>
      <c r="AN195" s="2553"/>
      <c r="AO195" s="2553"/>
      <c r="AP195" s="2553"/>
      <c r="AQ195" s="2553"/>
      <c r="AR195" s="2553"/>
      <c r="AS195" s="2497"/>
      <c r="AT195" s="2497"/>
      <c r="AU195" s="2497"/>
      <c r="AV195" s="2497"/>
      <c r="AW195" s="2497"/>
      <c r="AX195" s="2497"/>
      <c r="AY195" s="2497"/>
      <c r="AZ195" s="2497"/>
      <c r="BA195" s="2497"/>
      <c r="BB195" s="2497"/>
      <c r="BC195" s="2497"/>
      <c r="BD195" s="249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8" t="s">
        <v>2600</v>
      </c>
      <c r="D197" s="2499"/>
      <c r="E197" s="2499"/>
      <c r="F197" s="2499"/>
      <c r="G197" s="2499"/>
      <c r="H197" s="2499"/>
      <c r="I197" s="2499"/>
      <c r="J197" s="2499"/>
      <c r="K197" s="2499"/>
      <c r="L197" s="2499"/>
      <c r="M197" s="2499"/>
      <c r="N197" s="2499"/>
      <c r="O197" s="2499"/>
      <c r="P197" s="2499"/>
      <c r="Q197" s="2499"/>
      <c r="R197" s="2499"/>
      <c r="S197" s="2499"/>
      <c r="T197" s="2499"/>
      <c r="U197" s="2499"/>
      <c r="V197" s="2499"/>
      <c r="W197" s="2499"/>
      <c r="X197" s="2499"/>
      <c r="Y197" s="2499"/>
      <c r="Z197" s="2499"/>
      <c r="AA197" s="2499"/>
      <c r="AB197" s="2499"/>
      <c r="AC197" s="2499"/>
      <c r="AD197" s="2499"/>
      <c r="AE197" s="250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8" t="s">
        <v>2599</v>
      </c>
      <c r="D198" s="2208"/>
      <c r="E198" s="2208"/>
      <c r="F198" s="2208"/>
      <c r="G198" s="2208"/>
      <c r="H198" s="2208"/>
      <c r="I198" s="2208"/>
      <c r="J198" s="2208"/>
      <c r="K198" s="2208"/>
      <c r="L198" s="2208"/>
      <c r="M198" s="2208"/>
      <c r="N198" s="2208"/>
      <c r="O198" s="2209" t="s">
        <v>2598</v>
      </c>
      <c r="P198" s="2209"/>
      <c r="Q198" s="2209"/>
      <c r="R198" s="2209"/>
      <c r="S198" s="2209"/>
      <c r="T198" s="2209"/>
      <c r="U198" s="2209"/>
      <c r="V198" s="2209"/>
      <c r="W198" s="2209"/>
      <c r="X198" s="2209" t="s">
        <v>2597</v>
      </c>
      <c r="Y198" s="2209"/>
      <c r="Z198" s="2209"/>
      <c r="AA198" s="2209"/>
      <c r="AB198" s="2209"/>
      <c r="AC198" s="2209"/>
      <c r="AD198" s="2209"/>
      <c r="AE198" s="220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206" t="s">
        <v>2596</v>
      </c>
      <c r="D199" s="2206"/>
      <c r="E199" s="2206"/>
      <c r="F199" s="2206"/>
      <c r="G199" s="2206"/>
      <c r="H199" s="2206"/>
      <c r="I199" s="2206"/>
      <c r="J199" s="2206"/>
      <c r="K199" s="2206"/>
      <c r="L199" s="2206"/>
      <c r="M199" s="2206"/>
      <c r="N199" s="2206"/>
      <c r="O199" s="2501" t="s">
        <v>2595</v>
      </c>
      <c r="P199" s="2501"/>
      <c r="Q199" s="2501"/>
      <c r="R199" s="2501"/>
      <c r="S199" s="2501"/>
      <c r="T199" s="2501"/>
      <c r="U199" s="2501"/>
      <c r="V199" s="2501"/>
      <c r="W199" s="2501"/>
      <c r="X199" s="2522">
        <v>0.03</v>
      </c>
      <c r="Y199" s="2522"/>
      <c r="Z199" s="2522"/>
      <c r="AA199" s="2522"/>
      <c r="AB199" s="2522"/>
      <c r="AC199" s="2522"/>
      <c r="AD199" s="2522"/>
      <c r="AE199" s="252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206" t="s">
        <v>865</v>
      </c>
      <c r="D200" s="2206"/>
      <c r="E200" s="2206"/>
      <c r="F200" s="2206"/>
      <c r="G200" s="2206"/>
      <c r="H200" s="2206"/>
      <c r="I200" s="2206"/>
      <c r="J200" s="2206"/>
      <c r="K200" s="2206"/>
      <c r="L200" s="2206"/>
      <c r="M200" s="2206"/>
      <c r="N200" s="2206"/>
      <c r="O200" s="2501" t="s">
        <v>2595</v>
      </c>
      <c r="P200" s="2501"/>
      <c r="Q200" s="2501"/>
      <c r="R200" s="2501"/>
      <c r="S200" s="2501"/>
      <c r="T200" s="2501"/>
      <c r="U200" s="2501"/>
      <c r="V200" s="2501"/>
      <c r="W200" s="2501"/>
      <c r="X200" s="2522">
        <v>0.03</v>
      </c>
      <c r="Y200" s="2522"/>
      <c r="Z200" s="2522"/>
      <c r="AA200" s="2522"/>
      <c r="AB200" s="2522"/>
      <c r="AC200" s="2522"/>
      <c r="AD200" s="2522"/>
      <c r="AE200" s="252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206" t="s">
        <v>2594</v>
      </c>
      <c r="D201" s="2206"/>
      <c r="E201" s="2206"/>
      <c r="F201" s="2206"/>
      <c r="G201" s="2206"/>
      <c r="H201" s="2206"/>
      <c r="I201" s="2206"/>
      <c r="J201" s="2206"/>
      <c r="K201" s="2206"/>
      <c r="L201" s="2206"/>
      <c r="M201" s="2206"/>
      <c r="N201" s="2206"/>
      <c r="O201" s="2210">
        <f>SUM(O199:W200)</f>
        <v>0</v>
      </c>
      <c r="P201" s="2211"/>
      <c r="Q201" s="2211"/>
      <c r="R201" s="2211"/>
      <c r="S201" s="2211"/>
      <c r="T201" s="2211"/>
      <c r="U201" s="2211"/>
      <c r="V201" s="2211"/>
      <c r="W201" s="2211"/>
      <c r="X201" s="2211" t="s">
        <v>2593</v>
      </c>
      <c r="Y201" s="2211"/>
      <c r="Z201" s="2211"/>
      <c r="AA201" s="2211"/>
      <c r="AB201" s="2211"/>
      <c r="AC201" s="2211"/>
      <c r="AD201" s="2211"/>
      <c r="AE201" s="221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7" t="s">
        <v>2592</v>
      </c>
      <c r="D202" s="2207"/>
      <c r="E202" s="2207"/>
      <c r="F202" s="2207"/>
      <c r="G202" s="2207"/>
      <c r="H202" s="2207"/>
      <c r="I202" s="2207"/>
      <c r="J202" s="2207"/>
      <c r="K202" s="2207"/>
      <c r="L202" s="2207"/>
      <c r="M202" s="2207"/>
      <c r="N202" s="2207"/>
      <c r="O202" s="2207"/>
      <c r="P202" s="2207"/>
      <c r="Q202" s="2207"/>
      <c r="R202" s="2207"/>
      <c r="S202" s="2207"/>
      <c r="T202" s="2207"/>
      <c r="U202" s="2207"/>
      <c r="V202" s="2207"/>
      <c r="W202" s="2207"/>
      <c r="X202" s="2207"/>
      <c r="Y202" s="2207"/>
      <c r="Z202" s="2207"/>
      <c r="AA202" s="2207"/>
      <c r="AB202" s="2207"/>
      <c r="AC202" s="2207"/>
      <c r="AD202" s="2207"/>
      <c r="AE202" s="220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23" t="s">
        <v>2591</v>
      </c>
      <c r="D204" s="2524"/>
      <c r="E204" s="2524"/>
      <c r="F204" s="2524"/>
      <c r="G204" s="2524"/>
      <c r="H204" s="2524"/>
      <c r="I204" s="2524"/>
      <c r="J204" s="2524"/>
      <c r="K204" s="2524"/>
      <c r="L204" s="2524"/>
      <c r="M204" s="2524"/>
      <c r="N204" s="2524"/>
      <c r="O204" s="2524"/>
      <c r="P204" s="2524"/>
      <c r="Q204" s="2524"/>
      <c r="R204" s="2524"/>
      <c r="S204" s="2524"/>
      <c r="T204" s="2524"/>
      <c r="U204" s="2524"/>
      <c r="V204" s="2524"/>
      <c r="W204" s="2524"/>
      <c r="X204" s="2524"/>
      <c r="Y204" s="2524"/>
      <c r="Z204" s="2524"/>
      <c r="AA204" s="2524"/>
      <c r="AB204" s="2524"/>
      <c r="AC204" s="2524"/>
      <c r="AD204" s="2524"/>
      <c r="AE204" s="2524"/>
      <c r="AF204" s="2524"/>
      <c r="AG204" s="2524"/>
      <c r="AH204" s="2524"/>
      <c r="AI204" s="2524"/>
      <c r="AJ204" s="2524"/>
      <c r="AK204" s="252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26" t="s">
        <v>2590</v>
      </c>
      <c r="D205" s="2527"/>
      <c r="E205" s="2527"/>
      <c r="F205" s="2528"/>
      <c r="G205" s="2532" t="s">
        <v>2589</v>
      </c>
      <c r="H205" s="2527"/>
      <c r="I205" s="2527"/>
      <c r="J205" s="2527"/>
      <c r="K205" s="2527"/>
      <c r="L205" s="2527"/>
      <c r="M205" s="2527"/>
      <c r="N205" s="2527"/>
      <c r="O205" s="2528"/>
      <c r="P205" s="2534" t="s">
        <v>2588</v>
      </c>
      <c r="Q205" s="2535"/>
      <c r="R205" s="2535"/>
      <c r="S205" s="2535"/>
      <c r="T205" s="2536"/>
      <c r="U205" s="2540" t="s">
        <v>2587</v>
      </c>
      <c r="V205" s="2541"/>
      <c r="W205" s="2541"/>
      <c r="X205" s="2542"/>
      <c r="Y205" s="2540" t="s">
        <v>2586</v>
      </c>
      <c r="Z205" s="2541"/>
      <c r="AA205" s="2541"/>
      <c r="AB205" s="2542"/>
      <c r="AC205" s="2540" t="s">
        <v>2585</v>
      </c>
      <c r="AD205" s="2541"/>
      <c r="AE205" s="2541"/>
      <c r="AF205" s="2542"/>
      <c r="AG205" s="2532" t="s">
        <v>2584</v>
      </c>
      <c r="AH205" s="2527"/>
      <c r="AI205" s="2527"/>
      <c r="AJ205" s="2527"/>
      <c r="AK205" s="259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9"/>
      <c r="D206" s="2530"/>
      <c r="E206" s="2530"/>
      <c r="F206" s="2531"/>
      <c r="G206" s="2533"/>
      <c r="H206" s="2530"/>
      <c r="I206" s="2530"/>
      <c r="J206" s="2530"/>
      <c r="K206" s="2530"/>
      <c r="L206" s="2530"/>
      <c r="M206" s="2530"/>
      <c r="N206" s="2530"/>
      <c r="O206" s="2531"/>
      <c r="P206" s="2537"/>
      <c r="Q206" s="2538"/>
      <c r="R206" s="2538"/>
      <c r="S206" s="2538"/>
      <c r="T206" s="2539"/>
      <c r="U206" s="2543"/>
      <c r="V206" s="2544"/>
      <c r="W206" s="2544"/>
      <c r="X206" s="2545"/>
      <c r="Y206" s="2543"/>
      <c r="Z206" s="2544"/>
      <c r="AA206" s="2544"/>
      <c r="AB206" s="2545"/>
      <c r="AC206" s="2543"/>
      <c r="AD206" s="2544"/>
      <c r="AE206" s="2544"/>
      <c r="AF206" s="2545"/>
      <c r="AG206" s="2533"/>
      <c r="AH206" s="2530"/>
      <c r="AI206" s="2530"/>
      <c r="AJ206" s="2530"/>
      <c r="AK206" s="259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85">
        <v>1</v>
      </c>
      <c r="D207" s="2186"/>
      <c r="E207" s="2186"/>
      <c r="F207" s="2186"/>
      <c r="G207" s="2187" t="s">
        <v>2152</v>
      </c>
      <c r="H207" s="2187"/>
      <c r="I207" s="2187"/>
      <c r="J207" s="2187"/>
      <c r="K207" s="2187"/>
      <c r="L207" s="2187"/>
      <c r="M207" s="2187"/>
      <c r="N207" s="2187"/>
      <c r="O207" s="2187"/>
      <c r="P207" s="2188"/>
      <c r="Q207" s="2592"/>
      <c r="R207" s="2592"/>
      <c r="S207" s="2592"/>
      <c r="T207" s="2592"/>
      <c r="U207" s="2189" t="s">
        <v>2152</v>
      </c>
      <c r="V207" s="2189"/>
      <c r="W207" s="2189"/>
      <c r="X207" s="2189"/>
      <c r="Y207" s="2189" t="s">
        <v>2152</v>
      </c>
      <c r="Z207" s="2189"/>
      <c r="AA207" s="2189"/>
      <c r="AB207" s="2189"/>
      <c r="AC207" s="2190" t="s">
        <v>2152</v>
      </c>
      <c r="AD207" s="2190"/>
      <c r="AE207" s="2190"/>
      <c r="AF207" s="2190"/>
      <c r="AG207" s="2584"/>
      <c r="AH207" s="2585"/>
      <c r="AI207" s="2585"/>
      <c r="AJ207" s="2585"/>
      <c r="AK207" s="258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85">
        <v>2</v>
      </c>
      <c r="D208" s="2186"/>
      <c r="E208" s="2186"/>
      <c r="F208" s="2186"/>
      <c r="G208" s="2187" t="s">
        <v>2152</v>
      </c>
      <c r="H208" s="2187"/>
      <c r="I208" s="2187"/>
      <c r="J208" s="2187"/>
      <c r="K208" s="2187"/>
      <c r="L208" s="2187"/>
      <c r="M208" s="2187"/>
      <c r="N208" s="2187"/>
      <c r="O208" s="2187"/>
      <c r="P208" s="2188"/>
      <c r="Q208" s="2188"/>
      <c r="R208" s="2188"/>
      <c r="S208" s="2188"/>
      <c r="T208" s="2188"/>
      <c r="U208" s="2189" t="s">
        <v>2152</v>
      </c>
      <c r="V208" s="2189"/>
      <c r="W208" s="2189"/>
      <c r="X208" s="2189"/>
      <c r="Y208" s="2189" t="s">
        <v>2152</v>
      </c>
      <c r="Z208" s="2189"/>
      <c r="AA208" s="2189"/>
      <c r="AB208" s="2189"/>
      <c r="AC208" s="2190" t="s">
        <v>2152</v>
      </c>
      <c r="AD208" s="2190"/>
      <c r="AE208" s="2190"/>
      <c r="AF208" s="2190"/>
      <c r="AG208" s="2584"/>
      <c r="AH208" s="2585"/>
      <c r="AI208" s="2585"/>
      <c r="AJ208" s="2585"/>
      <c r="AK208" s="258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85">
        <v>3</v>
      </c>
      <c r="D209" s="2186"/>
      <c r="E209" s="2186"/>
      <c r="F209" s="2186"/>
      <c r="G209" s="2187" t="s">
        <v>2152</v>
      </c>
      <c r="H209" s="2187"/>
      <c r="I209" s="2187"/>
      <c r="J209" s="2187"/>
      <c r="K209" s="2187"/>
      <c r="L209" s="2187"/>
      <c r="M209" s="2187"/>
      <c r="N209" s="2187"/>
      <c r="O209" s="2187"/>
      <c r="P209" s="2188"/>
      <c r="Q209" s="2188"/>
      <c r="R209" s="2188"/>
      <c r="S209" s="2188"/>
      <c r="T209" s="2188"/>
      <c r="U209" s="2189" t="s">
        <v>2152</v>
      </c>
      <c r="V209" s="2189"/>
      <c r="W209" s="2189"/>
      <c r="X209" s="2189"/>
      <c r="Y209" s="2189" t="s">
        <v>2152</v>
      </c>
      <c r="Z209" s="2189"/>
      <c r="AA209" s="2189"/>
      <c r="AB209" s="2189"/>
      <c r="AC209" s="2190" t="s">
        <v>2152</v>
      </c>
      <c r="AD209" s="2190"/>
      <c r="AE209" s="2190"/>
      <c r="AF209" s="2190"/>
      <c r="AG209" s="2584"/>
      <c r="AH209" s="2585"/>
      <c r="AI209" s="2585"/>
      <c r="AJ209" s="2585"/>
      <c r="AK209" s="258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85">
        <v>4</v>
      </c>
      <c r="D210" s="2186"/>
      <c r="E210" s="2186"/>
      <c r="F210" s="2186"/>
      <c r="G210" s="2187" t="s">
        <v>2152</v>
      </c>
      <c r="H210" s="2187"/>
      <c r="I210" s="2187"/>
      <c r="J210" s="2187"/>
      <c r="K210" s="2187"/>
      <c r="L210" s="2187"/>
      <c r="M210" s="2187"/>
      <c r="N210" s="2187"/>
      <c r="O210" s="2187"/>
      <c r="P210" s="2188"/>
      <c r="Q210" s="2188"/>
      <c r="R210" s="2188"/>
      <c r="S210" s="2188"/>
      <c r="T210" s="2188"/>
      <c r="U210" s="2189" t="s">
        <v>2152</v>
      </c>
      <c r="V210" s="2189"/>
      <c r="W210" s="2189"/>
      <c r="X210" s="2189"/>
      <c r="Y210" s="2189" t="s">
        <v>2152</v>
      </c>
      <c r="Z210" s="2189"/>
      <c r="AA210" s="2189"/>
      <c r="AB210" s="2189"/>
      <c r="AC210" s="2190" t="s">
        <v>2152</v>
      </c>
      <c r="AD210" s="2190"/>
      <c r="AE210" s="2190"/>
      <c r="AF210" s="2190"/>
      <c r="AG210" s="2584"/>
      <c r="AH210" s="2585"/>
      <c r="AI210" s="2585"/>
      <c r="AJ210" s="2585"/>
      <c r="AK210" s="258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85">
        <v>5</v>
      </c>
      <c r="D211" s="2186"/>
      <c r="E211" s="2186"/>
      <c r="F211" s="2186"/>
      <c r="G211" s="2187"/>
      <c r="H211" s="2187"/>
      <c r="I211" s="2187"/>
      <c r="J211" s="2187"/>
      <c r="K211" s="2187"/>
      <c r="L211" s="2187"/>
      <c r="M211" s="2187"/>
      <c r="N211" s="2187"/>
      <c r="O211" s="2187"/>
      <c r="P211" s="2188"/>
      <c r="Q211" s="2188"/>
      <c r="R211" s="2188"/>
      <c r="S211" s="2188"/>
      <c r="T211" s="2188"/>
      <c r="U211" s="2189" t="s">
        <v>2152</v>
      </c>
      <c r="V211" s="2189"/>
      <c r="W211" s="2189"/>
      <c r="X211" s="2189"/>
      <c r="Y211" s="2189" t="s">
        <v>2152</v>
      </c>
      <c r="Z211" s="2189"/>
      <c r="AA211" s="2189"/>
      <c r="AB211" s="2189"/>
      <c r="AC211" s="2190" t="s">
        <v>2152</v>
      </c>
      <c r="AD211" s="2190"/>
      <c r="AE211" s="2190"/>
      <c r="AF211" s="2190"/>
      <c r="AG211" s="2584"/>
      <c r="AH211" s="2585"/>
      <c r="AI211" s="2585"/>
      <c r="AJ211" s="2585"/>
      <c r="AK211" s="258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85">
        <v>6</v>
      </c>
      <c r="D212" s="2186"/>
      <c r="E212" s="2186"/>
      <c r="F212" s="2186"/>
      <c r="G212" s="2187" t="s">
        <v>2152</v>
      </c>
      <c r="H212" s="2187"/>
      <c r="I212" s="2187"/>
      <c r="J212" s="2187"/>
      <c r="K212" s="2187"/>
      <c r="L212" s="2187"/>
      <c r="M212" s="2187"/>
      <c r="N212" s="2187"/>
      <c r="O212" s="2187"/>
      <c r="P212" s="2188"/>
      <c r="Q212" s="2188"/>
      <c r="R212" s="2188"/>
      <c r="S212" s="2188"/>
      <c r="T212" s="2188"/>
      <c r="U212" s="2189"/>
      <c r="V212" s="2189"/>
      <c r="W212" s="2189"/>
      <c r="X212" s="2189"/>
      <c r="Y212" s="2189"/>
      <c r="Z212" s="2189"/>
      <c r="AA212" s="2189"/>
      <c r="AB212" s="2189"/>
      <c r="AC212" s="2190" t="s">
        <v>2152</v>
      </c>
      <c r="AD212" s="2190"/>
      <c r="AE212" s="2190"/>
      <c r="AF212" s="2190"/>
      <c r="AG212" s="2584"/>
      <c r="AH212" s="2585"/>
      <c r="AI212" s="2585"/>
      <c r="AJ212" s="2585"/>
      <c r="AK212" s="258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85">
        <v>7</v>
      </c>
      <c r="D213" s="2186"/>
      <c r="E213" s="2186"/>
      <c r="F213" s="2186"/>
      <c r="G213" s="2191"/>
      <c r="H213" s="2192"/>
      <c r="I213" s="2192"/>
      <c r="J213" s="2192"/>
      <c r="K213" s="2192"/>
      <c r="L213" s="2192"/>
      <c r="M213" s="2192"/>
      <c r="N213" s="2192"/>
      <c r="O213" s="2193"/>
      <c r="P213" s="2188"/>
      <c r="Q213" s="2188"/>
      <c r="R213" s="2188"/>
      <c r="S213" s="2188"/>
      <c r="T213" s="2188"/>
      <c r="U213" s="2189"/>
      <c r="V213" s="2189"/>
      <c r="W213" s="2189"/>
      <c r="X213" s="2189"/>
      <c r="Y213" s="2189"/>
      <c r="Z213" s="2189"/>
      <c r="AA213" s="2189"/>
      <c r="AB213" s="2189"/>
      <c r="AC213" s="2190" t="s">
        <v>2152</v>
      </c>
      <c r="AD213" s="2190"/>
      <c r="AE213" s="2190"/>
      <c r="AF213" s="2190"/>
      <c r="AG213" s="2584"/>
      <c r="AH213" s="2585"/>
      <c r="AI213" s="2585"/>
      <c r="AJ213" s="2585"/>
      <c r="AK213" s="258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80" t="s">
        <v>2583</v>
      </c>
      <c r="D214" s="2181"/>
      <c r="E214" s="2181"/>
      <c r="F214" s="2181"/>
      <c r="G214" s="2181"/>
      <c r="H214" s="2181"/>
      <c r="I214" s="2181"/>
      <c r="J214" s="2181"/>
      <c r="K214" s="2181"/>
      <c r="L214" s="2181"/>
      <c r="M214" s="2181"/>
      <c r="N214" s="2181"/>
      <c r="O214" s="2181"/>
      <c r="P214" s="2182"/>
      <c r="Q214" s="2182"/>
      <c r="R214" s="2182"/>
      <c r="S214" s="2182"/>
      <c r="T214" s="2182"/>
      <c r="U214" s="2183">
        <v>0</v>
      </c>
      <c r="V214" s="2183"/>
      <c r="W214" s="2183"/>
      <c r="X214" s="2183"/>
      <c r="Y214" s="2183">
        <v>0</v>
      </c>
      <c r="Z214" s="2183"/>
      <c r="AA214" s="2183"/>
      <c r="AB214" s="2183"/>
      <c r="AC214" s="2184">
        <v>0</v>
      </c>
      <c r="AD214" s="2184"/>
      <c r="AE214" s="2184"/>
      <c r="AF214" s="2184"/>
      <c r="AG214" s="2587"/>
      <c r="AH214" s="2588"/>
      <c r="AI214" s="2588"/>
      <c r="AJ214" s="2588"/>
      <c r="AK214" s="258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60" t="s">
        <v>1852</v>
      </c>
      <c r="C219" s="2561"/>
      <c r="D219" s="2561"/>
      <c r="E219" s="2561"/>
      <c r="F219" s="2561"/>
      <c r="G219" s="2561"/>
      <c r="H219" s="2561"/>
      <c r="I219" s="2561"/>
      <c r="J219" s="2561"/>
      <c r="K219" s="2561"/>
      <c r="L219" s="2561"/>
      <c r="M219" s="2561"/>
      <c r="N219" s="2561"/>
      <c r="O219" s="2561"/>
      <c r="P219" s="2561"/>
      <c r="Q219" s="2561"/>
      <c r="R219" s="2561"/>
      <c r="S219" s="2561"/>
      <c r="T219" s="2561"/>
      <c r="U219" s="2561"/>
      <c r="V219" s="2561"/>
      <c r="W219" s="2561"/>
      <c r="X219" s="2561"/>
      <c r="Y219" s="2561"/>
      <c r="Z219" s="2561"/>
      <c r="AA219" s="2561"/>
      <c r="AB219" s="2561"/>
      <c r="AC219" s="2561"/>
      <c r="AD219" s="2561"/>
      <c r="AE219" s="2561"/>
      <c r="AF219" s="2561"/>
      <c r="AG219" s="2561"/>
      <c r="AH219" s="2561"/>
      <c r="AI219" s="2561"/>
      <c r="AJ219" s="2561"/>
      <c r="AK219" s="2561"/>
      <c r="AL219" s="2561"/>
      <c r="AM219" s="2561"/>
      <c r="AN219" s="2561"/>
      <c r="AO219" s="2561"/>
      <c r="AP219" s="2561"/>
      <c r="AQ219" s="2561"/>
      <c r="AR219" s="2561"/>
      <c r="AS219" s="2561"/>
      <c r="AT219" s="2561"/>
      <c r="AU219" s="2561"/>
      <c r="AV219" s="2561"/>
      <c r="AW219" s="2561"/>
      <c r="AX219" s="2561"/>
      <c r="AY219" s="2561"/>
      <c r="AZ219" s="2561"/>
      <c r="BA219" s="2561"/>
      <c r="BB219" s="2561"/>
      <c r="BC219" s="2561"/>
      <c r="BD219" s="2562"/>
      <c r="BE219" s="1202"/>
    </row>
    <row r="220" spans="1:57" ht="15.75" customHeight="1">
      <c r="A220" s="1206"/>
      <c r="B220" s="2563"/>
      <c r="C220" s="2564"/>
      <c r="D220" s="2564"/>
      <c r="E220" s="2564"/>
      <c r="F220" s="2564"/>
      <c r="G220" s="2564"/>
      <c r="H220" s="2564"/>
      <c r="I220" s="2564"/>
      <c r="J220" s="2564"/>
      <c r="K220" s="2564"/>
      <c r="L220" s="2564"/>
      <c r="M220" s="2564"/>
      <c r="N220" s="2564"/>
      <c r="O220" s="2564"/>
      <c r="P220" s="2564"/>
      <c r="Q220" s="2564"/>
      <c r="R220" s="2564"/>
      <c r="S220" s="2564"/>
      <c r="T220" s="2564"/>
      <c r="U220" s="2564"/>
      <c r="V220" s="2564"/>
      <c r="W220" s="2564"/>
      <c r="X220" s="2564"/>
      <c r="Y220" s="2564"/>
      <c r="Z220" s="2564"/>
      <c r="AA220" s="2564"/>
      <c r="AB220" s="2564"/>
      <c r="AC220" s="2564"/>
      <c r="AD220" s="2564"/>
      <c r="AE220" s="2564"/>
      <c r="AF220" s="2564"/>
      <c r="AG220" s="2564"/>
      <c r="AH220" s="2564"/>
      <c r="AI220" s="2564"/>
      <c r="AJ220" s="2564"/>
      <c r="AK220" s="2564"/>
      <c r="AL220" s="2564"/>
      <c r="AM220" s="2564"/>
      <c r="AN220" s="2564"/>
      <c r="AO220" s="2564"/>
      <c r="AP220" s="2564"/>
      <c r="AQ220" s="2564"/>
      <c r="AR220" s="2564"/>
      <c r="AS220" s="2564"/>
      <c r="AT220" s="2564"/>
      <c r="AU220" s="2564"/>
      <c r="AV220" s="2564"/>
      <c r="AW220" s="2564"/>
      <c r="AX220" s="2564"/>
      <c r="AY220" s="2564"/>
      <c r="AZ220" s="2564"/>
      <c r="BA220" s="2564"/>
      <c r="BB220" s="2564"/>
      <c r="BC220" s="2564"/>
      <c r="BD220" s="2565"/>
      <c r="BE220" s="1202"/>
    </row>
    <row r="221" spans="1:57" ht="15.75" customHeight="1">
      <c r="A221" s="1206"/>
      <c r="B221" s="2566" t="s">
        <v>1853</v>
      </c>
      <c r="C221" s="2567"/>
      <c r="D221" s="2567"/>
      <c r="E221" s="2567"/>
      <c r="F221" s="2567"/>
      <c r="G221" s="2567"/>
      <c r="H221" s="2567"/>
      <c r="I221" s="2567"/>
      <c r="J221" s="2567"/>
      <c r="K221" s="2567"/>
      <c r="L221" s="2567"/>
      <c r="M221" s="2567"/>
      <c r="N221" s="2567"/>
      <c r="O221" s="2567"/>
      <c r="P221" s="2567"/>
      <c r="Q221" s="2567"/>
      <c r="R221" s="2567"/>
      <c r="S221" s="2567"/>
      <c r="T221" s="2567"/>
      <c r="U221" s="2567"/>
      <c r="V221" s="2567"/>
      <c r="W221" s="2567"/>
      <c r="X221" s="2567"/>
      <c r="Y221" s="2567"/>
      <c r="Z221" s="2567"/>
      <c r="AA221" s="2567"/>
      <c r="AB221" s="2567"/>
      <c r="AC221" s="2567"/>
      <c r="AD221" s="2567"/>
      <c r="AE221" s="2567"/>
      <c r="AF221" s="2567"/>
      <c r="AG221" s="2567"/>
      <c r="AH221" s="2567"/>
      <c r="AI221" s="2567"/>
      <c r="AJ221" s="2567"/>
      <c r="AK221" s="2567"/>
      <c r="AL221" s="2567"/>
      <c r="AM221" s="2567"/>
      <c r="AN221" s="2567"/>
      <c r="AO221" s="2567"/>
      <c r="AP221" s="2567"/>
      <c r="AQ221" s="2567"/>
      <c r="AR221" s="2567"/>
      <c r="AS221" s="2567"/>
      <c r="AT221" s="2567"/>
      <c r="AU221" s="2567"/>
      <c r="AV221" s="2567"/>
      <c r="AW221" s="2567"/>
      <c r="AX221" s="2567"/>
      <c r="AY221" s="2567"/>
      <c r="AZ221" s="2567"/>
      <c r="BA221" s="2567"/>
      <c r="BB221" s="2567"/>
      <c r="BC221" s="2567"/>
      <c r="BD221" s="2568"/>
      <c r="BE221" s="1202"/>
    </row>
    <row r="222" spans="1:57" ht="15.75" customHeight="1">
      <c r="A222" s="1206"/>
      <c r="B222" s="2566" t="s">
        <v>1854</v>
      </c>
      <c r="C222" s="2567"/>
      <c r="D222" s="2567"/>
      <c r="E222" s="2567"/>
      <c r="F222" s="2567"/>
      <c r="G222" s="2567"/>
      <c r="H222" s="2567"/>
      <c r="I222" s="2567"/>
      <c r="J222" s="2567"/>
      <c r="K222" s="2567"/>
      <c r="L222" s="2567"/>
      <c r="M222" s="2567"/>
      <c r="N222" s="2567"/>
      <c r="O222" s="2567"/>
      <c r="P222" s="2567"/>
      <c r="Q222" s="2567"/>
      <c r="R222" s="2567"/>
      <c r="S222" s="2567"/>
      <c r="T222" s="2567"/>
      <c r="U222" s="2567"/>
      <c r="V222" s="2567"/>
      <c r="W222" s="2567"/>
      <c r="X222" s="2567"/>
      <c r="Y222" s="2567"/>
      <c r="Z222" s="2567"/>
      <c r="AA222" s="2567"/>
      <c r="AB222" s="2567"/>
      <c r="AC222" s="2567"/>
      <c r="AD222" s="2567"/>
      <c r="AE222" s="2567"/>
      <c r="AF222" s="2567"/>
      <c r="AG222" s="2567"/>
      <c r="AH222" s="2567"/>
      <c r="AI222" s="2567"/>
      <c r="AJ222" s="2567"/>
      <c r="AK222" s="2567"/>
      <c r="AL222" s="2567"/>
      <c r="AM222" s="2567"/>
      <c r="AN222" s="2567"/>
      <c r="AO222" s="2567"/>
      <c r="AP222" s="2567"/>
      <c r="AQ222" s="2567"/>
      <c r="AR222" s="2567"/>
      <c r="AS222" s="2567"/>
      <c r="AT222" s="2567"/>
      <c r="AU222" s="2567"/>
      <c r="AV222" s="2567"/>
      <c r="AW222" s="2567"/>
      <c r="AX222" s="2567"/>
      <c r="AY222" s="2567"/>
      <c r="AZ222" s="2567"/>
      <c r="BA222" s="2567"/>
      <c r="BB222" s="2567"/>
      <c r="BC222" s="2567"/>
      <c r="BD222" s="256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9" t="s">
        <v>1855</v>
      </c>
      <c r="C224" s="2570"/>
      <c r="D224" s="2570"/>
      <c r="E224" s="2570"/>
      <c r="F224" s="2570"/>
      <c r="G224" s="2570"/>
      <c r="H224" s="2570"/>
      <c r="I224" s="2570"/>
      <c r="J224" s="2570"/>
      <c r="K224" s="2570"/>
      <c r="L224" s="2570"/>
      <c r="M224" s="2570"/>
      <c r="N224" s="2570"/>
      <c r="O224" s="2570"/>
      <c r="P224" s="2570"/>
      <c r="Q224" s="2570"/>
      <c r="R224" s="2570"/>
      <c r="S224" s="2570"/>
      <c r="T224" s="2570"/>
      <c r="U224" s="2570"/>
      <c r="V224" s="2570"/>
      <c r="W224" s="2570"/>
      <c r="X224" s="2570"/>
      <c r="Y224" s="2570"/>
      <c r="Z224" s="2570"/>
      <c r="AA224" s="2570"/>
      <c r="AB224" s="2570"/>
      <c r="AC224" s="2570"/>
      <c r="AD224" s="2570"/>
      <c r="AE224" s="2570"/>
      <c r="AF224" s="2570"/>
      <c r="AG224" s="2570"/>
      <c r="AH224" s="2570"/>
      <c r="AI224" s="2570"/>
      <c r="AJ224" s="2570"/>
      <c r="AK224" s="2570"/>
      <c r="AL224" s="2570"/>
      <c r="AM224" s="2570"/>
      <c r="AN224" s="2570"/>
      <c r="AO224" s="2570"/>
      <c r="AP224" s="2570"/>
      <c r="AQ224" s="2570"/>
      <c r="AR224" s="2570"/>
      <c r="AS224" s="2570"/>
      <c r="AT224" s="2570"/>
      <c r="AU224" s="2570"/>
      <c r="AV224" s="2570"/>
      <c r="AW224" s="2570"/>
      <c r="AX224" s="2570"/>
      <c r="AY224" s="2570"/>
      <c r="AZ224" s="2570"/>
      <c r="BA224" s="2570"/>
      <c r="BB224" s="2570"/>
      <c r="BC224" s="2570"/>
      <c r="BD224" s="257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83" t="s">
        <v>1857</v>
      </c>
      <c r="I228" s="2583"/>
      <c r="J228" s="2583"/>
      <c r="K228" s="2583"/>
      <c r="L228" s="2583"/>
      <c r="M228" s="2583"/>
      <c r="N228" s="2583"/>
      <c r="O228" s="2583"/>
      <c r="P228" s="2583"/>
      <c r="Q228" s="2583"/>
      <c r="R228" s="2583"/>
      <c r="S228" s="2583"/>
      <c r="T228" s="2583"/>
      <c r="U228" s="2583"/>
      <c r="V228" s="2583"/>
      <c r="W228" s="2583"/>
      <c r="X228" s="2583"/>
      <c r="Y228" s="2583"/>
      <c r="Z228" s="2583"/>
      <c r="AA228" s="2583"/>
      <c r="AB228" s="2583"/>
      <c r="AC228" s="2583"/>
      <c r="AD228" s="2583"/>
      <c r="AE228" s="2583"/>
      <c r="AF228" s="2583"/>
      <c r="AG228" s="2583"/>
      <c r="AH228" s="2583"/>
      <c r="AI228" s="2583"/>
      <c r="AJ228" s="2583"/>
      <c r="AK228" s="2583"/>
      <c r="AL228" s="2583"/>
      <c r="AM228" s="2583"/>
      <c r="AN228" s="2583"/>
      <c r="AO228" s="2583"/>
      <c r="AP228" s="2583"/>
      <c r="AQ228" s="2583"/>
      <c r="AR228" s="2583"/>
      <c r="AS228" s="2583"/>
      <c r="AT228" s="2583"/>
      <c r="AU228" s="2583"/>
      <c r="AV228" s="2583"/>
      <c r="AW228" s="2583"/>
      <c r="AX228" s="2583"/>
      <c r="AY228" s="258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82" t="s">
        <v>2496</v>
      </c>
      <c r="I230" s="2582"/>
      <c r="J230" s="2582"/>
      <c r="K230" s="2582"/>
      <c r="L230" s="2582"/>
      <c r="M230" s="2582"/>
      <c r="N230" s="2582"/>
      <c r="O230" s="2582"/>
      <c r="P230" s="2582"/>
      <c r="Q230" s="2582"/>
      <c r="R230" s="2582"/>
      <c r="S230" s="2582"/>
      <c r="T230" s="2582"/>
      <c r="U230" s="2582"/>
      <c r="V230" s="2582"/>
      <c r="W230" s="2582"/>
      <c r="X230" s="2582"/>
      <c r="Y230" s="2582"/>
      <c r="Z230" s="2582"/>
      <c r="AA230" s="2582"/>
      <c r="AB230" s="2582"/>
      <c r="AC230" s="2582"/>
      <c r="AD230" s="2582"/>
      <c r="AE230" s="2582"/>
      <c r="AF230" s="2582"/>
      <c r="AG230" s="2582"/>
      <c r="AH230" s="2582"/>
      <c r="AI230" s="2582"/>
      <c r="AJ230" s="2582"/>
      <c r="AK230" s="2582"/>
      <c r="AL230" s="2582"/>
      <c r="AM230" s="2582"/>
      <c r="AN230" s="2582"/>
      <c r="AO230" s="2582"/>
      <c r="AP230" s="2582"/>
      <c r="AQ230" s="2582"/>
      <c r="AR230" s="2582"/>
      <c r="AS230" s="2582"/>
      <c r="AT230" s="2582"/>
      <c r="AU230" s="2582"/>
      <c r="AV230" s="2582"/>
      <c r="AW230" s="2582"/>
      <c r="AX230" s="2582"/>
      <c r="AY230" s="2582"/>
      <c r="AZ230" s="2582"/>
      <c r="BA230" s="1206"/>
      <c r="BB230" s="1206"/>
      <c r="BC230" s="1206"/>
      <c r="BD230" s="1202"/>
      <c r="BE230" s="1202"/>
    </row>
    <row r="231" spans="1:57" ht="15.75" customHeight="1">
      <c r="A231" s="1206"/>
      <c r="B231" s="1212"/>
      <c r="C231" s="1206"/>
      <c r="D231" s="1206"/>
      <c r="E231" s="1206"/>
      <c r="F231" s="1206"/>
      <c r="G231" s="1206"/>
      <c r="H231" s="2582"/>
      <c r="I231" s="2582"/>
      <c r="J231" s="2582"/>
      <c r="K231" s="2582"/>
      <c r="L231" s="2582"/>
      <c r="M231" s="2582"/>
      <c r="N231" s="2582"/>
      <c r="O231" s="2582"/>
      <c r="P231" s="2582"/>
      <c r="Q231" s="2582"/>
      <c r="R231" s="2582"/>
      <c r="S231" s="2582"/>
      <c r="T231" s="2582"/>
      <c r="U231" s="2582"/>
      <c r="V231" s="2582"/>
      <c r="W231" s="2582"/>
      <c r="X231" s="2582"/>
      <c r="Y231" s="2582"/>
      <c r="Z231" s="2582"/>
      <c r="AA231" s="2582"/>
      <c r="AB231" s="2582"/>
      <c r="AC231" s="2582"/>
      <c r="AD231" s="2582"/>
      <c r="AE231" s="2582"/>
      <c r="AF231" s="2582"/>
      <c r="AG231" s="2582"/>
      <c r="AH231" s="2582"/>
      <c r="AI231" s="2582"/>
      <c r="AJ231" s="2582"/>
      <c r="AK231" s="2582"/>
      <c r="AL231" s="2582"/>
      <c r="AM231" s="2582"/>
      <c r="AN231" s="2582"/>
      <c r="AO231" s="2582"/>
      <c r="AP231" s="2582"/>
      <c r="AQ231" s="2582"/>
      <c r="AR231" s="2582"/>
      <c r="AS231" s="2582"/>
      <c r="AT231" s="2582"/>
      <c r="AU231" s="2582"/>
      <c r="AV231" s="2582"/>
      <c r="AW231" s="2582"/>
      <c r="AX231" s="2582"/>
      <c r="AY231" s="2582"/>
      <c r="AZ231" s="2582"/>
      <c r="BA231" s="1206"/>
      <c r="BB231" s="1206"/>
      <c r="BC231" s="1206"/>
      <c r="BD231" s="1202"/>
      <c r="BE231" s="1202"/>
    </row>
    <row r="232" spans="1:57" ht="15.75" customHeight="1">
      <c r="A232" s="1206"/>
      <c r="B232" s="1212"/>
      <c r="C232" s="1206"/>
      <c r="D232" s="1206"/>
      <c r="E232" s="1206"/>
      <c r="F232" s="1206"/>
      <c r="G232" s="1206"/>
      <c r="H232" s="2582"/>
      <c r="I232" s="2582"/>
      <c r="J232" s="2582"/>
      <c r="K232" s="2582"/>
      <c r="L232" s="2582"/>
      <c r="M232" s="2582"/>
      <c r="N232" s="2582"/>
      <c r="O232" s="2582"/>
      <c r="P232" s="2582"/>
      <c r="Q232" s="2582"/>
      <c r="R232" s="2582"/>
      <c r="S232" s="2582"/>
      <c r="T232" s="2582"/>
      <c r="U232" s="2582"/>
      <c r="V232" s="2582"/>
      <c r="W232" s="2582"/>
      <c r="X232" s="2582"/>
      <c r="Y232" s="2582"/>
      <c r="Z232" s="2582"/>
      <c r="AA232" s="2582"/>
      <c r="AB232" s="2582"/>
      <c r="AC232" s="2582"/>
      <c r="AD232" s="2582"/>
      <c r="AE232" s="2582"/>
      <c r="AF232" s="2582"/>
      <c r="AG232" s="2582"/>
      <c r="AH232" s="2582"/>
      <c r="AI232" s="2582"/>
      <c r="AJ232" s="2582"/>
      <c r="AK232" s="2582"/>
      <c r="AL232" s="2582"/>
      <c r="AM232" s="2582"/>
      <c r="AN232" s="2582"/>
      <c r="AO232" s="2582"/>
      <c r="AP232" s="2582"/>
      <c r="AQ232" s="2582"/>
      <c r="AR232" s="2582"/>
      <c r="AS232" s="2582"/>
      <c r="AT232" s="2582"/>
      <c r="AU232" s="2582"/>
      <c r="AV232" s="2582"/>
      <c r="AW232" s="2582"/>
      <c r="AX232" s="2582"/>
      <c r="AY232" s="2582"/>
      <c r="AZ232" s="2582"/>
      <c r="BA232" s="1206"/>
      <c r="BB232" s="1206"/>
      <c r="BC232" s="1206"/>
      <c r="BD232" s="1202"/>
      <c r="BE232" s="1202"/>
    </row>
    <row r="233" spans="1:57" ht="15.75" customHeight="1">
      <c r="A233" s="1206"/>
      <c r="B233" s="1212"/>
      <c r="C233" s="1206"/>
      <c r="D233" s="1206"/>
      <c r="E233" s="1206"/>
      <c r="F233" s="1206"/>
      <c r="G233" s="1206"/>
      <c r="H233" s="2582"/>
      <c r="I233" s="2582"/>
      <c r="J233" s="2582"/>
      <c r="K233" s="2582"/>
      <c r="L233" s="2582"/>
      <c r="M233" s="2582"/>
      <c r="N233" s="2582"/>
      <c r="O233" s="2582"/>
      <c r="P233" s="2582"/>
      <c r="Q233" s="2582"/>
      <c r="R233" s="2582"/>
      <c r="S233" s="2582"/>
      <c r="T233" s="2582"/>
      <c r="U233" s="2582"/>
      <c r="V233" s="2582"/>
      <c r="W233" s="2582"/>
      <c r="X233" s="2582"/>
      <c r="Y233" s="2582"/>
      <c r="Z233" s="2582"/>
      <c r="AA233" s="2582"/>
      <c r="AB233" s="2582"/>
      <c r="AC233" s="2582"/>
      <c r="AD233" s="2582"/>
      <c r="AE233" s="2582"/>
      <c r="AF233" s="2582"/>
      <c r="AG233" s="2582"/>
      <c r="AH233" s="2582"/>
      <c r="AI233" s="2582"/>
      <c r="AJ233" s="2582"/>
      <c r="AK233" s="2582"/>
      <c r="AL233" s="2582"/>
      <c r="AM233" s="2582"/>
      <c r="AN233" s="2582"/>
      <c r="AO233" s="2582"/>
      <c r="AP233" s="2582"/>
      <c r="AQ233" s="2582"/>
      <c r="AR233" s="2582"/>
      <c r="AS233" s="2582"/>
      <c r="AT233" s="2582"/>
      <c r="AU233" s="2582"/>
      <c r="AV233" s="2582"/>
      <c r="AW233" s="2582"/>
      <c r="AX233" s="2582"/>
      <c r="AY233" s="2582"/>
      <c r="AZ233" s="258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81" t="s">
        <v>1858</v>
      </c>
      <c r="I235" s="2581"/>
      <c r="J235" s="2581"/>
      <c r="K235" s="2581"/>
      <c r="L235" s="2581"/>
      <c r="M235" s="2581"/>
      <c r="N235" s="2581"/>
      <c r="O235" s="2581"/>
      <c r="P235" s="2581"/>
      <c r="Q235" s="2581"/>
      <c r="R235" s="2581"/>
      <c r="S235" s="2581"/>
      <c r="T235" s="2581"/>
      <c r="U235" s="2581"/>
      <c r="V235" s="2581"/>
      <c r="W235" s="2581"/>
      <c r="X235" s="2581"/>
      <c r="Y235" s="2581"/>
      <c r="Z235" s="2581"/>
      <c r="AA235" s="2581"/>
      <c r="AB235" s="2581"/>
      <c r="AC235" s="2581"/>
      <c r="AD235" s="2581"/>
      <c r="AE235" s="2581"/>
      <c r="AF235" s="2581"/>
      <c r="AG235" s="2581"/>
      <c r="AH235" s="2581"/>
      <c r="AI235" s="2581"/>
      <c r="AJ235" s="2581"/>
      <c r="AK235" s="2581"/>
      <c r="AL235" s="2581"/>
      <c r="AM235" s="2581"/>
      <c r="AN235" s="2581"/>
      <c r="AO235" s="2581"/>
      <c r="AP235" s="2581"/>
      <c r="AQ235" s="2581"/>
      <c r="AR235" s="2581"/>
      <c r="AS235" s="2581"/>
      <c r="AT235" s="2581"/>
      <c r="AU235" s="2581"/>
      <c r="AV235" s="258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7" t="s">
        <v>1859</v>
      </c>
      <c r="I237" s="2557"/>
      <c r="J237" s="2557"/>
      <c r="K237" s="2557"/>
      <c r="L237" s="1208"/>
      <c r="M237" s="1208"/>
      <c r="N237" s="1208"/>
      <c r="O237" s="1208"/>
      <c r="P237" s="1208"/>
      <c r="Q237" s="1208"/>
      <c r="R237" s="1208"/>
      <c r="S237" s="2578"/>
      <c r="T237" s="2579"/>
      <c r="U237" s="2579"/>
      <c r="V237" s="2579"/>
      <c r="W237" s="2579"/>
      <c r="X237" s="2579"/>
      <c r="Y237" s="2579"/>
      <c r="Z237" s="2579"/>
      <c r="AA237" s="2579"/>
      <c r="AB237" s="2579"/>
      <c r="AC237" s="2579"/>
      <c r="AD237" s="2579"/>
      <c r="AE237" s="2579"/>
      <c r="AF237" s="2579"/>
      <c r="AG237" s="2579"/>
      <c r="AH237" s="2579"/>
      <c r="AI237" s="2579"/>
      <c r="AJ237" s="258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7" t="s">
        <v>1860</v>
      </c>
      <c r="I239" s="2557"/>
      <c r="J239" s="2557"/>
      <c r="K239" s="1210"/>
      <c r="L239" s="1208"/>
      <c r="M239" s="1208"/>
      <c r="N239" s="1208"/>
      <c r="O239" s="1208"/>
      <c r="P239" s="1208"/>
      <c r="Q239" s="1208"/>
      <c r="R239" s="1208"/>
      <c r="S239" s="2575"/>
      <c r="T239" s="2576"/>
      <c r="U239" s="2576"/>
      <c r="V239" s="2576"/>
      <c r="W239" s="2576"/>
      <c r="X239" s="2576"/>
      <c r="Y239" s="2576"/>
      <c r="Z239" s="2576"/>
      <c r="AA239" s="2576"/>
      <c r="AB239" s="2576"/>
      <c r="AC239" s="2576"/>
      <c r="AD239" s="2576"/>
      <c r="AE239" s="2576"/>
      <c r="AF239" s="2576"/>
      <c r="AG239" s="2576"/>
      <c r="AH239" s="2576"/>
      <c r="AI239" s="2576"/>
      <c r="AJ239" s="257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7" t="s">
        <v>443</v>
      </c>
      <c r="I241" s="2557"/>
      <c r="J241" s="1210"/>
      <c r="K241" s="1210"/>
      <c r="L241" s="1208"/>
      <c r="M241" s="1208"/>
      <c r="N241" s="1208"/>
      <c r="O241" s="1208"/>
      <c r="P241" s="1208"/>
      <c r="Q241" s="1208"/>
      <c r="R241" s="1208"/>
      <c r="S241" s="2575"/>
      <c r="T241" s="2576"/>
      <c r="U241" s="2576"/>
      <c r="V241" s="2576"/>
      <c r="W241" s="2576"/>
      <c r="X241" s="2576"/>
      <c r="Y241" s="2576"/>
      <c r="Z241" s="2576"/>
      <c r="AA241" s="2576"/>
      <c r="AB241" s="2576"/>
      <c r="AC241" s="2576"/>
      <c r="AD241" s="2576"/>
      <c r="AE241" s="2576"/>
      <c r="AF241" s="2576"/>
      <c r="AG241" s="2576"/>
      <c r="AH241" s="2576"/>
      <c r="AI241" s="2576"/>
      <c r="AJ241" s="257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8" t="s">
        <v>1861</v>
      </c>
      <c r="I243" s="2558"/>
      <c r="J243" s="2558"/>
      <c r="K243" s="2558"/>
      <c r="L243" s="2558"/>
      <c r="M243" s="2558"/>
      <c r="N243" s="2558"/>
      <c r="O243" s="2558"/>
      <c r="P243" s="1208"/>
      <c r="Q243" s="1208"/>
      <c r="R243" s="1208"/>
      <c r="S243" s="2575"/>
      <c r="T243" s="2576"/>
      <c r="U243" s="2576"/>
      <c r="V243" s="2576"/>
      <c r="W243" s="2576"/>
      <c r="X243" s="2576"/>
      <c r="Y243" s="2576"/>
      <c r="Z243" s="2576"/>
      <c r="AA243" s="2576"/>
      <c r="AB243" s="2576"/>
      <c r="AC243" s="2576"/>
      <c r="AD243" s="2576"/>
      <c r="AE243" s="2576"/>
      <c r="AF243" s="2576"/>
      <c r="AG243" s="2576"/>
      <c r="AH243" s="2576"/>
      <c r="AI243" s="2576"/>
      <c r="AJ243" s="257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9" t="s">
        <v>1862</v>
      </c>
      <c r="I245" s="2559"/>
      <c r="J245" s="1208"/>
      <c r="K245" s="1208"/>
      <c r="L245" s="1208"/>
      <c r="M245" s="1208"/>
      <c r="N245" s="1208"/>
      <c r="O245" s="1208"/>
      <c r="P245" s="1208"/>
      <c r="Q245" s="1208"/>
      <c r="R245" s="1208"/>
      <c r="S245" s="2572"/>
      <c r="T245" s="2573"/>
      <c r="U245" s="2573"/>
      <c r="V245" s="2573"/>
      <c r="W245" s="2573"/>
      <c r="X245" s="2573"/>
      <c r="Y245" s="2573"/>
      <c r="Z245" s="2573"/>
      <c r="AA245" s="2573"/>
      <c r="AB245" s="2573"/>
      <c r="AC245" s="2573"/>
      <c r="AD245" s="2573"/>
      <c r="AE245" s="2573"/>
      <c r="AF245" s="2573"/>
      <c r="AG245" s="2573"/>
      <c r="AH245" s="2573"/>
      <c r="AI245" s="2573"/>
      <c r="AJ245" s="257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5" workbookViewId="0">
      <selection activeCell="AI56" sqref="AI5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9" t="s">
        <v>1388</v>
      </c>
      <c r="B1" s="2669"/>
      <c r="C1" s="2669"/>
      <c r="D1" s="2669"/>
      <c r="E1" s="2669"/>
      <c r="F1" s="2669"/>
      <c r="G1" s="2669"/>
      <c r="H1" s="2669"/>
      <c r="I1" s="2669"/>
      <c r="J1" s="2669"/>
      <c r="K1" s="2669"/>
      <c r="L1" s="2669"/>
      <c r="M1" s="2669"/>
      <c r="N1" s="2669"/>
      <c r="O1" s="2669"/>
      <c r="P1" s="2669"/>
      <c r="Q1" s="2669"/>
      <c r="R1" s="2669"/>
      <c r="S1" s="2669"/>
      <c r="T1" s="2669"/>
      <c r="U1" s="2669"/>
      <c r="V1" s="2669"/>
      <c r="W1" s="2669"/>
      <c r="X1" s="2669"/>
      <c r="Y1" s="2669"/>
      <c r="Z1" s="2669"/>
      <c r="AA1" s="2669"/>
      <c r="AB1" s="2669"/>
      <c r="AC1" s="2669"/>
      <c r="AD1" s="2669"/>
      <c r="AE1" s="2669"/>
      <c r="AF1" s="2669"/>
      <c r="AG1" s="2669"/>
      <c r="AH1" s="2669"/>
      <c r="AI1" s="2669"/>
      <c r="AJ1" s="2669"/>
      <c r="AK1" s="2669"/>
      <c r="AL1" s="2669"/>
      <c r="AM1" s="2669"/>
      <c r="AN1" s="2669"/>
    </row>
    <row r="2" spans="1:40" ht="12.95" customHeight="1" thickBot="1">
      <c r="A2" s="2670"/>
      <c r="B2" s="2670"/>
      <c r="C2" s="2670"/>
      <c r="D2" s="2670"/>
      <c r="E2" s="2670"/>
      <c r="F2" s="2670"/>
      <c r="G2" s="2670"/>
      <c r="H2" s="2670"/>
      <c r="I2" s="2670"/>
      <c r="J2" s="2670"/>
      <c r="K2" s="2670"/>
      <c r="L2" s="2670"/>
      <c r="M2" s="2670"/>
      <c r="N2" s="2670"/>
      <c r="O2" s="2670"/>
      <c r="P2" s="2670"/>
      <c r="Q2" s="2670"/>
      <c r="R2" s="2670"/>
      <c r="S2" s="2670"/>
      <c r="T2" s="2670"/>
      <c r="U2" s="2670"/>
      <c r="V2" s="2670"/>
      <c r="W2" s="2670"/>
      <c r="X2" s="2670"/>
      <c r="Y2" s="2670"/>
      <c r="Z2" s="2670"/>
      <c r="AA2" s="2670"/>
      <c r="AB2" s="2670"/>
      <c r="AC2" s="2670"/>
      <c r="AD2" s="2670"/>
      <c r="AE2" s="2670"/>
      <c r="AF2" s="2670"/>
      <c r="AG2" s="2670"/>
      <c r="AH2" s="2670"/>
      <c r="AI2" s="2670"/>
      <c r="AJ2" s="2670"/>
      <c r="AK2" s="2670"/>
      <c r="AL2" s="2670"/>
      <c r="AM2" s="2670"/>
      <c r="AN2" s="267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49" t="str">
        <f xml:space="preserve"> IF(T25=100%,'Sources and Basis Breakdown'!G2,'Sources and Basis Breakdown'!F2)</f>
        <v>30% PVC for New Const/
Rehabilitation
DDA/QCT
Building(s)</v>
      </c>
      <c r="U7" s="2649"/>
      <c r="V7" s="2649"/>
      <c r="W7" s="2649"/>
      <c r="X7" s="2649"/>
      <c r="Y7" s="2649" t="str">
        <f>IF(T25=100%,"",'Sources and Basis Breakdown'!G2)</f>
        <v>30% PVC for New Const/
Rehabilitation
NON-DDA/
NON-QCT Building(s)</v>
      </c>
      <c r="Z7" s="2649"/>
      <c r="AA7" s="2649"/>
      <c r="AB7" s="2649"/>
      <c r="AC7" s="2649"/>
      <c r="AD7" s="2649" t="str">
        <f xml:space="preserve"> IF(T25=100%, 'Sources and Basis Breakdown'!J2,'Sources and Basis Breakdown'!I2)</f>
        <v>30% PVC for Acquisition
DDA/QCT Building(s)</v>
      </c>
      <c r="AE7" s="2649"/>
      <c r="AF7" s="2649"/>
      <c r="AG7" s="2649"/>
      <c r="AH7" s="2649"/>
      <c r="AI7" s="2649" t="str">
        <f>IF(T25=100%,"",'Sources and Basis Breakdown'!J2)</f>
        <v>30% PVC for Acquisition
NON-DDA/
NON-QCT Building(s)</v>
      </c>
      <c r="AJ7" s="2649"/>
      <c r="AK7" s="2649"/>
      <c r="AL7" s="2649"/>
      <c r="AM7" s="2649"/>
    </row>
    <row r="8" spans="1:40" ht="12.95" customHeight="1">
      <c r="B8" s="438"/>
      <c r="T8" s="2649"/>
      <c r="U8" s="2649"/>
      <c r="V8" s="2649"/>
      <c r="W8" s="2649"/>
      <c r="X8" s="2649"/>
      <c r="Y8" s="2649"/>
      <c r="Z8" s="2649"/>
      <c r="AA8" s="2649"/>
      <c r="AB8" s="2649"/>
      <c r="AC8" s="2649"/>
      <c r="AD8" s="2649"/>
      <c r="AE8" s="2649"/>
      <c r="AF8" s="2649"/>
      <c r="AG8" s="2649"/>
      <c r="AH8" s="2649"/>
      <c r="AI8" s="2649"/>
      <c r="AJ8" s="2649"/>
      <c r="AK8" s="2649"/>
      <c r="AL8" s="2649"/>
      <c r="AM8" s="2649"/>
    </row>
    <row r="9" spans="1:40" ht="12.95" customHeight="1">
      <c r="B9" s="438"/>
      <c r="T9" s="2649"/>
      <c r="U9" s="2649"/>
      <c r="V9" s="2649"/>
      <c r="W9" s="2649"/>
      <c r="X9" s="2649"/>
      <c r="Y9" s="2649"/>
      <c r="Z9" s="2649"/>
      <c r="AA9" s="2649"/>
      <c r="AB9" s="2649"/>
      <c r="AC9" s="2649"/>
      <c r="AD9" s="2649"/>
      <c r="AE9" s="2649"/>
      <c r="AF9" s="2649"/>
      <c r="AG9" s="2649"/>
      <c r="AH9" s="2649"/>
      <c r="AI9" s="2649"/>
      <c r="AJ9" s="2649"/>
      <c r="AK9" s="2649"/>
      <c r="AL9" s="2649"/>
      <c r="AM9" s="2649"/>
    </row>
    <row r="10" spans="1:40" ht="12.95" customHeight="1">
      <c r="B10" s="439"/>
      <c r="C10" s="440"/>
      <c r="D10" s="440"/>
      <c r="E10" s="440"/>
      <c r="F10" s="440"/>
      <c r="G10" s="440"/>
      <c r="H10" s="440"/>
      <c r="I10" s="440"/>
      <c r="J10" s="440"/>
      <c r="K10" s="440"/>
      <c r="L10" s="440"/>
      <c r="M10" s="440"/>
      <c r="N10" s="440"/>
      <c r="O10" s="440"/>
      <c r="P10" s="440"/>
      <c r="Q10" s="440"/>
      <c r="R10" s="440"/>
      <c r="S10" s="440"/>
      <c r="T10" s="2649"/>
      <c r="U10" s="2649"/>
      <c r="V10" s="2649"/>
      <c r="W10" s="2649"/>
      <c r="X10" s="2649"/>
      <c r="Y10" s="2649"/>
      <c r="Z10" s="2649"/>
      <c r="AA10" s="2649"/>
      <c r="AB10" s="2649"/>
      <c r="AC10" s="2649"/>
      <c r="AD10" s="2649"/>
      <c r="AE10" s="2649"/>
      <c r="AF10" s="2649"/>
      <c r="AG10" s="2649"/>
      <c r="AH10" s="2649"/>
      <c r="AI10" s="2649"/>
      <c r="AJ10" s="2649"/>
      <c r="AK10" s="2649"/>
      <c r="AL10" s="2649"/>
      <c r="AM10" s="2649"/>
    </row>
    <row r="11" spans="1:40" ht="12.95" customHeight="1">
      <c r="B11" s="2632" t="s">
        <v>376</v>
      </c>
      <c r="C11" s="2633"/>
      <c r="D11" s="2633"/>
      <c r="E11" s="2633"/>
      <c r="F11" s="2633"/>
      <c r="G11" s="2633"/>
      <c r="H11" s="2633"/>
      <c r="I11" s="2633"/>
      <c r="J11" s="2633"/>
      <c r="K11" s="2633"/>
      <c r="L11" s="2633"/>
      <c r="M11" s="2633"/>
      <c r="N11" s="2633"/>
      <c r="O11" s="2633"/>
      <c r="P11" s="2633"/>
      <c r="Q11" s="2633"/>
      <c r="R11" s="2633"/>
      <c r="S11" s="2634"/>
      <c r="T11" s="2671">
        <f>IF('Sources and Basis Breakdown'!F107=0,'Sources and Basis Breakdown'!E107,'Sources and Basis Breakdown'!F107)</f>
        <v>71083031</v>
      </c>
      <c r="U11" s="2672"/>
      <c r="V11" s="2672"/>
      <c r="W11" s="2672"/>
      <c r="X11" s="2672"/>
      <c r="Y11" s="2671">
        <f>IF(Y7="",0,IF('Sources and Basis Breakdown'!G107+'Sources and Basis Breakdown'!F107='Sources and Basis Breakdown'!E107,'Sources and Basis Breakdown'!G107,0))</f>
        <v>0</v>
      </c>
      <c r="Z11" s="2672"/>
      <c r="AA11" s="2672"/>
      <c r="AB11" s="2672"/>
      <c r="AC11" s="2672"/>
      <c r="AD11" s="2672">
        <f>IF('Sources and Basis Breakdown'!I107=0,'Sources and Basis Breakdown'!H107,'Sources and Basis Breakdown'!I107)</f>
        <v>0</v>
      </c>
      <c r="AE11" s="2672"/>
      <c r="AF11" s="2672"/>
      <c r="AG11" s="2672"/>
      <c r="AH11" s="2672"/>
      <c r="AI11" s="2672">
        <f>IF(Y7="",0,IF('Sources and Basis Breakdown'!I107+'Sources and Basis Breakdown'!J107='Sources and Basis Breakdown'!H107,'Sources and Basis Breakdown'!J107,0))</f>
        <v>0</v>
      </c>
      <c r="AJ11" s="2672"/>
      <c r="AK11" s="2672"/>
      <c r="AL11" s="2672"/>
      <c r="AM11" s="2672"/>
    </row>
    <row r="12" spans="1:40" ht="12.95" customHeight="1">
      <c r="B12" s="2673" t="s">
        <v>505</v>
      </c>
      <c r="C12" s="1281"/>
      <c r="D12" s="1281"/>
      <c r="E12" s="1281"/>
      <c r="F12" s="1281"/>
      <c r="G12" s="1281"/>
      <c r="H12" s="1281"/>
      <c r="I12" s="1281"/>
      <c r="J12" s="1281"/>
      <c r="K12" s="1281"/>
      <c r="L12" s="1281"/>
      <c r="M12" s="1281"/>
      <c r="N12" s="1281"/>
      <c r="O12" s="1281"/>
      <c r="P12" s="1281"/>
      <c r="Q12" s="1281"/>
      <c r="R12" s="1281"/>
      <c r="S12" s="2674"/>
      <c r="T12" s="2664"/>
      <c r="U12" s="2665"/>
      <c r="V12" s="2665"/>
      <c r="W12" s="2665"/>
      <c r="X12" s="2666"/>
      <c r="Y12" s="2664"/>
      <c r="Z12" s="2665"/>
      <c r="AA12" s="2665"/>
      <c r="AB12" s="2665"/>
      <c r="AC12" s="2666"/>
      <c r="AD12" s="2664"/>
      <c r="AE12" s="2665"/>
      <c r="AF12" s="2665"/>
      <c r="AG12" s="2665"/>
      <c r="AH12" s="2666"/>
      <c r="AI12" s="2664"/>
      <c r="AJ12" s="2665"/>
      <c r="AK12" s="2665"/>
      <c r="AL12" s="2665"/>
      <c r="AM12" s="2666"/>
    </row>
    <row r="13" spans="1:40" ht="12.95" customHeight="1">
      <c r="B13" s="467"/>
      <c r="C13" s="2675" t="s">
        <v>506</v>
      </c>
      <c r="D13" s="2675"/>
      <c r="E13" s="2675"/>
      <c r="F13" s="2675"/>
      <c r="G13" s="2675"/>
      <c r="H13" s="2675"/>
      <c r="I13" s="2675"/>
      <c r="J13" s="2675"/>
      <c r="K13" s="2675"/>
      <c r="L13" s="2675"/>
      <c r="M13" s="2675"/>
      <c r="N13" s="2675"/>
      <c r="O13" s="2675"/>
      <c r="P13" s="2675"/>
      <c r="Q13" s="2675"/>
      <c r="R13" s="2675"/>
      <c r="S13" s="2676"/>
      <c r="T13" s="2667"/>
      <c r="U13" s="2668"/>
      <c r="V13" s="2668"/>
      <c r="W13" s="2668"/>
      <c r="X13" s="2668"/>
      <c r="Y13" s="2667"/>
      <c r="Z13" s="2668"/>
      <c r="AA13" s="2668"/>
      <c r="AB13" s="2668"/>
      <c r="AC13" s="2668"/>
      <c r="AD13" s="2668"/>
      <c r="AE13" s="2668"/>
      <c r="AF13" s="2668"/>
      <c r="AG13" s="2668"/>
      <c r="AH13" s="2668"/>
      <c r="AI13" s="2668"/>
      <c r="AJ13" s="2668"/>
      <c r="AK13" s="2668"/>
      <c r="AL13" s="2668"/>
      <c r="AM13" s="2668"/>
    </row>
    <row r="14" spans="1:40" ht="12.95" customHeight="1">
      <c r="B14" s="467"/>
      <c r="C14" s="2675" t="s">
        <v>507</v>
      </c>
      <c r="D14" s="2675"/>
      <c r="E14" s="2675"/>
      <c r="F14" s="2675"/>
      <c r="G14" s="2675"/>
      <c r="H14" s="2675"/>
      <c r="I14" s="2675"/>
      <c r="J14" s="2675"/>
      <c r="K14" s="2675"/>
      <c r="L14" s="2675"/>
      <c r="M14" s="2675"/>
      <c r="N14" s="2675"/>
      <c r="O14" s="2675"/>
      <c r="P14" s="2675"/>
      <c r="Q14" s="2675"/>
      <c r="R14" s="2675"/>
      <c r="S14" s="2676"/>
      <c r="T14" s="2657"/>
      <c r="U14" s="2658"/>
      <c r="V14" s="2658"/>
      <c r="W14" s="2658"/>
      <c r="X14" s="2658"/>
      <c r="Y14" s="2657"/>
      <c r="Z14" s="2658"/>
      <c r="AA14" s="2658"/>
      <c r="AB14" s="2658"/>
      <c r="AC14" s="2658"/>
      <c r="AD14" s="2658"/>
      <c r="AE14" s="2658"/>
      <c r="AF14" s="2658"/>
      <c r="AG14" s="2658"/>
      <c r="AH14" s="2658"/>
      <c r="AI14" s="2658"/>
      <c r="AJ14" s="2658"/>
      <c r="AK14" s="2658"/>
      <c r="AL14" s="2658"/>
      <c r="AM14" s="2658"/>
    </row>
    <row r="15" spans="1:40" ht="12.95" customHeight="1">
      <c r="B15" s="467"/>
      <c r="C15" s="2675" t="s">
        <v>508</v>
      </c>
      <c r="D15" s="2675"/>
      <c r="E15" s="2675"/>
      <c r="F15" s="2675"/>
      <c r="G15" s="2675"/>
      <c r="H15" s="2675"/>
      <c r="I15" s="2675"/>
      <c r="J15" s="2675"/>
      <c r="K15" s="2675"/>
      <c r="L15" s="2675"/>
      <c r="M15" s="2675"/>
      <c r="N15" s="2675"/>
      <c r="O15" s="2675"/>
      <c r="P15" s="2675"/>
      <c r="Q15" s="2675"/>
      <c r="R15" s="2675"/>
      <c r="S15" s="2676"/>
      <c r="T15" s="2657"/>
      <c r="U15" s="2658"/>
      <c r="V15" s="2658"/>
      <c r="W15" s="2658"/>
      <c r="X15" s="2658"/>
      <c r="Y15" s="2657"/>
      <c r="Z15" s="2658"/>
      <c r="AA15" s="2658"/>
      <c r="AB15" s="2658"/>
      <c r="AC15" s="2658"/>
      <c r="AD15" s="2658"/>
      <c r="AE15" s="2658"/>
      <c r="AF15" s="2658"/>
      <c r="AG15" s="2658"/>
      <c r="AH15" s="2658"/>
      <c r="AI15" s="2658"/>
      <c r="AJ15" s="2658"/>
      <c r="AK15" s="2658"/>
      <c r="AL15" s="2658"/>
      <c r="AM15" s="2658"/>
    </row>
    <row r="16" spans="1:40" ht="12.95" customHeight="1">
      <c r="B16" s="467"/>
      <c r="C16" s="2675" t="s">
        <v>814</v>
      </c>
      <c r="D16" s="2675"/>
      <c r="E16" s="2675"/>
      <c r="F16" s="2675"/>
      <c r="G16" s="2675"/>
      <c r="H16" s="2675"/>
      <c r="I16" s="2675"/>
      <c r="J16" s="2675"/>
      <c r="K16" s="2675"/>
      <c r="L16" s="2675"/>
      <c r="M16" s="2675"/>
      <c r="N16" s="2675"/>
      <c r="O16" s="2675"/>
      <c r="P16" s="2675"/>
      <c r="Q16" s="2675"/>
      <c r="R16" s="2675"/>
      <c r="S16" s="2676"/>
      <c r="T16" s="2657"/>
      <c r="U16" s="2658"/>
      <c r="V16" s="2658"/>
      <c r="W16" s="2658"/>
      <c r="X16" s="2658"/>
      <c r="Y16" s="2657"/>
      <c r="Z16" s="2658"/>
      <c r="AA16" s="2658"/>
      <c r="AB16" s="2658"/>
      <c r="AC16" s="2658"/>
      <c r="AD16" s="2658"/>
      <c r="AE16" s="2658"/>
      <c r="AF16" s="2658"/>
      <c r="AG16" s="2658"/>
      <c r="AH16" s="2658"/>
      <c r="AI16" s="2658"/>
      <c r="AJ16" s="2658"/>
      <c r="AK16" s="2658"/>
      <c r="AL16" s="2658"/>
      <c r="AM16" s="2658"/>
    </row>
    <row r="17" spans="1:40" ht="12.95" customHeight="1">
      <c r="B17" s="467"/>
      <c r="C17" s="2675" t="s">
        <v>509</v>
      </c>
      <c r="D17" s="2675"/>
      <c r="E17" s="2675"/>
      <c r="F17" s="2675"/>
      <c r="G17" s="2675"/>
      <c r="H17" s="2675"/>
      <c r="I17" s="2675"/>
      <c r="J17" s="2675"/>
      <c r="K17" s="2675"/>
      <c r="L17" s="2675"/>
      <c r="M17" s="2675"/>
      <c r="N17" s="2675"/>
      <c r="O17" s="2675"/>
      <c r="P17" s="2675"/>
      <c r="Q17" s="2675"/>
      <c r="R17" s="2675"/>
      <c r="S17" s="2676"/>
      <c r="T17" s="2657"/>
      <c r="U17" s="2658"/>
      <c r="V17" s="2658"/>
      <c r="W17" s="2658"/>
      <c r="X17" s="2658"/>
      <c r="Y17" s="2657"/>
      <c r="Z17" s="2658"/>
      <c r="AA17" s="2658"/>
      <c r="AB17" s="2658"/>
      <c r="AC17" s="2658"/>
      <c r="AD17" s="2658"/>
      <c r="AE17" s="2658"/>
      <c r="AF17" s="2658"/>
      <c r="AG17" s="2658"/>
      <c r="AH17" s="2658"/>
      <c r="AI17" s="2658"/>
      <c r="AJ17" s="2658"/>
      <c r="AK17" s="2658"/>
      <c r="AL17" s="2658"/>
      <c r="AM17" s="2658"/>
    </row>
    <row r="18" spans="1:40" ht="12.95" customHeight="1">
      <c r="A18"/>
      <c r="B18" s="1194"/>
      <c r="C18" s="1666" t="s">
        <v>979</v>
      </c>
      <c r="D18" s="1666"/>
      <c r="E18" s="1666"/>
      <c r="F18" s="1666"/>
      <c r="G18" s="1666"/>
      <c r="H18" s="1666"/>
      <c r="I18" s="1666"/>
      <c r="J18" s="1666"/>
      <c r="K18" s="1666"/>
      <c r="L18" s="1666"/>
      <c r="M18" s="1666"/>
      <c r="N18" s="1666"/>
      <c r="O18" s="1666"/>
      <c r="P18" s="1666"/>
      <c r="Q18" s="1666"/>
      <c r="R18" s="1666"/>
      <c r="S18" s="1667"/>
      <c r="T18" s="2657"/>
      <c r="U18" s="2658"/>
      <c r="V18" s="2658"/>
      <c r="W18" s="2658"/>
      <c r="X18" s="2658"/>
      <c r="Y18" s="2657"/>
      <c r="Z18" s="2658"/>
      <c r="AA18" s="2658"/>
      <c r="AB18" s="2658"/>
      <c r="AC18" s="2658"/>
      <c r="AD18" s="2658"/>
      <c r="AE18" s="2658"/>
      <c r="AF18" s="2658"/>
      <c r="AG18" s="2658"/>
      <c r="AH18" s="2658"/>
      <c r="AI18" s="2658"/>
      <c r="AJ18" s="2658"/>
      <c r="AK18" s="2658"/>
      <c r="AL18" s="2658"/>
      <c r="AM18" s="2658"/>
    </row>
    <row r="19" spans="1:40" ht="12.95" customHeight="1">
      <c r="B19" s="1194"/>
      <c r="C19" s="1666" t="s">
        <v>979</v>
      </c>
      <c r="D19" s="1666"/>
      <c r="E19" s="1666"/>
      <c r="F19" s="1666"/>
      <c r="G19" s="1666"/>
      <c r="H19" s="1666"/>
      <c r="I19" s="1666"/>
      <c r="J19" s="1666"/>
      <c r="K19" s="1666"/>
      <c r="L19" s="1666"/>
      <c r="M19" s="1666"/>
      <c r="N19" s="1666"/>
      <c r="O19" s="1666"/>
      <c r="P19" s="1666"/>
      <c r="Q19" s="1666"/>
      <c r="R19" s="1666"/>
      <c r="S19" s="1667"/>
      <c r="T19" s="2657"/>
      <c r="U19" s="2658"/>
      <c r="V19" s="2658"/>
      <c r="W19" s="2658"/>
      <c r="X19" s="2658"/>
      <c r="Y19" s="2657"/>
      <c r="Z19" s="2658"/>
      <c r="AA19" s="2658"/>
      <c r="AB19" s="2658"/>
      <c r="AC19" s="2658"/>
      <c r="AD19" s="2658"/>
      <c r="AE19" s="2658"/>
      <c r="AF19" s="2658"/>
      <c r="AG19" s="2658"/>
      <c r="AH19" s="2658"/>
      <c r="AI19" s="2658"/>
      <c r="AJ19" s="2658"/>
      <c r="AK19" s="2658"/>
      <c r="AL19" s="2658"/>
      <c r="AM19" s="2658"/>
    </row>
    <row r="20" spans="1:40" ht="12.95" customHeight="1">
      <c r="B20" s="2632" t="s">
        <v>510</v>
      </c>
      <c r="C20" s="2633"/>
      <c r="D20" s="2633"/>
      <c r="E20" s="2633"/>
      <c r="F20" s="2633"/>
      <c r="G20" s="2633"/>
      <c r="H20" s="2633"/>
      <c r="I20" s="2633"/>
      <c r="J20" s="2633"/>
      <c r="K20" s="2633"/>
      <c r="L20" s="2633"/>
      <c r="M20" s="2633"/>
      <c r="N20" s="2633"/>
      <c r="O20" s="2633"/>
      <c r="P20" s="2633"/>
      <c r="Q20" s="2633"/>
      <c r="R20" s="2633"/>
      <c r="S20" s="2634"/>
      <c r="T20" s="2648">
        <f>SUM(T13:X19)</f>
        <v>0</v>
      </c>
      <c r="U20" s="2626"/>
      <c r="V20" s="2626"/>
      <c r="W20" s="2626"/>
      <c r="X20" s="2626"/>
      <c r="Y20" s="2648">
        <f>SUM(Y13:AC19)</f>
        <v>0</v>
      </c>
      <c r="Z20" s="2626"/>
      <c r="AA20" s="2626"/>
      <c r="AB20" s="2626"/>
      <c r="AC20" s="2626"/>
      <c r="AD20" s="2636">
        <f>SUM(AD13:AH19)</f>
        <v>0</v>
      </c>
      <c r="AE20" s="2647"/>
      <c r="AF20" s="2647"/>
      <c r="AG20" s="2647"/>
      <c r="AH20" s="2648"/>
      <c r="AI20" s="2636">
        <f>SUM(AI13:AM19)</f>
        <v>0</v>
      </c>
      <c r="AJ20" s="2647"/>
      <c r="AK20" s="2647"/>
      <c r="AL20" s="2647"/>
      <c r="AM20" s="2648"/>
    </row>
    <row r="21" spans="1:40" ht="12.95" customHeight="1">
      <c r="B21" s="2632" t="s">
        <v>1371</v>
      </c>
      <c r="C21" s="2633"/>
      <c r="D21" s="2633"/>
      <c r="E21" s="2633"/>
      <c r="F21" s="2633"/>
      <c r="G21" s="2633"/>
      <c r="H21" s="2633"/>
      <c r="I21" s="2633"/>
      <c r="J21" s="2633"/>
      <c r="K21" s="2633"/>
      <c r="L21" s="2633"/>
      <c r="M21" s="2633"/>
      <c r="N21" s="2633"/>
      <c r="O21" s="2633"/>
      <c r="P21" s="2633"/>
      <c r="Q21" s="2633"/>
      <c r="R21" s="2633"/>
      <c r="S21" s="2634"/>
      <c r="T21" s="2657"/>
      <c r="U21" s="2658"/>
      <c r="V21" s="2658"/>
      <c r="W21" s="2658"/>
      <c r="X21" s="2658"/>
      <c r="Y21" s="2657"/>
      <c r="Z21" s="2658"/>
      <c r="AA21" s="2658"/>
      <c r="AB21" s="2658"/>
      <c r="AC21" s="2658"/>
      <c r="AD21" s="2664"/>
      <c r="AE21" s="2665"/>
      <c r="AF21" s="2665"/>
      <c r="AG21" s="2665"/>
      <c r="AH21" s="2666"/>
      <c r="AI21" s="2664"/>
      <c r="AJ21" s="2665"/>
      <c r="AK21" s="2665"/>
      <c r="AL21" s="2665"/>
      <c r="AM21" s="2666"/>
    </row>
    <row r="22" spans="1:40" ht="12.95" customHeight="1">
      <c r="B22" s="2632" t="s">
        <v>511</v>
      </c>
      <c r="C22" s="2633"/>
      <c r="D22" s="2633"/>
      <c r="E22" s="2633"/>
      <c r="F22" s="2633"/>
      <c r="G22" s="2633"/>
      <c r="H22" s="2633"/>
      <c r="I22" s="2633"/>
      <c r="J22" s="2633"/>
      <c r="K22" s="2633"/>
      <c r="L22" s="2633"/>
      <c r="M22" s="2633"/>
      <c r="N22" s="2633"/>
      <c r="O22" s="2633"/>
      <c r="P22" s="2633"/>
      <c r="Q22" s="2633"/>
      <c r="R22" s="2633"/>
      <c r="S22" s="2634"/>
      <c r="T22" s="2653">
        <f>(ABS(T20)+ABS(T21))*-1</f>
        <v>0</v>
      </c>
      <c r="U22" s="2654"/>
      <c r="V22" s="2654"/>
      <c r="W22" s="2654"/>
      <c r="X22" s="2654"/>
      <c r="Y22" s="2653">
        <f>(Y20+Y21)*-1</f>
        <v>0</v>
      </c>
      <c r="Z22" s="2654"/>
      <c r="AA22" s="2654"/>
      <c r="AB22" s="2654"/>
      <c r="AC22" s="2654"/>
      <c r="AD22" s="2655">
        <f>(AD20)*-1</f>
        <v>0</v>
      </c>
      <c r="AE22" s="2656"/>
      <c r="AF22" s="2656"/>
      <c r="AG22" s="2656"/>
      <c r="AH22" s="2653"/>
      <c r="AI22" s="2655">
        <f>(AI20)*-1</f>
        <v>0</v>
      </c>
      <c r="AJ22" s="2656"/>
      <c r="AK22" s="2656"/>
      <c r="AL22" s="2656"/>
      <c r="AM22" s="2653"/>
    </row>
    <row r="23" spans="1:40" ht="12.95" customHeight="1">
      <c r="B23" s="2632" t="s">
        <v>512</v>
      </c>
      <c r="C23" s="2633"/>
      <c r="D23" s="2633"/>
      <c r="E23" s="2633"/>
      <c r="F23" s="2633"/>
      <c r="G23" s="2633"/>
      <c r="H23" s="2633"/>
      <c r="I23" s="2633"/>
      <c r="J23" s="2633"/>
      <c r="K23" s="2633"/>
      <c r="L23" s="2633"/>
      <c r="M23" s="2633"/>
      <c r="N23" s="2633"/>
      <c r="O23" s="2633"/>
      <c r="P23" s="2633"/>
      <c r="Q23" s="2633"/>
      <c r="R23" s="2633"/>
      <c r="S23" s="2634"/>
      <c r="T23" s="2648">
        <f>T11+T22</f>
        <v>71083031</v>
      </c>
      <c r="U23" s="2626"/>
      <c r="V23" s="2626"/>
      <c r="W23" s="2626"/>
      <c r="X23" s="2626"/>
      <c r="Y23" s="2648">
        <f>Y11+Y22</f>
        <v>0</v>
      </c>
      <c r="Z23" s="2626"/>
      <c r="AA23" s="2626"/>
      <c r="AB23" s="2626"/>
      <c r="AC23" s="2626"/>
      <c r="AD23" s="2648">
        <f>AD11+AD22</f>
        <v>0</v>
      </c>
      <c r="AE23" s="2626"/>
      <c r="AF23" s="2626"/>
      <c r="AG23" s="2626"/>
      <c r="AH23" s="2626"/>
      <c r="AI23" s="2648">
        <f>AI11+AI22</f>
        <v>0</v>
      </c>
      <c r="AJ23" s="2626"/>
      <c r="AK23" s="2626"/>
      <c r="AL23" s="2626"/>
      <c r="AM23" s="2626"/>
    </row>
    <row r="24" spans="1:40" ht="12.95" customHeight="1">
      <c r="B24" s="2632" t="s">
        <v>980</v>
      </c>
      <c r="C24" s="2633"/>
      <c r="D24" s="2633"/>
      <c r="E24" s="2633"/>
      <c r="F24" s="2633"/>
      <c r="G24" s="2633"/>
      <c r="H24" s="2633"/>
      <c r="I24" s="2633"/>
      <c r="J24" s="2633"/>
      <c r="K24" s="2633"/>
      <c r="L24" s="2633"/>
      <c r="M24" s="2633"/>
      <c r="N24" s="2633"/>
      <c r="O24" s="2633"/>
      <c r="P24" s="2633"/>
      <c r="Q24" s="2633"/>
      <c r="R24" s="2633"/>
      <c r="S24" s="2634"/>
      <c r="T24" s="2636">
        <f>Application!AJ1052</f>
        <v>120342354.28</v>
      </c>
      <c r="U24" s="2647"/>
      <c r="V24" s="2647"/>
      <c r="W24" s="2647"/>
      <c r="X24" s="2647"/>
      <c r="Y24" s="2647"/>
      <c r="Z24" s="2647"/>
      <c r="AA24" s="2647"/>
      <c r="AB24" s="2647"/>
      <c r="AC24" s="2647"/>
      <c r="AD24" s="2647"/>
      <c r="AE24" s="2647"/>
      <c r="AF24" s="2647"/>
      <c r="AG24" s="2647"/>
      <c r="AH24" s="2647"/>
      <c r="AI24" s="2647"/>
      <c r="AJ24" s="2647"/>
      <c r="AK24" s="2647"/>
      <c r="AL24" s="2647"/>
      <c r="AM24" s="2648"/>
    </row>
    <row r="25" spans="1:40" ht="12.95" customHeight="1">
      <c r="B25" s="2679" t="s">
        <v>1372</v>
      </c>
      <c r="C25" s="2680"/>
      <c r="D25" s="2680"/>
      <c r="E25" s="2680"/>
      <c r="F25" s="2680"/>
      <c r="G25" s="2680"/>
      <c r="H25" s="2680"/>
      <c r="I25" s="2680"/>
      <c r="J25" s="2680"/>
      <c r="K25" s="2680"/>
      <c r="L25" s="2680"/>
      <c r="M25" s="2680"/>
      <c r="N25" s="2680"/>
      <c r="O25" s="2680"/>
      <c r="P25" s="2680"/>
      <c r="Q25" s="2680"/>
      <c r="R25" s="2680"/>
      <c r="S25" s="2681"/>
      <c r="T25" s="2661">
        <f>IF(OR(Application!T196="yes",Application!T195="yes"),1.3,1)</f>
        <v>1.3</v>
      </c>
      <c r="U25" s="2662"/>
      <c r="V25" s="2662"/>
      <c r="W25" s="2662"/>
      <c r="X25" s="2662"/>
      <c r="Y25" s="2661">
        <v>1</v>
      </c>
      <c r="Z25" s="2662"/>
      <c r="AA25" s="2662"/>
      <c r="AB25" s="2662"/>
      <c r="AC25" s="2662"/>
      <c r="AD25" s="2661">
        <v>1</v>
      </c>
      <c r="AE25" s="2662"/>
      <c r="AF25" s="2662"/>
      <c r="AG25" s="2662"/>
      <c r="AH25" s="2663"/>
      <c r="AI25" s="2661">
        <v>1</v>
      </c>
      <c r="AJ25" s="2662"/>
      <c r="AK25" s="2662"/>
      <c r="AL25" s="2662"/>
      <c r="AM25" s="2663"/>
    </row>
    <row r="26" spans="1:40" ht="12.95" customHeight="1">
      <c r="B26" s="2632" t="s">
        <v>513</v>
      </c>
      <c r="C26" s="2633"/>
      <c r="D26" s="2633"/>
      <c r="E26" s="2633"/>
      <c r="F26" s="2633"/>
      <c r="G26" s="2633"/>
      <c r="H26" s="2633"/>
      <c r="I26" s="2633"/>
      <c r="J26" s="2633"/>
      <c r="K26" s="2633"/>
      <c r="L26" s="2633"/>
      <c r="M26" s="2633"/>
      <c r="N26" s="2633"/>
      <c r="O26" s="2633"/>
      <c r="P26" s="2633"/>
      <c r="Q26" s="2633"/>
      <c r="R26" s="2633"/>
      <c r="S26" s="2634"/>
      <c r="T26" s="2648">
        <f>T23*T25</f>
        <v>92407940.299999997</v>
      </c>
      <c r="U26" s="2626"/>
      <c r="V26" s="2626"/>
      <c r="W26" s="2626"/>
      <c r="X26" s="2626"/>
      <c r="Y26" s="2648">
        <f>Y23*Y25</f>
        <v>0</v>
      </c>
      <c r="Z26" s="2626"/>
      <c r="AA26" s="2626"/>
      <c r="AB26" s="2626"/>
      <c r="AC26" s="2626"/>
      <c r="AD26" s="2648">
        <f>AD23*AD25</f>
        <v>0</v>
      </c>
      <c r="AE26" s="2626"/>
      <c r="AF26" s="2626"/>
      <c r="AG26" s="2626"/>
      <c r="AH26" s="2626"/>
      <c r="AI26" s="2648">
        <f>AI23*AI25</f>
        <v>0</v>
      </c>
      <c r="AJ26" s="2626"/>
      <c r="AK26" s="2626"/>
      <c r="AL26" s="2626"/>
      <c r="AM26" s="2626"/>
    </row>
    <row r="27" spans="1:40" ht="12.95" customHeight="1">
      <c r="A27" s="441"/>
      <c r="B27" s="2682" t="s">
        <v>427</v>
      </c>
      <c r="C27" s="2683"/>
      <c r="D27" s="2683"/>
      <c r="E27" s="2683"/>
      <c r="F27" s="2683"/>
      <c r="G27" s="2683"/>
      <c r="H27" s="2683"/>
      <c r="I27" s="2683"/>
      <c r="J27" s="2683"/>
      <c r="K27" s="2683"/>
      <c r="L27" s="2683"/>
      <c r="M27" s="2683"/>
      <c r="N27" s="2683"/>
      <c r="O27" s="2683"/>
      <c r="P27" s="2683"/>
      <c r="Q27" s="2683"/>
      <c r="R27" s="2683"/>
      <c r="S27" s="2684"/>
      <c r="T27" s="2659">
        <f>Application!$AG$445</f>
        <v>1</v>
      </c>
      <c r="U27" s="2660"/>
      <c r="V27" s="2660"/>
      <c r="W27" s="2660"/>
      <c r="X27" s="2660"/>
      <c r="Y27" s="2659">
        <f>Application!$AG$445</f>
        <v>1</v>
      </c>
      <c r="Z27" s="2660"/>
      <c r="AA27" s="2660"/>
      <c r="AB27" s="2660"/>
      <c r="AC27" s="2660"/>
      <c r="AD27" s="2659">
        <f>Application!$AG$445</f>
        <v>1</v>
      </c>
      <c r="AE27" s="2660"/>
      <c r="AF27" s="2660"/>
      <c r="AG27" s="2660"/>
      <c r="AH27" s="2660"/>
      <c r="AI27" s="2659">
        <f>Application!$AG$445</f>
        <v>1</v>
      </c>
      <c r="AJ27" s="2660"/>
      <c r="AK27" s="2660"/>
      <c r="AL27" s="2660"/>
      <c r="AM27" s="2660"/>
    </row>
    <row r="28" spans="1:40" ht="12.95" customHeight="1">
      <c r="A28" s="435"/>
      <c r="B28" s="2632" t="s">
        <v>514</v>
      </c>
      <c r="C28" s="2633"/>
      <c r="D28" s="2633"/>
      <c r="E28" s="2633"/>
      <c r="F28" s="2633"/>
      <c r="G28" s="2633"/>
      <c r="H28" s="2633"/>
      <c r="I28" s="2633"/>
      <c r="J28" s="2633"/>
      <c r="K28" s="2633"/>
      <c r="L28" s="2633"/>
      <c r="M28" s="2633"/>
      <c r="N28" s="2633"/>
      <c r="O28" s="2633"/>
      <c r="P28" s="2633"/>
      <c r="Q28" s="2633"/>
      <c r="R28" s="2633"/>
      <c r="S28" s="2634"/>
      <c r="T28" s="2648">
        <f>IF(ISERROR((T26*T27)),0,(T26*T27))</f>
        <v>92407940.299999997</v>
      </c>
      <c r="U28" s="2626"/>
      <c r="V28" s="2626"/>
      <c r="W28" s="2626"/>
      <c r="X28" s="2626"/>
      <c r="Y28" s="2648">
        <f>IF(ISERROR((Y26*Y27)),0,(Y26*Y27))</f>
        <v>0</v>
      </c>
      <c r="Z28" s="2626"/>
      <c r="AA28" s="2626"/>
      <c r="AB28" s="2626"/>
      <c r="AC28" s="2626"/>
      <c r="AD28" s="2648">
        <f>IF(ISERROR((AD26*AD27)),0,(AD26*AD27))</f>
        <v>0</v>
      </c>
      <c r="AE28" s="2626"/>
      <c r="AF28" s="2626"/>
      <c r="AG28" s="2626"/>
      <c r="AH28" s="2626"/>
      <c r="AI28" s="2648">
        <f>IF(ISERROR((AI26*AI27)),0,(AI26*AI27))</f>
        <v>0</v>
      </c>
      <c r="AJ28" s="2626"/>
      <c r="AK28" s="2626"/>
      <c r="AL28" s="2626"/>
      <c r="AM28" s="2626"/>
    </row>
    <row r="29" spans="1:40" ht="12.95" customHeight="1">
      <c r="B29" s="2632" t="s">
        <v>531</v>
      </c>
      <c r="C29" s="2633"/>
      <c r="D29" s="2633"/>
      <c r="E29" s="2633"/>
      <c r="F29" s="2633"/>
      <c r="G29" s="2633"/>
      <c r="H29" s="2633"/>
      <c r="I29" s="2633"/>
      <c r="J29" s="2633"/>
      <c r="K29" s="2633"/>
      <c r="L29" s="2633"/>
      <c r="M29" s="2633"/>
      <c r="N29" s="2633"/>
      <c r="O29" s="2633"/>
      <c r="P29" s="2633"/>
      <c r="Q29" s="2633"/>
      <c r="R29" s="2633"/>
      <c r="S29" s="2634"/>
      <c r="T29" s="2636">
        <f>T28+Y28+AD28+AI28</f>
        <v>92407940.299999997</v>
      </c>
      <c r="U29" s="2647"/>
      <c r="V29" s="2647"/>
      <c r="W29" s="2647"/>
      <c r="X29" s="2647"/>
      <c r="Y29" s="2647"/>
      <c r="Z29" s="2647"/>
      <c r="AA29" s="2647"/>
      <c r="AB29" s="2647"/>
      <c r="AC29" s="2647"/>
      <c r="AD29" s="2647"/>
      <c r="AE29" s="2647"/>
      <c r="AF29" s="2647"/>
      <c r="AG29" s="2647"/>
      <c r="AH29" s="2647"/>
      <c r="AI29" s="2647"/>
      <c r="AJ29" s="2647"/>
      <c r="AK29" s="2647"/>
      <c r="AL29" s="2647"/>
      <c r="AM29" s="2648"/>
    </row>
    <row r="30" spans="1:40" ht="12.95" customHeight="1">
      <c r="B30" s="2652" t="s">
        <v>1374</v>
      </c>
      <c r="C30" s="2652"/>
      <c r="D30" s="2652"/>
      <c r="E30" s="2652"/>
      <c r="F30" s="2652"/>
      <c r="G30" s="2652"/>
      <c r="H30" s="2652"/>
      <c r="I30" s="2652"/>
      <c r="J30" s="2652"/>
      <c r="K30" s="2652"/>
      <c r="L30" s="2652"/>
      <c r="M30" s="2652"/>
      <c r="N30" s="2652"/>
      <c r="O30" s="2652"/>
      <c r="P30" s="2652"/>
      <c r="Q30" s="2652"/>
      <c r="R30" s="2652"/>
      <c r="S30" s="2652"/>
      <c r="T30" s="2652"/>
      <c r="U30" s="2652"/>
      <c r="V30" s="2652"/>
      <c r="W30" s="2652"/>
      <c r="X30" s="2652"/>
      <c r="Y30" s="2652"/>
      <c r="Z30" s="2652"/>
      <c r="AA30" s="2652"/>
      <c r="AB30" s="2652"/>
      <c r="AC30" s="2652"/>
      <c r="AD30" s="2652"/>
      <c r="AE30" s="2652"/>
      <c r="AF30" s="2652"/>
      <c r="AG30" s="2652"/>
      <c r="AH30" s="2652"/>
      <c r="AI30" s="2652"/>
      <c r="AJ30" s="2652"/>
      <c r="AK30" s="2652"/>
      <c r="AL30" s="2652"/>
      <c r="AM30" s="2652"/>
    </row>
    <row r="31" spans="1:40" ht="12.95" customHeight="1">
      <c r="B31" s="2652" t="s">
        <v>1373</v>
      </c>
      <c r="C31" s="2652"/>
      <c r="D31" s="2652"/>
      <c r="E31" s="2652"/>
      <c r="F31" s="2652"/>
      <c r="G31" s="2652"/>
      <c r="H31" s="2652"/>
      <c r="I31" s="2652"/>
      <c r="J31" s="2652"/>
      <c r="K31" s="2652"/>
      <c r="L31" s="2652"/>
      <c r="M31" s="2652"/>
      <c r="N31" s="2652"/>
      <c r="O31" s="2652"/>
      <c r="P31" s="2652"/>
      <c r="Q31" s="2652"/>
      <c r="R31" s="2652"/>
      <c r="S31" s="2652"/>
      <c r="T31" s="2652"/>
      <c r="U31" s="2652"/>
      <c r="V31" s="2652"/>
      <c r="W31" s="2652"/>
      <c r="X31" s="2652"/>
      <c r="Y31" s="2652"/>
      <c r="Z31" s="2652"/>
      <c r="AA31" s="2652"/>
      <c r="AB31" s="2652"/>
      <c r="AC31" s="2652"/>
      <c r="AD31" s="2652"/>
      <c r="AE31" s="2652"/>
      <c r="AF31" s="2652"/>
      <c r="AG31" s="2652"/>
      <c r="AH31" s="2652"/>
      <c r="AI31" s="2652"/>
      <c r="AJ31" s="2652"/>
      <c r="AK31" s="2652"/>
      <c r="AL31" s="2652"/>
      <c r="AM31" s="2652"/>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9" t="s">
        <v>1256</v>
      </c>
      <c r="Z35" s="2649"/>
      <c r="AA35" s="2649"/>
      <c r="AB35" s="2649"/>
      <c r="AC35" s="2649"/>
      <c r="AD35" s="2650" t="s">
        <v>370</v>
      </c>
      <c r="AE35" s="2650"/>
      <c r="AF35" s="2650"/>
      <c r="AG35" s="2650"/>
      <c r="AH35" s="2650"/>
    </row>
    <row r="36" spans="1:76" ht="12.95" customHeight="1">
      <c r="B36" s="438"/>
      <c r="X36" s="443"/>
      <c r="Y36" s="2649"/>
      <c r="Z36" s="2649"/>
      <c r="AA36" s="2649"/>
      <c r="AB36" s="2649"/>
      <c r="AC36" s="2649"/>
      <c r="AD36" s="2650"/>
      <c r="AE36" s="2650"/>
      <c r="AF36" s="2650"/>
      <c r="AG36" s="2650"/>
      <c r="AH36" s="2650"/>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9"/>
      <c r="Z37" s="2649"/>
      <c r="AA37" s="2649"/>
      <c r="AB37" s="2649"/>
      <c r="AC37" s="2649"/>
      <c r="AD37" s="2650"/>
      <c r="AE37" s="2650"/>
      <c r="AF37" s="2650"/>
      <c r="AG37" s="2650"/>
      <c r="AH37" s="2650"/>
    </row>
    <row r="38" spans="1:76" ht="12.95" customHeight="1">
      <c r="A38" s="435"/>
      <c r="B38" s="2632" t="s">
        <v>514</v>
      </c>
      <c r="C38" s="2633"/>
      <c r="D38" s="2633"/>
      <c r="E38" s="2633"/>
      <c r="F38" s="2633"/>
      <c r="G38" s="2633"/>
      <c r="H38" s="2633"/>
      <c r="I38" s="2633"/>
      <c r="J38" s="2633"/>
      <c r="K38" s="2633"/>
      <c r="L38" s="2633"/>
      <c r="M38" s="2633"/>
      <c r="N38" s="2633"/>
      <c r="O38" s="2633"/>
      <c r="P38" s="2633"/>
      <c r="Q38" s="2633"/>
      <c r="R38" s="2633"/>
      <c r="S38" s="2633"/>
      <c r="T38" s="2633"/>
      <c r="U38" s="2633"/>
      <c r="V38" s="2633"/>
      <c r="W38" s="2633"/>
      <c r="X38" s="2634"/>
      <c r="Y38" s="2626">
        <f>IF(T24&gt;=(T23+Y23+AD23+AI23),T28+Y28,0)</f>
        <v>92407940.299999997</v>
      </c>
      <c r="Z38" s="2626"/>
      <c r="AA38" s="2626"/>
      <c r="AB38" s="2626"/>
      <c r="AC38" s="2626"/>
      <c r="AD38" s="2626">
        <f>IF(T24&gt;=(T23+Y23+AD23+AI23),AD28+AI28,0)</f>
        <v>0</v>
      </c>
      <c r="AE38" s="2626"/>
      <c r="AF38" s="2626"/>
      <c r="AG38" s="2626"/>
      <c r="AH38" s="2626"/>
    </row>
    <row r="39" spans="1:76" ht="12.95" customHeight="1">
      <c r="B39" s="2632" t="s">
        <v>1879</v>
      </c>
      <c r="C39" s="2633"/>
      <c r="D39" s="2633"/>
      <c r="E39" s="2633"/>
      <c r="F39" s="2633"/>
      <c r="G39" s="2633"/>
      <c r="H39" s="2633"/>
      <c r="I39" s="2633"/>
      <c r="J39" s="2633"/>
      <c r="K39" s="2633"/>
      <c r="L39" s="2633"/>
      <c r="M39" s="2633"/>
      <c r="N39" s="2633"/>
      <c r="O39" s="2633"/>
      <c r="P39" s="2633"/>
      <c r="Q39" s="2633"/>
      <c r="R39" s="2633"/>
      <c r="S39" s="2633"/>
      <c r="T39" s="2633"/>
      <c r="U39" s="2633"/>
      <c r="V39" s="2633"/>
      <c r="W39" s="2633"/>
      <c r="X39" s="2634"/>
      <c r="Y39" s="2651">
        <v>0.04</v>
      </c>
      <c r="Z39" s="2651"/>
      <c r="AA39" s="2651"/>
      <c r="AB39" s="2651"/>
      <c r="AC39" s="2651"/>
      <c r="AD39" s="2651">
        <v>0.04</v>
      </c>
      <c r="AE39" s="2651"/>
      <c r="AF39" s="2651"/>
      <c r="AG39" s="2651"/>
      <c r="AH39" s="2651"/>
    </row>
    <row r="40" spans="1:76" ht="12.95" customHeight="1">
      <c r="A40" s="435"/>
      <c r="B40" s="2632" t="s">
        <v>650</v>
      </c>
      <c r="C40" s="2633"/>
      <c r="D40" s="2633"/>
      <c r="E40" s="2633"/>
      <c r="F40" s="2633"/>
      <c r="G40" s="2633"/>
      <c r="H40" s="2633"/>
      <c r="I40" s="2633"/>
      <c r="J40" s="2633"/>
      <c r="K40" s="2633"/>
      <c r="L40" s="2633"/>
      <c r="M40" s="2633"/>
      <c r="N40" s="2633"/>
      <c r="O40" s="2633"/>
      <c r="P40" s="2633"/>
      <c r="Q40" s="2633"/>
      <c r="R40" s="2633"/>
      <c r="S40" s="2633"/>
      <c r="T40" s="2633"/>
      <c r="U40" s="2633"/>
      <c r="V40" s="2633"/>
      <c r="W40" s="2633"/>
      <c r="X40" s="2634"/>
      <c r="Y40" s="2626">
        <f>ROUND(Y38*Y39,0)</f>
        <v>3696318</v>
      </c>
      <c r="Z40" s="2626"/>
      <c r="AA40" s="2626"/>
      <c r="AB40" s="2626"/>
      <c r="AC40" s="2626"/>
      <c r="AD40" s="2648">
        <f>ROUND(AD38*AD39,0)</f>
        <v>0</v>
      </c>
      <c r="AE40" s="2626"/>
      <c r="AF40" s="2626"/>
      <c r="AG40" s="2626"/>
      <c r="AH40" s="2626"/>
    </row>
    <row r="41" spans="1:76" ht="12.95" customHeight="1">
      <c r="B41" s="2632" t="s">
        <v>651</v>
      </c>
      <c r="C41" s="2633"/>
      <c r="D41" s="2633"/>
      <c r="E41" s="2633"/>
      <c r="F41" s="2633"/>
      <c r="G41" s="2633"/>
      <c r="H41" s="2633"/>
      <c r="I41" s="2633"/>
      <c r="J41" s="2633"/>
      <c r="K41" s="2633"/>
      <c r="L41" s="2633"/>
      <c r="M41" s="2633"/>
      <c r="N41" s="2633"/>
      <c r="O41" s="2633"/>
      <c r="P41" s="2633"/>
      <c r="Q41" s="2633"/>
      <c r="R41" s="2633"/>
      <c r="S41" s="2633"/>
      <c r="T41" s="2633"/>
      <c r="U41" s="2633"/>
      <c r="V41" s="2633"/>
      <c r="W41" s="2633"/>
      <c r="X41" s="2634"/>
      <c r="Y41" s="2636">
        <f>Y40+AD40</f>
        <v>3696318</v>
      </c>
      <c r="Z41" s="2647"/>
      <c r="AA41" s="2647"/>
      <c r="AB41" s="2647"/>
      <c r="AC41" s="2647"/>
      <c r="AD41" s="2647"/>
      <c r="AE41" s="2647"/>
      <c r="AF41" s="2647"/>
      <c r="AG41" s="2647"/>
      <c r="AH41" s="2648"/>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46" t="s">
        <v>1384</v>
      </c>
      <c r="B44" s="2646"/>
      <c r="C44" s="2646"/>
      <c r="D44" s="2646"/>
      <c r="E44" s="2646"/>
      <c r="F44" s="2646"/>
      <c r="G44" s="2646"/>
      <c r="H44" s="2646"/>
      <c r="I44" s="2646"/>
      <c r="J44" s="2646"/>
      <c r="K44" s="2646"/>
      <c r="L44" s="2646"/>
      <c r="M44" s="2646"/>
      <c r="N44" s="2646"/>
      <c r="O44" s="2646"/>
      <c r="P44" s="2646"/>
      <c r="Q44" s="2646"/>
      <c r="R44" s="2646"/>
      <c r="S44" s="2646"/>
      <c r="T44" s="2646"/>
      <c r="U44" s="2646"/>
      <c r="V44" s="2646"/>
      <c r="W44" s="2646"/>
      <c r="X44" s="2646"/>
      <c r="Y44" s="2646"/>
      <c r="Z44" s="2646"/>
      <c r="AA44" s="2646"/>
      <c r="AB44" s="2646"/>
      <c r="AC44" s="2646"/>
      <c r="AD44" s="2646"/>
      <c r="AE44" s="2646"/>
      <c r="AF44" s="2646"/>
      <c r="AG44" s="2646"/>
      <c r="AH44" s="2646"/>
      <c r="AI44" s="2646"/>
      <c r="AJ44" s="2646"/>
      <c r="AK44" s="2646"/>
      <c r="AL44" s="2646"/>
      <c r="AM44" s="2646"/>
      <c r="AN44" s="2646"/>
      <c r="AO44" s="2646"/>
      <c r="AP44" s="2646"/>
      <c r="AQ44" s="2646"/>
      <c r="AR44" s="2646"/>
      <c r="AS44" s="2646"/>
      <c r="AT44" s="2646"/>
      <c r="AU44" s="2646"/>
      <c r="AV44" s="2646"/>
      <c r="AW44" s="2646"/>
      <c r="AX44" s="2646"/>
      <c r="AY44" s="2646"/>
      <c r="AZ44" s="2646"/>
      <c r="BA44" s="2646"/>
      <c r="BB44" s="2646"/>
      <c r="BC44" s="2646"/>
      <c r="BD44" s="2646"/>
      <c r="BE44" s="2646"/>
      <c r="BF44" s="2646"/>
      <c r="BG44" s="2646"/>
      <c r="BH44" s="2646"/>
      <c r="BI44" s="2646"/>
      <c r="BJ44" s="2646"/>
      <c r="BK44" s="2646"/>
      <c r="BL44" s="2646"/>
      <c r="BM44" s="2646"/>
      <c r="BN44" s="2646"/>
      <c r="BO44" s="2646"/>
      <c r="BP44" s="2646"/>
      <c r="BQ44" s="2646"/>
      <c r="BR44" s="2646"/>
      <c r="BS44" s="2646"/>
      <c r="BT44" s="2646"/>
      <c r="BU44" s="2646"/>
      <c r="BV44" s="2646"/>
      <c r="BW44" s="2646"/>
      <c r="BX44" s="2646"/>
    </row>
    <row r="45" spans="1:76" s="218" customFormat="1" ht="12.95" customHeight="1" thickTop="1"/>
    <row r="46" spans="1:76" ht="12.95" customHeight="1">
      <c r="A46" s="435" t="s">
        <v>594</v>
      </c>
      <c r="C46" s="435" t="s">
        <v>283</v>
      </c>
    </row>
    <row r="47" spans="1:76" ht="12.95" customHeight="1">
      <c r="D47" s="435" t="s">
        <v>284</v>
      </c>
      <c r="AB47" s="2640">
        <f>'Sources and Uses Budget'!B105-MAX(IF('Sources and Uses Budget'!B15="",0,'Sources and Uses Budget'!B15),IF(Application!AG394="",0,Application!AG394))</f>
        <v>74451434</v>
      </c>
      <c r="AC47" s="2641"/>
      <c r="AD47" s="2641"/>
      <c r="AE47" s="2641"/>
      <c r="AF47" s="2642"/>
    </row>
    <row r="48" spans="1:76" ht="12.95" customHeight="1">
      <c r="D48" s="435" t="s">
        <v>21</v>
      </c>
      <c r="AB48" s="2640">
        <f>Application!AO639-MAX(IF('Sources and Uses Budget'!B15="",0,'Sources and Uses Budget'!B15),IF(Application!AG394="",0,Application!AG394))</f>
        <v>21227019</v>
      </c>
      <c r="AC48" s="2641"/>
      <c r="AD48" s="2641"/>
      <c r="AE48" s="2641"/>
      <c r="AF48" s="2642"/>
    </row>
    <row r="49" spans="1:76" ht="12.95" customHeight="1">
      <c r="D49" s="435" t="s">
        <v>91</v>
      </c>
      <c r="AB49" s="2640">
        <f>AB47-AB48</f>
        <v>53224415</v>
      </c>
      <c r="AC49" s="2641"/>
      <c r="AD49" s="2641"/>
      <c r="AE49" s="2641"/>
      <c r="AF49" s="2642"/>
    </row>
    <row r="50" spans="1:76" ht="12.95" customHeight="1">
      <c r="D50" s="435" t="s">
        <v>689</v>
      </c>
      <c r="AA50" s="446"/>
      <c r="AB50" s="2628">
        <v>0.92069999999999996</v>
      </c>
      <c r="AC50" s="2629"/>
      <c r="AD50" s="2629"/>
      <c r="AE50" s="2629"/>
      <c r="AF50" s="2630"/>
    </row>
    <row r="51" spans="1:76" s="448" customFormat="1" ht="12.95" customHeight="1">
      <c r="A51" s="433"/>
      <c r="B51" s="433"/>
      <c r="C51" s="433"/>
      <c r="D51" s="433"/>
      <c r="E51" s="2639" t="s">
        <v>2039</v>
      </c>
      <c r="F51" s="2639"/>
      <c r="G51" s="2639"/>
      <c r="H51" s="2639"/>
      <c r="I51" s="2639"/>
      <c r="J51" s="2639"/>
      <c r="K51" s="2639"/>
      <c r="L51" s="2639"/>
      <c r="M51" s="2639"/>
      <c r="N51" s="2639"/>
      <c r="O51" s="2639"/>
      <c r="P51" s="2639"/>
      <c r="Q51" s="2639"/>
      <c r="R51" s="2639"/>
      <c r="S51" s="2639"/>
      <c r="T51" s="2639"/>
      <c r="U51" s="2639"/>
      <c r="V51" s="2639"/>
      <c r="W51" s="2639"/>
      <c r="X51" s="2639"/>
      <c r="Y51" s="2639"/>
      <c r="Z51" s="263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9"/>
      <c r="F52" s="2639"/>
      <c r="G52" s="2639"/>
      <c r="H52" s="2639"/>
      <c r="I52" s="2639"/>
      <c r="J52" s="2639"/>
      <c r="K52" s="2639"/>
      <c r="L52" s="2639"/>
      <c r="M52" s="2639"/>
      <c r="N52" s="2639"/>
      <c r="O52" s="2639"/>
      <c r="P52" s="2639"/>
      <c r="Q52" s="2639"/>
      <c r="R52" s="2639"/>
      <c r="S52" s="2639"/>
      <c r="T52" s="2639"/>
      <c r="U52" s="2639"/>
      <c r="V52" s="2639"/>
      <c r="W52" s="2639"/>
      <c r="X52" s="2639"/>
      <c r="Y52" s="2639"/>
      <c r="Z52" s="263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40">
        <f>ROUND(IF(ISERROR((AB49/AB50)),0,(AB49/AB50)),0)</f>
        <v>57808640</v>
      </c>
      <c r="AC54" s="2641"/>
      <c r="AD54" s="2641"/>
      <c r="AE54" s="2641"/>
      <c r="AF54" s="2642"/>
    </row>
    <row r="55" spans="1:76" ht="12.95" customHeight="1">
      <c r="D55" s="435" t="s">
        <v>334</v>
      </c>
      <c r="AB55" s="2640">
        <f>(AB54/10)</f>
        <v>5780864</v>
      </c>
      <c r="AC55" s="2641"/>
      <c r="AD55" s="2641"/>
      <c r="AE55" s="2641"/>
      <c r="AF55" s="2642"/>
    </row>
    <row r="56" spans="1:76" ht="12.95" customHeight="1">
      <c r="D56" s="435" t="s">
        <v>765</v>
      </c>
      <c r="AB56" s="2643">
        <f>(IF((Y41&lt;AB55),Y41,AB55))</f>
        <v>3696318</v>
      </c>
      <c r="AC56" s="2644"/>
      <c r="AD56" s="2644"/>
      <c r="AE56" s="2644"/>
      <c r="AF56" s="2645"/>
    </row>
    <row r="57" spans="1:76" ht="12.95" customHeight="1">
      <c r="D57" s="435" t="s">
        <v>764</v>
      </c>
      <c r="AB57" s="2640">
        <f>ROUND((10*AB56*AB50),0)</f>
        <v>34032000</v>
      </c>
      <c r="AC57" s="2641"/>
      <c r="AD57" s="2641"/>
      <c r="AE57" s="2641"/>
      <c r="AF57" s="2642"/>
    </row>
    <row r="58" spans="1:76" ht="12.95" customHeight="1">
      <c r="D58" s="435"/>
      <c r="AB58" s="454"/>
      <c r="AC58" s="454"/>
      <c r="AD58" s="454"/>
      <c r="AE58" s="454"/>
      <c r="AF58" s="454"/>
    </row>
    <row r="59" spans="1:76" ht="12.95" customHeight="1">
      <c r="D59" s="435" t="s">
        <v>763</v>
      </c>
      <c r="AB59" s="2624">
        <f>AB49-AB57</f>
        <v>19192415</v>
      </c>
      <c r="AC59" s="2624"/>
      <c r="AD59" s="2624"/>
      <c r="AE59" s="2624"/>
      <c r="AF59" s="2624"/>
    </row>
    <row r="60" spans="1:76" ht="12.95" customHeight="1">
      <c r="D60" s="435"/>
      <c r="AB60" s="454"/>
      <c r="AC60" s="454"/>
      <c r="AD60" s="454"/>
      <c r="AE60" s="454"/>
      <c r="AF60" s="454"/>
    </row>
    <row r="61" spans="1:76" s="218" customFormat="1" ht="12.95" customHeight="1" thickBot="1">
      <c r="A61" s="2646" t="str">
        <f>IF(Application!AP205="yes","Farmworker State Credit", "State Credit" )</f>
        <v>State Credit</v>
      </c>
      <c r="B61" s="2646"/>
      <c r="C61" s="2646"/>
      <c r="D61" s="2646"/>
      <c r="E61" s="2646"/>
      <c r="F61" s="2646"/>
      <c r="G61" s="2646"/>
      <c r="H61" s="2646"/>
      <c r="I61" s="2646"/>
      <c r="J61" s="2646"/>
      <c r="K61" s="2646"/>
      <c r="L61" s="2646"/>
      <c r="M61" s="2646"/>
      <c r="N61" s="2646"/>
      <c r="O61" s="2646"/>
      <c r="P61" s="2646"/>
      <c r="Q61" s="2646"/>
      <c r="R61" s="2646"/>
      <c r="S61" s="2646"/>
      <c r="T61" s="2646"/>
      <c r="U61" s="2646"/>
      <c r="V61" s="2646"/>
      <c r="W61" s="2646"/>
      <c r="X61" s="2646"/>
      <c r="Y61" s="2646"/>
      <c r="Z61" s="2646"/>
      <c r="AA61" s="2646"/>
      <c r="AB61" s="2646"/>
      <c r="AC61" s="2646"/>
      <c r="AD61" s="2646"/>
      <c r="AE61" s="2646"/>
      <c r="AF61" s="2646"/>
      <c r="AG61" s="2646"/>
      <c r="AH61" s="2646"/>
      <c r="AI61" s="2646"/>
      <c r="AJ61" s="2646"/>
      <c r="AK61" s="2646"/>
      <c r="AL61" s="2646"/>
      <c r="AM61" s="2646"/>
      <c r="AN61" s="2646"/>
      <c r="AO61" s="2646"/>
      <c r="AP61" s="2646"/>
      <c r="AQ61" s="2646"/>
      <c r="AR61" s="2646"/>
      <c r="AS61" s="2646"/>
      <c r="AT61" s="2646"/>
      <c r="AU61" s="2646"/>
      <c r="AV61" s="2646"/>
      <c r="AW61" s="2646"/>
      <c r="AX61" s="2646"/>
      <c r="AY61" s="2646"/>
      <c r="AZ61" s="2646"/>
      <c r="BA61" s="2646"/>
      <c r="BB61" s="2646"/>
      <c r="BC61" s="2646"/>
      <c r="BD61" s="2646"/>
      <c r="BE61" s="2646"/>
      <c r="BF61" s="2646"/>
      <c r="BG61" s="2646"/>
      <c r="BH61" s="2646"/>
      <c r="BI61" s="2646"/>
      <c r="BJ61" s="2646"/>
      <c r="BK61" s="2646"/>
      <c r="BL61" s="2646"/>
      <c r="BM61" s="2646"/>
      <c r="BN61" s="2646"/>
      <c r="BO61" s="2646"/>
      <c r="BP61" s="2646"/>
      <c r="BQ61" s="2646"/>
      <c r="BR61" s="2646"/>
      <c r="BS61" s="2646"/>
      <c r="BT61" s="2646"/>
      <c r="BU61" s="2646"/>
      <c r="BV61" s="2646"/>
      <c r="BW61" s="2646"/>
      <c r="BX61" s="2646"/>
    </row>
    <row r="62" spans="1:76" s="218" customFormat="1" ht="12.95" customHeight="1" thickTop="1"/>
    <row r="63" spans="1:76" ht="12.95" customHeight="1">
      <c r="A63" s="435" t="s">
        <v>597</v>
      </c>
      <c r="C63" s="219" t="s">
        <v>1356</v>
      </c>
      <c r="Y63" s="2635" t="s">
        <v>1003</v>
      </c>
      <c r="Z63" s="2635"/>
      <c r="AA63" s="2635"/>
      <c r="AB63" s="2635"/>
      <c r="AC63" s="2635"/>
      <c r="AD63" s="2635" t="s">
        <v>370</v>
      </c>
      <c r="AE63" s="2635"/>
      <c r="AF63" s="2635"/>
      <c r="AG63" s="2635"/>
      <c r="AH63" s="2635"/>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36">
        <f>IF(Application!$Z$205="(select)",0,((T23*T27)+Y28))</f>
        <v>71083031</v>
      </c>
      <c r="Z64" s="2637"/>
      <c r="AA64" s="2637"/>
      <c r="AB64" s="2637"/>
      <c r="AC64" s="2638"/>
      <c r="AD64" s="2636">
        <f>IF(AND(OR(Application!D211="At-Risk",Application!D211="At-Risk and Special Needs"),Application!M358="yes"),AD28+AI28,0)</f>
        <v>0</v>
      </c>
      <c r="AE64" s="2637"/>
      <c r="AF64" s="2637"/>
      <c r="AG64" s="2637"/>
      <c r="AH64" s="2638"/>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25">
        <f>IF(OR(Application!Z205="State Farmworker Credit",Application!Z205="$500M (Farmworker Housing)"),0.75,IF(Application!Z205="15% set-aside",0.13,IF(Application!Z205="15% set-aside with qualifying low value rehab",0.95,0.3)))</f>
        <v>0.3</v>
      </c>
      <c r="Z67" s="2625"/>
      <c r="AA67" s="2625"/>
      <c r="AB67" s="2625"/>
      <c r="AC67" s="2625"/>
      <c r="AD67" s="2625">
        <f>IF(Application!Z205="15% set-aside with qualifying low value rehab", 0.95,0.13)</f>
        <v>0.13</v>
      </c>
      <c r="AE67" s="2625"/>
      <c r="AF67" s="2625"/>
      <c r="AG67" s="2625"/>
      <c r="AH67" s="2625"/>
    </row>
    <row r="68" spans="1:36" ht="12.95" customHeight="1">
      <c r="C68" s="435"/>
      <c r="D68" s="219" t="s">
        <v>2635</v>
      </c>
      <c r="Y68" s="2626">
        <f>ROUND(Y64*Y67,0)</f>
        <v>21324909</v>
      </c>
      <c r="Z68" s="2627"/>
      <c r="AA68" s="2627"/>
      <c r="AB68" s="2627"/>
      <c r="AC68" s="2627"/>
      <c r="AD68" s="2626">
        <f>ROUND(AD64*AD67,0)</f>
        <v>0</v>
      </c>
      <c r="AE68" s="2627"/>
      <c r="AF68" s="2627"/>
      <c r="AG68" s="2627"/>
      <c r="AH68" s="2627"/>
    </row>
    <row r="69" spans="1:36" ht="12.95" customHeight="1">
      <c r="C69" s="435"/>
      <c r="D69" s="219" t="s">
        <v>2636</v>
      </c>
      <c r="Y69" s="2626">
        <f>IF(OR(Application!Z205="State Farmworker Credit",Application!Z205="$500M (Farmworker Housing)"),Y68+AD68,MIN(Y68+AD68,200000*(Application!G753+Application!O777)))</f>
        <v>21324909</v>
      </c>
      <c r="Z69" s="2626"/>
      <c r="AA69" s="2626"/>
      <c r="AB69" s="2626"/>
      <c r="AC69" s="2626"/>
      <c r="AD69" s="2626"/>
      <c r="AE69" s="2626"/>
      <c r="AF69" s="2626"/>
      <c r="AG69" s="2626"/>
      <c r="AH69" s="2626"/>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28">
        <v>0.9</v>
      </c>
      <c r="AC72" s="2629"/>
      <c r="AD72" s="2629"/>
      <c r="AE72" s="2629"/>
      <c r="AF72" s="2630"/>
    </row>
    <row r="73" spans="1:36" ht="12.95" customHeight="1">
      <c r="A73" s="435"/>
      <c r="C73" s="435"/>
      <c r="D73" s="435"/>
      <c r="E73" s="2631" t="s">
        <v>1359</v>
      </c>
      <c r="F73" s="2631"/>
      <c r="G73" s="2631"/>
      <c r="H73" s="2631"/>
      <c r="I73" s="2631"/>
      <c r="J73" s="2631"/>
      <c r="K73" s="2631"/>
      <c r="L73" s="2631"/>
      <c r="M73" s="2631"/>
      <c r="N73" s="2631"/>
      <c r="O73" s="2631"/>
      <c r="P73" s="2631"/>
      <c r="Q73" s="2631"/>
      <c r="R73" s="2631"/>
      <c r="S73" s="2631"/>
      <c r="T73" s="2631"/>
      <c r="U73" s="2631"/>
      <c r="V73" s="2631"/>
      <c r="W73" s="2631"/>
      <c r="X73" s="2631"/>
      <c r="Y73" s="2631"/>
      <c r="Z73" s="2631"/>
      <c r="AA73" s="2631"/>
      <c r="AB73" s="471"/>
      <c r="AC73" s="471"/>
    </row>
    <row r="74" spans="1:36" ht="12.95" customHeight="1">
      <c r="A74" s="435"/>
      <c r="C74" s="435"/>
      <c r="D74" s="435"/>
      <c r="E74" s="2631"/>
      <c r="F74" s="2631"/>
      <c r="G74" s="2631"/>
      <c r="H74" s="2631"/>
      <c r="I74" s="2631"/>
      <c r="J74" s="2631"/>
      <c r="K74" s="2631"/>
      <c r="L74" s="2631"/>
      <c r="M74" s="2631"/>
      <c r="N74" s="2631"/>
      <c r="O74" s="2631"/>
      <c r="P74" s="2631"/>
      <c r="Q74" s="2631"/>
      <c r="R74" s="2631"/>
      <c r="S74" s="2631"/>
      <c r="T74" s="2631"/>
      <c r="U74" s="2631"/>
      <c r="V74" s="2631"/>
      <c r="W74" s="2631"/>
      <c r="X74" s="2631"/>
      <c r="Y74" s="2631"/>
      <c r="Z74" s="2631"/>
      <c r="AA74" s="2631"/>
      <c r="AB74" s="471"/>
      <c r="AC74" s="471"/>
    </row>
    <row r="75" spans="1:36" ht="12.95" customHeight="1">
      <c r="A75" s="435"/>
      <c r="C75" s="435"/>
      <c r="D75" s="435"/>
      <c r="E75" s="2631"/>
      <c r="F75" s="2631"/>
      <c r="G75" s="2631"/>
      <c r="H75" s="2631"/>
      <c r="I75" s="2631"/>
      <c r="J75" s="2631"/>
      <c r="K75" s="2631"/>
      <c r="L75" s="2631"/>
      <c r="M75" s="2631"/>
      <c r="N75" s="2631"/>
      <c r="O75" s="2631"/>
      <c r="P75" s="2631"/>
      <c r="Q75" s="2631"/>
      <c r="R75" s="2631"/>
      <c r="S75" s="2631"/>
      <c r="T75" s="2631"/>
      <c r="U75" s="2631"/>
      <c r="V75" s="2631"/>
      <c r="W75" s="2631"/>
      <c r="X75" s="2631"/>
      <c r="Y75" s="2631"/>
      <c r="Z75" s="2631"/>
      <c r="AA75" s="263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19">
        <f>ROUND(IF(ISERROR((AB59/AB72)),0,(AB59/AB72)),0)</f>
        <v>21324906</v>
      </c>
      <c r="AC77" s="2619"/>
      <c r="AD77" s="2619"/>
      <c r="AE77" s="2619"/>
      <c r="AF77" s="2619"/>
    </row>
    <row r="78" spans="1:36" ht="12.95" customHeight="1">
      <c r="C78" s="435"/>
      <c r="D78" s="219" t="s">
        <v>1361</v>
      </c>
      <c r="AB78" s="2620">
        <f>MIN(Y69,AB77)</f>
        <v>21324906</v>
      </c>
      <c r="AC78" s="2621"/>
      <c r="AD78" s="2621"/>
      <c r="AE78" s="2621"/>
      <c r="AF78" s="2622"/>
    </row>
    <row r="79" spans="1:36" ht="12.95" customHeight="1">
      <c r="C79" s="435"/>
      <c r="D79" s="219" t="s">
        <v>1362</v>
      </c>
      <c r="AB79" s="2623">
        <f>AB78*AB72</f>
        <v>19192415.400000002</v>
      </c>
      <c r="AC79" s="2623"/>
      <c r="AD79" s="2623"/>
      <c r="AE79" s="2623"/>
      <c r="AF79" s="2623"/>
    </row>
    <row r="80" spans="1:36" ht="12.95" customHeight="1">
      <c r="C80" s="435"/>
      <c r="D80" s="435"/>
      <c r="AB80" s="456"/>
      <c r="AC80" s="456"/>
      <c r="AD80" s="456"/>
      <c r="AE80" s="456"/>
      <c r="AF80" s="456"/>
    </row>
    <row r="81" spans="1:78" ht="12.95" customHeight="1">
      <c r="D81" s="435" t="s">
        <v>763</v>
      </c>
      <c r="AB81" s="2624">
        <f>AB49-(AB57+AB79)</f>
        <v>-0.40000000596046448</v>
      </c>
      <c r="AC81" s="2624"/>
      <c r="AD81" s="2624"/>
      <c r="AE81" s="2624"/>
      <c r="AF81" s="2624"/>
    </row>
    <row r="82" spans="1:78" ht="12.95" customHeight="1">
      <c r="F82" s="556"/>
      <c r="J82" s="556" t="str">
        <f>IF(AB81&gt;0,"FUNDING GAP MUST NOT EXCEED ZERO","")</f>
        <v/>
      </c>
    </row>
    <row r="83" spans="1:78" ht="12.95" customHeight="1">
      <c r="D83" s="557"/>
    </row>
    <row r="84" spans="1:78" ht="12.95" customHeight="1" thickBot="1">
      <c r="A84" s="2646"/>
      <c r="B84" s="2646"/>
      <c r="C84" s="2646"/>
      <c r="D84" s="2646"/>
      <c r="E84" s="2646"/>
      <c r="F84" s="2646"/>
      <c r="G84" s="2646"/>
      <c r="H84" s="2646"/>
      <c r="I84" s="2646"/>
      <c r="J84" s="2646"/>
      <c r="K84" s="2646"/>
      <c r="L84" s="2646"/>
      <c r="M84" s="2646"/>
      <c r="N84" s="2646"/>
      <c r="O84" s="2646"/>
      <c r="P84" s="2646"/>
      <c r="Q84" s="2646"/>
      <c r="R84" s="2646"/>
      <c r="S84" s="2646"/>
      <c r="T84" s="2646"/>
      <c r="U84" s="2646"/>
      <c r="V84" s="2646"/>
      <c r="W84" s="2646"/>
      <c r="X84" s="2646"/>
      <c r="Y84" s="2646"/>
      <c r="Z84" s="2646"/>
      <c r="AA84" s="2646"/>
      <c r="AB84" s="2646"/>
      <c r="AC84" s="2646"/>
      <c r="AD84" s="2646"/>
      <c r="AE84" s="2646"/>
      <c r="AF84" s="2646"/>
      <c r="AG84" s="2646"/>
      <c r="AH84" s="2646"/>
      <c r="AI84" s="2646"/>
      <c r="AJ84" s="2646"/>
      <c r="AK84" s="2646"/>
      <c r="AL84" s="2646"/>
      <c r="AM84" s="2646"/>
      <c r="AN84" s="2646"/>
      <c r="AO84" s="2646"/>
      <c r="AP84" s="2646"/>
      <c r="AQ84" s="2646"/>
      <c r="AR84" s="2646"/>
      <c r="AS84" s="2646"/>
      <c r="AT84" s="2646"/>
      <c r="AU84" s="2646"/>
      <c r="AV84" s="2646"/>
      <c r="AW84" s="2646"/>
      <c r="AX84" s="2646"/>
      <c r="AY84" s="2646"/>
      <c r="AZ84" s="2646"/>
      <c r="BA84" s="2646"/>
      <c r="BB84" s="2646"/>
      <c r="BC84" s="2646"/>
      <c r="BD84" s="2646"/>
      <c r="BE84" s="2646"/>
      <c r="BF84" s="2646"/>
      <c r="BG84" s="2646"/>
      <c r="BH84" s="2646"/>
      <c r="BI84" s="2646"/>
      <c r="BJ84" s="2646"/>
      <c r="BK84" s="2646"/>
      <c r="BL84" s="2646"/>
      <c r="BM84" s="2646"/>
      <c r="BN84" s="2646"/>
      <c r="BO84" s="2646"/>
      <c r="BP84" s="2646"/>
      <c r="BQ84" s="2646"/>
      <c r="BR84" s="2646"/>
      <c r="BS84" s="2646"/>
      <c r="BT84" s="2646"/>
      <c r="BU84" s="2646"/>
      <c r="BV84" s="2646"/>
      <c r="BW84" s="2646"/>
      <c r="BX84" s="2646"/>
    </row>
    <row r="85" spans="1:78" ht="12.95" customHeight="1" thickTop="1"/>
    <row r="86" spans="1:78" ht="12.95" customHeight="1">
      <c r="A86" s="435"/>
      <c r="C86" s="219"/>
    </row>
    <row r="87" spans="1:78" ht="12.95" customHeight="1">
      <c r="D87" s="219"/>
      <c r="AB87" s="2678"/>
      <c r="AC87" s="2678"/>
      <c r="AD87" s="2678"/>
      <c r="AE87" s="2678"/>
      <c r="AF87" s="2678"/>
    </row>
    <row r="88" spans="1:78" ht="12.95" customHeight="1" thickBot="1">
      <c r="D88" s="219"/>
      <c r="AB88" s="2677"/>
      <c r="AC88" s="2677"/>
      <c r="AD88" s="2677"/>
      <c r="AE88" s="2677"/>
      <c r="AF88" s="267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5" t="s">
        <v>924</v>
      </c>
      <c r="B1" s="2685"/>
      <c r="C1" s="2685"/>
      <c r="D1" s="2685"/>
      <c r="E1" s="2685"/>
      <c r="F1" s="2685"/>
      <c r="G1" s="2685"/>
      <c r="H1" s="2685"/>
      <c r="I1" s="2685"/>
      <c r="J1" s="2685"/>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18</v>
      </c>
      <c r="C4" s="1122"/>
      <c r="D4" s="459">
        <f>Application!O718</f>
        <v>513</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23</v>
      </c>
      <c r="C5" s="1122"/>
      <c r="D5" s="459">
        <f>Application!O719</f>
        <v>955</v>
      </c>
      <c r="E5" s="460"/>
      <c r="F5" s="1123"/>
      <c r="G5" s="459">
        <f t="shared" ref="G5:G38" si="2">F5*B5</f>
        <v>0</v>
      </c>
      <c r="H5" s="460"/>
      <c r="I5" s="459" t="str">
        <f t="shared" si="0"/>
        <v/>
      </c>
      <c r="J5" s="459" t="str">
        <f t="shared" si="1"/>
        <v/>
      </c>
      <c r="K5" s="218"/>
      <c r="L5" s="328"/>
    </row>
    <row r="6" spans="1:12">
      <c r="A6" s="459" t="str">
        <f>Application!B720</f>
        <v>1 Bedroom</v>
      </c>
      <c r="B6" s="1121">
        <f>Application!G720</f>
        <v>21</v>
      </c>
      <c r="C6" s="1122"/>
      <c r="D6" s="459">
        <f>Application!O720</f>
        <v>1066</v>
      </c>
      <c r="E6" s="460"/>
      <c r="F6" s="1123"/>
      <c r="G6" s="459">
        <f t="shared" si="2"/>
        <v>0</v>
      </c>
      <c r="H6" s="460"/>
      <c r="I6" s="459" t="str">
        <f t="shared" si="0"/>
        <v/>
      </c>
      <c r="J6" s="459" t="str">
        <f t="shared" si="1"/>
        <v/>
      </c>
      <c r="K6" s="218"/>
      <c r="L6" s="328"/>
    </row>
    <row r="7" spans="1:12">
      <c r="A7" s="459" t="str">
        <f>Application!B721</f>
        <v>2 Bedrooms</v>
      </c>
      <c r="B7" s="1121">
        <f>Application!G721</f>
        <v>3</v>
      </c>
      <c r="C7" s="1122"/>
      <c r="D7" s="459">
        <f>Application!O721</f>
        <v>589</v>
      </c>
      <c r="E7" s="460"/>
      <c r="F7" s="1123"/>
      <c r="G7" s="459">
        <f t="shared" si="2"/>
        <v>0</v>
      </c>
      <c r="H7" s="460"/>
      <c r="I7" s="459" t="str">
        <f t="shared" si="0"/>
        <v/>
      </c>
      <c r="J7" s="459" t="str">
        <f t="shared" si="1"/>
        <v/>
      </c>
      <c r="K7" s="218"/>
      <c r="L7" s="328"/>
    </row>
    <row r="8" spans="1:12">
      <c r="A8" s="459" t="str">
        <f>Application!B722</f>
        <v>2 Bedrooms</v>
      </c>
      <c r="B8" s="1121">
        <f>Application!G722</f>
        <v>11</v>
      </c>
      <c r="C8" s="1122"/>
      <c r="D8" s="459">
        <f>Application!O722</f>
        <v>1120</v>
      </c>
      <c r="E8" s="460"/>
      <c r="F8" s="1123"/>
      <c r="G8" s="459">
        <f t="shared" si="2"/>
        <v>0</v>
      </c>
      <c r="H8" s="460"/>
      <c r="I8" s="459" t="str">
        <f t="shared" si="0"/>
        <v/>
      </c>
      <c r="J8" s="459" t="str">
        <f t="shared" si="1"/>
        <v/>
      </c>
      <c r="K8" s="218"/>
      <c r="L8" s="328"/>
    </row>
    <row r="9" spans="1:12">
      <c r="A9" s="459" t="str">
        <f>Application!B723</f>
        <v>2 Bedrooms</v>
      </c>
      <c r="B9" s="1121">
        <f>Application!G723</f>
        <v>18</v>
      </c>
      <c r="C9" s="1122"/>
      <c r="D9" s="459">
        <f>Application!O723</f>
        <v>1252</v>
      </c>
      <c r="E9" s="460"/>
      <c r="F9" s="1123"/>
      <c r="G9" s="459">
        <f t="shared" si="2"/>
        <v>0</v>
      </c>
      <c r="H9" s="460"/>
      <c r="I9" s="459" t="str">
        <f t="shared" si="0"/>
        <v/>
      </c>
      <c r="J9" s="459" t="str">
        <f t="shared" si="1"/>
        <v/>
      </c>
      <c r="K9" s="218"/>
      <c r="L9" s="328"/>
    </row>
    <row r="10" spans="1:12">
      <c r="A10" s="459" t="str">
        <f>Application!B724</f>
        <v>3 Bedrooms</v>
      </c>
      <c r="B10" s="1121">
        <f>Application!G724</f>
        <v>4</v>
      </c>
      <c r="C10" s="1122"/>
      <c r="D10" s="459">
        <f>Application!O724</f>
        <v>693</v>
      </c>
      <c r="E10" s="460"/>
      <c r="F10" s="1123"/>
      <c r="G10" s="459">
        <f t="shared" si="2"/>
        <v>0</v>
      </c>
      <c r="H10" s="460"/>
      <c r="I10" s="459" t="str">
        <f t="shared" si="0"/>
        <v/>
      </c>
      <c r="J10" s="459" t="str">
        <f t="shared" si="1"/>
        <v/>
      </c>
      <c r="K10" s="218"/>
      <c r="L10" s="328"/>
    </row>
    <row r="11" spans="1:12">
      <c r="A11" s="459" t="str">
        <f>Application!B725</f>
        <v>3 Bedrooms</v>
      </c>
      <c r="B11" s="1121">
        <f>Application!G725</f>
        <v>10</v>
      </c>
      <c r="C11" s="1122"/>
      <c r="D11" s="459">
        <f>Application!O725</f>
        <v>1306</v>
      </c>
      <c r="E11" s="460"/>
      <c r="F11" s="1123"/>
      <c r="G11" s="459">
        <f t="shared" si="2"/>
        <v>0</v>
      </c>
      <c r="H11" s="460"/>
      <c r="I11" s="459" t="str">
        <f t="shared" si="0"/>
        <v/>
      </c>
      <c r="J11" s="459" t="str">
        <f t="shared" si="1"/>
        <v/>
      </c>
      <c r="K11" s="218"/>
      <c r="L11" s="328"/>
    </row>
    <row r="12" spans="1:12">
      <c r="A12" s="459" t="str">
        <f>Application!B726</f>
        <v>3 Bedrooms</v>
      </c>
      <c r="B12" s="1121">
        <f>Application!G726</f>
        <v>19</v>
      </c>
      <c r="C12" s="1122"/>
      <c r="D12" s="459">
        <f>Application!O726</f>
        <v>1459</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133761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E30" sqref="E30"/>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750000</v>
      </c>
      <c r="C5" s="286">
        <f>'Sources and Uses Budget'!$C4</f>
        <v>750000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750000</v>
      </c>
      <c r="C9" s="290">
        <f>SUM(C5:C8)</f>
        <v>750000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1000000</v>
      </c>
      <c r="C11" s="286">
        <f>'Sources and Uses Budget'!$C10</f>
        <v>1000000</v>
      </c>
      <c r="D11" s="290">
        <f t="shared" si="0"/>
        <v>0</v>
      </c>
      <c r="E11" s="288"/>
      <c r="F11" s="287"/>
      <c r="G11" s="383"/>
    </row>
    <row r="12" spans="1:7" s="380" customFormat="1">
      <c r="A12" s="396" t="s">
        <v>604</v>
      </c>
      <c r="B12" s="290">
        <f>SUM(B10:B11)</f>
        <v>1000000</v>
      </c>
      <c r="C12" s="290">
        <f>SUM(C10:C11)</f>
        <v>1000000</v>
      </c>
      <c r="D12" s="290">
        <f t="shared" si="0"/>
        <v>0</v>
      </c>
      <c r="E12" s="288"/>
      <c r="F12" s="287"/>
      <c r="G12" s="383"/>
    </row>
    <row r="13" spans="1:7" s="380" customFormat="1">
      <c r="A13" s="396" t="s">
        <v>84</v>
      </c>
      <c r="B13" s="290">
        <f>SUM(B9+B12)</f>
        <v>1750000</v>
      </c>
      <c r="C13" s="290">
        <f>SUM(C9+C12)</f>
        <v>1750000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7000000</v>
      </c>
      <c r="C30" s="286">
        <f>'Sources and Uses Budget'!$C29</f>
        <v>7000000</v>
      </c>
      <c r="D30" s="290">
        <f t="shared" si="0"/>
        <v>0</v>
      </c>
      <c r="E30" s="288"/>
      <c r="F30" s="287"/>
      <c r="G30" s="383"/>
    </row>
    <row r="31" spans="1:7" s="380" customFormat="1">
      <c r="A31" s="145" t="s">
        <v>607</v>
      </c>
      <c r="B31" s="286">
        <f>'Sources and Uses Budget'!$C30</f>
        <v>37400000</v>
      </c>
      <c r="C31" s="286">
        <f>'Sources and Uses Budget'!$C30</f>
        <v>37400000</v>
      </c>
      <c r="D31" s="290">
        <f t="shared" si="0"/>
        <v>0</v>
      </c>
      <c r="E31" s="288"/>
      <c r="F31" s="287"/>
      <c r="G31" s="383"/>
    </row>
    <row r="32" spans="1:7" s="380" customFormat="1">
      <c r="A32" s="145" t="s">
        <v>608</v>
      </c>
      <c r="B32" s="286">
        <f>'Sources and Uses Budget'!$C31</f>
        <v>1444838</v>
      </c>
      <c r="C32" s="286">
        <f>'Sources and Uses Budget'!$C31</f>
        <v>1444838</v>
      </c>
      <c r="D32" s="290">
        <f t="shared" si="0"/>
        <v>0</v>
      </c>
      <c r="E32" s="288"/>
      <c r="F32" s="287"/>
      <c r="G32" s="383"/>
    </row>
    <row r="33" spans="1:7" s="380" customFormat="1">
      <c r="A33" s="145" t="s">
        <v>137</v>
      </c>
      <c r="B33" s="286">
        <f>'Sources and Uses Budget'!$C32</f>
        <v>2375000</v>
      </c>
      <c r="C33" s="286">
        <f>'Sources and Uses Budget'!$C32</f>
        <v>2375000</v>
      </c>
      <c r="D33" s="290">
        <f t="shared" si="0"/>
        <v>0</v>
      </c>
      <c r="E33" s="288"/>
      <c r="F33" s="287"/>
      <c r="G33" s="383"/>
    </row>
    <row r="34" spans="1:7" s="380" customFormat="1">
      <c r="A34" s="145" t="s">
        <v>138</v>
      </c>
      <c r="B34" s="286">
        <f>'Sources and Uses Budget'!$C33</f>
        <v>2022840</v>
      </c>
      <c r="C34" s="286">
        <f>'Sources and Uses Budget'!$C33</f>
        <v>2022840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700000</v>
      </c>
      <c r="C36" s="286">
        <f>'Sources and Uses Budget'!$C35</f>
        <v>700000</v>
      </c>
      <c r="D36" s="290">
        <f t="shared" si="0"/>
        <v>0</v>
      </c>
      <c r="E36" s="288"/>
      <c r="F36" s="287"/>
      <c r="G36" s="383"/>
    </row>
    <row r="37" spans="1:7" s="380" customFormat="1">
      <c r="A37" s="304" t="s">
        <v>1751</v>
      </c>
      <c r="B37" s="286">
        <f>'Sources and Uses Budget'!$C36</f>
        <v>100000</v>
      </c>
      <c r="C37" s="286">
        <f>'Sources and Uses Budget'!$C36</f>
        <v>100000</v>
      </c>
      <c r="D37" s="290"/>
      <c r="E37" s="288"/>
      <c r="F37" s="287"/>
      <c r="G37" s="383"/>
    </row>
    <row r="38" spans="1:7" s="380" customFormat="1">
      <c r="A38" s="155" t="str">
        <f>'Sources and Uses Budget'!A37</f>
        <v>Solar</v>
      </c>
      <c r="B38" s="286">
        <f>'Sources and Uses Budget'!$C37</f>
        <v>300000</v>
      </c>
      <c r="C38" s="286">
        <f>'Sources and Uses Budget'!$C37</f>
        <v>300000</v>
      </c>
      <c r="D38" s="290">
        <f t="shared" si="0"/>
        <v>0</v>
      </c>
      <c r="E38" s="288"/>
      <c r="F38" s="287"/>
      <c r="G38" s="383"/>
    </row>
    <row r="39" spans="1:7" s="380" customFormat="1">
      <c r="A39" s="291" t="s">
        <v>143</v>
      </c>
      <c r="B39" s="290">
        <f>SUM(B30:B38)</f>
        <v>51342678</v>
      </c>
      <c r="C39" s="290">
        <f>SUM(C30:C38)</f>
        <v>51342678</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750000</v>
      </c>
      <c r="C41" s="286">
        <f>'Sources and Uses Budget'!$C40</f>
        <v>750000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750000</v>
      </c>
      <c r="C43" s="290">
        <f>SUM(C41:C42)</f>
        <v>750000</v>
      </c>
      <c r="D43" s="290">
        <f t="shared" si="0"/>
        <v>0</v>
      </c>
      <c r="E43" s="288"/>
      <c r="F43" s="287"/>
      <c r="G43" s="383"/>
    </row>
    <row r="44" spans="1:7" s="380" customFormat="1">
      <c r="A44" s="291" t="s">
        <v>148</v>
      </c>
      <c r="B44" s="286">
        <f>'Sources and Uses Budget'!$C43</f>
        <v>300000</v>
      </c>
      <c r="C44" s="286">
        <f>'Sources and Uses Budget'!$C43</f>
        <v>300000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2300000</v>
      </c>
      <c r="C46" s="286">
        <f>'Sources and Uses Budget'!$C45</f>
        <v>2300000</v>
      </c>
      <c r="D46" s="290">
        <f t="shared" si="0"/>
        <v>0</v>
      </c>
      <c r="E46" s="288"/>
      <c r="F46" s="287"/>
      <c r="G46" s="383"/>
    </row>
    <row r="47" spans="1:7" s="380" customFormat="1">
      <c r="A47" s="145" t="s">
        <v>151</v>
      </c>
      <c r="B47" s="286">
        <f>'Sources and Uses Budget'!$C46</f>
        <v>300000</v>
      </c>
      <c r="C47" s="286">
        <f>'Sources and Uses Budget'!$C46</f>
        <v>300000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250000</v>
      </c>
      <c r="C50" s="286">
        <f>'Sources and Uses Budget'!$C49</f>
        <v>250000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50000</v>
      </c>
      <c r="C52" s="286">
        <f>'Sources and Uses Budget'!$C51</f>
        <v>50000</v>
      </c>
      <c r="D52" s="290">
        <f t="shared" si="0"/>
        <v>0</v>
      </c>
      <c r="E52" s="288"/>
      <c r="F52" s="287"/>
      <c r="G52" s="383"/>
    </row>
    <row r="53" spans="1:7" s="380" customFormat="1">
      <c r="A53" s="145" t="s">
        <v>155</v>
      </c>
      <c r="B53" s="286">
        <f>'Sources and Uses Budget'!$C52</f>
        <v>700000</v>
      </c>
      <c r="C53" s="286">
        <f>'Sources and Uses Budget'!$C52</f>
        <v>700000</v>
      </c>
      <c r="D53" s="290">
        <f t="shared" si="0"/>
        <v>0</v>
      </c>
      <c r="E53" s="288"/>
      <c r="F53" s="287"/>
      <c r="G53" s="383"/>
    </row>
    <row r="54" spans="1:7" s="380" customFormat="1">
      <c r="A54" s="155" t="str">
        <f>'Sources and Uses Budget'!A53</f>
        <v>Bank Construction Service Fees</v>
      </c>
      <c r="B54" s="286">
        <f>'Sources and Uses Budget'!$C53</f>
        <v>100000</v>
      </c>
      <c r="C54" s="286">
        <f>'Sources and Uses Budget'!$C53</f>
        <v>100000</v>
      </c>
      <c r="D54" s="290">
        <f t="shared" si="0"/>
        <v>0</v>
      </c>
      <c r="E54" s="288"/>
      <c r="F54" s="287"/>
      <c r="G54" s="383"/>
    </row>
    <row r="55" spans="1:7" s="381" customFormat="1">
      <c r="A55" s="291" t="s">
        <v>157</v>
      </c>
      <c r="B55" s="293">
        <f>SUM(B46:B54)</f>
        <v>3800000</v>
      </c>
      <c r="C55" s="293">
        <f>SUM(C46:C54)</f>
        <v>3800000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100000</v>
      </c>
      <c r="C57" s="286">
        <f>'Sources and Uses Budget'!$C56</f>
        <v>100000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Interest Prior to Conversion</v>
      </c>
      <c r="B62" s="286">
        <f>'Sources and Uses Budget'!$C61</f>
        <v>1420000</v>
      </c>
      <c r="C62" s="286">
        <f>'Sources and Uses Budget'!$C61</f>
        <v>1420000</v>
      </c>
      <c r="D62" s="290">
        <f t="shared" si="0"/>
        <v>0</v>
      </c>
      <c r="E62" s="288"/>
      <c r="F62" s="287"/>
      <c r="G62" s="383"/>
    </row>
    <row r="63" spans="1:7" s="380" customFormat="1" ht="13.7" customHeight="1">
      <c r="A63" s="291" t="s">
        <v>302</v>
      </c>
      <c r="B63" s="290">
        <f>SUM(B57:B62)</f>
        <v>1520000</v>
      </c>
      <c r="C63" s="290">
        <f>SUM(C57:C62)</f>
        <v>1520000</v>
      </c>
      <c r="D63" s="290">
        <f t="shared" si="0"/>
        <v>0</v>
      </c>
      <c r="E63" s="288"/>
      <c r="F63" s="287"/>
      <c r="G63" s="383"/>
    </row>
    <row r="64" spans="1:7" s="380" customFormat="1">
      <c r="A64" s="294" t="s">
        <v>303</v>
      </c>
      <c r="B64" s="290">
        <f>SUM(B9+B12+B14+B15+B17+B26+B28+B39+B43+B44+B55+B63)</f>
        <v>59462678</v>
      </c>
      <c r="C64" s="290">
        <f>SUM(C9+C12+C14+C15+C17+C26+C28+C39+C43+C44+C55+C63)</f>
        <v>59462678</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Partnership/Transaction Legal</v>
      </c>
      <c r="B70" s="286">
        <f>'Sources and Uses Budget'!$C69</f>
        <v>100000</v>
      </c>
      <c r="C70" s="286">
        <f>'Sources and Uses Budget'!$C69</f>
        <v>100000</v>
      </c>
      <c r="D70" s="290">
        <f t="shared" si="0"/>
        <v>0</v>
      </c>
      <c r="E70" s="288"/>
      <c r="F70" s="287"/>
      <c r="G70" s="383"/>
    </row>
    <row r="71" spans="1:7" s="380" customFormat="1">
      <c r="A71" s="149" t="s">
        <v>1756</v>
      </c>
      <c r="B71" s="290">
        <f>SUM(B66:B70)</f>
        <v>200000</v>
      </c>
      <c r="C71" s="290">
        <f>SUM(C66:C70)</f>
        <v>200000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346000</v>
      </c>
      <c r="C76" s="286">
        <f>'Sources and Uses Budget'!$C75</f>
        <v>346000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346000</v>
      </c>
      <c r="C78" s="290">
        <f>SUM(C73:C77)</f>
        <v>346000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2562133</v>
      </c>
      <c r="C80" s="286">
        <f>'Sources and Uses Budget'!$C79</f>
        <v>2562133</v>
      </c>
      <c r="D80" s="290">
        <f t="shared" si="1"/>
        <v>0</v>
      </c>
      <c r="E80" s="288"/>
      <c r="F80" s="287"/>
      <c r="G80" s="383"/>
    </row>
    <row r="81" spans="1:7" s="380" customFormat="1">
      <c r="A81" s="544" t="s">
        <v>58</v>
      </c>
      <c r="B81" s="286">
        <f>'Sources and Uses Budget'!$C80</f>
        <v>526220</v>
      </c>
      <c r="C81" s="286">
        <f>'Sources and Uses Budget'!$C80</f>
        <v>526220</v>
      </c>
      <c r="D81" s="290">
        <f>C81-B81</f>
        <v>0</v>
      </c>
      <c r="E81" s="288"/>
      <c r="F81" s="287"/>
      <c r="G81" s="383"/>
    </row>
    <row r="82" spans="1:7" s="380" customFormat="1">
      <c r="A82" s="291" t="s">
        <v>1315</v>
      </c>
      <c r="B82" s="290">
        <f>SUM(B80:B81)</f>
        <v>3088353</v>
      </c>
      <c r="C82" s="290">
        <f>SUM(C80:C81)</f>
        <v>3088353</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227403</v>
      </c>
      <c r="C84" s="286">
        <f>'Sources and Uses Budget'!$C83</f>
        <v>227403</v>
      </c>
      <c r="D84" s="290">
        <f t="shared" si="1"/>
        <v>0</v>
      </c>
      <c r="E84" s="288"/>
      <c r="F84" s="287"/>
      <c r="G84" s="383"/>
    </row>
    <row r="85" spans="1:7" s="380" customFormat="1">
      <c r="A85" s="289" t="s">
        <v>776</v>
      </c>
      <c r="B85" s="286">
        <f>'Sources and Uses Budget'!$C84</f>
        <v>10000</v>
      </c>
      <c r="C85" s="286">
        <f>'Sources and Uses Budget'!$C84</f>
        <v>10000</v>
      </c>
      <c r="D85" s="290">
        <f t="shared" si="1"/>
        <v>0</v>
      </c>
      <c r="E85" s="288"/>
      <c r="F85" s="287"/>
      <c r="G85" s="383"/>
    </row>
    <row r="86" spans="1:7" s="380" customFormat="1">
      <c r="A86" s="289" t="s">
        <v>777</v>
      </c>
      <c r="B86" s="286">
        <f>'Sources and Uses Budget'!$C85</f>
        <v>2000000</v>
      </c>
      <c r="C86" s="286">
        <f>'Sources and Uses Budget'!$C85</f>
        <v>2000000</v>
      </c>
      <c r="D86" s="290">
        <f t="shared" si="1"/>
        <v>0</v>
      </c>
      <c r="E86" s="288"/>
      <c r="F86" s="287"/>
      <c r="G86" s="383"/>
    </row>
    <row r="87" spans="1:7" s="380" customFormat="1">
      <c r="A87" s="289" t="s">
        <v>778</v>
      </c>
      <c r="B87" s="286">
        <f>'Sources and Uses Budget'!$C86</f>
        <v>352000</v>
      </c>
      <c r="C87" s="286">
        <f>'Sources and Uses Budget'!$C86</f>
        <v>352000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10000</v>
      </c>
      <c r="C89" s="286">
        <f>'Sources and Uses Budget'!$C88</f>
        <v>10000</v>
      </c>
      <c r="D89" s="290">
        <f t="shared" si="1"/>
        <v>0</v>
      </c>
      <c r="E89" s="288"/>
      <c r="F89" s="287"/>
      <c r="G89" s="383"/>
    </row>
    <row r="90" spans="1:7" s="380" customFormat="1">
      <c r="A90" s="289" t="s">
        <v>781</v>
      </c>
      <c r="B90" s="286">
        <f>'Sources and Uses Budget'!$C89</f>
        <v>450000</v>
      </c>
      <c r="C90" s="286">
        <f>'Sources and Uses Budget'!$C89</f>
        <v>450000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373</v>
      </c>
      <c r="B92" s="286">
        <f>'Sources and Uses Budget'!$C91</f>
        <v>25000</v>
      </c>
      <c r="C92" s="286">
        <f>'Sources and Uses Budget'!$C91</f>
        <v>25000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650000</v>
      </c>
      <c r="C94" s="286">
        <f>'Sources and Uses Budget'!$C93</f>
        <v>650000</v>
      </c>
      <c r="D94" s="290">
        <f t="shared" si="1"/>
        <v>0</v>
      </c>
      <c r="E94" s="288"/>
      <c r="F94" s="287"/>
      <c r="G94" s="383"/>
    </row>
    <row r="95" spans="1:7" s="380" customFormat="1">
      <c r="A95" s="292" t="s">
        <v>34</v>
      </c>
      <c r="B95" s="286">
        <f>'Sources and Uses Budget'!$C94</f>
        <v>60000</v>
      </c>
      <c r="C95" s="286">
        <f>'Sources and Uses Budget'!$C94</f>
        <v>60000</v>
      </c>
      <c r="D95" s="290">
        <f t="shared" si="1"/>
        <v>0</v>
      </c>
      <c r="E95" s="288"/>
      <c r="F95" s="287"/>
      <c r="G95" s="383"/>
    </row>
    <row r="96" spans="1:7" s="380" customFormat="1">
      <c r="A96" s="292" t="s">
        <v>34</v>
      </c>
      <c r="B96" s="286">
        <f>'Sources and Uses Budget'!$C95</f>
        <v>50000</v>
      </c>
      <c r="C96" s="286">
        <f>'Sources and Uses Budget'!$C95</f>
        <v>50000</v>
      </c>
      <c r="D96" s="290">
        <f t="shared" si="1"/>
        <v>0</v>
      </c>
      <c r="E96" s="288"/>
      <c r="F96" s="287"/>
      <c r="G96" s="383"/>
    </row>
    <row r="97" spans="1:7" s="380" customFormat="1">
      <c r="A97" s="291" t="s">
        <v>783</v>
      </c>
      <c r="B97" s="290">
        <f>SUM(B84:B96)</f>
        <v>3854403</v>
      </c>
      <c r="C97" s="290">
        <f>SUM(C84:C96)</f>
        <v>3854403</v>
      </c>
      <c r="D97" s="290">
        <f t="shared" si="1"/>
        <v>0</v>
      </c>
      <c r="E97" s="288"/>
      <c r="F97" s="287"/>
      <c r="G97" s="383"/>
    </row>
    <row r="98" spans="1:7" s="380" customFormat="1">
      <c r="A98" s="291" t="s">
        <v>784</v>
      </c>
      <c r="B98" s="290">
        <f>SUM(B64+B71+B78+B82+B97)</f>
        <v>66951434</v>
      </c>
      <c r="C98" s="290">
        <f>SUM(C64+C71+C78+C82+C97)</f>
        <v>66951434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7500000</v>
      </c>
      <c r="C100" s="286">
        <f>'Sources and Uses Budget'!$C99</f>
        <v>7500000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7500000</v>
      </c>
      <c r="C105" s="290">
        <f>SUM(C100:C104)</f>
        <v>7500000</v>
      </c>
      <c r="D105" s="290">
        <f t="shared" si="1"/>
        <v>0</v>
      </c>
      <c r="E105" s="288"/>
      <c r="F105" s="287"/>
      <c r="G105" s="383"/>
    </row>
    <row r="106" spans="1:7" s="380" customFormat="1">
      <c r="A106" s="291" t="s">
        <v>789</v>
      </c>
      <c r="B106" s="293">
        <f>SUM(B98+B105)</f>
        <v>74451434</v>
      </c>
      <c r="C106" s="293">
        <f>SUM(C98+C105)</f>
        <v>74451434</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828</v>
      </c>
      <c r="B6" s="1302"/>
      <c r="C6" s="1274"/>
      <c r="D6" s="1274"/>
      <c r="E6" s="1274"/>
      <c r="F6" s="1274"/>
      <c r="G6" s="1274"/>
      <c r="I6" t="s">
        <v>599</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1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15" customHeight="1">
      <c r="A196" s="13"/>
      <c r="C196" s="13"/>
      <c r="D196" s="1282" t="s">
        <v>554</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1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802</v>
      </c>
      <c r="E468" s="1282"/>
      <c r="F468" s="1282"/>
    </row>
    <row r="469" spans="1:7" ht="13.1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896</v>
      </c>
      <c r="E519" s="1277"/>
      <c r="F519" s="1277"/>
      <c r="G519"/>
    </row>
    <row r="520" spans="1:7" ht="13.1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829</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07" workbookViewId="0">
      <selection activeCell="D233" sqref="D233:F23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294" t="s">
        <v>1150</v>
      </c>
      <c r="E13" s="1294"/>
      <c r="F13" s="1294"/>
      <c r="M13" s="96"/>
    </row>
    <row r="14" spans="1:13">
      <c r="A14" s="517"/>
      <c r="B14" s="517"/>
      <c r="C14" s="517"/>
      <c r="D14" s="510"/>
      <c r="L14" s="336"/>
    </row>
    <row r="15" spans="1:13" ht="14.25">
      <c r="A15" s="518"/>
      <c r="B15" s="519" t="s">
        <v>2743</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2743</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2744</v>
      </c>
      <c r="D24" s="1293" t="s">
        <v>1153</v>
      </c>
      <c r="E24" s="1293"/>
      <c r="F24" s="1293"/>
      <c r="I24" s="524" t="s">
        <v>2072</v>
      </c>
    </row>
    <row r="25" spans="1:9" ht="14.25">
      <c r="A25" s="518"/>
      <c r="B25" s="518"/>
      <c r="D25" s="1293"/>
      <c r="E25" s="1293"/>
      <c r="F25" s="1293"/>
      <c r="I25" s="524"/>
    </row>
    <row r="26" spans="1:9">
      <c r="I26" s="524"/>
    </row>
    <row r="27" spans="1:9" ht="14.25">
      <c r="A27" s="518"/>
      <c r="B27" s="519" t="s">
        <v>2743</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2744</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2744</v>
      </c>
      <c r="D36" s="1293" t="s">
        <v>1320</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2743</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2744</v>
      </c>
      <c r="D47" s="1293" t="s">
        <v>1158</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2744</v>
      </c>
      <c r="D52" s="1293" t="s">
        <v>1159</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2743</v>
      </c>
      <c r="D56" s="1342" t="s">
        <v>1160</v>
      </c>
      <c r="E56" s="1342"/>
      <c r="F56" s="1342"/>
      <c r="I56" s="524"/>
    </row>
    <row r="57" spans="1:9" ht="14.25">
      <c r="A57" s="518"/>
      <c r="B57" s="518"/>
      <c r="D57" s="1342"/>
      <c r="E57" s="1342"/>
      <c r="F57" s="1342"/>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2744</v>
      </c>
      <c r="D61" s="1293" t="s">
        <v>1161</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2744</v>
      </c>
      <c r="D65" s="1293" t="s">
        <v>1162</v>
      </c>
      <c r="E65" s="1293"/>
      <c r="F65" s="1293"/>
      <c r="I65" s="524" t="s">
        <v>2074</v>
      </c>
    </row>
    <row r="66" spans="1:9">
      <c r="D66" s="1293"/>
      <c r="E66" s="1293"/>
      <c r="F66" s="1293"/>
      <c r="I66" s="524"/>
    </row>
    <row r="67" spans="1:9">
      <c r="I67" s="524"/>
    </row>
    <row r="68" spans="1:9" ht="14.25">
      <c r="A68" s="518"/>
      <c r="B68" s="519" t="s">
        <v>2744</v>
      </c>
      <c r="D68" s="1293" t="s">
        <v>1163</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2744</v>
      </c>
      <c r="D72" s="1293" t="s">
        <v>1164</v>
      </c>
      <c r="E72" s="1293"/>
      <c r="F72" s="1293"/>
      <c r="I72" s="524" t="s">
        <v>2075</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2743</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2743</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2744</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2743</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2744</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2744</v>
      </c>
      <c r="D103" s="1293" t="s">
        <v>1300</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2744</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2743</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2743</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2743</v>
      </c>
      <c r="D137" s="1293" t="s">
        <v>1175</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2744</v>
      </c>
      <c r="D151" s="1293" t="s">
        <v>1283</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2386</v>
      </c>
      <c r="E169" s="1338"/>
      <c r="F169" s="1338"/>
      <c r="G169" s="541"/>
      <c r="I169" s="524"/>
    </row>
    <row r="170" spans="1:9" ht="13.7" customHeight="1">
      <c r="D170" s="1279"/>
      <c r="E170" s="1279"/>
      <c r="F170" s="1279"/>
      <c r="G170" s="1279"/>
      <c r="I170" s="524"/>
    </row>
    <row r="171" spans="1:9" ht="14.45" customHeight="1">
      <c r="A171" s="523"/>
      <c r="B171" s="519" t="s">
        <v>2744</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2744</v>
      </c>
      <c r="C177" s="510"/>
      <c r="D177" s="1275" t="s">
        <v>1177</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2744</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2743</v>
      </c>
      <c r="D197" s="1277" t="s">
        <v>1935</v>
      </c>
      <c r="E197" s="1277"/>
      <c r="F197" s="1277"/>
      <c r="I197" s="524" t="s">
        <v>2134</v>
      </c>
    </row>
    <row r="198" spans="1:9">
      <c r="A198" s="435"/>
      <c r="B198" s="435"/>
      <c r="D198" s="1309" t="s">
        <v>2200</v>
      </c>
      <c r="E198" s="1309"/>
      <c r="F198" s="1309"/>
      <c r="I198" s="524"/>
    </row>
    <row r="199" spans="1:9">
      <c r="A199" s="435"/>
      <c r="B199" s="435"/>
      <c r="D199" s="96" t="s">
        <v>1936</v>
      </c>
      <c r="E199" s="1341" t="s">
        <v>2223</v>
      </c>
      <c r="F199" s="1341"/>
      <c r="I199" s="524"/>
    </row>
    <row r="200" spans="1:9">
      <c r="A200" s="435"/>
      <c r="B200" s="435"/>
      <c r="D200" s="3"/>
      <c r="E200" s="3"/>
      <c r="F200" s="3"/>
      <c r="I200" s="524"/>
    </row>
    <row r="201" spans="1:9">
      <c r="A201" s="435"/>
      <c r="B201" s="519" t="s">
        <v>2744</v>
      </c>
      <c r="D201" s="1309" t="s">
        <v>1937</v>
      </c>
      <c r="E201" s="1309"/>
      <c r="F201" s="1309"/>
      <c r="I201" s="524" t="s">
        <v>2135</v>
      </c>
    </row>
    <row r="202" spans="1:9">
      <c r="A202" s="435"/>
      <c r="B202" s="435"/>
      <c r="D202" s="1277" t="s">
        <v>2200</v>
      </c>
      <c r="E202" s="1277"/>
      <c r="F202" s="1277"/>
      <c r="I202" s="524"/>
    </row>
    <row r="203" spans="1:9">
      <c r="A203" s="435"/>
      <c r="B203" s="435"/>
      <c r="D203" s="57" t="s">
        <v>1938</v>
      </c>
      <c r="E203" s="1341" t="s">
        <v>2224</v>
      </c>
      <c r="F203" s="1341"/>
      <c r="I203" s="524"/>
    </row>
    <row r="204" spans="1:9">
      <c r="A204" s="435"/>
      <c r="B204" s="435"/>
      <c r="D204" s="3"/>
      <c r="E204" s="3"/>
      <c r="F204" s="3"/>
      <c r="I204" s="524"/>
    </row>
    <row r="205" spans="1:9">
      <c r="A205" s="435"/>
      <c r="B205" s="519" t="s">
        <v>2744</v>
      </c>
      <c r="D205" s="1309" t="s">
        <v>1939</v>
      </c>
      <c r="E205" s="1309"/>
      <c r="F205" s="1309"/>
      <c r="I205" s="524" t="s">
        <v>2136</v>
      </c>
    </row>
    <row r="206" spans="1:9">
      <c r="A206" s="435"/>
      <c r="B206" s="435"/>
      <c r="D206" s="1277" t="s">
        <v>2200</v>
      </c>
      <c r="E206" s="1277"/>
      <c r="F206" s="1277"/>
      <c r="I206" s="524"/>
    </row>
    <row r="207" spans="1:9">
      <c r="A207" s="435"/>
      <c r="B207" s="435"/>
      <c r="D207" s="57" t="s">
        <v>1936</v>
      </c>
      <c r="E207" s="1341" t="s">
        <v>2225</v>
      </c>
      <c r="F207" s="1341"/>
      <c r="I207" s="524"/>
    </row>
    <row r="208" spans="1:9">
      <c r="A208" s="435"/>
      <c r="B208" s="435"/>
      <c r="D208" s="423"/>
      <c r="E208" s="423"/>
      <c r="F208" s="423"/>
      <c r="I208" s="524"/>
    </row>
    <row r="209" spans="1:9" ht="14.25" customHeight="1">
      <c r="A209" s="518"/>
      <c r="B209" s="519" t="s">
        <v>2744</v>
      </c>
      <c r="D209" s="417" t="s">
        <v>2193</v>
      </c>
      <c r="E209" s="416"/>
      <c r="F209" s="416"/>
      <c r="I209" s="524" t="s">
        <v>2137</v>
      </c>
    </row>
    <row r="210" spans="1:9" ht="14.25">
      <c r="A210" s="518"/>
      <c r="B210" s="518"/>
      <c r="D210" s="1277" t="s">
        <v>2200</v>
      </c>
      <c r="E210" s="1277"/>
      <c r="F210" s="1277"/>
      <c r="I210" s="524"/>
    </row>
    <row r="211" spans="1:9">
      <c r="D211" s="416"/>
      <c r="E211" s="1341" t="s">
        <v>2226</v>
      </c>
      <c r="F211" s="1341"/>
      <c r="I211" s="524"/>
    </row>
    <row r="212" spans="1:9">
      <c r="D212" s="481"/>
      <c r="I212" s="524"/>
    </row>
    <row r="213" spans="1:9">
      <c r="B213" s="519" t="s">
        <v>2744</v>
      </c>
      <c r="D213" s="1309" t="s">
        <v>1940</v>
      </c>
      <c r="E213" s="1309"/>
      <c r="F213" s="1309"/>
      <c r="I213" s="524" t="s">
        <v>2138</v>
      </c>
    </row>
    <row r="214" spans="1:9">
      <c r="D214" s="1277" t="s">
        <v>2200</v>
      </c>
      <c r="E214" s="1277"/>
      <c r="F214" s="1277"/>
      <c r="I214" s="524"/>
    </row>
    <row r="215" spans="1:9">
      <c r="D215" s="57" t="s">
        <v>1936</v>
      </c>
      <c r="E215" s="1341" t="s">
        <v>2227</v>
      </c>
      <c r="F215" s="1341"/>
      <c r="I215" s="524"/>
    </row>
    <row r="216" spans="1:9">
      <c r="D216" s="485"/>
      <c r="E216" s="485"/>
      <c r="F216" s="485"/>
      <c r="I216" s="524"/>
    </row>
    <row r="217" spans="1:9" ht="14.25">
      <c r="A217" s="518"/>
      <c r="B217" s="519" t="s">
        <v>2744</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554</v>
      </c>
      <c r="E227" s="1292"/>
      <c r="F227" s="1292"/>
      <c r="I227" s="524" t="s">
        <v>2086</v>
      </c>
    </row>
    <row r="228" spans="1:9" ht="14.25">
      <c r="A228" s="518"/>
      <c r="B228" s="519" t="s">
        <v>2743</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2743</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2743</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2744</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1069</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2744</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2743</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2743</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2744</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1210</v>
      </c>
      <c r="E288" s="1344"/>
      <c r="F288" s="1344"/>
      <c r="I288" s="524"/>
    </row>
    <row r="289" spans="1:9">
      <c r="E289" s="480"/>
      <c r="F289" s="480"/>
      <c r="I289" s="524"/>
    </row>
    <row r="290" spans="1:9" ht="14.25">
      <c r="A290" s="518"/>
      <c r="B290" s="519" t="s">
        <v>2744</v>
      </c>
      <c r="D290" s="1293" t="s">
        <v>1211</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2744</v>
      </c>
      <c r="D293" s="1293" t="s">
        <v>1212</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2744</v>
      </c>
      <c r="D297" s="1293" t="s">
        <v>1213</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2744</v>
      </c>
      <c r="D305" s="1294" t="s">
        <v>1215</v>
      </c>
      <c r="E305" s="1294"/>
      <c r="F305" s="1294"/>
      <c r="I305" s="524" t="s">
        <v>2089</v>
      </c>
    </row>
    <row r="306" spans="1:9" ht="14.25">
      <c r="A306" s="518"/>
      <c r="B306" s="518"/>
      <c r="D306" s="528"/>
      <c r="E306" s="529"/>
      <c r="F306" s="529"/>
      <c r="I306" s="524"/>
    </row>
    <row r="307" spans="1:9" ht="13.7" customHeight="1">
      <c r="B307" s="519" t="s">
        <v>2744</v>
      </c>
      <c r="D307" s="1347" t="s">
        <v>1325</v>
      </c>
      <c r="E307" s="1347"/>
      <c r="F307" s="1347"/>
      <c r="I307" s="524" t="s">
        <v>2089</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2744</v>
      </c>
      <c r="D313" s="1347" t="s">
        <v>1217</v>
      </c>
      <c r="E313" s="1347"/>
      <c r="F313" s="1347"/>
      <c r="I313" s="524" t="s">
        <v>2089</v>
      </c>
    </row>
    <row r="314" spans="1:9">
      <c r="D314" s="1347"/>
      <c r="E314" s="1347"/>
      <c r="F314" s="1347"/>
      <c r="I314" s="524"/>
    </row>
    <row r="315" spans="1:9" ht="14.25">
      <c r="A315" s="518"/>
      <c r="B315" s="518"/>
      <c r="D315" s="528"/>
      <c r="E315" s="529"/>
      <c r="F315" s="529"/>
      <c r="I315" s="524"/>
    </row>
    <row r="316" spans="1:9">
      <c r="B316" s="519" t="s">
        <v>2744</v>
      </c>
      <c r="D316" s="1294" t="s">
        <v>1218</v>
      </c>
      <c r="E316" s="1294"/>
      <c r="F316" s="1294"/>
      <c r="I316" s="524" t="s">
        <v>2075</v>
      </c>
    </row>
    <row r="317" spans="1:9">
      <c r="E317" s="480"/>
      <c r="F317" s="480"/>
      <c r="I317" s="524"/>
    </row>
    <row r="318" spans="1:9" ht="14.25">
      <c r="A318" s="518"/>
      <c r="B318" s="519" t="s">
        <v>2744</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2744</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2744</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3" t="s">
        <v>998</v>
      </c>
      <c r="E351" s="1343"/>
      <c r="F351" s="1343"/>
      <c r="G351" s="1062"/>
      <c r="H351" s="1062"/>
      <c r="I351" s="1259"/>
    </row>
    <row r="352" spans="1:9" ht="13.5" thickTop="1">
      <c r="D352" s="1348" t="s">
        <v>1222</v>
      </c>
      <c r="E352" s="1348"/>
      <c r="F352" s="1348"/>
      <c r="I352" s="524"/>
    </row>
    <row r="353" spans="1:9">
      <c r="D353" s="480"/>
      <c r="E353" s="480"/>
      <c r="F353" s="480"/>
      <c r="I353" s="524"/>
    </row>
    <row r="354" spans="1:9">
      <c r="A354" s="510"/>
      <c r="B354" s="510"/>
      <c r="C354" s="510"/>
      <c r="D354" s="481"/>
      <c r="E354" s="481"/>
      <c r="F354" s="480"/>
      <c r="I354" s="524" t="s">
        <v>2091</v>
      </c>
    </row>
    <row r="355" spans="1:9" ht="14.25">
      <c r="A355" s="518"/>
      <c r="B355" s="519" t="s">
        <v>2744</v>
      </c>
      <c r="C355" s="521"/>
      <c r="D355" s="1294" t="s">
        <v>2199</v>
      </c>
      <c r="E355" s="1294"/>
      <c r="F355" s="1294"/>
      <c r="I355" s="1350" t="s">
        <v>2141</v>
      </c>
    </row>
    <row r="356" spans="1:9" ht="12.75" customHeight="1">
      <c r="D356" s="1072"/>
      <c r="E356" s="96" t="s">
        <v>2198</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2744</v>
      </c>
      <c r="C360" s="510"/>
      <c r="D360" s="1279" t="s">
        <v>2369</v>
      </c>
      <c r="E360" s="1279"/>
      <c r="F360" s="1279"/>
      <c r="I360" s="514"/>
    </row>
    <row r="361" spans="1:9">
      <c r="A361" s="510"/>
      <c r="B361" s="510"/>
      <c r="C361" s="510"/>
      <c r="D361" s="481"/>
      <c r="E361" s="481"/>
      <c r="F361" s="480"/>
      <c r="I361" s="524"/>
    </row>
    <row r="362" spans="1:9">
      <c r="A362" s="510"/>
      <c r="B362" s="519" t="s">
        <v>2744</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2744</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2744</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2744</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2744</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2744</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2744</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2388</v>
      </c>
      <c r="E433" s="1275"/>
      <c r="F433" s="1275"/>
      <c r="I433" s="524"/>
    </row>
    <row r="434" spans="1:9">
      <c r="D434" s="480"/>
      <c r="E434" s="480"/>
      <c r="F434" s="480"/>
      <c r="I434" s="524"/>
    </row>
    <row r="435" spans="1:9" ht="14.25">
      <c r="A435" s="518"/>
      <c r="B435" s="519" t="s">
        <v>2744</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2744</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2744</v>
      </c>
      <c r="C471" s="518"/>
      <c r="D471" s="1293" t="s">
        <v>1303</v>
      </c>
      <c r="E471" s="1293"/>
      <c r="F471" s="1293"/>
      <c r="I471" s="524"/>
    </row>
    <row r="472" spans="1:9">
      <c r="D472" s="1293"/>
      <c r="E472" s="1293"/>
      <c r="F472" s="1293"/>
      <c r="I472" s="524"/>
    </row>
    <row r="473" spans="1:9">
      <c r="D473" s="480"/>
      <c r="E473" s="480"/>
      <c r="F473" s="480"/>
      <c r="I473" s="524"/>
    </row>
    <row r="474" spans="1:9" ht="14.25">
      <c r="B474" s="519" t="s">
        <v>2744</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2744</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2744</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2744</v>
      </c>
      <c r="C486" s="433"/>
      <c r="D486" s="1293"/>
      <c r="E486" s="1293"/>
      <c r="F486" s="1293"/>
      <c r="I486" s="524"/>
    </row>
    <row r="487" spans="1:9">
      <c r="A487" s="433"/>
      <c r="C487" s="433"/>
      <c r="D487" s="1293"/>
      <c r="E487" s="1293"/>
      <c r="F487" s="1293"/>
      <c r="I487" s="524"/>
    </row>
    <row r="488" spans="1:9">
      <c r="A488" s="433"/>
      <c r="B488" s="519" t="s">
        <v>2744</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2744</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2744</v>
      </c>
      <c r="D501" s="1275" t="s">
        <v>1239</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2744</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2744</v>
      </c>
      <c r="D509" s="1294" t="s">
        <v>1242</v>
      </c>
      <c r="E509" s="1294"/>
      <c r="F509" s="1294"/>
      <c r="I509" s="524" t="s">
        <v>2094</v>
      </c>
    </row>
    <row r="510" spans="1:9" ht="14.25">
      <c r="A510" s="518"/>
      <c r="B510" s="518"/>
      <c r="D510" s="480"/>
      <c r="I510" s="524"/>
    </row>
    <row r="511" spans="1:9" ht="14.25">
      <c r="A511" s="518"/>
      <c r="B511" s="519" t="s">
        <v>2744</v>
      </c>
      <c r="D511" s="1293" t="s">
        <v>1243</v>
      </c>
      <c r="E511" s="1293"/>
      <c r="F511" s="1293"/>
      <c r="I511" s="524" t="s">
        <v>2094</v>
      </c>
    </row>
    <row r="512" spans="1:9" ht="14.25">
      <c r="A512" s="518"/>
      <c r="D512" s="1293"/>
      <c r="E512" s="1293"/>
      <c r="F512" s="1293"/>
      <c r="I512" s="524"/>
    </row>
    <row r="513" spans="1:9">
      <c r="A513" s="524"/>
      <c r="B513" s="524"/>
      <c r="D513" s="481"/>
      <c r="I513" s="524"/>
    </row>
    <row r="514" spans="1:9">
      <c r="A514" s="524"/>
      <c r="B514" s="519" t="s">
        <v>2744</v>
      </c>
      <c r="D514" s="1294" t="s">
        <v>1244</v>
      </c>
      <c r="E514" s="1294"/>
      <c r="F514" s="1294"/>
      <c r="I514" s="524" t="s">
        <v>2147</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2743</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2743</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2744</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2743</v>
      </c>
      <c r="C543" s="521"/>
      <c r="D543" s="1294" t="s">
        <v>896</v>
      </c>
      <c r="E543" s="1294"/>
      <c r="F543" s="1294"/>
      <c r="I543" s="524" t="s">
        <v>2145</v>
      </c>
    </row>
    <row r="544" spans="1:9" ht="13.7" customHeight="1">
      <c r="A544" s="521"/>
      <c r="B544" s="521"/>
      <c r="C544" s="521"/>
      <c r="D544" s="480"/>
      <c r="I544" s="524"/>
    </row>
    <row r="545" spans="1:9" ht="14.25">
      <c r="A545" s="518"/>
      <c r="B545" s="519" t="s">
        <v>2743</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2743</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2743</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2743</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2744</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2744</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2743</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2743</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2743</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2743</v>
      </c>
      <c r="D583" s="1280" t="s">
        <v>902</v>
      </c>
      <c r="E583" s="1280"/>
      <c r="F583" s="1280"/>
      <c r="I583" s="524"/>
    </row>
    <row r="584" spans="1:9">
      <c r="A584" s="524"/>
      <c r="B584" s="524"/>
      <c r="D584" s="510"/>
      <c r="I584" s="524"/>
    </row>
    <row r="585" spans="1:9">
      <c r="A585" s="524"/>
      <c r="B585" s="519" t="s">
        <v>2743</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2744</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2743</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2744</v>
      </c>
      <c r="D597" s="1280" t="s">
        <v>1102</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2743</v>
      </c>
      <c r="D605" s="1333" t="s">
        <v>2206</v>
      </c>
      <c r="E605" s="1333"/>
      <c r="F605" s="1333"/>
      <c r="I605" s="524" t="s">
        <v>2130</v>
      </c>
    </row>
    <row r="606" spans="1:9">
      <c r="D606" s="1333"/>
      <c r="E606" s="1333"/>
      <c r="F606" s="1333"/>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2743</v>
      </c>
      <c r="D615" s="1291" t="s">
        <v>1188</v>
      </c>
      <c r="E615" s="1291"/>
      <c r="F615" s="1291"/>
      <c r="I615" s="524" t="s">
        <v>2150</v>
      </c>
    </row>
    <row r="616" spans="1:9">
      <c r="D616" s="1291"/>
      <c r="E616" s="1291"/>
      <c r="F616" s="1291"/>
      <c r="I616" s="524"/>
    </row>
    <row r="617" spans="1:9">
      <c r="I617" s="524"/>
    </row>
    <row r="618" spans="1:9">
      <c r="B618" s="519" t="s">
        <v>2743</v>
      </c>
      <c r="D618" s="1291" t="s">
        <v>1189</v>
      </c>
      <c r="E618" s="1291"/>
      <c r="F618" s="1291"/>
      <c r="I618" s="524" t="s">
        <v>2103</v>
      </c>
    </row>
    <row r="619" spans="1:9">
      <c r="C619" s="534"/>
      <c r="D619" s="1291"/>
      <c r="E619" s="1291"/>
      <c r="F619" s="1291"/>
      <c r="I619" s="524"/>
    </row>
    <row r="620" spans="1:9">
      <c r="C620" s="534"/>
      <c r="I620" s="524"/>
    </row>
    <row r="621" spans="1:9">
      <c r="B621" s="519" t="s">
        <v>2744</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2743</v>
      </c>
      <c r="D628" s="1333" t="s">
        <v>2378</v>
      </c>
      <c r="E628" s="1333"/>
      <c r="F628" s="1333"/>
      <c r="I628" s="524" t="s">
        <v>2131</v>
      </c>
    </row>
    <row r="629" spans="1:9">
      <c r="D629" s="1333"/>
      <c r="E629" s="1333"/>
      <c r="F629" s="1333"/>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2744</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2744</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2744</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2744</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2744</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2744</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2744</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2743</v>
      </c>
      <c r="C680" s="517"/>
      <c r="D680" s="1294" t="s">
        <v>898</v>
      </c>
      <c r="E680" s="1294"/>
      <c r="F680" s="1294"/>
      <c r="H680" s="535"/>
      <c r="I680" s="517" t="s">
        <v>2132</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2744</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2743</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2743</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2744</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2744</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2744</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2744</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2744</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2744</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2743</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2743</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2744</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2744</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2744</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2744</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1990</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2044</v>
      </c>
      <c r="E771" s="1334"/>
      <c r="F771" s="1334"/>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2743</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2744</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2744</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2744</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2744</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2744</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2744</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2743</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2390</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2743</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2744</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2744</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2744</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35" t="s">
        <v>1960</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2743</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2743</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2744</v>
      </c>
      <c r="C869" s="385"/>
      <c r="D869" s="1331" t="s">
        <v>1963</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2744</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2744</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2743</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2743</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2743</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2744</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2744</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2744</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2744</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2743</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2743</v>
      </c>
      <c r="C932" s="175"/>
      <c r="D932" s="1332" t="s">
        <v>2161</v>
      </c>
      <c r="E932" s="1332"/>
      <c r="F932" s="1332"/>
      <c r="G932" s="1023"/>
      <c r="I932" s="524" t="s">
        <v>2159</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2744</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2744</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2744</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2744</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2743</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2743</v>
      </c>
      <c r="C982" s="385"/>
      <c r="D982" s="1330" t="s">
        <v>2214</v>
      </c>
      <c r="E982" s="1330"/>
      <c r="F982" s="1330"/>
      <c r="G982"/>
      <c r="I982" s="524" t="s">
        <v>2139</v>
      </c>
    </row>
    <row r="983" spans="1:9" ht="12.75" customHeight="1">
      <c r="A983" s="385"/>
      <c r="B983" s="385"/>
      <c r="C983" s="385"/>
      <c r="D983" s="1330"/>
      <c r="E983" s="1330"/>
      <c r="F983" s="1330"/>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2744</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2744</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2743</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2744</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2743</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2744</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2744</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2744</v>
      </c>
      <c r="C1010" s="1035"/>
      <c r="D1010" s="1324" t="s">
        <v>1983</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2744</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2744</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24" t="s">
        <v>1988</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2743</v>
      </c>
      <c r="C1023" s="385"/>
      <c r="D1023" s="1324" t="s">
        <v>1379</v>
      </c>
      <c r="E1023" s="1324"/>
      <c r="F1023" s="1324"/>
      <c r="G1023" s="3"/>
      <c r="I1023" s="524"/>
    </row>
    <row r="1024" spans="1:9" ht="12.75" customHeight="1">
      <c r="A1024" s="385"/>
      <c r="B1024" s="176"/>
      <c r="C1024" s="385"/>
      <c r="D1024" s="1324" t="s">
        <v>1989</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1095</v>
      </c>
      <c r="E1032" s="1325"/>
      <c r="F1032" s="1325"/>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2744</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2744</v>
      </c>
      <c r="C1042" s="433"/>
      <c r="D1042" s="1327" t="s">
        <v>2003</v>
      </c>
      <c r="E1042" s="1327"/>
      <c r="F1042" s="1327"/>
      <c r="I1042" s="524" t="s">
        <v>2112</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2744</v>
      </c>
      <c r="C1050" s="433"/>
      <c r="D1050" s="433" t="s">
        <v>2001</v>
      </c>
      <c r="I1050" s="524" t="s">
        <v>2113</v>
      </c>
    </row>
    <row r="1051" spans="1:9">
      <c r="A1051" s="433"/>
      <c r="B1051" s="433"/>
      <c r="C1051" s="433"/>
      <c r="I1051" s="524"/>
    </row>
    <row r="1052" spans="1:9">
      <c r="A1052" s="433"/>
      <c r="B1052" s="519" t="s">
        <v>2743</v>
      </c>
      <c r="C1052" s="433"/>
      <c r="D1052" s="1327" t="s">
        <v>2007</v>
      </c>
      <c r="E1052" s="1327"/>
      <c r="F1052" s="1327"/>
      <c r="I1052" s="524" t="s">
        <v>2114</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2743</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2744</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2744</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2744</v>
      </c>
      <c r="C1075" s="433"/>
      <c r="D1075" s="1326" t="s">
        <v>2010</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2743</v>
      </c>
      <c r="C1085" s="433"/>
      <c r="D1085" s="1328" t="s">
        <v>2228</v>
      </c>
      <c r="E1085" s="1328"/>
      <c r="F1085" s="1328"/>
      <c r="I1085" s="524" t="s">
        <v>2119</v>
      </c>
    </row>
    <row r="1086" spans="1:9">
      <c r="A1086" s="433"/>
      <c r="B1086" s="433"/>
      <c r="C1086" s="433"/>
      <c r="D1086" s="1328"/>
      <c r="E1086" s="1328"/>
      <c r="F1086" s="1328"/>
      <c r="I1086" s="524"/>
    </row>
    <row r="1087" spans="1:9">
      <c r="A1087" s="433"/>
      <c r="B1087" s="433"/>
      <c r="C1087" s="433"/>
      <c r="D1087" s="1329" t="s">
        <v>2501</v>
      </c>
      <c r="E1087" s="1266"/>
      <c r="F1087" s="1266"/>
      <c r="I1087" s="524"/>
    </row>
    <row r="1088" spans="1:9">
      <c r="A1088" s="433"/>
      <c r="B1088" s="433"/>
      <c r="C1088" s="433"/>
      <c r="D1088" s="561"/>
      <c r="I1088" s="524"/>
    </row>
    <row r="1089" spans="1:9">
      <c r="A1089" s="433"/>
      <c r="B1089" s="519" t="s">
        <v>2744</v>
      </c>
      <c r="C1089" s="433"/>
      <c r="D1089" s="1326" t="s">
        <v>2021</v>
      </c>
      <c r="E1089" s="1326"/>
      <c r="F1089" s="1326"/>
      <c r="I1089" s="524" t="s">
        <v>2120</v>
      </c>
    </row>
    <row r="1090" spans="1:9">
      <c r="A1090" s="433"/>
      <c r="B1090" s="433"/>
      <c r="C1090" s="433"/>
      <c r="D1090" s="1326"/>
      <c r="E1090" s="1326"/>
      <c r="F1090" s="1326"/>
      <c r="I1090" s="524"/>
    </row>
    <row r="1091" spans="1:9">
      <c r="A1091" s="433"/>
      <c r="B1091" s="433"/>
      <c r="C1091" s="433"/>
      <c r="D1091" s="561"/>
      <c r="I1091" s="524"/>
    </row>
    <row r="1092" spans="1:9">
      <c r="A1092" s="433"/>
      <c r="B1092" s="519" t="s">
        <v>2744</v>
      </c>
      <c r="C1092" s="433"/>
      <c r="D1092" s="1326" t="s">
        <v>2164</v>
      </c>
      <c r="E1092" s="1326"/>
      <c r="F1092" s="1326"/>
      <c r="I1092" s="524" t="s">
        <v>2162</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2163</v>
      </c>
      <c r="I1098" s="514"/>
    </row>
    <row r="1099" spans="1:9">
      <c r="A1099" s="433"/>
      <c r="B1099" s="519" t="s">
        <v>2744</v>
      </c>
      <c r="C1099" s="433"/>
      <c r="D1099" s="1326" t="s">
        <v>2022</v>
      </c>
      <c r="E1099" s="1326"/>
      <c r="F1099" s="1326"/>
      <c r="I1099" s="524" t="s">
        <v>2121</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2743</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2743</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07" zoomScaleNormal="100" workbookViewId="0">
      <selection activeCell="AM699" sqref="AM69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8" t="s">
        <v>100</v>
      </c>
      <c r="B8" s="1438"/>
      <c r="C8" s="1438"/>
      <c r="D8" s="1438"/>
      <c r="E8" s="1438"/>
      <c r="F8" s="1438"/>
      <c r="G8" s="1438"/>
      <c r="H8" s="1438"/>
      <c r="I8" s="1438"/>
      <c r="J8" s="1438"/>
      <c r="K8" s="1438"/>
      <c r="L8" s="1438"/>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9" t="s">
        <v>2639</v>
      </c>
      <c r="B12" s="1439"/>
      <c r="C12" s="1439"/>
      <c r="D12" s="1439"/>
      <c r="E12" s="1439"/>
      <c r="F12" s="1439"/>
      <c r="G12" s="1439"/>
      <c r="H12" s="1439"/>
      <c r="I12" s="1439"/>
      <c r="J12" s="1439"/>
      <c r="K12" s="1439"/>
      <c r="L12" s="1439"/>
      <c r="M12" s="1439"/>
      <c r="N12" s="1439"/>
      <c r="O12" s="1439"/>
      <c r="P12" s="1439"/>
      <c r="Q12" s="1439"/>
      <c r="R12" s="1439"/>
      <c r="S12" s="1439"/>
      <c r="T12" s="1439"/>
      <c r="U12" s="1439"/>
      <c r="V12" s="1439"/>
      <c r="W12" s="1439"/>
      <c r="X12" s="1439"/>
      <c r="Y12" s="1439"/>
      <c r="Z12" s="1439"/>
      <c r="AA12" s="1439"/>
      <c r="AB12" s="1439"/>
      <c r="AC12" s="1439"/>
      <c r="AD12" s="1439"/>
      <c r="AE12" s="1439"/>
      <c r="AF12" s="1439"/>
      <c r="AG12" s="1439"/>
      <c r="AH12" s="1439"/>
      <c r="AI12" s="1439"/>
      <c r="AJ12" s="1439"/>
      <c r="AK12" s="1439"/>
      <c r="AL12" s="1439"/>
      <c r="AM12" s="1439"/>
      <c r="AN12" s="1439"/>
      <c r="AO12" s="1439"/>
      <c r="AP12" s="1439"/>
      <c r="AQ12" s="1439"/>
      <c r="AR12" s="1439"/>
      <c r="AS12" s="1439"/>
      <c r="AT12" s="1439"/>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46" t="s">
        <v>2641</v>
      </c>
      <c r="I16" s="1447"/>
      <c r="J16" s="1447"/>
      <c r="K16" s="1447"/>
      <c r="L16" s="1447"/>
      <c r="M16" s="1447"/>
      <c r="N16" s="1447"/>
      <c r="O16" s="1447"/>
      <c r="P16" s="1447"/>
      <c r="Q16" s="1447"/>
      <c r="R16" s="1447"/>
      <c r="S16" s="1447"/>
      <c r="T16" s="1447"/>
      <c r="U16" s="1447"/>
      <c r="V16" s="1447"/>
      <c r="W16" s="1447"/>
      <c r="X16" s="1447"/>
      <c r="Y16" s="1447"/>
      <c r="Z16" s="1447"/>
      <c r="AA16" s="1447"/>
      <c r="AB16" s="1447"/>
      <c r="AC16" s="1447"/>
      <c r="AD16" s="1447"/>
      <c r="AE16" s="1447"/>
      <c r="AF16" s="1447"/>
      <c r="AG16" s="1447"/>
      <c r="AH16" s="1447"/>
      <c r="AI16" s="1447"/>
      <c r="AJ16" s="1447"/>
    </row>
    <row r="17" spans="1:52" ht="12.95" customHeight="1"/>
    <row r="18" spans="1:52" ht="12.95" customHeight="1">
      <c r="A18" s="57" t="s">
        <v>101</v>
      </c>
      <c r="C18" s="4"/>
      <c r="D18" s="4"/>
      <c r="E18" s="4"/>
      <c r="F18" s="4"/>
      <c r="G18" s="4"/>
      <c r="H18" s="1373" t="s">
        <v>2642</v>
      </c>
      <c r="I18" s="1444"/>
      <c r="J18" s="1444"/>
      <c r="K18" s="1444"/>
      <c r="L18" s="1444"/>
      <c r="M18" s="1444"/>
      <c r="N18" s="1444"/>
      <c r="O18" s="1444"/>
      <c r="P18" s="1444"/>
      <c r="Q18" s="1444"/>
      <c r="R18" s="1444"/>
      <c r="S18" s="1444"/>
      <c r="T18" s="1444"/>
      <c r="U18" s="1444"/>
      <c r="V18" s="1444"/>
      <c r="W18" s="1444"/>
      <c r="X18" s="1444"/>
      <c r="Y18" s="1444"/>
      <c r="Z18" s="1444"/>
      <c r="AA18" s="1444"/>
      <c r="AB18" s="1444"/>
      <c r="AC18" s="1444"/>
      <c r="AD18" s="1444"/>
      <c r="AE18" s="1444"/>
      <c r="AF18" s="1444"/>
      <c r="AG18" s="1444"/>
      <c r="AH18" s="1444"/>
      <c r="AI18" s="1444"/>
      <c r="AJ18" s="1444"/>
    </row>
    <row r="19" spans="1:52" ht="12.95" customHeight="1"/>
    <row r="20" spans="1:52" ht="12.95" customHeight="1">
      <c r="A20" s="1440" t="s">
        <v>884</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c r="AM20" s="1440"/>
      <c r="AN20" s="1440"/>
      <c r="AO20" s="1440"/>
      <c r="AP20" s="1440"/>
      <c r="AQ20" s="1440"/>
      <c r="AR20" s="1440"/>
      <c r="AS20" s="1440"/>
      <c r="AT20" s="1440"/>
      <c r="AU20" s="935"/>
      <c r="AV20" s="935"/>
      <c r="AW20" s="935"/>
      <c r="AX20" s="935"/>
      <c r="AY20" s="935"/>
    </row>
    <row r="21" spans="1:52" ht="12.95" customHeight="1">
      <c r="A21" s="1448" t="s">
        <v>1033</v>
      </c>
      <c r="B21" s="1448"/>
      <c r="C21" s="1448"/>
      <c r="D21" s="1448"/>
      <c r="E21" s="1448"/>
      <c r="F21" s="1448"/>
      <c r="G21" s="1448"/>
      <c r="H21" s="1448"/>
      <c r="I21" s="1448"/>
      <c r="J21" s="1448"/>
      <c r="K21" s="1448"/>
      <c r="L21" s="1448"/>
      <c r="M21" s="1448"/>
      <c r="N21" s="1448"/>
      <c r="O21" s="1448"/>
      <c r="P21" s="1448"/>
      <c r="Q21" s="1448"/>
      <c r="R21" s="1448"/>
      <c r="S21" s="1448"/>
      <c r="T21" s="1448"/>
      <c r="U21" s="1448"/>
      <c r="V21" s="1448"/>
      <c r="W21" s="1448"/>
      <c r="X21" s="1448"/>
      <c r="Y21" s="1448"/>
      <c r="Z21" s="1448"/>
      <c r="AA21" s="1448"/>
      <c r="AB21" s="1448"/>
      <c r="AC21" s="1448"/>
      <c r="AD21" s="1448"/>
      <c r="AE21" s="1448"/>
      <c r="AF21" s="1448"/>
      <c r="AG21" s="1448"/>
      <c r="AH21" s="1448"/>
      <c r="AI21" s="1448"/>
      <c r="AJ21" s="1448"/>
      <c r="AK21" s="1448"/>
      <c r="AL21" s="144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5">
        <f>'Basis &amp; Credits'!AB56</f>
        <v>3696318</v>
      </c>
      <c r="N26" s="1445"/>
      <c r="O26" s="1445"/>
      <c r="P26" s="1445"/>
      <c r="Q26" s="1445"/>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0">
        <f>'Basis &amp; Credits'!AB78</f>
        <v>21324906</v>
      </c>
      <c r="N27" s="1360"/>
      <c r="O27" s="1360"/>
      <c r="P27" s="1360"/>
      <c r="Q27" s="1360"/>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41" t="s">
        <v>2506</v>
      </c>
      <c r="B29" s="1441"/>
      <c r="C29" s="1441"/>
      <c r="D29" s="1441"/>
      <c r="E29" s="1441"/>
      <c r="F29" s="1441"/>
      <c r="G29" s="1441"/>
      <c r="H29" s="1441"/>
      <c r="I29" s="1441"/>
      <c r="J29" s="1441"/>
      <c r="K29" s="1441"/>
      <c r="L29" s="1441"/>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row>
    <row r="30" spans="1:52" ht="12.95" customHeight="1">
      <c r="A30" s="1441"/>
      <c r="B30" s="1441"/>
      <c r="C30" s="1441"/>
      <c r="D30" s="1441"/>
      <c r="E30" s="1441"/>
      <c r="F30" s="1441"/>
      <c r="G30" s="1441"/>
      <c r="H30" s="1441"/>
      <c r="I30" s="1441"/>
      <c r="J30" s="1441"/>
      <c r="K30" s="1441"/>
      <c r="L30" s="1441"/>
      <c r="M30" s="1441"/>
      <c r="N30" s="1441"/>
      <c r="O30" s="1441"/>
      <c r="P30" s="1441"/>
      <c r="Q30" s="1441"/>
      <c r="R30" s="1441"/>
      <c r="S30" s="1441"/>
      <c r="T30" s="1441"/>
      <c r="U30" s="1441"/>
      <c r="V30" s="1441"/>
      <c r="W30" s="1441"/>
      <c r="X30" s="1441"/>
      <c r="Y30" s="1441"/>
      <c r="Z30" s="1441"/>
      <c r="AA30" s="1441"/>
      <c r="AB30" s="1441"/>
      <c r="AC30" s="1441"/>
      <c r="AD30" s="1441"/>
      <c r="AE30" s="1441"/>
      <c r="AF30" s="1441"/>
      <c r="AG30" s="1441"/>
      <c r="AH30" s="1441"/>
      <c r="AI30" s="1441"/>
      <c r="AJ30" s="1441"/>
      <c r="AK30" s="1441"/>
      <c r="AL30" s="1441"/>
      <c r="AM30" s="1441"/>
      <c r="AN30" s="1441"/>
      <c r="AO30" s="1441"/>
      <c r="AP30" s="1441"/>
      <c r="AQ30" s="1441"/>
      <c r="AR30" s="1441"/>
      <c r="AS30" s="1441"/>
      <c r="AT30" s="1441"/>
      <c r="AZ30" s="20"/>
    </row>
    <row r="31" spans="1:52" ht="12.95" customHeight="1">
      <c r="A31" s="1441"/>
      <c r="B31" s="1441"/>
      <c r="C31" s="1441"/>
      <c r="D31" s="1441"/>
      <c r="E31" s="1441"/>
      <c r="F31" s="1441"/>
      <c r="G31" s="1441"/>
      <c r="H31" s="1441"/>
      <c r="I31" s="1441"/>
      <c r="J31" s="1441"/>
      <c r="K31" s="1441"/>
      <c r="L31" s="1441"/>
      <c r="M31" s="1441"/>
      <c r="N31" s="1441"/>
      <c r="O31" s="1441"/>
      <c r="P31" s="1441"/>
      <c r="Q31" s="1441"/>
      <c r="R31" s="1441"/>
      <c r="S31" s="1441"/>
      <c r="T31" s="1441"/>
      <c r="U31" s="1441"/>
      <c r="V31" s="1441"/>
      <c r="W31" s="1441"/>
      <c r="X31" s="1441"/>
      <c r="Y31" s="1441"/>
      <c r="Z31" s="1441"/>
      <c r="AA31" s="1441"/>
      <c r="AB31" s="1441"/>
      <c r="AC31" s="1441"/>
      <c r="AD31" s="1441"/>
      <c r="AE31" s="1441"/>
      <c r="AF31" s="1441"/>
      <c r="AG31" s="1441"/>
      <c r="AH31" s="1441"/>
      <c r="AI31" s="1441"/>
      <c r="AJ31" s="1441"/>
      <c r="AK31" s="1441"/>
      <c r="AL31" s="1441"/>
      <c r="AM31" s="1441"/>
      <c r="AN31" s="1441"/>
      <c r="AO31" s="1441"/>
      <c r="AP31" s="1441"/>
      <c r="AQ31" s="1441"/>
      <c r="AR31" s="1441"/>
      <c r="AS31" s="1441"/>
      <c r="AT31" s="144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55" t="s">
        <v>553</v>
      </c>
      <c r="P33" s="1355"/>
      <c r="Q33" s="1442" t="s">
        <v>2507</v>
      </c>
      <c r="R33" s="1442"/>
      <c r="S33" s="1442"/>
      <c r="T33" s="1442"/>
      <c r="U33" s="1442"/>
      <c r="V33" s="1442"/>
      <c r="W33" s="1442"/>
      <c r="X33" s="1442"/>
      <c r="Y33" s="1442"/>
      <c r="Z33" s="1442"/>
      <c r="AA33" s="1442"/>
      <c r="AB33" s="1442"/>
      <c r="AC33" s="1442"/>
      <c r="AD33" s="1442"/>
      <c r="AE33" s="1442"/>
      <c r="AF33" s="1442"/>
      <c r="AG33" s="1442"/>
      <c r="AH33" s="1442"/>
      <c r="AI33" s="1442"/>
      <c r="AJ33" s="1442"/>
      <c r="AK33" s="1442"/>
      <c r="AL33" s="1442"/>
      <c r="AM33" s="1442"/>
      <c r="AN33" s="1442"/>
      <c r="AO33" s="1442"/>
      <c r="AP33" s="1442"/>
      <c r="AQ33" s="1442"/>
      <c r="AR33" s="1442"/>
      <c r="AS33" s="1442"/>
      <c r="AT33" s="1442"/>
      <c r="AU33" s="20"/>
      <c r="AV33" s="20"/>
      <c r="AW33" s="20"/>
      <c r="AX33" s="20"/>
      <c r="AY33" s="20"/>
    </row>
    <row r="34" spans="1:52" ht="12.95" customHeight="1">
      <c r="A34" s="1441" t="s">
        <v>2508</v>
      </c>
      <c r="B34" s="1441"/>
      <c r="C34" s="1441"/>
      <c r="D34" s="1441"/>
      <c r="E34" s="1441"/>
      <c r="F34" s="1441"/>
      <c r="G34" s="1441"/>
      <c r="H34" s="1441"/>
      <c r="I34" s="1441"/>
      <c r="J34" s="1441"/>
      <c r="K34" s="1441"/>
      <c r="L34" s="1441"/>
      <c r="M34" s="1441"/>
      <c r="N34" s="1441"/>
      <c r="O34" s="1441"/>
      <c r="P34" s="1441"/>
      <c r="Q34" s="1441"/>
      <c r="R34" s="1441"/>
      <c r="S34" s="1441"/>
      <c r="T34" s="1441"/>
      <c r="U34" s="1441"/>
      <c r="V34" s="1441"/>
      <c r="W34" s="1441"/>
      <c r="X34" s="1441"/>
      <c r="Y34" s="1441"/>
      <c r="Z34" s="1441"/>
      <c r="AA34" s="1441"/>
      <c r="AB34" s="1441"/>
      <c r="AC34" s="1441"/>
      <c r="AD34" s="1441"/>
      <c r="AE34" s="1441"/>
      <c r="AF34" s="1441"/>
      <c r="AG34" s="1441"/>
      <c r="AH34" s="1441"/>
      <c r="AI34" s="1441"/>
      <c r="AJ34" s="1441"/>
      <c r="AK34" s="1441"/>
      <c r="AL34" s="1441"/>
      <c r="AM34" s="1441"/>
      <c r="AN34" s="1441"/>
      <c r="AO34" s="1441"/>
      <c r="AP34" s="1441"/>
      <c r="AQ34" s="1441"/>
      <c r="AR34" s="1441"/>
      <c r="AS34" s="1441"/>
      <c r="AT34" s="1441"/>
      <c r="AU34" s="20"/>
      <c r="AV34" s="20"/>
      <c r="AW34" s="20"/>
      <c r="AX34" s="20"/>
      <c r="AY34" s="20"/>
      <c r="AZ34" s="20"/>
    </row>
    <row r="35" spans="1:52" ht="12.95" customHeight="1">
      <c r="A35" s="1441"/>
      <c r="B35" s="1441"/>
      <c r="C35" s="1441"/>
      <c r="D35" s="1441"/>
      <c r="E35" s="1441"/>
      <c r="F35" s="1441"/>
      <c r="G35" s="1441"/>
      <c r="H35" s="1441"/>
      <c r="I35" s="1441"/>
      <c r="J35" s="1441"/>
      <c r="K35" s="1441"/>
      <c r="L35" s="1441"/>
      <c r="M35" s="1441"/>
      <c r="N35" s="1441"/>
      <c r="O35" s="1441"/>
      <c r="P35" s="1441"/>
      <c r="Q35" s="1441"/>
      <c r="R35" s="1441"/>
      <c r="S35" s="1441"/>
      <c r="T35" s="1441"/>
      <c r="U35" s="1441"/>
      <c r="V35" s="1441"/>
      <c r="W35" s="1441"/>
      <c r="X35" s="1441"/>
      <c r="Y35" s="1441"/>
      <c r="Z35" s="1441"/>
      <c r="AA35" s="1441"/>
      <c r="AB35" s="1441"/>
      <c r="AC35" s="1441"/>
      <c r="AD35" s="1441"/>
      <c r="AE35" s="1441"/>
      <c r="AF35" s="1441"/>
      <c r="AG35" s="1441"/>
      <c r="AH35" s="1441"/>
      <c r="AI35" s="1441"/>
      <c r="AJ35" s="1441"/>
      <c r="AK35" s="1441"/>
      <c r="AL35" s="1441"/>
      <c r="AM35" s="1441"/>
      <c r="AN35" s="1441"/>
      <c r="AO35" s="1441"/>
      <c r="AP35" s="1441"/>
      <c r="AQ35" s="1441"/>
      <c r="AR35" s="1441"/>
      <c r="AS35" s="1441"/>
      <c r="AT35" s="1441"/>
      <c r="AU35" s="20"/>
      <c r="AV35" s="20"/>
      <c r="AW35" s="20"/>
      <c r="AX35" s="20"/>
      <c r="AY35" s="20"/>
      <c r="AZ35" s="20"/>
    </row>
    <row r="36" spans="1:52" ht="12.95" customHeight="1">
      <c r="A36" s="1441"/>
      <c r="B36" s="1441"/>
      <c r="C36" s="1441"/>
      <c r="D36" s="1441"/>
      <c r="E36" s="1441"/>
      <c r="F36" s="1441"/>
      <c r="G36" s="1441"/>
      <c r="H36" s="1441"/>
      <c r="I36" s="1441"/>
      <c r="J36" s="1441"/>
      <c r="K36" s="1441"/>
      <c r="L36" s="1441"/>
      <c r="M36" s="1441"/>
      <c r="N36" s="1441"/>
      <c r="O36" s="1441"/>
      <c r="P36" s="1441"/>
      <c r="Q36" s="1441"/>
      <c r="R36" s="1441"/>
      <c r="S36" s="1441"/>
      <c r="T36" s="1441"/>
      <c r="U36" s="1441"/>
      <c r="V36" s="1441"/>
      <c r="W36" s="1441"/>
      <c r="X36" s="1441"/>
      <c r="Y36" s="1441"/>
      <c r="Z36" s="1441"/>
      <c r="AA36" s="1441"/>
      <c r="AB36" s="1441"/>
      <c r="AC36" s="1441"/>
      <c r="AD36" s="1441"/>
      <c r="AE36" s="1441"/>
      <c r="AF36" s="1441"/>
      <c r="AG36" s="1441"/>
      <c r="AH36" s="1441"/>
      <c r="AI36" s="1441"/>
      <c r="AJ36" s="1441"/>
      <c r="AK36" s="1441"/>
      <c r="AL36" s="1441"/>
      <c r="AM36" s="1441"/>
      <c r="AN36" s="1441"/>
      <c r="AO36" s="1441"/>
      <c r="AP36" s="1441"/>
      <c r="AQ36" s="1441"/>
      <c r="AR36" s="1441"/>
      <c r="AS36" s="1441"/>
      <c r="AT36" s="1441"/>
      <c r="AU36" s="20"/>
      <c r="AV36" s="20"/>
      <c r="AW36" s="20"/>
      <c r="AX36" s="20"/>
      <c r="AY36" s="20"/>
      <c r="AZ36" s="20"/>
    </row>
    <row r="37" spans="1:52" ht="12.95" customHeight="1">
      <c r="A37" s="1441"/>
      <c r="B37" s="1441"/>
      <c r="C37" s="1441"/>
      <c r="D37" s="1441"/>
      <c r="E37" s="1441"/>
      <c r="F37" s="1441"/>
      <c r="G37" s="1441"/>
      <c r="H37" s="1441"/>
      <c r="I37" s="1441"/>
      <c r="J37" s="1441"/>
      <c r="K37" s="1441"/>
      <c r="L37" s="1441"/>
      <c r="M37" s="1441"/>
      <c r="N37" s="1441"/>
      <c r="O37" s="1441"/>
      <c r="P37" s="1441"/>
      <c r="Q37" s="1441"/>
      <c r="R37" s="1441"/>
      <c r="S37" s="1441"/>
      <c r="T37" s="1441"/>
      <c r="U37" s="1441"/>
      <c r="V37" s="1441"/>
      <c r="W37" s="1441"/>
      <c r="X37" s="1441"/>
      <c r="Y37" s="1441"/>
      <c r="Z37" s="1441"/>
      <c r="AA37" s="1441"/>
      <c r="AB37" s="1441"/>
      <c r="AC37" s="1441"/>
      <c r="AD37" s="1441"/>
      <c r="AE37" s="1441"/>
      <c r="AF37" s="1441"/>
      <c r="AG37" s="1441"/>
      <c r="AH37" s="1441"/>
      <c r="AI37" s="1441"/>
      <c r="AJ37" s="1441"/>
      <c r="AK37" s="1441"/>
      <c r="AL37" s="1441"/>
      <c r="AM37" s="1441"/>
      <c r="AN37" s="1441"/>
      <c r="AO37" s="1441"/>
      <c r="AP37" s="1441"/>
      <c r="AQ37" s="1441"/>
      <c r="AR37" s="1441"/>
      <c r="AS37" s="1441"/>
      <c r="AT37" s="1441"/>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43" t="s">
        <v>2515</v>
      </c>
      <c r="B65" s="1443"/>
      <c r="C65" s="1443"/>
      <c r="D65" s="1443"/>
      <c r="E65" s="1443"/>
      <c r="F65" s="1443"/>
      <c r="G65" s="1443"/>
      <c r="H65" s="1443"/>
      <c r="I65" s="1443"/>
      <c r="J65" s="1443"/>
      <c r="K65" s="1443"/>
      <c r="L65" s="1443"/>
      <c r="M65" s="1443"/>
      <c r="N65" s="1443"/>
      <c r="O65" s="1443"/>
      <c r="P65" s="1443"/>
      <c r="Q65" s="1443"/>
      <c r="R65" s="1443"/>
      <c r="S65" s="1443"/>
      <c r="T65" s="1443"/>
      <c r="U65" s="1443"/>
      <c r="V65" s="1443"/>
      <c r="W65" s="1443"/>
      <c r="X65" s="1443"/>
      <c r="Y65" s="1443"/>
      <c r="Z65" s="1443"/>
      <c r="AA65" s="1443"/>
      <c r="AB65" s="1443"/>
      <c r="AC65" s="1443"/>
      <c r="AD65" s="1443"/>
      <c r="AE65" s="1443"/>
      <c r="AF65" s="1443"/>
      <c r="AG65" s="1443"/>
      <c r="AH65" s="1443"/>
      <c r="AI65" s="1443"/>
      <c r="AJ65" s="1443"/>
      <c r="AK65" s="1443"/>
      <c r="AL65" s="1443"/>
      <c r="AM65" s="1443"/>
      <c r="AN65" s="1443"/>
      <c r="AO65" s="1443"/>
      <c r="AP65" s="1443"/>
      <c r="AQ65" s="1443"/>
      <c r="AR65" s="1443"/>
      <c r="AS65" s="1443"/>
      <c r="AT65" s="1443"/>
      <c r="AU65" s="21"/>
      <c r="AV65" s="21"/>
      <c r="AW65" s="21"/>
      <c r="AX65" s="21"/>
      <c r="AY65" s="21"/>
      <c r="AZ65" s="20"/>
    </row>
    <row r="66" spans="1:52" ht="12.95" customHeight="1">
      <c r="A66" s="1443"/>
      <c r="B66" s="1443"/>
      <c r="C66" s="1443"/>
      <c r="D66" s="1443"/>
      <c r="E66" s="1443"/>
      <c r="F66" s="1443"/>
      <c r="G66" s="1443"/>
      <c r="H66" s="1443"/>
      <c r="I66" s="1443"/>
      <c r="J66" s="1443"/>
      <c r="K66" s="1443"/>
      <c r="L66" s="1443"/>
      <c r="M66" s="1443"/>
      <c r="N66" s="1443"/>
      <c r="O66" s="1443"/>
      <c r="P66" s="1443"/>
      <c r="Q66" s="1443"/>
      <c r="R66" s="1443"/>
      <c r="S66" s="1443"/>
      <c r="T66" s="1443"/>
      <c r="U66" s="1443"/>
      <c r="V66" s="1443"/>
      <c r="W66" s="1443"/>
      <c r="X66" s="1443"/>
      <c r="Y66" s="1443"/>
      <c r="Z66" s="1443"/>
      <c r="AA66" s="1443"/>
      <c r="AB66" s="1443"/>
      <c r="AC66" s="1443"/>
      <c r="AD66" s="1443"/>
      <c r="AE66" s="1443"/>
      <c r="AF66" s="1443"/>
      <c r="AG66" s="1443"/>
      <c r="AH66" s="1443"/>
      <c r="AI66" s="1443"/>
      <c r="AJ66" s="1443"/>
      <c r="AK66" s="1443"/>
      <c r="AL66" s="1443"/>
      <c r="AM66" s="1443"/>
      <c r="AN66" s="1443"/>
      <c r="AO66" s="1443"/>
      <c r="AP66" s="1443"/>
      <c r="AQ66" s="1443"/>
      <c r="AR66" s="1443"/>
      <c r="AS66" s="1443"/>
      <c r="AT66" s="1443"/>
      <c r="AU66" s="21"/>
      <c r="AV66" s="21"/>
      <c r="AW66" s="21"/>
      <c r="AX66" s="21"/>
      <c r="AY66" s="21"/>
      <c r="AZ66" s="20"/>
    </row>
    <row r="67" spans="1:52" ht="12.95" customHeight="1">
      <c r="A67" s="1443"/>
      <c r="B67" s="1443"/>
      <c r="C67" s="1443"/>
      <c r="D67" s="1443"/>
      <c r="E67" s="1443"/>
      <c r="F67" s="1443"/>
      <c r="G67" s="1443"/>
      <c r="H67" s="1443"/>
      <c r="I67" s="1443"/>
      <c r="J67" s="1443"/>
      <c r="K67" s="1443"/>
      <c r="L67" s="1443"/>
      <c r="M67" s="1443"/>
      <c r="N67" s="1443"/>
      <c r="O67" s="1443"/>
      <c r="P67" s="1443"/>
      <c r="Q67" s="1443"/>
      <c r="R67" s="1443"/>
      <c r="S67" s="1443"/>
      <c r="T67" s="1443"/>
      <c r="U67" s="1443"/>
      <c r="V67" s="1443"/>
      <c r="W67" s="1443"/>
      <c r="X67" s="1443"/>
      <c r="Y67" s="1443"/>
      <c r="Z67" s="1443"/>
      <c r="AA67" s="1443"/>
      <c r="AB67" s="1443"/>
      <c r="AC67" s="1443"/>
      <c r="AD67" s="1443"/>
      <c r="AE67" s="1443"/>
      <c r="AF67" s="1443"/>
      <c r="AG67" s="1443"/>
      <c r="AH67" s="1443"/>
      <c r="AI67" s="1443"/>
      <c r="AJ67" s="1443"/>
      <c r="AK67" s="1443"/>
      <c r="AL67" s="1443"/>
      <c r="AM67" s="1443"/>
      <c r="AN67" s="1443"/>
      <c r="AO67" s="1443"/>
      <c r="AP67" s="1443"/>
      <c r="AQ67" s="1443"/>
      <c r="AR67" s="1443"/>
      <c r="AS67" s="1443"/>
      <c r="AT67" s="144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43" t="s">
        <v>2516</v>
      </c>
      <c r="B69" s="1443"/>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Y69" s="1443"/>
      <c r="Z69" s="1443"/>
      <c r="AA69" s="1443"/>
      <c r="AB69" s="1443"/>
      <c r="AC69" s="1443"/>
      <c r="AD69" s="1443"/>
      <c r="AE69" s="1443"/>
      <c r="AF69" s="1443"/>
      <c r="AG69" s="1443"/>
      <c r="AH69" s="1443"/>
      <c r="AI69" s="1443"/>
      <c r="AJ69" s="1443"/>
      <c r="AK69" s="1443"/>
      <c r="AL69" s="1443"/>
      <c r="AM69" s="1443"/>
      <c r="AN69" s="1443"/>
      <c r="AO69" s="1443"/>
      <c r="AP69" s="1443"/>
      <c r="AQ69" s="1443"/>
      <c r="AR69" s="1443"/>
      <c r="AS69" s="1443"/>
      <c r="AT69" s="1443"/>
      <c r="AZ69" s="20"/>
    </row>
    <row r="70" spans="1:52" ht="12.95" customHeight="1">
      <c r="A70" s="1443"/>
      <c r="B70" s="1443"/>
      <c r="C70" s="1443"/>
      <c r="D70" s="1443"/>
      <c r="E70" s="1443"/>
      <c r="F70" s="1443"/>
      <c r="G70" s="1443"/>
      <c r="H70" s="1443"/>
      <c r="I70" s="1443"/>
      <c r="J70" s="1443"/>
      <c r="K70" s="1443"/>
      <c r="L70" s="1443"/>
      <c r="M70" s="1443"/>
      <c r="N70" s="1443"/>
      <c r="O70" s="1443"/>
      <c r="P70" s="1443"/>
      <c r="Q70" s="1443"/>
      <c r="R70" s="1443"/>
      <c r="S70" s="1443"/>
      <c r="T70" s="1443"/>
      <c r="U70" s="1443"/>
      <c r="V70" s="1443"/>
      <c r="W70" s="1443"/>
      <c r="X70" s="1443"/>
      <c r="Y70" s="1443"/>
      <c r="Z70" s="1443"/>
      <c r="AA70" s="1443"/>
      <c r="AB70" s="1443"/>
      <c r="AC70" s="1443"/>
      <c r="AD70" s="1443"/>
      <c r="AE70" s="1443"/>
      <c r="AF70" s="1443"/>
      <c r="AG70" s="1443"/>
      <c r="AH70" s="1443"/>
      <c r="AI70" s="1443"/>
      <c r="AJ70" s="1443"/>
      <c r="AK70" s="1443"/>
      <c r="AL70" s="1443"/>
      <c r="AM70" s="1443"/>
      <c r="AN70" s="1443"/>
      <c r="AO70" s="1443"/>
      <c r="AP70" s="1443"/>
      <c r="AQ70" s="1443"/>
      <c r="AR70" s="1443"/>
      <c r="AS70" s="1443"/>
      <c r="AT70" s="144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41" t="s">
        <v>2517</v>
      </c>
      <c r="B72" s="1441"/>
      <c r="C72" s="1441"/>
      <c r="D72" s="1441"/>
      <c r="E72" s="1441"/>
      <c r="F72" s="1441"/>
      <c r="G72" s="1441"/>
      <c r="H72" s="1441"/>
      <c r="I72" s="1441"/>
      <c r="J72" s="1441"/>
      <c r="K72" s="1441"/>
      <c r="L72" s="1441"/>
      <c r="M72" s="1441"/>
      <c r="N72" s="1441"/>
      <c r="O72" s="1441"/>
      <c r="P72" s="1441"/>
      <c r="Q72" s="1441"/>
      <c r="R72" s="1441"/>
      <c r="S72" s="1441"/>
      <c r="T72" s="1441"/>
      <c r="U72" s="1441"/>
      <c r="V72" s="1441"/>
      <c r="W72" s="1441"/>
      <c r="X72" s="1441"/>
      <c r="Y72" s="1441"/>
      <c r="Z72" s="1441"/>
      <c r="AA72" s="1441"/>
      <c r="AB72" s="1441"/>
      <c r="AC72" s="1441"/>
      <c r="AD72" s="1441"/>
      <c r="AE72" s="1441"/>
      <c r="AF72" s="1441"/>
      <c r="AG72" s="1441"/>
      <c r="AH72" s="1441"/>
      <c r="AI72" s="1441"/>
      <c r="AJ72" s="1441"/>
      <c r="AK72" s="1441"/>
      <c r="AL72" s="1441"/>
      <c r="AM72" s="1441"/>
      <c r="AN72" s="1441"/>
      <c r="AO72" s="1441"/>
      <c r="AP72" s="1441"/>
      <c r="AQ72" s="1441"/>
      <c r="AR72" s="1441"/>
      <c r="AS72" s="1441"/>
      <c r="AT72" s="1441"/>
      <c r="AU72" s="20"/>
      <c r="AV72" s="20"/>
      <c r="AW72" s="20"/>
      <c r="AX72" s="20"/>
      <c r="AY72" s="20"/>
      <c r="AZ72" s="20"/>
    </row>
    <row r="73" spans="1:52" ht="12.95" customHeight="1">
      <c r="A73" s="1441"/>
      <c r="B73" s="1441"/>
      <c r="C73" s="1441"/>
      <c r="D73" s="1441"/>
      <c r="E73" s="1441"/>
      <c r="F73" s="1441"/>
      <c r="G73" s="1441"/>
      <c r="H73" s="1441"/>
      <c r="I73" s="1441"/>
      <c r="J73" s="1441"/>
      <c r="K73" s="1441"/>
      <c r="L73" s="1441"/>
      <c r="M73" s="1441"/>
      <c r="N73" s="1441"/>
      <c r="O73" s="1441"/>
      <c r="P73" s="1441"/>
      <c r="Q73" s="1441"/>
      <c r="R73" s="1441"/>
      <c r="S73" s="1441"/>
      <c r="T73" s="1441"/>
      <c r="U73" s="1441"/>
      <c r="V73" s="1441"/>
      <c r="W73" s="1441"/>
      <c r="X73" s="1441"/>
      <c r="Y73" s="1441"/>
      <c r="Z73" s="1441"/>
      <c r="AA73" s="1441"/>
      <c r="AB73" s="1441"/>
      <c r="AC73" s="1441"/>
      <c r="AD73" s="1441"/>
      <c r="AE73" s="1441"/>
      <c r="AF73" s="1441"/>
      <c r="AG73" s="1441"/>
      <c r="AH73" s="1441"/>
      <c r="AI73" s="1441"/>
      <c r="AJ73" s="1441"/>
      <c r="AK73" s="1441"/>
      <c r="AL73" s="1441"/>
      <c r="AM73" s="1441"/>
      <c r="AN73" s="1441"/>
      <c r="AO73" s="1441"/>
      <c r="AP73" s="1441"/>
      <c r="AQ73" s="1441"/>
      <c r="AR73" s="1441"/>
      <c r="AS73" s="1441"/>
      <c r="AT73" s="144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9" t="s">
        <v>2518</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2.9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2.9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43" t="s">
        <v>2519</v>
      </c>
      <c r="B79" s="1443"/>
      <c r="C79" s="1443"/>
      <c r="D79" s="1443"/>
      <c r="E79" s="1443"/>
      <c r="F79" s="1443"/>
      <c r="G79" s="1443"/>
      <c r="H79" s="1443"/>
      <c r="I79" s="1443"/>
      <c r="J79" s="1443"/>
      <c r="K79" s="1443"/>
      <c r="L79" s="1443"/>
      <c r="M79" s="1443"/>
      <c r="N79" s="1443"/>
      <c r="O79" s="1443"/>
      <c r="P79" s="1443"/>
      <c r="Q79" s="1443"/>
      <c r="R79" s="1443"/>
      <c r="S79" s="1443"/>
      <c r="T79" s="1443"/>
      <c r="U79" s="1443"/>
      <c r="V79" s="1443"/>
      <c r="W79" s="1443"/>
      <c r="X79" s="1443"/>
      <c r="Y79" s="1443"/>
      <c r="Z79" s="1443"/>
      <c r="AA79" s="1443"/>
      <c r="AB79" s="1443"/>
      <c r="AC79" s="1443"/>
      <c r="AD79" s="1443"/>
      <c r="AE79" s="1443"/>
      <c r="AF79" s="1443"/>
      <c r="AG79" s="1443"/>
      <c r="AH79" s="1443"/>
      <c r="AI79" s="1443"/>
      <c r="AJ79" s="1443"/>
      <c r="AK79" s="1443"/>
      <c r="AL79" s="1443"/>
      <c r="AM79" s="1443"/>
      <c r="AN79" s="1443"/>
      <c r="AO79" s="1443"/>
      <c r="AP79" s="1443"/>
      <c r="AQ79" s="1443"/>
      <c r="AR79" s="1443"/>
      <c r="AS79" s="1443"/>
      <c r="AT79" s="1443"/>
      <c r="AU79" s="20"/>
      <c r="AV79" s="20"/>
      <c r="AW79" s="20"/>
      <c r="AX79" s="20"/>
      <c r="AY79" s="20"/>
      <c r="AZ79" s="20"/>
    </row>
    <row r="80" spans="1:52" ht="12.95" customHeight="1">
      <c r="A80" s="1443"/>
      <c r="B80" s="1443"/>
      <c r="C80" s="1443"/>
      <c r="D80" s="1443"/>
      <c r="E80" s="1443"/>
      <c r="F80" s="1443"/>
      <c r="G80" s="1443"/>
      <c r="H80" s="1443"/>
      <c r="I80" s="1443"/>
      <c r="J80" s="1443"/>
      <c r="K80" s="1443"/>
      <c r="L80" s="1443"/>
      <c r="M80" s="1443"/>
      <c r="N80" s="1443"/>
      <c r="O80" s="1443"/>
      <c r="P80" s="1443"/>
      <c r="Q80" s="1443"/>
      <c r="R80" s="1443"/>
      <c r="S80" s="1443"/>
      <c r="T80" s="1443"/>
      <c r="U80" s="1443"/>
      <c r="V80" s="1443"/>
      <c r="W80" s="1443"/>
      <c r="X80" s="1443"/>
      <c r="Y80" s="1443"/>
      <c r="Z80" s="1443"/>
      <c r="AA80" s="1443"/>
      <c r="AB80" s="1443"/>
      <c r="AC80" s="1443"/>
      <c r="AD80" s="1443"/>
      <c r="AE80" s="1443"/>
      <c r="AF80" s="1443"/>
      <c r="AG80" s="1443"/>
      <c r="AH80" s="1443"/>
      <c r="AI80" s="1443"/>
      <c r="AJ80" s="1443"/>
      <c r="AK80" s="1443"/>
      <c r="AL80" s="1443"/>
      <c r="AM80" s="1443"/>
      <c r="AN80" s="1443"/>
      <c r="AO80" s="1443"/>
      <c r="AP80" s="1443"/>
      <c r="AQ80" s="1443"/>
      <c r="AR80" s="1443"/>
      <c r="AS80" s="1443"/>
      <c r="AT80" s="1443"/>
      <c r="AU80" s="20"/>
      <c r="AV80" s="20"/>
      <c r="AW80" s="20"/>
      <c r="AX80" s="20"/>
      <c r="AY80" s="20"/>
      <c r="AZ80" s="20"/>
    </row>
    <row r="81" spans="1:52" ht="12.95" customHeight="1">
      <c r="A81" s="1443"/>
      <c r="B81" s="1443"/>
      <c r="C81" s="1443"/>
      <c r="D81" s="1443"/>
      <c r="E81" s="1443"/>
      <c r="F81" s="1443"/>
      <c r="G81" s="1443"/>
      <c r="H81" s="1443"/>
      <c r="I81" s="1443"/>
      <c r="J81" s="1443"/>
      <c r="K81" s="1443"/>
      <c r="L81" s="1443"/>
      <c r="M81" s="1443"/>
      <c r="N81" s="1443"/>
      <c r="O81" s="1443"/>
      <c r="P81" s="1443"/>
      <c r="Q81" s="1443"/>
      <c r="R81" s="1443"/>
      <c r="S81" s="1443"/>
      <c r="T81" s="1443"/>
      <c r="U81" s="1443"/>
      <c r="V81" s="1443"/>
      <c r="W81" s="1443"/>
      <c r="X81" s="1443"/>
      <c r="Y81" s="1443"/>
      <c r="Z81" s="1443"/>
      <c r="AA81" s="1443"/>
      <c r="AB81" s="1443"/>
      <c r="AC81" s="1443"/>
      <c r="AD81" s="1443"/>
      <c r="AE81" s="1443"/>
      <c r="AF81" s="1443"/>
      <c r="AG81" s="1443"/>
      <c r="AH81" s="1443"/>
      <c r="AI81" s="1443"/>
      <c r="AJ81" s="1443"/>
      <c r="AK81" s="1443"/>
      <c r="AL81" s="1443"/>
      <c r="AM81" s="1443"/>
      <c r="AN81" s="1443"/>
      <c r="AO81" s="1443"/>
      <c r="AP81" s="1443"/>
      <c r="AQ81" s="1443"/>
      <c r="AR81" s="1443"/>
      <c r="AS81" s="1443"/>
      <c r="AT81" s="144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18" t="s">
        <v>2522</v>
      </c>
      <c r="B89" s="1818"/>
      <c r="C89" s="1818"/>
      <c r="D89" s="1818"/>
      <c r="E89" s="1818"/>
      <c r="F89" s="1818"/>
      <c r="G89" s="1818"/>
      <c r="H89" s="1818"/>
      <c r="I89" s="1818"/>
      <c r="J89" s="1818"/>
      <c r="K89" s="1818"/>
      <c r="L89" s="1818"/>
      <c r="M89" s="1818"/>
      <c r="N89" s="1818"/>
      <c r="O89" s="1818"/>
      <c r="P89" s="1818"/>
      <c r="Q89" s="1818"/>
      <c r="R89" s="1818"/>
      <c r="S89" s="1818"/>
      <c r="T89" s="1818"/>
      <c r="U89" s="1818"/>
      <c r="V89" s="1818"/>
      <c r="W89" s="1818"/>
      <c r="X89" s="1818"/>
      <c r="Y89" s="1818"/>
      <c r="Z89" s="1818"/>
      <c r="AA89" s="1818"/>
      <c r="AB89" s="1818"/>
      <c r="AC89" s="1818"/>
      <c r="AD89" s="1818"/>
      <c r="AE89" s="1818"/>
      <c r="AF89" s="1818"/>
      <c r="AG89" s="1818"/>
      <c r="AH89" s="1818"/>
      <c r="AI89" s="1818"/>
      <c r="AJ89" s="1818"/>
      <c r="AK89" s="1818"/>
      <c r="AL89" s="1818"/>
      <c r="AM89" s="1818"/>
      <c r="AN89" s="1818"/>
      <c r="AO89" s="1818"/>
      <c r="AP89" s="1818"/>
      <c r="AQ89" s="1818"/>
      <c r="AR89" s="1818"/>
      <c r="AS89" s="1818"/>
      <c r="AT89" s="1818"/>
      <c r="AU89" s="17"/>
      <c r="AV89" s="17"/>
      <c r="AW89" s="17"/>
      <c r="AX89" s="17"/>
      <c r="AY89" s="17"/>
      <c r="AZ89" s="20"/>
    </row>
    <row r="90" spans="1:52" ht="12.95" customHeight="1">
      <c r="A90" s="1818"/>
      <c r="B90" s="1818"/>
      <c r="C90" s="1818"/>
      <c r="D90" s="1818"/>
      <c r="E90" s="1818"/>
      <c r="F90" s="1818"/>
      <c r="G90" s="1818"/>
      <c r="H90" s="1818"/>
      <c r="I90" s="1818"/>
      <c r="J90" s="1818"/>
      <c r="K90" s="1818"/>
      <c r="L90" s="1818"/>
      <c r="M90" s="1818"/>
      <c r="N90" s="1818"/>
      <c r="O90" s="1818"/>
      <c r="P90" s="1818"/>
      <c r="Q90" s="1818"/>
      <c r="R90" s="1818"/>
      <c r="S90" s="1818"/>
      <c r="T90" s="1818"/>
      <c r="U90" s="1818"/>
      <c r="V90" s="1818"/>
      <c r="W90" s="1818"/>
      <c r="X90" s="1818"/>
      <c r="Y90" s="1818"/>
      <c r="Z90" s="1818"/>
      <c r="AA90" s="1818"/>
      <c r="AB90" s="1818"/>
      <c r="AC90" s="1818"/>
      <c r="AD90" s="1818"/>
      <c r="AE90" s="1818"/>
      <c r="AF90" s="1818"/>
      <c r="AG90" s="1818"/>
      <c r="AH90" s="1818"/>
      <c r="AI90" s="1818"/>
      <c r="AJ90" s="1818"/>
      <c r="AK90" s="1818"/>
      <c r="AL90" s="1818"/>
      <c r="AM90" s="1818"/>
      <c r="AN90" s="1818"/>
      <c r="AO90" s="1818"/>
      <c r="AP90" s="1818"/>
      <c r="AQ90" s="1818"/>
      <c r="AR90" s="1818"/>
      <c r="AS90" s="1818"/>
      <c r="AT90" s="1818"/>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9" t="s">
        <v>2523</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2.9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2.9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2.9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2.9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2.9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2.9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95"/>
      <c r="H113" s="1795"/>
      <c r="I113" s="3" t="s">
        <v>182</v>
      </c>
      <c r="L113" s="1795"/>
      <c r="M113" s="1795"/>
      <c r="N113" s="1795"/>
      <c r="O113" s="1795"/>
      <c r="P113" s="1791" t="s">
        <v>2527</v>
      </c>
      <c r="Q113" s="1791"/>
      <c r="R113" s="1791"/>
      <c r="S113" s="179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12"/>
      <c r="D115" s="1812"/>
      <c r="E115" s="1812"/>
      <c r="F115" s="1812"/>
      <c r="G115" s="1812"/>
      <c r="H115" s="1812"/>
      <c r="I115" s="1812"/>
      <c r="J115" s="1812"/>
      <c r="K115" s="181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95"/>
      <c r="Z117" s="1795"/>
      <c r="AA117" s="1795"/>
      <c r="AB117" s="1795"/>
      <c r="AC117" s="1795"/>
      <c r="AD117" s="1795"/>
      <c r="AE117" s="1795"/>
      <c r="AF117" s="1795"/>
      <c r="AG117" s="1795"/>
      <c r="AH117" s="1795"/>
      <c r="AI117" s="1795"/>
      <c r="AJ117" s="1795"/>
      <c r="AK117" s="179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95"/>
      <c r="Z120" s="1795"/>
      <c r="AA120" s="1795"/>
      <c r="AB120" s="1795"/>
      <c r="AC120" s="1795"/>
      <c r="AD120" s="1795"/>
      <c r="AE120" s="1795"/>
      <c r="AF120" s="1795"/>
      <c r="AG120" s="1795"/>
      <c r="AH120" s="1795"/>
      <c r="AI120" s="1795"/>
      <c r="AJ120" s="1795"/>
      <c r="AK120" s="179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95"/>
      <c r="Z123" s="1795"/>
      <c r="AA123" s="1795"/>
      <c r="AB123" s="1795"/>
      <c r="AC123" s="1795"/>
      <c r="AD123" s="1795"/>
      <c r="AE123" s="1795"/>
      <c r="AF123" s="1795"/>
      <c r="AG123" s="1795"/>
      <c r="AH123" s="1795"/>
      <c r="AI123" s="1795"/>
      <c r="AJ123" s="1795"/>
      <c r="AK123" s="179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73" t="s">
        <v>2643</v>
      </c>
      <c r="P153" s="1444"/>
      <c r="Q153" s="1444"/>
      <c r="R153" s="1444"/>
      <c r="S153" s="1444"/>
      <c r="T153" s="1444"/>
      <c r="U153" s="1444"/>
      <c r="V153" s="1444"/>
      <c r="W153" s="1444"/>
      <c r="X153" s="1444"/>
      <c r="Y153" s="1444"/>
      <c r="Z153" s="1444"/>
      <c r="AA153" s="1444"/>
      <c r="AB153" s="1444"/>
      <c r="AC153" s="1444"/>
      <c r="AD153" s="1444"/>
      <c r="AE153" s="1444"/>
      <c r="AF153" s="1444"/>
      <c r="AG153" s="1444"/>
      <c r="AH153" s="1444"/>
    </row>
    <row r="154" spans="1:72" ht="12.95" customHeight="1">
      <c r="D154" s="325" t="s">
        <v>442</v>
      </c>
      <c r="O154" s="1594" t="s">
        <v>2644</v>
      </c>
      <c r="P154" s="1450"/>
      <c r="Q154" s="1450"/>
      <c r="R154" s="1450"/>
      <c r="S154" s="1450"/>
      <c r="T154" s="1450"/>
      <c r="U154" s="1450"/>
      <c r="V154" s="1450"/>
      <c r="W154" s="1450"/>
      <c r="X154" s="1450"/>
      <c r="Y154" s="1450"/>
      <c r="Z154" s="1450"/>
      <c r="AA154" s="1450"/>
      <c r="AB154" s="1450"/>
      <c r="AC154" s="1450"/>
      <c r="AD154" s="1450"/>
      <c r="AE154" s="1450"/>
      <c r="AF154" s="1450"/>
      <c r="AG154" s="1450"/>
      <c r="AH154" s="1450"/>
    </row>
    <row r="155" spans="1:72" ht="12.95" customHeight="1">
      <c r="D155" s="8" t="s">
        <v>443</v>
      </c>
      <c r="F155" s="8"/>
      <c r="G155" s="8"/>
      <c r="H155" s="8"/>
      <c r="I155" s="8"/>
      <c r="J155" s="8"/>
      <c r="K155" s="8"/>
      <c r="L155" s="8"/>
      <c r="M155" s="8"/>
      <c r="N155" s="8"/>
      <c r="O155" s="1807" t="s">
        <v>2776</v>
      </c>
      <c r="P155" s="1808"/>
      <c r="Q155" s="1808"/>
      <c r="R155" s="1808"/>
      <c r="S155" s="1808"/>
      <c r="T155" s="1808"/>
      <c r="U155" s="1808"/>
      <c r="V155" s="1808"/>
      <c r="W155" s="1808"/>
      <c r="X155" s="1808"/>
      <c r="Y155" s="1808"/>
      <c r="Z155" s="1808"/>
      <c r="AA155" s="1808"/>
      <c r="AB155" s="1808"/>
      <c r="AC155" s="1808"/>
      <c r="AD155" s="1808"/>
      <c r="AE155" s="1808"/>
      <c r="AF155" s="1808"/>
      <c r="AG155" s="1808"/>
      <c r="AH155" s="1808"/>
    </row>
    <row r="156" spans="1:72" ht="12.95" customHeight="1">
      <c r="D156" t="s">
        <v>314</v>
      </c>
      <c r="O156" s="1374" t="s">
        <v>2645</v>
      </c>
      <c r="P156" s="1374"/>
      <c r="Q156" s="1374"/>
      <c r="R156" s="1374"/>
      <c r="S156" s="1374"/>
      <c r="T156" s="1374"/>
      <c r="U156" s="1374"/>
      <c r="V156" s="1374"/>
      <c r="W156" s="1374"/>
      <c r="X156" s="1374"/>
      <c r="Y156" s="1374"/>
      <c r="Z156" s="1374"/>
      <c r="AA156" s="1374"/>
      <c r="AB156" s="1374"/>
      <c r="AC156" s="1374"/>
      <c r="AD156" s="1374"/>
      <c r="AE156" s="1374"/>
      <c r="AF156" s="1374"/>
      <c r="AG156" s="1374"/>
      <c r="AH156" s="1374"/>
      <c r="BT156" t="s">
        <v>308</v>
      </c>
    </row>
    <row r="157" spans="1:72" ht="12.95" customHeight="1">
      <c r="D157" t="s">
        <v>315</v>
      </c>
      <c r="O157" s="1373" t="s">
        <v>2646</v>
      </c>
      <c r="P157" s="1444"/>
      <c r="Q157" s="1444"/>
      <c r="R157" s="1444"/>
      <c r="S157" s="1444"/>
      <c r="T157" s="1444"/>
      <c r="U157" s="1444"/>
      <c r="V157" s="1444"/>
      <c r="W157" s="1444"/>
      <c r="X157" s="1444"/>
      <c r="Y157" s="8"/>
      <c r="Z157" s="8"/>
      <c r="AA157" s="8"/>
      <c r="AB157" s="8"/>
      <c r="AC157" s="8"/>
      <c r="AD157" s="8"/>
      <c r="AE157" s="8"/>
      <c r="AF157" s="8"/>
      <c r="BN157" s="23" t="s">
        <v>644</v>
      </c>
      <c r="BT157" t="s">
        <v>484</v>
      </c>
    </row>
    <row r="158" spans="1:72" ht="12.95" customHeight="1">
      <c r="D158" t="s">
        <v>316</v>
      </c>
      <c r="O158" s="1787">
        <v>95667</v>
      </c>
      <c r="P158" s="1787"/>
      <c r="Q158" s="1787"/>
      <c r="R158" s="1787"/>
      <c r="S158" s="9"/>
      <c r="T158" s="9"/>
      <c r="U158" s="9"/>
      <c r="V158" s="9"/>
      <c r="W158" s="9"/>
      <c r="X158" s="9"/>
      <c r="Y158" s="9"/>
      <c r="Z158" s="9"/>
      <c r="AA158" s="9"/>
      <c r="AB158" s="9"/>
      <c r="AC158" s="9"/>
      <c r="AD158" s="9"/>
      <c r="AE158" s="9"/>
      <c r="AF158" s="9"/>
      <c r="BN158" s="23" t="s">
        <v>645</v>
      </c>
      <c r="BT158" t="s">
        <v>485</v>
      </c>
    </row>
    <row r="159" spans="1:72" ht="12.95" customHeight="1">
      <c r="D159" t="s">
        <v>317</v>
      </c>
      <c r="O159" s="1789" t="s">
        <v>2647</v>
      </c>
      <c r="P159" s="1789"/>
      <c r="Q159" s="1789"/>
      <c r="R159" s="1789"/>
      <c r="S159" s="1789"/>
      <c r="T159" s="1789"/>
      <c r="V159" s="97" t="s">
        <v>272</v>
      </c>
      <c r="W159" s="1788"/>
      <c r="X159" s="1788"/>
      <c r="Y159" s="10"/>
      <c r="Z159" s="10"/>
      <c r="AA159" s="10"/>
      <c r="AB159" s="10"/>
      <c r="AC159" s="10"/>
      <c r="AD159" s="10"/>
      <c r="AE159" s="10"/>
      <c r="AF159" s="10"/>
      <c r="BN159" s="23" t="s">
        <v>340</v>
      </c>
      <c r="BT159" t="s">
        <v>486</v>
      </c>
    </row>
    <row r="160" spans="1:72" ht="12.95" customHeight="1">
      <c r="D160" t="s">
        <v>318</v>
      </c>
      <c r="O160" s="1789" t="s">
        <v>2648</v>
      </c>
      <c r="P160" s="1789"/>
      <c r="Q160" s="1789"/>
      <c r="R160" s="1789"/>
      <c r="S160" s="1789"/>
      <c r="T160" s="1789"/>
      <c r="U160" s="10"/>
      <c r="V160" s="10"/>
      <c r="W160" s="10"/>
      <c r="X160" s="10"/>
      <c r="Y160" s="10"/>
      <c r="Z160" s="10"/>
      <c r="AA160" s="10"/>
      <c r="AB160" s="10"/>
      <c r="AC160" s="10"/>
      <c r="AD160" s="10"/>
      <c r="AE160" s="10"/>
      <c r="AF160" s="10"/>
      <c r="BN160" s="23" t="s">
        <v>668</v>
      </c>
      <c r="BT160" t="s">
        <v>487</v>
      </c>
    </row>
    <row r="161" spans="1:72" ht="12.95" customHeight="1">
      <c r="D161" t="s">
        <v>319</v>
      </c>
      <c r="O161" s="1786" t="s">
        <v>2649</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13" t="s">
        <v>2622</v>
      </c>
      <c r="E164" s="1813"/>
      <c r="F164" s="1813"/>
      <c r="G164" s="1813"/>
      <c r="H164" s="1813"/>
      <c r="I164" s="1813"/>
      <c r="J164" s="1813"/>
      <c r="K164" s="1813"/>
      <c r="L164" s="1813"/>
      <c r="M164" s="1813"/>
      <c r="N164" s="1813"/>
      <c r="O164" s="1813"/>
      <c r="P164" s="1813"/>
      <c r="Q164" s="1813"/>
      <c r="R164" s="1813"/>
      <c r="S164" s="1813"/>
      <c r="T164" s="1813"/>
      <c r="U164" s="1813"/>
      <c r="V164" s="1813"/>
      <c r="W164" s="1813"/>
      <c r="X164" s="1813"/>
      <c r="Y164" s="1813"/>
      <c r="Z164" s="1813"/>
      <c r="AA164" s="1813"/>
      <c r="AB164" s="1813"/>
      <c r="AC164" s="1813"/>
      <c r="AD164" s="1813"/>
      <c r="AE164" s="1813"/>
      <c r="AF164" s="1813"/>
      <c r="AG164" s="1813"/>
      <c r="AH164" s="1813"/>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67" t="s">
        <v>547</v>
      </c>
      <c r="B169" s="1467"/>
      <c r="C169" s="1467"/>
      <c r="D169" s="1467"/>
      <c r="E169" s="1467"/>
      <c r="F169" s="1467"/>
      <c r="G169" s="1467"/>
      <c r="H169" s="1467"/>
      <c r="I169" s="1467"/>
      <c r="J169" s="1467"/>
      <c r="K169" s="1467"/>
      <c r="L169" s="1467"/>
      <c r="M169" s="1467"/>
      <c r="N169" s="1467"/>
      <c r="O169" s="1467"/>
      <c r="P169" s="1467"/>
      <c r="Q169" s="1467"/>
      <c r="R169" s="1467"/>
      <c r="S169" s="1467"/>
      <c r="T169" s="1467"/>
      <c r="U169" s="1467"/>
      <c r="V169" s="1467"/>
      <c r="W169" s="1467"/>
      <c r="X169" s="1467"/>
      <c r="Y169" s="1467"/>
      <c r="Z169" s="1467"/>
      <c r="AA169" s="1467"/>
      <c r="AB169" s="1467"/>
      <c r="AC169" s="1467"/>
      <c r="AD169" s="1467"/>
      <c r="AE169" s="1467"/>
      <c r="AF169" s="1467"/>
      <c r="AG169" s="1467"/>
      <c r="AH169" s="1467"/>
      <c r="AI169" s="1467"/>
      <c r="AJ169" s="1467"/>
      <c r="AK169" s="1467"/>
      <c r="AL169" s="1467"/>
      <c r="AM169" s="1467"/>
      <c r="AN169" s="1467"/>
      <c r="AO169" s="1467"/>
      <c r="AP169" s="1467"/>
      <c r="AQ169" s="1467"/>
      <c r="AR169" s="1467"/>
      <c r="AS169" s="1467"/>
      <c r="AT169" s="1467"/>
      <c r="AU169" s="95"/>
      <c r="AV169" s="95"/>
      <c r="AW169" s="95"/>
      <c r="AX169" s="95"/>
      <c r="AY169" s="95"/>
      <c r="BN169" s="23" t="s">
        <v>681</v>
      </c>
      <c r="BT169" t="s">
        <v>496</v>
      </c>
    </row>
    <row r="170" spans="1:72" ht="12.95" customHeight="1">
      <c r="A170" s="1467"/>
      <c r="B170" s="1467"/>
      <c r="C170" s="1467"/>
      <c r="D170" s="1467"/>
      <c r="E170" s="1467"/>
      <c r="F170" s="1467"/>
      <c r="G170" s="1467"/>
      <c r="H170" s="1467"/>
      <c r="I170" s="1467"/>
      <c r="J170" s="1467"/>
      <c r="K170" s="1467"/>
      <c r="L170" s="1467"/>
      <c r="M170" s="1467"/>
      <c r="N170" s="1467"/>
      <c r="O170" s="1467"/>
      <c r="P170" s="1467"/>
      <c r="Q170" s="1467"/>
      <c r="R170" s="1467"/>
      <c r="S170" s="1467"/>
      <c r="T170" s="1467"/>
      <c r="U170" s="1467"/>
      <c r="V170" s="1467"/>
      <c r="W170" s="1467"/>
      <c r="X170" s="1467"/>
      <c r="Y170" s="1467"/>
      <c r="Z170" s="1467"/>
      <c r="AA170" s="1467"/>
      <c r="AB170" s="1467"/>
      <c r="AC170" s="1467"/>
      <c r="AD170" s="1467"/>
      <c r="AE170" s="1467"/>
      <c r="AF170" s="1467"/>
      <c r="AG170" s="1467"/>
      <c r="AH170" s="1467"/>
      <c r="AI170" s="1467"/>
      <c r="AJ170" s="1467"/>
      <c r="AK170" s="1467"/>
      <c r="AL170" s="1467"/>
      <c r="AM170" s="1467"/>
      <c r="AN170" s="1467"/>
      <c r="AO170" s="1467"/>
      <c r="AP170" s="1467"/>
      <c r="AQ170" s="1467"/>
      <c r="AR170" s="1467"/>
      <c r="AS170" s="1467"/>
      <c r="AT170" s="1467"/>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806" t="s">
        <v>372</v>
      </c>
      <c r="K173" s="1806"/>
      <c r="L173" s="1806"/>
      <c r="M173" s="1806"/>
      <c r="N173" s="1806"/>
      <c r="O173" s="1806"/>
      <c r="P173" s="1806"/>
      <c r="Q173" s="1806"/>
      <c r="R173" s="1806"/>
      <c r="S173" s="1806"/>
      <c r="U173" s="25"/>
      <c r="X173" s="25"/>
      <c r="BB173" s="3" t="s">
        <v>308</v>
      </c>
      <c r="BN173" s="23" t="s">
        <v>215</v>
      </c>
      <c r="BT173" t="s">
        <v>500</v>
      </c>
    </row>
    <row r="174" spans="1:72" ht="12.95" customHeight="1">
      <c r="C174" s="24"/>
      <c r="D174" s="3" t="s">
        <v>1308</v>
      </c>
      <c r="J174" s="1374" t="s">
        <v>2419</v>
      </c>
      <c r="K174" s="1374"/>
      <c r="L174" s="1374"/>
      <c r="M174" s="1374"/>
      <c r="N174" s="1374"/>
      <c r="O174" s="1374"/>
      <c r="P174" s="1374"/>
      <c r="Q174" s="1374"/>
      <c r="R174" s="1374"/>
      <c r="S174" s="1374"/>
      <c r="T174" s="1374"/>
      <c r="U174" s="1374"/>
      <c r="V174" s="1374"/>
      <c r="W174" s="1374"/>
      <c r="X174" s="1374"/>
      <c r="Y174" s="1374"/>
      <c r="Z174" s="1374"/>
      <c r="AA174" s="1374"/>
      <c r="AB174" s="1374"/>
      <c r="BB174" t="s">
        <v>2272</v>
      </c>
      <c r="BN174" s="23" t="s">
        <v>217</v>
      </c>
      <c r="BT174" t="s">
        <v>501</v>
      </c>
    </row>
    <row r="175" spans="1:72" ht="12.95" customHeight="1">
      <c r="C175" s="8"/>
      <c r="D175" s="3" t="s">
        <v>323</v>
      </c>
      <c r="O175" s="27"/>
      <c r="U175" s="1355" t="s">
        <v>677</v>
      </c>
      <c r="V175" s="1355"/>
      <c r="BB175" t="s">
        <v>2236</v>
      </c>
      <c r="BN175" s="23" t="s">
        <v>218</v>
      </c>
      <c r="BT175" t="s">
        <v>502</v>
      </c>
    </row>
    <row r="176" spans="1:72" ht="12.95" customHeight="1">
      <c r="C176" s="8"/>
      <c r="D176" s="26"/>
      <c r="E176" t="s">
        <v>305</v>
      </c>
      <c r="O176" s="27"/>
      <c r="P176" t="s">
        <v>2394</v>
      </c>
      <c r="T176" s="27" t="s">
        <v>306</v>
      </c>
      <c r="U176" s="1465" t="s">
        <v>599</v>
      </c>
      <c r="V176" s="1465"/>
      <c r="W176" s="1" t="s">
        <v>307</v>
      </c>
      <c r="X176" s="1800" t="s">
        <v>599</v>
      </c>
      <c r="Y176" s="1800"/>
      <c r="BB176" t="s">
        <v>2273</v>
      </c>
      <c r="BN176" s="23" t="s">
        <v>220</v>
      </c>
      <c r="BT176" t="s">
        <v>503</v>
      </c>
    </row>
    <row r="177" spans="1:72" ht="12.95" customHeight="1">
      <c r="C177" s="24"/>
      <c r="D177" t="s">
        <v>250</v>
      </c>
      <c r="R177" s="1355" t="s">
        <v>677</v>
      </c>
      <c r="S177" s="1355"/>
      <c r="BB177" t="s">
        <v>2576</v>
      </c>
      <c r="BN177" s="23" t="s">
        <v>221</v>
      </c>
      <c r="BT177" t="s">
        <v>504</v>
      </c>
    </row>
    <row r="178" spans="1:72" ht="12.95" customHeight="1">
      <c r="C178" s="24"/>
      <c r="D178" s="3" t="s">
        <v>1309</v>
      </c>
      <c r="AA178" t="s">
        <v>2394</v>
      </c>
      <c r="AE178" s="27" t="s">
        <v>306</v>
      </c>
      <c r="AF178" s="1794" t="s">
        <v>599</v>
      </c>
      <c r="AG178" s="1794"/>
      <c r="AH178" s="1" t="s">
        <v>307</v>
      </c>
      <c r="AI178" s="1690" t="s">
        <v>599</v>
      </c>
      <c r="AJ178" s="1690"/>
      <c r="AK178" s="1690"/>
      <c r="BB178" t="s">
        <v>2577</v>
      </c>
      <c r="BN178" s="23" t="s">
        <v>222</v>
      </c>
      <c r="BT178" t="s">
        <v>53</v>
      </c>
    </row>
    <row r="179" spans="1:72" ht="12.95" customHeight="1">
      <c r="C179" s="24"/>
      <c r="BN179" s="23" t="s">
        <v>223</v>
      </c>
      <c r="BT179" t="s">
        <v>54</v>
      </c>
    </row>
    <row r="180" spans="1:72" ht="12.95" customHeight="1">
      <c r="C180" s="24"/>
      <c r="D180" t="s">
        <v>2395</v>
      </c>
      <c r="X180" s="1355" t="s">
        <v>677</v>
      </c>
      <c r="Y180" s="1355"/>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17" t="str">
        <f>H18</f>
        <v>Green Valley Family Apartments</v>
      </c>
      <c r="J184" s="1417"/>
      <c r="K184" s="1417"/>
      <c r="L184" s="1417"/>
      <c r="M184" s="1417"/>
      <c r="N184" s="1417"/>
      <c r="O184" s="1417"/>
      <c r="P184" s="1417"/>
      <c r="Q184" s="1417"/>
      <c r="R184" s="1417"/>
      <c r="S184" s="1417"/>
      <c r="T184" s="1417"/>
      <c r="U184" s="1417"/>
      <c r="V184" s="1417"/>
      <c r="W184" s="1417"/>
      <c r="X184" s="1417"/>
      <c r="Y184" s="1417"/>
      <c r="Z184" s="1417"/>
      <c r="AA184" s="1417"/>
      <c r="AB184" s="1417"/>
      <c r="AC184" s="1417"/>
      <c r="AD184" s="1417"/>
      <c r="AE184" s="1417"/>
      <c r="BC184" t="s">
        <v>595</v>
      </c>
      <c r="BN184" s="23" t="s">
        <v>231</v>
      </c>
      <c r="BT184" t="s">
        <v>62</v>
      </c>
    </row>
    <row r="185" spans="1:72" ht="12.95" customHeight="1">
      <c r="C185" s="21"/>
      <c r="D185" t="s">
        <v>587</v>
      </c>
      <c r="I185" s="1594" t="s">
        <v>599</v>
      </c>
      <c r="J185" s="1380"/>
      <c r="K185" s="1380"/>
      <c r="L185" s="1380"/>
      <c r="M185" s="1380"/>
      <c r="N185" s="1380"/>
      <c r="O185" s="1380"/>
      <c r="P185" s="1380"/>
      <c r="Q185" s="1380"/>
      <c r="R185" s="1380"/>
      <c r="S185" s="1380"/>
      <c r="T185" s="1380"/>
      <c r="U185" s="1380"/>
      <c r="V185" s="1380"/>
      <c r="W185" s="1380"/>
      <c r="X185" s="1380"/>
      <c r="Y185" s="1380"/>
      <c r="Z185" s="1380"/>
      <c r="AA185" s="1380"/>
      <c r="AB185" s="1380"/>
      <c r="AC185" s="1380"/>
      <c r="AD185" s="1380"/>
      <c r="AE185" s="1380"/>
      <c r="BC185" t="s">
        <v>596</v>
      </c>
      <c r="BN185" s="23" t="s">
        <v>232</v>
      </c>
      <c r="BT185" t="s">
        <v>63</v>
      </c>
    </row>
    <row r="186" spans="1:72" ht="12.95" customHeight="1">
      <c r="C186" s="21"/>
      <c r="E186" t="s">
        <v>168</v>
      </c>
      <c r="BN186" s="23" t="s">
        <v>233</v>
      </c>
      <c r="BT186" t="s">
        <v>64</v>
      </c>
    </row>
    <row r="187" spans="1:72" ht="12.95" customHeight="1">
      <c r="C187" s="21"/>
      <c r="E187" s="1817" t="s">
        <v>2773</v>
      </c>
      <c r="F187" s="1803"/>
      <c r="G187" s="1803"/>
      <c r="H187" s="1803"/>
      <c r="I187" s="1803"/>
      <c r="J187" s="1803"/>
      <c r="K187" s="1803"/>
      <c r="L187" s="1803"/>
      <c r="M187" s="1803"/>
      <c r="N187" s="1803"/>
      <c r="O187" s="1803"/>
      <c r="P187" s="1803"/>
      <c r="Q187" s="1803"/>
      <c r="R187" s="1803"/>
      <c r="S187" s="1803"/>
      <c r="T187" s="1803"/>
      <c r="U187" s="1803"/>
      <c r="V187" s="1803"/>
      <c r="W187" s="1803"/>
      <c r="X187" s="1803"/>
      <c r="Y187" s="1803"/>
      <c r="Z187" s="1803"/>
      <c r="AA187" s="1803"/>
      <c r="AB187" s="1803"/>
      <c r="AC187" s="1803"/>
      <c r="AD187" s="1803"/>
      <c r="AE187" s="1803"/>
      <c r="BN187" s="23" t="s">
        <v>234</v>
      </c>
      <c r="BT187" t="s">
        <v>65</v>
      </c>
    </row>
    <row r="188" spans="1:72" ht="12.95" customHeight="1">
      <c r="C188" s="21"/>
      <c r="E188" s="1804"/>
      <c r="F188" s="1804"/>
      <c r="G188" s="1804"/>
      <c r="H188" s="1804"/>
      <c r="I188" s="1804"/>
      <c r="J188" s="1804"/>
      <c r="K188" s="1804"/>
      <c r="L188" s="1804"/>
      <c r="M188" s="1804"/>
      <c r="N188" s="1804"/>
      <c r="O188" s="1804"/>
      <c r="P188" s="1804"/>
      <c r="Q188" s="1804"/>
      <c r="R188" s="1804"/>
      <c r="S188" s="1804"/>
      <c r="T188" s="1804"/>
      <c r="U188" s="1804"/>
      <c r="V188" s="1804"/>
      <c r="W188" s="1804"/>
      <c r="X188" s="1804"/>
      <c r="Y188" s="1804"/>
      <c r="Z188" s="1804"/>
      <c r="AA188" s="1804"/>
      <c r="AB188" s="1804"/>
      <c r="AC188" s="1804"/>
      <c r="AD188" s="1804"/>
      <c r="AE188" s="1804"/>
      <c r="BN188" s="23" t="s">
        <v>236</v>
      </c>
      <c r="BT188" t="s">
        <v>66</v>
      </c>
    </row>
    <row r="189" spans="1:72" ht="12.95" customHeight="1">
      <c r="C189" s="21"/>
      <c r="D189" t="s">
        <v>588</v>
      </c>
      <c r="I189" s="1373" t="s">
        <v>2774</v>
      </c>
      <c r="J189" s="1374"/>
      <c r="K189" s="1374"/>
      <c r="L189" s="1374"/>
      <c r="M189" s="1374"/>
      <c r="N189" s="1374"/>
      <c r="O189" s="1374"/>
      <c r="P189" s="1374"/>
      <c r="Q189" t="s">
        <v>590</v>
      </c>
      <c r="T189" s="1374" t="s">
        <v>492</v>
      </c>
      <c r="U189" s="1374"/>
      <c r="V189" s="1374"/>
      <c r="W189" s="1374"/>
      <c r="X189" s="1374"/>
      <c r="Y189" s="1374"/>
      <c r="Z189" s="1374"/>
      <c r="AA189" s="1374"/>
      <c r="AB189" s="1374"/>
      <c r="AC189" s="1374"/>
      <c r="AD189" s="1374"/>
      <c r="AE189" s="1374"/>
      <c r="BC189" t="s">
        <v>308</v>
      </c>
      <c r="BH189" s="3" t="s">
        <v>599</v>
      </c>
      <c r="BN189" s="23" t="s">
        <v>237</v>
      </c>
      <c r="BT189" t="s">
        <v>67</v>
      </c>
    </row>
    <row r="190" spans="1:72" ht="12.95" customHeight="1">
      <c r="C190" s="21"/>
      <c r="D190" t="s">
        <v>591</v>
      </c>
      <c r="I190" s="1380">
        <v>95672</v>
      </c>
      <c r="J190" s="1380"/>
      <c r="K190" s="1380"/>
      <c r="L190" s="1380"/>
      <c r="M190" s="1380"/>
      <c r="N190" s="1380"/>
      <c r="O190" t="s">
        <v>593</v>
      </c>
      <c r="T190" s="1801">
        <v>307.08999999999997</v>
      </c>
      <c r="U190" s="1801"/>
      <c r="V190" s="1801"/>
      <c r="W190" s="1801"/>
      <c r="X190" s="1801"/>
      <c r="Y190" s="1801"/>
      <c r="Z190" s="1801"/>
      <c r="AA190" s="1801"/>
      <c r="AB190" s="1801"/>
      <c r="AC190" s="1801"/>
      <c r="AD190" s="1801"/>
      <c r="AE190" s="1801"/>
      <c r="BC190" t="s">
        <v>1065</v>
      </c>
      <c r="BH190" t="s">
        <v>1065</v>
      </c>
      <c r="BN190" s="23" t="s">
        <v>643</v>
      </c>
      <c r="BT190" t="s">
        <v>68</v>
      </c>
    </row>
    <row r="191" spans="1:72" ht="12.95" customHeight="1">
      <c r="C191" s="21"/>
      <c r="D191" t="s">
        <v>470</v>
      </c>
      <c r="N191" s="1803" t="s">
        <v>2650</v>
      </c>
      <c r="O191" s="1803"/>
      <c r="P191" s="1803"/>
      <c r="Q191" s="1803"/>
      <c r="R191" s="1803"/>
      <c r="S191" s="1803"/>
      <c r="T191" s="1803"/>
      <c r="U191" s="1803"/>
      <c r="V191" s="1803"/>
      <c r="W191" s="1803"/>
      <c r="X191" s="1803"/>
      <c r="Y191" s="1803"/>
      <c r="Z191" s="1803"/>
      <c r="AA191" s="1803"/>
      <c r="AB191" s="1803"/>
      <c r="AC191" s="1803"/>
      <c r="AD191" s="1803"/>
      <c r="AE191" s="1803"/>
      <c r="BC191" t="s">
        <v>1064</v>
      </c>
      <c r="BH191" t="s">
        <v>1064</v>
      </c>
      <c r="BN191" s="23" t="s">
        <v>697</v>
      </c>
      <c r="BT191" t="s">
        <v>736</v>
      </c>
    </row>
    <row r="192" spans="1:72" ht="12.95" customHeight="1">
      <c r="C192" s="21"/>
      <c r="M192" s="40"/>
      <c r="N192" s="1804"/>
      <c r="O192" s="1804"/>
      <c r="P192" s="1804"/>
      <c r="Q192" s="1804"/>
      <c r="R192" s="1804"/>
      <c r="S192" s="1804"/>
      <c r="T192" s="1804"/>
      <c r="U192" s="1804"/>
      <c r="V192" s="1804"/>
      <c r="W192" s="1804"/>
      <c r="X192" s="1804"/>
      <c r="Y192" s="1804"/>
      <c r="Z192" s="1804"/>
      <c r="AA192" s="1804"/>
      <c r="AB192" s="1804"/>
      <c r="AC192" s="1804"/>
      <c r="AD192" s="1804"/>
      <c r="AE192" s="1804"/>
      <c r="BC192" t="s">
        <v>1067</v>
      </c>
      <c r="BH192" s="3" t="s">
        <v>1473</v>
      </c>
      <c r="BN192" s="23" t="s">
        <v>698</v>
      </c>
      <c r="BT192" t="s">
        <v>737</v>
      </c>
    </row>
    <row r="193" spans="1:74" ht="12.95" customHeight="1">
      <c r="C193" s="21"/>
      <c r="D193" t="s">
        <v>2396</v>
      </c>
      <c r="M193" s="40"/>
      <c r="N193" s="928"/>
      <c r="O193" s="928"/>
      <c r="P193" s="928"/>
      <c r="Q193" s="928"/>
      <c r="R193" s="928"/>
      <c r="S193" s="928"/>
      <c r="T193" s="1796" t="s">
        <v>2272</v>
      </c>
      <c r="U193" s="1796"/>
      <c r="V193" s="1796"/>
      <c r="W193" s="1796"/>
      <c r="X193" s="1796"/>
      <c r="Y193" s="1796"/>
      <c r="Z193" s="1796"/>
      <c r="AA193" s="1796"/>
      <c r="AB193" s="1796"/>
      <c r="AC193" s="1796"/>
      <c r="AD193" s="1796"/>
      <c r="AE193" s="1796"/>
      <c r="AF193" s="1796"/>
      <c r="AG193" s="1796"/>
      <c r="AH193" s="1796"/>
      <c r="AI193" s="1796"/>
      <c r="BC193" t="s">
        <v>1066</v>
      </c>
      <c r="BH193" s="3" t="s">
        <v>1740</v>
      </c>
      <c r="BN193" s="23" t="s">
        <v>699</v>
      </c>
      <c r="BT193" t="s">
        <v>738</v>
      </c>
    </row>
    <row r="194" spans="1:74" ht="12.95" customHeight="1">
      <c r="C194" s="21"/>
      <c r="D194" s="3" t="s">
        <v>2578</v>
      </c>
      <c r="M194" s="40"/>
      <c r="N194" s="928"/>
      <c r="O194" s="928"/>
      <c r="P194" s="928"/>
      <c r="Q194" s="928"/>
      <c r="R194" s="928"/>
      <c r="S194" s="928"/>
      <c r="AH194" s="1355" t="s">
        <v>677</v>
      </c>
      <c r="AI194" s="1355"/>
      <c r="BC194" t="s">
        <v>1473</v>
      </c>
      <c r="BN194" s="23" t="s">
        <v>700</v>
      </c>
      <c r="BT194" t="s">
        <v>739</v>
      </c>
    </row>
    <row r="195" spans="1:74" ht="12.95" customHeight="1">
      <c r="C195" s="21"/>
      <c r="D195" t="s">
        <v>332</v>
      </c>
      <c r="T195" s="1355" t="s">
        <v>553</v>
      </c>
      <c r="U195" s="1355"/>
      <c r="W195" t="s">
        <v>693</v>
      </c>
      <c r="AH195" s="1355">
        <v>5</v>
      </c>
      <c r="AI195" s="1355"/>
      <c r="BC195" t="s">
        <v>2046</v>
      </c>
      <c r="BN195" s="23" t="s">
        <v>243</v>
      </c>
      <c r="BT195" t="s">
        <v>740</v>
      </c>
    </row>
    <row r="196" spans="1:74" ht="12.95" customHeight="1">
      <c r="C196" s="21"/>
      <c r="D196" t="s">
        <v>387</v>
      </c>
      <c r="T196" s="1397" t="s">
        <v>677</v>
      </c>
      <c r="U196" s="1397"/>
      <c r="W196" t="s">
        <v>694</v>
      </c>
      <c r="AH196" s="1355">
        <v>5</v>
      </c>
      <c r="AI196" s="1355"/>
      <c r="BN196" s="23" t="s">
        <v>244</v>
      </c>
      <c r="BT196" t="s">
        <v>69</v>
      </c>
    </row>
    <row r="197" spans="1:74" ht="12.95" customHeight="1">
      <c r="C197" s="21"/>
      <c r="D197" s="3" t="s">
        <v>169</v>
      </c>
      <c r="T197" s="1397" t="s">
        <v>677</v>
      </c>
      <c r="U197" s="1397"/>
      <c r="W197" t="s">
        <v>695</v>
      </c>
      <c r="AH197" s="1355">
        <v>4</v>
      </c>
      <c r="AI197" s="1355"/>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810" t="s">
        <v>599</v>
      </c>
      <c r="U198" s="139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55" t="s">
        <v>553</v>
      </c>
      <c r="AA199" s="135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17" t="s">
        <v>386</v>
      </c>
      <c r="E204" s="1417"/>
      <c r="F204" s="1417"/>
      <c r="G204" s="1417"/>
      <c r="H204" s="1417"/>
      <c r="I204" s="1417"/>
      <c r="J204" s="1417"/>
      <c r="K204" s="1417"/>
      <c r="L204" s="1417"/>
      <c r="M204" s="1417"/>
      <c r="P204" s="1814">
        <f>M26</f>
        <v>3696318</v>
      </c>
      <c r="Q204" s="1793"/>
      <c r="R204" s="1793"/>
      <c r="S204" s="1793"/>
      <c r="T204" s="1793"/>
      <c r="U204" s="1793"/>
      <c r="BC204" t="s">
        <v>618</v>
      </c>
      <c r="BN204" s="23" t="s">
        <v>712</v>
      </c>
      <c r="BT204" s="32" t="s">
        <v>198</v>
      </c>
      <c r="BU204" s="14"/>
    </row>
    <row r="205" spans="1:74" ht="12.95" customHeight="1">
      <c r="C205" s="21"/>
      <c r="D205" s="1792" t="s">
        <v>1355</v>
      </c>
      <c r="E205" s="1417"/>
      <c r="F205" s="1417"/>
      <c r="G205" s="1417"/>
      <c r="H205" s="1417"/>
      <c r="I205" s="1417"/>
      <c r="J205" s="1417"/>
      <c r="K205" s="1417"/>
      <c r="L205" s="1417"/>
      <c r="M205" s="1417"/>
      <c r="P205" s="1793">
        <f>M27</f>
        <v>21324906</v>
      </c>
      <c r="Q205" s="1793"/>
      <c r="R205" s="1793"/>
      <c r="S205" s="1793"/>
      <c r="T205" s="1793"/>
      <c r="U205" s="1793"/>
      <c r="V205" s="28"/>
      <c r="W205" s="3" t="s">
        <v>1908</v>
      </c>
      <c r="Z205" s="1805" t="s">
        <v>2626</v>
      </c>
      <c r="AA205" s="1805"/>
      <c r="AB205" s="1805"/>
      <c r="AC205" s="1805"/>
      <c r="AD205" s="1805"/>
      <c r="AE205" s="1805"/>
      <c r="AF205" s="1805"/>
      <c r="AG205" s="1805"/>
      <c r="AH205" s="1805"/>
      <c r="AI205" s="1805"/>
      <c r="AJ205" s="1805"/>
      <c r="AK205" s="1805"/>
      <c r="AL205" s="1805"/>
      <c r="AM205" s="1805"/>
      <c r="AN205" s="1805"/>
      <c r="AP205" s="1301"/>
      <c r="AQ205" s="1301"/>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44" t="s">
        <v>2651</v>
      </c>
      <c r="E208" s="1444"/>
      <c r="F208" s="1444"/>
      <c r="G208" s="1444"/>
      <c r="H208" s="1444"/>
      <c r="I208" s="1444"/>
      <c r="J208" s="1444"/>
      <c r="K208" s="1444"/>
      <c r="L208" s="1444"/>
      <c r="M208" s="1444"/>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44" t="s">
        <v>1065</v>
      </c>
      <c r="E211" s="1444"/>
      <c r="F211" s="1444"/>
      <c r="G211" s="1444"/>
      <c r="H211" s="1444"/>
      <c r="I211" s="1444"/>
      <c r="J211" s="1444"/>
      <c r="K211" s="1444"/>
      <c r="L211" s="1444"/>
      <c r="M211" s="1444"/>
      <c r="BN211" s="23" t="s">
        <v>129</v>
      </c>
      <c r="BT211" s="32" t="s">
        <v>130</v>
      </c>
    </row>
    <row r="212" spans="1:72" ht="12.95" customHeight="1">
      <c r="C212" s="21"/>
      <c r="D212" t="s">
        <v>1352</v>
      </c>
      <c r="Y212" s="1355"/>
      <c r="Z212" s="1355"/>
      <c r="AB212" s="1815">
        <f>IFERROR(Y212/AG440,"")</f>
        <v>0</v>
      </c>
      <c r="AC212" s="1816"/>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811" t="s">
        <v>599</v>
      </c>
      <c r="E214" s="1811"/>
      <c r="F214" s="1811"/>
      <c r="G214" s="1811"/>
      <c r="H214" s="1811"/>
      <c r="I214" s="1811"/>
      <c r="J214" s="1811"/>
      <c r="K214" s="1811"/>
      <c r="L214" s="1811"/>
      <c r="M214" s="1811"/>
      <c r="N214" s="1811"/>
      <c r="O214" s="1811"/>
      <c r="P214" s="1811"/>
      <c r="Q214" s="1811"/>
      <c r="R214" s="1811"/>
      <c r="S214" s="1811"/>
      <c r="T214" s="1811"/>
      <c r="U214" s="1811"/>
      <c r="V214" s="1811"/>
      <c r="W214" s="1811"/>
      <c r="X214" s="1811"/>
      <c r="Y214" s="1811"/>
      <c r="Z214" s="1811"/>
      <c r="AU214" s="21"/>
      <c r="AV214" s="21"/>
      <c r="AW214" s="21"/>
      <c r="AX214" s="21"/>
      <c r="AY214" s="21"/>
      <c r="BC214" t="s">
        <v>538</v>
      </c>
      <c r="BI214" t="s">
        <v>2632</v>
      </c>
      <c r="BN214" s="23" t="s">
        <v>327</v>
      </c>
      <c r="BT214" s="32" t="s">
        <v>206</v>
      </c>
    </row>
    <row r="215" spans="1:72" ht="12.95" customHeight="1">
      <c r="D215" s="3" t="s">
        <v>1764</v>
      </c>
      <c r="Z215" s="40"/>
      <c r="AB215" s="1809"/>
      <c r="AC215" s="1809"/>
      <c r="AD215" s="1809"/>
      <c r="AE215" s="1809"/>
      <c r="AF215" s="1809"/>
      <c r="AG215" s="1809"/>
      <c r="AH215" s="1809"/>
      <c r="AI215" s="1809"/>
      <c r="AJ215" s="1809"/>
      <c r="AK215" s="1809"/>
      <c r="AL215" s="180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809"/>
      <c r="AC216" s="1809"/>
      <c r="AD216" s="1809"/>
      <c r="AE216" s="1809"/>
      <c r="AF216" s="1809"/>
      <c r="AG216" s="1809"/>
      <c r="AH216" s="1809"/>
      <c r="AI216" s="1809"/>
      <c r="AJ216" s="1809"/>
      <c r="AK216" s="1809"/>
      <c r="AL216" s="180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44" t="s">
        <v>1093</v>
      </c>
      <c r="E220" s="1444"/>
      <c r="F220" s="1444"/>
      <c r="G220" s="1444"/>
      <c r="H220" s="1444"/>
      <c r="I220" s="1444"/>
      <c r="J220" s="1444"/>
      <c r="K220" s="1444"/>
      <c r="L220" s="1444"/>
      <c r="M220" s="1444"/>
      <c r="N220" s="1444"/>
      <c r="O220" s="1444"/>
      <c r="P220" s="1444"/>
      <c r="Q220" s="1444"/>
      <c r="R220" s="1444"/>
      <c r="S220" s="1444"/>
      <c r="T220" s="1444"/>
      <c r="U220" s="1444"/>
      <c r="V220" s="1444"/>
      <c r="W220" s="1444"/>
      <c r="X220" s="1444"/>
      <c r="Y220" s="1444"/>
      <c r="Z220" s="1444"/>
      <c r="BA220" s="3"/>
      <c r="BC220" t="s">
        <v>301</v>
      </c>
    </row>
    <row r="221" spans="1:72" ht="12.95" customHeight="1">
      <c r="A221" s="2"/>
      <c r="B221" s="14"/>
      <c r="C221" s="2"/>
      <c r="AU221" s="95"/>
      <c r="AV221" s="95"/>
      <c r="AW221" s="95"/>
      <c r="AX221" s="95"/>
      <c r="AY221" s="95"/>
      <c r="BA221" s="3"/>
    </row>
    <row r="222" spans="1:72" ht="12.95" customHeight="1">
      <c r="A222" s="1467" t="s">
        <v>548</v>
      </c>
      <c r="B222" s="1467"/>
      <c r="C222" s="1467"/>
      <c r="D222" s="1467"/>
      <c r="E222" s="1467"/>
      <c r="F222" s="1467"/>
      <c r="G222" s="1467"/>
      <c r="H222" s="1467"/>
      <c r="I222" s="1467"/>
      <c r="J222" s="1467"/>
      <c r="K222" s="1467"/>
      <c r="L222" s="1467"/>
      <c r="M222" s="1467"/>
      <c r="N222" s="1467"/>
      <c r="O222" s="1467"/>
      <c r="P222" s="1467"/>
      <c r="Q222" s="1467"/>
      <c r="R222" s="1467"/>
      <c r="S222" s="1467"/>
      <c r="T222" s="1467"/>
      <c r="U222" s="1467"/>
      <c r="V222" s="1467"/>
      <c r="W222" s="1467"/>
      <c r="X222" s="1467"/>
      <c r="Y222" s="1467"/>
      <c r="Z222" s="1467"/>
      <c r="AA222" s="1467"/>
      <c r="AB222" s="1467"/>
      <c r="AC222" s="1467"/>
      <c r="AD222" s="1467"/>
      <c r="AE222" s="1467"/>
      <c r="AF222" s="1467"/>
      <c r="AG222" s="1467"/>
      <c r="AH222" s="1467"/>
      <c r="AI222" s="1467"/>
      <c r="AJ222" s="1467"/>
      <c r="AK222" s="1467"/>
      <c r="AL222" s="1467"/>
      <c r="AM222" s="1467"/>
      <c r="AN222" s="1467"/>
      <c r="AO222" s="1467"/>
      <c r="AP222" s="1467"/>
      <c r="AQ222" s="1467"/>
      <c r="AR222" s="1467"/>
      <c r="AS222" s="1467"/>
      <c r="AT222" s="1467"/>
      <c r="AU222" s="95"/>
      <c r="AV222" s="95"/>
      <c r="AW222" s="95"/>
      <c r="AX222" s="95"/>
      <c r="AY222" s="95"/>
      <c r="AZ222" s="3"/>
      <c r="BA222" s="3"/>
      <c r="BP222" s="34"/>
    </row>
    <row r="223" spans="1:72" ht="12.95" customHeight="1">
      <c r="A223" s="1467"/>
      <c r="B223" s="1467"/>
      <c r="C223" s="1467"/>
      <c r="D223" s="1467"/>
      <c r="E223" s="1467"/>
      <c r="F223" s="1467"/>
      <c r="G223" s="1467"/>
      <c r="H223" s="1467"/>
      <c r="I223" s="1467"/>
      <c r="J223" s="1467"/>
      <c r="K223" s="1467"/>
      <c r="L223" s="1467"/>
      <c r="M223" s="1467"/>
      <c r="N223" s="1467"/>
      <c r="O223" s="1467"/>
      <c r="P223" s="1467"/>
      <c r="Q223" s="1467"/>
      <c r="R223" s="1467"/>
      <c r="S223" s="1467"/>
      <c r="T223" s="1467"/>
      <c r="U223" s="1467"/>
      <c r="V223" s="1467"/>
      <c r="W223" s="1467"/>
      <c r="X223" s="1467"/>
      <c r="Y223" s="1467"/>
      <c r="Z223" s="1467"/>
      <c r="AA223" s="1467"/>
      <c r="AB223" s="1467"/>
      <c r="AC223" s="1467"/>
      <c r="AD223" s="1467"/>
      <c r="AE223" s="1467"/>
      <c r="AF223" s="1467"/>
      <c r="AG223" s="1467"/>
      <c r="AH223" s="1467"/>
      <c r="AI223" s="1467"/>
      <c r="AJ223" s="1467"/>
      <c r="AK223" s="1467"/>
      <c r="AL223" s="1467"/>
      <c r="AM223" s="1467"/>
      <c r="AN223" s="1467"/>
      <c r="AO223" s="1467"/>
      <c r="AP223" s="1467"/>
      <c r="AQ223" s="1467"/>
      <c r="AR223" s="1467"/>
      <c r="AS223" s="1467"/>
      <c r="AT223" s="1467"/>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5" t="s">
        <v>599</v>
      </c>
      <c r="AJ226" s="135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5" t="s">
        <v>553</v>
      </c>
      <c r="AJ227" s="135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5" t="s">
        <v>599</v>
      </c>
      <c r="AJ228" s="135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5" t="s">
        <v>599</v>
      </c>
      <c r="AJ229" s="1355"/>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802" t="str">
        <f>H16</f>
        <v xml:space="preserve">Compass for Affordable Housing </v>
      </c>
      <c r="N232" s="1802"/>
      <c r="O232" s="1802"/>
      <c r="P232" s="1802"/>
      <c r="Q232" s="1802"/>
      <c r="R232" s="1802"/>
      <c r="S232" s="1802"/>
      <c r="T232" s="1802"/>
      <c r="U232" s="1802"/>
      <c r="V232" s="1802"/>
      <c r="W232" s="1802"/>
      <c r="X232" s="1802"/>
      <c r="Y232" s="1802"/>
      <c r="Z232" s="1802"/>
      <c r="AA232" s="1802"/>
      <c r="AB232" s="1802"/>
      <c r="AC232" s="1802"/>
      <c r="AD232" s="1802"/>
      <c r="AE232" s="1802"/>
      <c r="AF232" s="1802"/>
      <c r="AG232" s="1802"/>
      <c r="AH232" s="1802"/>
      <c r="AI232" s="1802"/>
      <c r="AJ232" s="1802"/>
      <c r="AK232" s="1802"/>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73" t="s">
        <v>2652</v>
      </c>
      <c r="N233" s="1444"/>
      <c r="O233" s="1444"/>
      <c r="P233" s="1444"/>
      <c r="Q233" s="1444"/>
      <c r="R233" s="1444"/>
      <c r="S233" s="1444"/>
      <c r="T233" s="1444"/>
      <c r="U233" s="1444"/>
      <c r="V233" s="1444"/>
      <c r="W233" s="1444"/>
      <c r="X233" s="1444"/>
      <c r="Y233" s="1444"/>
      <c r="Z233" s="1444"/>
      <c r="AA233" s="1444"/>
      <c r="AB233" s="1444"/>
      <c r="AC233" s="1444"/>
      <c r="AD233" s="1444"/>
      <c r="AE233" s="1444"/>
      <c r="BB233" s="219" t="s">
        <v>546</v>
      </c>
      <c r="BG233" s="259">
        <f>IF(AND(AND($M$249="nonprofit",$M$257="for profit",$M$265="nonprofit")),2,0)</f>
        <v>0</v>
      </c>
    </row>
    <row r="234" spans="1:69" ht="12.95" customHeight="1">
      <c r="D234" s="4" t="s">
        <v>588</v>
      </c>
      <c r="E234" s="4"/>
      <c r="M234" s="1373" t="s">
        <v>738</v>
      </c>
      <c r="N234" s="1444"/>
      <c r="O234" s="1444"/>
      <c r="P234" s="1444"/>
      <c r="Q234" s="1444"/>
      <c r="R234" s="1444"/>
      <c r="S234" s="1444"/>
      <c r="T234" s="1444"/>
      <c r="V234" s="33" t="s">
        <v>86</v>
      </c>
      <c r="W234" s="1594" t="s">
        <v>2653</v>
      </c>
      <c r="X234" s="1450"/>
      <c r="Y234" s="4" t="s">
        <v>591</v>
      </c>
      <c r="AC234" s="1444">
        <v>92128</v>
      </c>
      <c r="AD234" s="1444"/>
      <c r="AE234" s="1444"/>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73" t="s">
        <v>2654</v>
      </c>
      <c r="N235" s="1444"/>
      <c r="O235" s="1444"/>
      <c r="P235" s="1444"/>
      <c r="Q235" s="1444"/>
      <c r="R235" s="1444"/>
      <c r="S235" s="1444"/>
      <c r="T235" s="1444"/>
      <c r="U235" s="1444"/>
      <c r="V235" s="1444"/>
      <c r="W235" s="1444"/>
      <c r="X235" s="1444"/>
      <c r="Y235" s="1444"/>
      <c r="Z235" s="1444"/>
      <c r="AA235" s="1444"/>
      <c r="AB235" s="1444"/>
      <c r="AC235" s="1444"/>
      <c r="AD235" s="1444"/>
      <c r="AE235" s="1444"/>
      <c r="AI235" s="4"/>
      <c r="AJ235" s="4"/>
      <c r="AK235" s="4"/>
      <c r="AL235" s="4"/>
      <c r="AM235" s="4"/>
      <c r="AN235" s="4"/>
      <c r="AO235" s="4"/>
      <c r="AP235" s="4"/>
      <c r="AQ235" s="4"/>
      <c r="AR235" s="4"/>
      <c r="AS235" s="4"/>
      <c r="AT235" s="4"/>
      <c r="BB235" s="219"/>
      <c r="BG235" s="218"/>
    </row>
    <row r="236" spans="1:69" ht="12.95" customHeight="1">
      <c r="D236" s="4" t="s">
        <v>88</v>
      </c>
      <c r="E236" s="4"/>
      <c r="F236" s="4"/>
      <c r="M236" s="1371" t="s">
        <v>2655</v>
      </c>
      <c r="N236" s="1372"/>
      <c r="O236" s="1372"/>
      <c r="P236" s="1372"/>
      <c r="Q236" s="1372"/>
      <c r="R236" s="1372"/>
      <c r="S236" s="4" t="s">
        <v>207</v>
      </c>
      <c r="T236" s="4"/>
      <c r="U236" s="1594" t="s">
        <v>599</v>
      </c>
      <c r="V236" s="1450"/>
      <c r="W236" s="1450"/>
      <c r="X236" s="4" t="s">
        <v>89</v>
      </c>
      <c r="Z236" s="1371" t="s">
        <v>599</v>
      </c>
      <c r="AA236" s="1372"/>
      <c r="AB236" s="1372"/>
      <c r="AC236" s="1372"/>
      <c r="AD236" s="1372"/>
      <c r="AE236" s="1372"/>
      <c r="AU236" s="4"/>
      <c r="AV236" s="4"/>
      <c r="AW236" s="4"/>
      <c r="AX236" s="4"/>
      <c r="AY236" s="4"/>
      <c r="AZ236" s="4"/>
      <c r="BB236" s="218" t="s">
        <v>545</v>
      </c>
      <c r="BG236" s="259">
        <f>IF(AND(AND($M$249="nonprofit",$M$257="nonprofit",$M$265="(select one)")),1,0)</f>
        <v>0</v>
      </c>
    </row>
    <row r="237" spans="1:69" ht="12.95" customHeight="1">
      <c r="D237" s="4" t="s">
        <v>90</v>
      </c>
      <c r="E237" s="4"/>
      <c r="F237" s="4"/>
      <c r="M237" s="1786" t="s">
        <v>2656</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380" t="s">
        <v>378</v>
      </c>
      <c r="N238" s="1380"/>
      <c r="O238" s="1380"/>
      <c r="P238" s="1380"/>
      <c r="Q238" s="1380"/>
      <c r="R238" s="1380"/>
      <c r="S238" s="1380"/>
      <c r="T238" s="1380"/>
      <c r="U238" s="218" t="s">
        <v>921</v>
      </c>
      <c r="V238" s="218"/>
      <c r="W238" s="218"/>
      <c r="X238" s="218"/>
      <c r="Y238" s="218"/>
      <c r="Z238" s="218"/>
      <c r="AA238" s="1797" t="s">
        <v>599</v>
      </c>
      <c r="AB238" s="1798"/>
      <c r="AC238" s="1798"/>
      <c r="AD238" s="1798"/>
      <c r="AE238" s="1798"/>
      <c r="AF238" s="1798"/>
      <c r="AG238" s="1798"/>
      <c r="AH238" s="1798"/>
      <c r="AI238" s="1798"/>
      <c r="AJ238" s="1798"/>
      <c r="AK238" s="179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74" t="s">
        <v>599</v>
      </c>
      <c r="N239" s="1374"/>
      <c r="O239" s="1374"/>
      <c r="P239" s="1374"/>
      <c r="Q239" s="1374"/>
      <c r="R239" s="1374"/>
      <c r="S239" s="1374"/>
      <c r="T239" s="1374"/>
      <c r="U239" s="1374"/>
      <c r="V239" s="1374"/>
      <c r="W239" s="1374"/>
      <c r="X239" s="1374"/>
      <c r="Y239" s="1374"/>
      <c r="Z239" s="1374"/>
      <c r="AA239" s="1374"/>
      <c r="AB239" s="1374"/>
      <c r="AC239" s="1374"/>
      <c r="AD239" s="1374"/>
      <c r="AE239" s="1374"/>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46" t="s">
        <v>2657</v>
      </c>
      <c r="N243" s="1447"/>
      <c r="O243" s="1447"/>
      <c r="P243" s="1447"/>
      <c r="Q243" s="1447"/>
      <c r="R243" s="1447"/>
      <c r="S243" s="1447"/>
      <c r="T243" s="1447"/>
      <c r="U243" s="1447"/>
      <c r="V243" s="1447"/>
      <c r="W243" s="1447"/>
      <c r="X243" s="1447"/>
      <c r="Y243" s="1447"/>
      <c r="Z243" s="1447"/>
      <c r="AA243" s="1447"/>
      <c r="AB243" s="1447"/>
      <c r="AC243" s="1447"/>
      <c r="AD243" s="1447"/>
      <c r="AE243" s="1447"/>
      <c r="AF243" s="1447" t="s">
        <v>2658</v>
      </c>
      <c r="AG243" s="1447"/>
      <c r="AH243" s="1447"/>
      <c r="AI243" s="1447"/>
      <c r="AJ243" s="1447"/>
      <c r="AK243" s="144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73" t="s">
        <v>2659</v>
      </c>
      <c r="N244" s="1444"/>
      <c r="O244" s="1444"/>
      <c r="P244" s="1444"/>
      <c r="Q244" s="1444"/>
      <c r="R244" s="1444"/>
      <c r="S244" s="1444"/>
      <c r="T244" s="1444"/>
      <c r="U244" s="1444"/>
      <c r="V244" s="1444"/>
      <c r="W244" s="1444"/>
      <c r="X244" s="1444"/>
      <c r="Y244" s="1444"/>
      <c r="Z244" s="1444"/>
      <c r="AA244" s="1444"/>
      <c r="AB244" s="1444"/>
      <c r="AC244" s="1444"/>
      <c r="AD244" s="1444"/>
      <c r="AE244" s="1444"/>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73" t="s">
        <v>738</v>
      </c>
      <c r="N245" s="1444"/>
      <c r="O245" s="1444"/>
      <c r="P245" s="1444"/>
      <c r="Q245" s="1444"/>
      <c r="R245" s="1444"/>
      <c r="S245" s="1444"/>
      <c r="T245" s="1444"/>
      <c r="V245" s="33" t="s">
        <v>86</v>
      </c>
      <c r="W245" s="1594" t="s">
        <v>2653</v>
      </c>
      <c r="X245" s="1450"/>
      <c r="Y245" s="4" t="s">
        <v>591</v>
      </c>
      <c r="AC245" s="1444">
        <v>92128</v>
      </c>
      <c r="AD245" s="1444"/>
      <c r="AE245" s="1444"/>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373" t="s">
        <v>2660</v>
      </c>
      <c r="N246" s="1444"/>
      <c r="O246" s="1444"/>
      <c r="P246" s="1444"/>
      <c r="Q246" s="1444"/>
      <c r="R246" s="1444"/>
      <c r="S246" s="1444"/>
      <c r="T246" s="1444"/>
      <c r="U246" s="1444"/>
      <c r="V246" s="1444"/>
      <c r="W246" s="1444"/>
      <c r="X246" s="1444"/>
      <c r="Y246" s="1444"/>
      <c r="Z246" s="1444"/>
      <c r="AA246" s="1444"/>
      <c r="AB246" s="1444"/>
      <c r="AC246" s="1444"/>
      <c r="AD246" s="1444"/>
      <c r="AE246" s="1444"/>
      <c r="AH246" s="1790">
        <v>0.99</v>
      </c>
      <c r="AI246" s="1790"/>
      <c r="AJ246" s="1790"/>
      <c r="AK246" s="1790"/>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71" t="s">
        <v>2661</v>
      </c>
      <c r="N247" s="1372"/>
      <c r="O247" s="1372"/>
      <c r="P247" s="1372"/>
      <c r="Q247" s="1372"/>
      <c r="R247" s="1372"/>
      <c r="S247" s="4" t="s">
        <v>207</v>
      </c>
      <c r="T247" s="4"/>
      <c r="U247" s="1594" t="s">
        <v>599</v>
      </c>
      <c r="V247" s="1450"/>
      <c r="W247" s="1450"/>
      <c r="X247" s="4" t="s">
        <v>89</v>
      </c>
      <c r="Z247" s="1371" t="s">
        <v>2662</v>
      </c>
      <c r="AA247" s="1372"/>
      <c r="AB247" s="1372"/>
      <c r="AC247" s="1372"/>
      <c r="AD247" s="1372"/>
      <c r="AE247" s="1372"/>
      <c r="AU247" s="4"/>
      <c r="AV247" s="4"/>
      <c r="AW247" s="4"/>
      <c r="AX247" s="4"/>
      <c r="AY247" s="4"/>
      <c r="BG247">
        <v>0</v>
      </c>
      <c r="BH247" s="3"/>
      <c r="BN247" s="34"/>
    </row>
    <row r="248" spans="1:71" ht="12.95" customHeight="1">
      <c r="A248" s="19"/>
      <c r="B248" s="4"/>
      <c r="C248" s="4"/>
      <c r="D248" s="4" t="s">
        <v>90</v>
      </c>
      <c r="E248" s="4"/>
      <c r="F248" s="4"/>
      <c r="M248" s="1786" t="s">
        <v>2663</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380" t="s">
        <v>544</v>
      </c>
      <c r="N249" s="1380"/>
      <c r="O249" s="1380"/>
      <c r="P249" s="1380"/>
      <c r="Q249" s="1380"/>
      <c r="R249" s="1380"/>
      <c r="S249" s="1380"/>
      <c r="T249" s="1380"/>
      <c r="U249" s="218" t="s">
        <v>921</v>
      </c>
      <c r="V249" s="218"/>
      <c r="W249" s="218"/>
      <c r="X249" s="218"/>
      <c r="Y249" s="218"/>
      <c r="Z249" s="218"/>
      <c r="AA249" s="1797" t="s">
        <v>2664</v>
      </c>
      <c r="AB249" s="1798"/>
      <c r="AC249" s="1798"/>
      <c r="AD249" s="1798"/>
      <c r="AE249" s="1798"/>
      <c r="AF249" s="1798"/>
      <c r="AG249" s="1798"/>
      <c r="AH249" s="1798"/>
      <c r="AI249" s="1798"/>
      <c r="AJ249" s="1798"/>
      <c r="AK249" s="179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46" t="s">
        <v>2665</v>
      </c>
      <c r="N251" s="1447"/>
      <c r="O251" s="1447"/>
      <c r="P251" s="1447"/>
      <c r="Q251" s="1447"/>
      <c r="R251" s="1447"/>
      <c r="S251" s="1447"/>
      <c r="T251" s="1447"/>
      <c r="U251" s="1447"/>
      <c r="V251" s="1447"/>
      <c r="W251" s="1447"/>
      <c r="X251" s="1447"/>
      <c r="Y251" s="1447"/>
      <c r="Z251" s="1447"/>
      <c r="AA251" s="1447"/>
      <c r="AB251" s="1447"/>
      <c r="AC251" s="1447"/>
      <c r="AD251" s="1447"/>
      <c r="AE251" s="1447"/>
      <c r="AF251" s="1447" t="s">
        <v>2666</v>
      </c>
      <c r="AG251" s="1447"/>
      <c r="AH251" s="1447"/>
      <c r="AI251" s="1447"/>
      <c r="AJ251" s="1447"/>
      <c r="AK251" s="1447"/>
      <c r="AU251" s="4"/>
      <c r="AV251" s="4"/>
      <c r="AW251" s="4"/>
      <c r="AX251" s="4"/>
      <c r="AY251" s="4"/>
      <c r="BN251" s="34"/>
    </row>
    <row r="252" spans="1:71" ht="12.95" customHeight="1">
      <c r="A252" s="19"/>
      <c r="B252" s="4"/>
      <c r="C252" s="4"/>
      <c r="D252" s="4" t="s">
        <v>85</v>
      </c>
      <c r="E252" s="4"/>
      <c r="F252" s="4"/>
      <c r="G252" s="4"/>
      <c r="H252" s="4"/>
      <c r="I252" s="4"/>
      <c r="J252" s="4"/>
      <c r="K252" s="4"/>
      <c r="L252" s="4"/>
      <c r="M252" s="1373" t="s">
        <v>2652</v>
      </c>
      <c r="N252" s="1444"/>
      <c r="O252" s="1444"/>
      <c r="P252" s="1444"/>
      <c r="Q252" s="1444"/>
      <c r="R252" s="1444"/>
      <c r="S252" s="1444"/>
      <c r="T252" s="1444"/>
      <c r="U252" s="1444"/>
      <c r="V252" s="1444"/>
      <c r="W252" s="1444"/>
      <c r="X252" s="1444"/>
      <c r="Y252" s="1444"/>
      <c r="Z252" s="1444"/>
      <c r="AA252" s="1444"/>
      <c r="AB252" s="1444"/>
      <c r="AC252" s="1444"/>
      <c r="AD252" s="1444"/>
      <c r="AE252" s="1444"/>
      <c r="AF252" s="3" t="s">
        <v>1285</v>
      </c>
      <c r="AL252" s="4"/>
      <c r="AM252" s="4"/>
      <c r="AN252" s="4"/>
      <c r="AO252" s="4"/>
      <c r="AP252" s="4"/>
      <c r="AQ252" s="4"/>
      <c r="AR252" s="4"/>
      <c r="AS252" s="4"/>
      <c r="AT252" s="4"/>
      <c r="BN252" s="34"/>
    </row>
    <row r="253" spans="1:71" ht="12.95" customHeight="1">
      <c r="A253" s="19"/>
      <c r="B253" s="4"/>
      <c r="C253" s="4"/>
      <c r="D253" s="4" t="s">
        <v>588</v>
      </c>
      <c r="E253" s="4"/>
      <c r="M253" s="1373" t="s">
        <v>738</v>
      </c>
      <c r="N253" s="1444"/>
      <c r="O253" s="1444"/>
      <c r="P253" s="1444"/>
      <c r="Q253" s="1444"/>
      <c r="R253" s="1444"/>
      <c r="S253" s="1444"/>
      <c r="T253" s="1444"/>
      <c r="V253" s="33" t="s">
        <v>86</v>
      </c>
      <c r="W253" s="1594" t="s">
        <v>2653</v>
      </c>
      <c r="X253" s="1450"/>
      <c r="Y253" s="4" t="s">
        <v>591</v>
      </c>
      <c r="AC253" s="1444">
        <v>92128</v>
      </c>
      <c r="AD253" s="1444"/>
      <c r="AE253" s="1444"/>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73" t="s">
        <v>2654</v>
      </c>
      <c r="N254" s="1444"/>
      <c r="O254" s="1444"/>
      <c r="P254" s="1444"/>
      <c r="Q254" s="1444"/>
      <c r="R254" s="1444"/>
      <c r="S254" s="1444"/>
      <c r="T254" s="1444"/>
      <c r="U254" s="1444"/>
      <c r="V254" s="1444"/>
      <c r="W254" s="1444"/>
      <c r="X254" s="1444"/>
      <c r="Y254" s="1444"/>
      <c r="Z254" s="1444"/>
      <c r="AA254" s="1444"/>
      <c r="AB254" s="1444"/>
      <c r="AC254" s="1444"/>
      <c r="AD254" s="1444"/>
      <c r="AE254" s="1444"/>
      <c r="AH254" s="1790">
        <v>0.01</v>
      </c>
      <c r="AI254" s="1790"/>
      <c r="AJ254" s="1790"/>
      <c r="AK254" s="1790"/>
      <c r="AL254" s="4"/>
      <c r="AM254" s="4"/>
      <c r="AN254" s="4"/>
      <c r="AO254" s="4"/>
      <c r="AP254" s="4"/>
      <c r="AQ254" s="4"/>
      <c r="AR254" s="4"/>
      <c r="AS254" s="4"/>
      <c r="AT254" s="4"/>
    </row>
    <row r="255" spans="1:71" ht="12.95" customHeight="1">
      <c r="A255" s="19"/>
      <c r="B255" s="4"/>
      <c r="C255" s="4"/>
      <c r="D255" s="4" t="s">
        <v>88</v>
      </c>
      <c r="E255" s="4"/>
      <c r="F255" s="4"/>
      <c r="M255" s="1371" t="s">
        <v>2667</v>
      </c>
      <c r="N255" s="1372"/>
      <c r="O255" s="1372"/>
      <c r="P255" s="1372"/>
      <c r="Q255" s="1372"/>
      <c r="R255" s="1372"/>
      <c r="S255" s="4" t="s">
        <v>207</v>
      </c>
      <c r="T255" s="4"/>
      <c r="U255" s="1594" t="s">
        <v>2668</v>
      </c>
      <c r="V255" s="1450"/>
      <c r="W255" s="1450"/>
      <c r="X255" s="4" t="s">
        <v>89</v>
      </c>
      <c r="Z255" s="1371" t="s">
        <v>599</v>
      </c>
      <c r="AA255" s="1372"/>
      <c r="AB255" s="1372"/>
      <c r="AC255" s="1372"/>
      <c r="AD255" s="1372"/>
      <c r="AE255" s="1372"/>
      <c r="AU255" s="4"/>
      <c r="AV255" s="4"/>
      <c r="AW255" s="4"/>
      <c r="AX255" s="4"/>
      <c r="AY255" s="4"/>
      <c r="BN255" s="34"/>
    </row>
    <row r="256" spans="1:71" ht="12.95" customHeight="1">
      <c r="A256" s="19"/>
      <c r="B256" s="4"/>
      <c r="C256" s="4"/>
      <c r="D256" s="4" t="s">
        <v>90</v>
      </c>
      <c r="E256" s="4"/>
      <c r="F256" s="4"/>
      <c r="M256" s="1786" t="s">
        <v>2656</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380" t="s">
        <v>542</v>
      </c>
      <c r="N257" s="1380"/>
      <c r="O257" s="1380"/>
      <c r="P257" s="1380"/>
      <c r="Q257" s="1380"/>
      <c r="R257" s="1380"/>
      <c r="S257" s="1380"/>
      <c r="T257" s="1380"/>
      <c r="U257" s="218" t="s">
        <v>921</v>
      </c>
      <c r="V257" s="218"/>
      <c r="W257" s="218"/>
      <c r="X257" s="218"/>
      <c r="Y257" s="218"/>
      <c r="Z257" s="218"/>
      <c r="AA257" s="1797" t="s">
        <v>2669</v>
      </c>
      <c r="AB257" s="1798"/>
      <c r="AC257" s="1798"/>
      <c r="AD257" s="1798"/>
      <c r="AE257" s="1798"/>
      <c r="AF257" s="1798"/>
      <c r="AG257" s="1798"/>
      <c r="AH257" s="1798"/>
      <c r="AI257" s="1798"/>
      <c r="AJ257" s="1798"/>
      <c r="AK257" s="179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47"/>
      <c r="N259" s="1447"/>
      <c r="O259" s="1447"/>
      <c r="P259" s="1447"/>
      <c r="Q259" s="1447"/>
      <c r="R259" s="1447"/>
      <c r="S259" s="1447"/>
      <c r="T259" s="1447"/>
      <c r="U259" s="1447"/>
      <c r="V259" s="1447"/>
      <c r="W259" s="1447"/>
      <c r="X259" s="1447"/>
      <c r="Y259" s="1447"/>
      <c r="Z259" s="1447"/>
      <c r="AA259" s="1447"/>
      <c r="AB259" s="1447"/>
      <c r="AC259" s="1447"/>
      <c r="AD259" s="1447"/>
      <c r="AE259" s="1447"/>
      <c r="AF259" s="1447" t="s">
        <v>308</v>
      </c>
      <c r="AG259" s="1447"/>
      <c r="AH259" s="1447"/>
      <c r="AI259" s="1447"/>
      <c r="AJ259" s="1447"/>
      <c r="AK259" s="144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4"/>
      <c r="N260" s="1444"/>
      <c r="O260" s="1444"/>
      <c r="P260" s="1444"/>
      <c r="Q260" s="1444"/>
      <c r="R260" s="1444"/>
      <c r="S260" s="1444"/>
      <c r="T260" s="1444"/>
      <c r="U260" s="1444"/>
      <c r="V260" s="1444"/>
      <c r="W260" s="1444"/>
      <c r="X260" s="1444"/>
      <c r="Y260" s="1444"/>
      <c r="Z260" s="1444"/>
      <c r="AA260" s="1444"/>
      <c r="AB260" s="1444"/>
      <c r="AC260" s="1444"/>
      <c r="AD260" s="1444"/>
      <c r="AE260" s="1444"/>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44"/>
      <c r="N261" s="1444"/>
      <c r="O261" s="1444"/>
      <c r="P261" s="1444"/>
      <c r="Q261" s="1444"/>
      <c r="R261" s="1444"/>
      <c r="S261" s="1444"/>
      <c r="T261" s="1444"/>
      <c r="V261" s="33" t="s">
        <v>86</v>
      </c>
      <c r="W261" s="1450"/>
      <c r="X261" s="1450"/>
      <c r="Y261" s="4" t="s">
        <v>591</v>
      </c>
      <c r="AC261" s="1444"/>
      <c r="AD261" s="1444"/>
      <c r="AE261" s="1444"/>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4"/>
      <c r="N262" s="1444"/>
      <c r="O262" s="1444"/>
      <c r="P262" s="1444"/>
      <c r="Q262" s="1444"/>
      <c r="R262" s="1444"/>
      <c r="S262" s="1444"/>
      <c r="T262" s="1444"/>
      <c r="U262" s="1444"/>
      <c r="V262" s="1444"/>
      <c r="W262" s="1444"/>
      <c r="X262" s="1444"/>
      <c r="Y262" s="1444"/>
      <c r="Z262" s="1444"/>
      <c r="AA262" s="1444"/>
      <c r="AB262" s="1444"/>
      <c r="AC262" s="1444"/>
      <c r="AD262" s="1444"/>
      <c r="AE262" s="1444"/>
      <c r="AH262" s="1790"/>
      <c r="AI262" s="1790"/>
      <c r="AJ262" s="1790"/>
      <c r="AK262" s="179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72"/>
      <c r="N263" s="1372"/>
      <c r="O263" s="1372"/>
      <c r="P263" s="1372"/>
      <c r="Q263" s="1372"/>
      <c r="R263" s="1372"/>
      <c r="S263" s="4" t="s">
        <v>207</v>
      </c>
      <c r="T263" s="4"/>
      <c r="U263" s="1450"/>
      <c r="V263" s="1450"/>
      <c r="W263" s="1450"/>
      <c r="X263" s="4" t="s">
        <v>89</v>
      </c>
      <c r="Z263" s="1372"/>
      <c r="AA263" s="1372"/>
      <c r="AB263" s="1372"/>
      <c r="AC263" s="1372"/>
      <c r="AD263" s="1372"/>
      <c r="AE263" s="137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21"/>
      <c r="AB264" s="1821"/>
      <c r="AC264" s="1821"/>
      <c r="AD264" s="1821"/>
      <c r="AE264" s="182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380" t="s">
        <v>308</v>
      </c>
      <c r="N265" s="1380"/>
      <c r="O265" s="1380"/>
      <c r="P265" s="1380"/>
      <c r="Q265" s="1380"/>
      <c r="R265" s="1380"/>
      <c r="S265" s="1380"/>
      <c r="T265" s="1380"/>
      <c r="U265" s="218" t="s">
        <v>921</v>
      </c>
      <c r="V265" s="218"/>
      <c r="W265" s="218"/>
      <c r="X265" s="218"/>
      <c r="Y265" s="218"/>
      <c r="Z265" s="218"/>
      <c r="AA265" s="1820"/>
      <c r="AB265" s="1820"/>
      <c r="AC265" s="1820"/>
      <c r="AD265" s="1820"/>
      <c r="AE265" s="1820"/>
      <c r="AF265" s="1820"/>
      <c r="AG265" s="1820"/>
      <c r="AH265" s="1820"/>
      <c r="AI265" s="1820"/>
      <c r="AJ265" s="1820"/>
      <c r="AK265" s="182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19" t="str">
        <f>IFERROR(BO245,"")</f>
        <v>Joint Venture</v>
      </c>
      <c r="U267" s="1819"/>
      <c r="V267" s="1819"/>
      <c r="W267" s="1819"/>
      <c r="X267" s="1819"/>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44" t="s">
        <v>281</v>
      </c>
      <c r="E270" s="1444"/>
      <c r="F270" s="1444"/>
      <c r="G270" s="1444"/>
      <c r="H270" s="1444"/>
      <c r="J270" t="s">
        <v>280</v>
      </c>
      <c r="X270" s="1501"/>
      <c r="Y270" s="1501"/>
      <c r="Z270" s="1501"/>
      <c r="AA270" s="1501"/>
      <c r="AB270" s="1501"/>
      <c r="AC270" s="1501"/>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6" t="s">
        <v>2670</v>
      </c>
      <c r="M274" s="1447"/>
      <c r="N274" s="1447"/>
      <c r="O274" s="1447"/>
      <c r="P274" s="1447"/>
      <c r="Q274" s="1447"/>
      <c r="R274" s="1447"/>
      <c r="S274" s="1447"/>
      <c r="T274" s="1447"/>
      <c r="U274" s="1447"/>
      <c r="V274" s="1447"/>
      <c r="W274" s="1447"/>
      <c r="X274" s="1447"/>
      <c r="Y274" s="1447"/>
      <c r="Z274" s="1447"/>
      <c r="AA274" s="1447"/>
      <c r="AB274" s="1447"/>
      <c r="AC274" s="1447"/>
      <c r="AD274" s="1447"/>
      <c r="AE274" s="1447"/>
      <c r="AF274" s="1447"/>
      <c r="AG274" s="1447"/>
      <c r="AH274" s="1447"/>
      <c r="AI274" s="1447"/>
      <c r="AJ274" s="144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73" t="s">
        <v>2671</v>
      </c>
      <c r="M275" s="1444"/>
      <c r="N275" s="1444"/>
      <c r="O275" s="1444"/>
      <c r="P275" s="1444"/>
      <c r="Q275" s="1444"/>
      <c r="R275" s="1444"/>
      <c r="S275" s="1444"/>
      <c r="T275" s="1444"/>
      <c r="U275" s="1444"/>
      <c r="V275" s="1444"/>
      <c r="W275" s="1444"/>
      <c r="X275" s="1444"/>
      <c r="Y275" s="1444"/>
      <c r="Z275" s="1444"/>
      <c r="AA275" s="1444"/>
      <c r="AB275" s="1444"/>
      <c r="AC275" s="1444"/>
      <c r="AD275" s="1444"/>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73" t="s">
        <v>738</v>
      </c>
      <c r="M276" s="1444"/>
      <c r="N276" s="1444"/>
      <c r="O276" s="1444"/>
      <c r="P276" s="1444"/>
      <c r="Q276" s="1444"/>
      <c r="R276" s="1444"/>
      <c r="S276" s="1444"/>
      <c r="U276" s="33" t="s">
        <v>86</v>
      </c>
      <c r="V276" s="1594" t="s">
        <v>2653</v>
      </c>
      <c r="W276" s="1450"/>
      <c r="X276" s="4" t="s">
        <v>591</v>
      </c>
      <c r="AB276" s="1444">
        <v>92128</v>
      </c>
      <c r="AC276" s="1444"/>
      <c r="AD276" s="1444"/>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73" t="s">
        <v>2672</v>
      </c>
      <c r="M277" s="1444"/>
      <c r="N277" s="1444"/>
      <c r="O277" s="1444"/>
      <c r="P277" s="1444"/>
      <c r="Q277" s="1444"/>
      <c r="R277" s="1444"/>
      <c r="S277" s="1444"/>
      <c r="T277" s="1444"/>
      <c r="U277" s="1444"/>
      <c r="V277" s="1444"/>
      <c r="W277" s="1444"/>
      <c r="X277" s="1444"/>
      <c r="Y277" s="1444"/>
      <c r="Z277" s="1444"/>
      <c r="AA277" s="1444"/>
      <c r="AB277" s="1444"/>
      <c r="AC277" s="1444"/>
      <c r="AD277" s="1444"/>
      <c r="AI277" s="4"/>
      <c r="AJ277" s="4"/>
      <c r="AK277" s="3"/>
      <c r="AL277" s="3"/>
      <c r="AM277" s="3"/>
      <c r="AN277" s="3"/>
      <c r="AO277" s="3"/>
      <c r="AP277" s="3"/>
      <c r="AQ277" s="3"/>
      <c r="AR277" s="3"/>
      <c r="AS277" s="3"/>
      <c r="AT277" s="3"/>
      <c r="BN277" s="34"/>
    </row>
    <row r="278" spans="1:66" ht="12.95" customHeight="1">
      <c r="D278" s="4" t="s">
        <v>88</v>
      </c>
      <c r="E278" s="4"/>
      <c r="F278" s="4"/>
      <c r="L278" s="1371" t="s">
        <v>2673</v>
      </c>
      <c r="M278" s="1372"/>
      <c r="N278" s="1372"/>
      <c r="O278" s="1372"/>
      <c r="P278" s="1372"/>
      <c r="Q278" s="1372"/>
      <c r="R278" s="4" t="s">
        <v>207</v>
      </c>
      <c r="S278" s="4"/>
      <c r="T278" s="1594" t="s">
        <v>599</v>
      </c>
      <c r="U278" s="1450"/>
      <c r="V278" s="1450"/>
      <c r="W278" s="4" t="s">
        <v>89</v>
      </c>
      <c r="Y278" s="1371" t="s">
        <v>599</v>
      </c>
      <c r="Z278" s="1372"/>
      <c r="AA278" s="1372"/>
      <c r="AB278" s="1372"/>
      <c r="AC278" s="1372"/>
      <c r="AD278" s="1372"/>
      <c r="BN278" s="34"/>
    </row>
    <row r="279" spans="1:66" ht="12.95" customHeight="1">
      <c r="D279" s="4" t="s">
        <v>90</v>
      </c>
      <c r="E279" s="4"/>
      <c r="F279" s="4"/>
      <c r="L279" s="1786" t="s">
        <v>2674</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c r="BN279" s="34"/>
    </row>
    <row r="280" spans="1:66" ht="12.95" customHeight="1">
      <c r="D280" s="3" t="s">
        <v>631</v>
      </c>
      <c r="E280" s="3"/>
      <c r="F280" s="3"/>
      <c r="G280" s="3"/>
      <c r="H280" s="3"/>
      <c r="I280" s="3"/>
      <c r="L280" s="1594" t="s">
        <v>2675</v>
      </c>
      <c r="M280" s="1594"/>
      <c r="N280" s="1594"/>
      <c r="O280" s="1594"/>
      <c r="P280" s="1594"/>
      <c r="Q280" s="1594"/>
      <c r="R280" s="1594"/>
      <c r="S280" s="1594"/>
      <c r="T280" s="1594"/>
      <c r="U280" s="1594"/>
      <c r="V280" s="1594"/>
      <c r="W280" s="1594"/>
      <c r="X280" s="1594"/>
      <c r="Y280" s="1594"/>
      <c r="Z280" s="1594"/>
      <c r="AA280" s="1594"/>
      <c r="AB280" s="1594"/>
      <c r="AC280" s="1594"/>
      <c r="AD280" s="159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67" t="s">
        <v>549</v>
      </c>
      <c r="B282" s="1467"/>
      <c r="C282" s="1467"/>
      <c r="D282" s="1467"/>
      <c r="E282" s="1467"/>
      <c r="F282" s="1467"/>
      <c r="G282" s="1467"/>
      <c r="H282" s="1467"/>
      <c r="I282" s="1467"/>
      <c r="J282" s="1467"/>
      <c r="K282" s="1467"/>
      <c r="L282" s="1467"/>
      <c r="M282" s="1467"/>
      <c r="N282" s="1467"/>
      <c r="O282" s="1467"/>
      <c r="P282" s="1467"/>
      <c r="Q282" s="1467"/>
      <c r="R282" s="1467"/>
      <c r="S282" s="1467"/>
      <c r="T282" s="1467"/>
      <c r="U282" s="1467"/>
      <c r="V282" s="1467"/>
      <c r="W282" s="1467"/>
      <c r="X282" s="1467"/>
      <c r="Y282" s="1467"/>
      <c r="Z282" s="1467"/>
      <c r="AA282" s="1467"/>
      <c r="AB282" s="1467"/>
      <c r="AC282" s="1467"/>
      <c r="AD282" s="1467"/>
      <c r="AE282" s="1467"/>
      <c r="AF282" s="1467"/>
      <c r="AG282" s="1467"/>
      <c r="AH282" s="1467"/>
      <c r="AI282" s="1467"/>
      <c r="AJ282" s="1467"/>
      <c r="AK282" s="1467"/>
      <c r="AL282" s="1467"/>
      <c r="AM282" s="1467"/>
      <c r="AN282" s="1467"/>
      <c r="AO282" s="1467"/>
      <c r="AP282" s="1467"/>
      <c r="AQ282" s="1467"/>
      <c r="AR282" s="1467"/>
      <c r="AS282" s="1467"/>
      <c r="AT282" s="1467"/>
      <c r="AU282" s="95"/>
      <c r="AV282" s="95"/>
      <c r="AW282" s="95"/>
      <c r="AX282" s="95"/>
      <c r="AY282" s="95"/>
      <c r="BN282" s="34"/>
    </row>
    <row r="283" spans="1:66" ht="12.95" customHeight="1">
      <c r="A283" s="1467"/>
      <c r="B283" s="1467"/>
      <c r="C283" s="1467"/>
      <c r="D283" s="1467"/>
      <c r="E283" s="1467"/>
      <c r="F283" s="1467"/>
      <c r="G283" s="1467"/>
      <c r="H283" s="1467"/>
      <c r="I283" s="1467"/>
      <c r="J283" s="1467"/>
      <c r="K283" s="1467"/>
      <c r="L283" s="1467"/>
      <c r="M283" s="1467"/>
      <c r="N283" s="1467"/>
      <c r="O283" s="1467"/>
      <c r="P283" s="1467"/>
      <c r="Q283" s="1467"/>
      <c r="R283" s="1467"/>
      <c r="S283" s="1467"/>
      <c r="T283" s="1467"/>
      <c r="U283" s="1467"/>
      <c r="V283" s="1467"/>
      <c r="W283" s="1467"/>
      <c r="X283" s="1467"/>
      <c r="Y283" s="1467"/>
      <c r="Z283" s="1467"/>
      <c r="AA283" s="1467"/>
      <c r="AB283" s="1467"/>
      <c r="AC283" s="1467"/>
      <c r="AD283" s="1467"/>
      <c r="AE283" s="1467"/>
      <c r="AF283" s="1467"/>
      <c r="AG283" s="1467"/>
      <c r="AH283" s="1467"/>
      <c r="AI283" s="1467"/>
      <c r="AJ283" s="1467"/>
      <c r="AK283" s="1467"/>
      <c r="AL283" s="1467"/>
      <c r="AM283" s="1467"/>
      <c r="AN283" s="1467"/>
      <c r="AO283" s="1467"/>
      <c r="AP283" s="1467"/>
      <c r="AQ283" s="1467"/>
      <c r="AR283" s="1467"/>
      <c r="AS283" s="1467"/>
      <c r="AT283" s="146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74" t="s">
        <v>2670</v>
      </c>
      <c r="I287" s="1374"/>
      <c r="J287" s="1374"/>
      <c r="K287" s="1374"/>
      <c r="L287" s="1374"/>
      <c r="M287" s="1374"/>
      <c r="N287" s="1374"/>
      <c r="O287" s="1374"/>
      <c r="P287" s="1374"/>
      <c r="Q287" s="1374"/>
      <c r="R287" s="1374"/>
      <c r="T287" s="3" t="s">
        <v>575</v>
      </c>
      <c r="V287" s="3"/>
      <c r="W287" s="3"/>
      <c r="X287" s="3"/>
      <c r="Y287" s="3"/>
      <c r="AA287" s="1374" t="s">
        <v>2680</v>
      </c>
      <c r="AB287" s="1374"/>
      <c r="AC287" s="1374"/>
      <c r="AD287" s="1374"/>
      <c r="AE287" s="1374"/>
      <c r="AF287" s="1374"/>
      <c r="AG287" s="1374"/>
      <c r="AH287" s="1374"/>
      <c r="AI287" s="1374"/>
      <c r="AJ287" s="1374"/>
      <c r="AK287" s="1374"/>
      <c r="BN287" s="34"/>
    </row>
    <row r="288" spans="1:66" ht="12.95" customHeight="1">
      <c r="B288" s="3" t="s">
        <v>479</v>
      </c>
      <c r="C288" s="3"/>
      <c r="D288" s="3"/>
      <c r="E288" s="3"/>
      <c r="F288" s="3"/>
      <c r="H288" s="1380" t="s">
        <v>2671</v>
      </c>
      <c r="I288" s="1380"/>
      <c r="J288" s="1380"/>
      <c r="K288" s="1380"/>
      <c r="L288" s="1380"/>
      <c r="M288" s="1380"/>
      <c r="N288" s="1380"/>
      <c r="O288" s="1380"/>
      <c r="P288" s="1380"/>
      <c r="Q288" s="1380"/>
      <c r="R288" s="1380"/>
      <c r="T288" s="3" t="s">
        <v>479</v>
      </c>
      <c r="V288" s="3"/>
      <c r="W288" s="3"/>
      <c r="X288" s="3"/>
      <c r="Y288" s="3"/>
      <c r="AA288" s="1380" t="s">
        <v>2681</v>
      </c>
      <c r="AB288" s="1380"/>
      <c r="AC288" s="1380"/>
      <c r="AD288" s="1380"/>
      <c r="AE288" s="1380"/>
      <c r="AF288" s="1380"/>
      <c r="AG288" s="1380"/>
      <c r="AH288" s="1380"/>
      <c r="AI288" s="1380"/>
      <c r="AJ288" s="1380"/>
      <c r="AK288" s="1380"/>
      <c r="BN288" s="34"/>
    </row>
    <row r="289" spans="2:66" ht="12.95" customHeight="1">
      <c r="B289" s="3" t="s">
        <v>480</v>
      </c>
      <c r="C289" s="3"/>
      <c r="D289" s="3"/>
      <c r="E289" s="3"/>
      <c r="F289" s="3"/>
      <c r="H289" s="1380" t="s">
        <v>2676</v>
      </c>
      <c r="I289" s="1380"/>
      <c r="J289" s="1380"/>
      <c r="K289" s="1380"/>
      <c r="L289" s="1380"/>
      <c r="M289" s="1380"/>
      <c r="N289" s="1380"/>
      <c r="O289" s="1380"/>
      <c r="P289" s="1380"/>
      <c r="Q289" s="1380"/>
      <c r="R289" s="1380"/>
      <c r="T289" s="3" t="s">
        <v>75</v>
      </c>
      <c r="V289" s="3"/>
      <c r="W289" s="3"/>
      <c r="X289" s="3"/>
      <c r="Y289" s="3"/>
      <c r="AA289" s="1380" t="s">
        <v>2682</v>
      </c>
      <c r="AB289" s="1380"/>
      <c r="AC289" s="1380"/>
      <c r="AD289" s="1380"/>
      <c r="AE289" s="1380"/>
      <c r="AF289" s="1380"/>
      <c r="AG289" s="1380"/>
      <c r="AH289" s="1380"/>
      <c r="AI289" s="1380"/>
      <c r="AJ289" s="1380"/>
      <c r="AK289" s="1380"/>
      <c r="BN289" s="34"/>
    </row>
    <row r="290" spans="2:66" ht="12.95" customHeight="1">
      <c r="B290" s="3" t="s">
        <v>87</v>
      </c>
      <c r="C290" s="3"/>
      <c r="D290" s="3"/>
      <c r="E290" s="3"/>
      <c r="F290" s="3"/>
      <c r="H290" s="1380" t="s">
        <v>2677</v>
      </c>
      <c r="I290" s="1380"/>
      <c r="J290" s="1380"/>
      <c r="K290" s="1380"/>
      <c r="L290" s="1380"/>
      <c r="M290" s="1380"/>
      <c r="N290" s="1380"/>
      <c r="O290" s="1380"/>
      <c r="P290" s="1380"/>
      <c r="Q290" s="1380"/>
      <c r="R290" s="1380"/>
      <c r="T290" s="3" t="s">
        <v>87</v>
      </c>
      <c r="V290" s="3"/>
      <c r="W290" s="3"/>
      <c r="X290" s="3"/>
      <c r="Y290" s="3"/>
      <c r="AA290" s="1380" t="s">
        <v>2683</v>
      </c>
      <c r="AB290" s="1380"/>
      <c r="AC290" s="1380"/>
      <c r="AD290" s="1380"/>
      <c r="AE290" s="1380"/>
      <c r="AF290" s="1380"/>
      <c r="AG290" s="1380"/>
      <c r="AH290" s="1380"/>
      <c r="AI290" s="1380"/>
      <c r="AJ290" s="1380"/>
      <c r="AK290" s="1380"/>
      <c r="BN290" s="34"/>
    </row>
    <row r="291" spans="2:66" ht="12.95" customHeight="1">
      <c r="B291" s="3" t="s">
        <v>88</v>
      </c>
      <c r="C291" s="3"/>
      <c r="D291" s="3"/>
      <c r="E291" s="3"/>
      <c r="F291" s="3"/>
      <c r="G291" s="3"/>
      <c r="H291" s="1481" t="s">
        <v>2673</v>
      </c>
      <c r="I291" s="1481"/>
      <c r="J291" s="1481"/>
      <c r="K291" s="1481"/>
      <c r="L291" s="1481"/>
      <c r="M291" s="1481"/>
      <c r="N291" s="4" t="s">
        <v>207</v>
      </c>
      <c r="O291" s="4"/>
      <c r="P291" s="1373" t="s">
        <v>599</v>
      </c>
      <c r="Q291" s="1444"/>
      <c r="R291" s="1444"/>
      <c r="S291" s="3"/>
      <c r="T291" s="3" t="s">
        <v>88</v>
      </c>
      <c r="V291" s="3"/>
      <c r="W291" s="3"/>
      <c r="X291" s="3"/>
      <c r="Y291" s="3"/>
      <c r="AA291" s="1481" t="s">
        <v>2684</v>
      </c>
      <c r="AB291" s="1481"/>
      <c r="AC291" s="1481"/>
      <c r="AD291" s="1481"/>
      <c r="AE291" s="1481"/>
      <c r="AF291" s="1481"/>
      <c r="AG291" s="4" t="s">
        <v>207</v>
      </c>
      <c r="AH291" s="4"/>
      <c r="AI291" s="1444">
        <v>220</v>
      </c>
      <c r="AJ291" s="1444"/>
      <c r="AK291" s="1444"/>
      <c r="BN291" s="34"/>
    </row>
    <row r="292" spans="2:66" ht="12.95" customHeight="1">
      <c r="B292" s="3" t="s">
        <v>89</v>
      </c>
      <c r="C292" s="3"/>
      <c r="D292" s="3"/>
      <c r="E292" s="3"/>
      <c r="F292" s="3"/>
      <c r="G292" s="3"/>
      <c r="H292" s="1372" t="s">
        <v>2678</v>
      </c>
      <c r="I292" s="1372"/>
      <c r="J292" s="1372"/>
      <c r="K292" s="1372"/>
      <c r="L292" s="1372"/>
      <c r="M292" s="1372"/>
      <c r="N292" s="4"/>
      <c r="O292" s="4"/>
      <c r="P292" s="35"/>
      <c r="Q292" s="35"/>
      <c r="R292" s="35"/>
      <c r="S292" s="3"/>
      <c r="T292" s="3" t="s">
        <v>89</v>
      </c>
      <c r="V292" s="3"/>
      <c r="W292" s="3"/>
      <c r="X292" s="3"/>
      <c r="Y292" s="3"/>
      <c r="AA292" s="1372" t="s">
        <v>599</v>
      </c>
      <c r="AB292" s="1372"/>
      <c r="AC292" s="1372"/>
      <c r="AD292" s="1372"/>
      <c r="AE292" s="1372"/>
      <c r="AF292" s="1372"/>
      <c r="AG292" s="4"/>
      <c r="AH292" s="4"/>
      <c r="AI292" s="35"/>
      <c r="AJ292" s="35"/>
      <c r="AK292" s="35"/>
      <c r="BN292" s="34"/>
    </row>
    <row r="293" spans="2:66" ht="12.95" customHeight="1">
      <c r="B293" s="3" t="s">
        <v>76</v>
      </c>
      <c r="C293" s="3"/>
      <c r="D293" s="3"/>
      <c r="E293" s="3"/>
      <c r="F293" s="3"/>
      <c r="G293" s="3"/>
      <c r="H293" s="1380" t="s">
        <v>2679</v>
      </c>
      <c r="I293" s="1380"/>
      <c r="J293" s="1380"/>
      <c r="K293" s="1380"/>
      <c r="L293" s="1380"/>
      <c r="M293" s="1380"/>
      <c r="N293" s="1374"/>
      <c r="O293" s="1374"/>
      <c r="P293" s="1374"/>
      <c r="Q293" s="1374"/>
      <c r="R293" s="1374"/>
      <c r="S293" s="3"/>
      <c r="T293" s="3" t="s">
        <v>76</v>
      </c>
      <c r="V293" s="3"/>
      <c r="W293" s="3"/>
      <c r="X293" s="3"/>
      <c r="Y293" s="3"/>
      <c r="AA293" s="1380" t="s">
        <v>2685</v>
      </c>
      <c r="AB293" s="1380"/>
      <c r="AC293" s="1380"/>
      <c r="AD293" s="1380"/>
      <c r="AE293" s="1380"/>
      <c r="AF293" s="1380"/>
      <c r="AG293" s="1374"/>
      <c r="AH293" s="1374"/>
      <c r="AI293" s="1374"/>
      <c r="AJ293" s="1374"/>
      <c r="AK293" s="137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4" t="s">
        <v>2686</v>
      </c>
      <c r="I295" s="1374"/>
      <c r="J295" s="1374"/>
      <c r="K295" s="1374"/>
      <c r="L295" s="1374"/>
      <c r="M295" s="1374"/>
      <c r="N295" s="1374"/>
      <c r="O295" s="1374"/>
      <c r="P295" s="1374"/>
      <c r="Q295" s="1374"/>
      <c r="R295" s="1374"/>
      <c r="T295" s="3" t="s">
        <v>365</v>
      </c>
      <c r="V295" s="3"/>
      <c r="W295" s="3"/>
      <c r="X295" s="3"/>
      <c r="Y295" s="3"/>
      <c r="AA295" s="1373" t="s">
        <v>2745</v>
      </c>
      <c r="AB295" s="1374"/>
      <c r="AC295" s="1374"/>
      <c r="AD295" s="1374"/>
      <c r="AE295" s="1374"/>
      <c r="AF295" s="1374"/>
      <c r="AG295" s="1374"/>
      <c r="AH295" s="1374"/>
      <c r="AI295" s="1374"/>
      <c r="AJ295" s="1374"/>
      <c r="AK295" s="1374"/>
      <c r="BN295" s="34"/>
    </row>
    <row r="296" spans="2:66" ht="12.95" customHeight="1">
      <c r="B296" s="3" t="s">
        <v>479</v>
      </c>
      <c r="C296" s="3"/>
      <c r="D296" s="3"/>
      <c r="E296" s="3"/>
      <c r="F296" s="3"/>
      <c r="H296" s="1380" t="s">
        <v>2687</v>
      </c>
      <c r="I296" s="1380"/>
      <c r="J296" s="1380"/>
      <c r="K296" s="1380"/>
      <c r="L296" s="1380"/>
      <c r="M296" s="1380"/>
      <c r="N296" s="1380"/>
      <c r="O296" s="1380"/>
      <c r="P296" s="1380"/>
      <c r="Q296" s="1380"/>
      <c r="R296" s="1380"/>
      <c r="T296" s="3" t="s">
        <v>479</v>
      </c>
      <c r="V296" s="3"/>
      <c r="W296" s="3"/>
      <c r="X296" s="3"/>
      <c r="Y296" s="3"/>
      <c r="AA296" s="1380"/>
      <c r="AB296" s="1380"/>
      <c r="AC296" s="1380"/>
      <c r="AD296" s="1380"/>
      <c r="AE296" s="1380"/>
      <c r="AF296" s="1380"/>
      <c r="AG296" s="1380"/>
      <c r="AH296" s="1380"/>
      <c r="AI296" s="1380"/>
      <c r="AJ296" s="1380"/>
      <c r="AK296" s="1380"/>
      <c r="BN296" s="34"/>
    </row>
    <row r="297" spans="2:66" ht="12.95" customHeight="1">
      <c r="B297" s="3" t="s">
        <v>480</v>
      </c>
      <c r="C297" s="3"/>
      <c r="D297" s="3"/>
      <c r="E297" s="3"/>
      <c r="F297" s="3"/>
      <c r="H297" s="1380" t="s">
        <v>2688</v>
      </c>
      <c r="I297" s="1380"/>
      <c r="J297" s="1380"/>
      <c r="K297" s="1380"/>
      <c r="L297" s="1380"/>
      <c r="M297" s="1380"/>
      <c r="N297" s="1380"/>
      <c r="O297" s="1380"/>
      <c r="P297" s="1380"/>
      <c r="Q297" s="1380"/>
      <c r="R297" s="1380"/>
      <c r="T297" s="3" t="s">
        <v>75</v>
      </c>
      <c r="V297" s="3"/>
      <c r="W297" s="3"/>
      <c r="X297" s="3"/>
      <c r="Y297" s="3"/>
      <c r="AA297" s="1380"/>
      <c r="AB297" s="1380"/>
      <c r="AC297" s="1380"/>
      <c r="AD297" s="1380"/>
      <c r="AE297" s="1380"/>
      <c r="AF297" s="1380"/>
      <c r="AG297" s="1380"/>
      <c r="AH297" s="1380"/>
      <c r="AI297" s="1380"/>
      <c r="AJ297" s="1380"/>
      <c r="AK297" s="1380"/>
      <c r="BN297" s="34"/>
    </row>
    <row r="298" spans="2:66" ht="12.95" customHeight="1">
      <c r="B298" s="3" t="s">
        <v>87</v>
      </c>
      <c r="C298" s="3"/>
      <c r="D298" s="3"/>
      <c r="E298" s="3"/>
      <c r="F298" s="3"/>
      <c r="H298" s="1380" t="s">
        <v>2689</v>
      </c>
      <c r="I298" s="1380"/>
      <c r="J298" s="1380"/>
      <c r="K298" s="1380"/>
      <c r="L298" s="1380"/>
      <c r="M298" s="1380"/>
      <c r="N298" s="1380"/>
      <c r="O298" s="1380"/>
      <c r="P298" s="1380"/>
      <c r="Q298" s="1380"/>
      <c r="R298" s="1380"/>
      <c r="T298" s="3" t="s">
        <v>87</v>
      </c>
      <c r="V298" s="3"/>
      <c r="W298" s="3"/>
      <c r="X298" s="3"/>
      <c r="Y298" s="3"/>
      <c r="AA298" s="1380"/>
      <c r="AB298" s="1380"/>
      <c r="AC298" s="1380"/>
      <c r="AD298" s="1380"/>
      <c r="AE298" s="1380"/>
      <c r="AF298" s="1380"/>
      <c r="AG298" s="1380"/>
      <c r="AH298" s="1380"/>
      <c r="AI298" s="1380"/>
      <c r="AJ298" s="1380"/>
      <c r="AK298" s="1380"/>
      <c r="BN298" s="34"/>
    </row>
    <row r="299" spans="2:66" ht="12.95" customHeight="1">
      <c r="B299" s="3" t="s">
        <v>88</v>
      </c>
      <c r="C299" s="3"/>
      <c r="D299" s="3"/>
      <c r="E299" s="3"/>
      <c r="F299" s="3"/>
      <c r="G299" s="3"/>
      <c r="H299" s="1481" t="s">
        <v>2690</v>
      </c>
      <c r="I299" s="1481"/>
      <c r="J299" s="1481"/>
      <c r="K299" s="1481"/>
      <c r="L299" s="1481"/>
      <c r="M299" s="1481"/>
      <c r="N299" s="4" t="s">
        <v>207</v>
      </c>
      <c r="O299" s="4"/>
      <c r="P299" s="1444"/>
      <c r="Q299" s="1444"/>
      <c r="R299" s="1444"/>
      <c r="S299" s="3"/>
      <c r="T299" s="3" t="s">
        <v>88</v>
      </c>
      <c r="V299" s="3"/>
      <c r="W299" s="3"/>
      <c r="X299" s="3"/>
      <c r="Y299" s="3"/>
      <c r="AA299" s="1481"/>
      <c r="AB299" s="1481"/>
      <c r="AC299" s="1481"/>
      <c r="AD299" s="1481"/>
      <c r="AE299" s="1481"/>
      <c r="AF299" s="1481"/>
      <c r="AG299" s="4" t="s">
        <v>207</v>
      </c>
      <c r="AH299" s="4"/>
      <c r="AI299" s="1444"/>
      <c r="AJ299" s="1444"/>
      <c r="AK299" s="1444"/>
      <c r="BN299" s="34"/>
    </row>
    <row r="300" spans="2:66" ht="12.95" customHeight="1">
      <c r="B300" s="3" t="s">
        <v>89</v>
      </c>
      <c r="C300" s="3"/>
      <c r="D300" s="3"/>
      <c r="E300" s="3"/>
      <c r="F300" s="3"/>
      <c r="G300" s="3"/>
      <c r="H300" s="1372" t="s">
        <v>2691</v>
      </c>
      <c r="I300" s="1372"/>
      <c r="J300" s="1372"/>
      <c r="K300" s="1372"/>
      <c r="L300" s="1372"/>
      <c r="M300" s="1372"/>
      <c r="N300" s="4"/>
      <c r="O300" s="4"/>
      <c r="P300" s="35"/>
      <c r="Q300" s="35"/>
      <c r="R300" s="35"/>
      <c r="S300" s="3"/>
      <c r="T300" s="3" t="s">
        <v>89</v>
      </c>
      <c r="V300" s="3"/>
      <c r="W300" s="3"/>
      <c r="X300" s="3"/>
      <c r="Y300" s="3"/>
      <c r="AA300" s="1372"/>
      <c r="AB300" s="1372"/>
      <c r="AC300" s="1372"/>
      <c r="AD300" s="1372"/>
      <c r="AE300" s="1372"/>
      <c r="AF300" s="1372"/>
      <c r="AG300" s="4"/>
      <c r="AH300" s="4"/>
      <c r="AI300" s="35"/>
      <c r="AJ300" s="35"/>
      <c r="AK300" s="35"/>
      <c r="BN300" s="34"/>
    </row>
    <row r="301" spans="2:66" ht="12.95" customHeight="1">
      <c r="B301" s="3" t="s">
        <v>76</v>
      </c>
      <c r="C301" s="3"/>
      <c r="D301" s="3"/>
      <c r="E301" s="3"/>
      <c r="F301" s="3"/>
      <c r="G301" s="3"/>
      <c r="H301" s="1380" t="s">
        <v>2692</v>
      </c>
      <c r="I301" s="1380"/>
      <c r="J301" s="1380"/>
      <c r="K301" s="1380"/>
      <c r="L301" s="1380"/>
      <c r="M301" s="1380"/>
      <c r="N301" s="1374"/>
      <c r="O301" s="1374"/>
      <c r="P301" s="1374"/>
      <c r="Q301" s="1374"/>
      <c r="R301" s="1374"/>
      <c r="S301" s="3"/>
      <c r="T301" s="3" t="s">
        <v>76</v>
      </c>
      <c r="V301" s="3"/>
      <c r="W301" s="3"/>
      <c r="X301" s="3"/>
      <c r="Y301" s="3"/>
      <c r="AA301" s="1380"/>
      <c r="AB301" s="1380"/>
      <c r="AC301" s="1380"/>
      <c r="AD301" s="1380"/>
      <c r="AE301" s="1380"/>
      <c r="AF301" s="1380"/>
      <c r="AG301" s="1374"/>
      <c r="AH301" s="1374"/>
      <c r="AI301" s="1374"/>
      <c r="AJ301" s="1374"/>
      <c r="AK301" s="1374"/>
      <c r="BN301" s="34"/>
    </row>
    <row r="302" spans="2:66" ht="12.95" customHeight="1">
      <c r="BN302" s="34"/>
    </row>
    <row r="303" spans="2:66" ht="12.95" customHeight="1">
      <c r="B303" s="3" t="s">
        <v>77</v>
      </c>
      <c r="C303" s="3"/>
      <c r="D303" s="3"/>
      <c r="E303" s="3"/>
      <c r="F303" s="3"/>
      <c r="H303" s="1374" t="s">
        <v>2693</v>
      </c>
      <c r="I303" s="1374"/>
      <c r="J303" s="1374"/>
      <c r="K303" s="1374"/>
      <c r="L303" s="1374"/>
      <c r="M303" s="1374"/>
      <c r="N303" s="1374"/>
      <c r="O303" s="1374"/>
      <c r="P303" s="1374"/>
      <c r="Q303" s="1374"/>
      <c r="R303" s="1374"/>
      <c r="T303" s="4" t="s">
        <v>890</v>
      </c>
      <c r="V303" s="3"/>
      <c r="W303" s="3"/>
      <c r="X303" s="3"/>
      <c r="Y303" s="3"/>
      <c r="AA303" s="1373" t="s">
        <v>2745</v>
      </c>
      <c r="AB303" s="1374"/>
      <c r="AC303" s="1374"/>
      <c r="AD303" s="1374"/>
      <c r="AE303" s="1374"/>
      <c r="AF303" s="1374"/>
      <c r="AG303" s="1374"/>
      <c r="AH303" s="1374"/>
      <c r="AI303" s="1374"/>
      <c r="AJ303" s="1374"/>
      <c r="AK303" s="1374"/>
      <c r="BN303" s="34"/>
    </row>
    <row r="304" spans="2:66" ht="12.95" customHeight="1">
      <c r="B304" s="3" t="s">
        <v>479</v>
      </c>
      <c r="C304" s="3"/>
      <c r="D304" s="3"/>
      <c r="E304" s="3"/>
      <c r="F304" s="3"/>
      <c r="H304" s="1380" t="s">
        <v>2694</v>
      </c>
      <c r="I304" s="1380"/>
      <c r="J304" s="1380"/>
      <c r="K304" s="1380"/>
      <c r="L304" s="1380"/>
      <c r="M304" s="1380"/>
      <c r="N304" s="1380"/>
      <c r="O304" s="1380"/>
      <c r="P304" s="1380"/>
      <c r="Q304" s="1380"/>
      <c r="R304" s="1380"/>
      <c r="T304" s="3" t="s">
        <v>479</v>
      </c>
      <c r="V304" s="3"/>
      <c r="W304" s="3"/>
      <c r="X304" s="3"/>
      <c r="Y304" s="3"/>
      <c r="AA304" s="1380"/>
      <c r="AB304" s="1380"/>
      <c r="AC304" s="1380"/>
      <c r="AD304" s="1380"/>
      <c r="AE304" s="1380"/>
      <c r="AF304" s="1380"/>
      <c r="AG304" s="1380"/>
      <c r="AH304" s="1380"/>
      <c r="AI304" s="1380"/>
      <c r="AJ304" s="1380"/>
      <c r="AK304" s="1380"/>
      <c r="BN304" s="34"/>
    </row>
    <row r="305" spans="2:66" ht="12.95" customHeight="1">
      <c r="B305" s="3" t="s">
        <v>480</v>
      </c>
      <c r="C305" s="3"/>
      <c r="D305" s="3"/>
      <c r="E305" s="3"/>
      <c r="F305" s="3"/>
      <c r="H305" s="1380" t="s">
        <v>2695</v>
      </c>
      <c r="I305" s="1380"/>
      <c r="J305" s="1380"/>
      <c r="K305" s="1380"/>
      <c r="L305" s="1380"/>
      <c r="M305" s="1380"/>
      <c r="N305" s="1380"/>
      <c r="O305" s="1380"/>
      <c r="P305" s="1380"/>
      <c r="Q305" s="1380"/>
      <c r="R305" s="1380"/>
      <c r="T305" s="3" t="s">
        <v>75</v>
      </c>
      <c r="V305" s="3"/>
      <c r="W305" s="3"/>
      <c r="X305" s="3"/>
      <c r="Y305" s="3"/>
      <c r="AA305" s="1380"/>
      <c r="AB305" s="1380"/>
      <c r="AC305" s="1380"/>
      <c r="AD305" s="1380"/>
      <c r="AE305" s="1380"/>
      <c r="AF305" s="1380"/>
      <c r="AG305" s="1380"/>
      <c r="AH305" s="1380"/>
      <c r="AI305" s="1380"/>
      <c r="AJ305" s="1380"/>
      <c r="AK305" s="1380"/>
      <c r="BN305" s="34"/>
    </row>
    <row r="306" spans="2:66" ht="12.95" customHeight="1">
      <c r="B306" s="3" t="s">
        <v>87</v>
      </c>
      <c r="C306" s="3"/>
      <c r="D306" s="3"/>
      <c r="E306" s="3"/>
      <c r="F306" s="3"/>
      <c r="H306" s="1380" t="s">
        <v>2696</v>
      </c>
      <c r="I306" s="1380"/>
      <c r="J306" s="1380"/>
      <c r="K306" s="1380"/>
      <c r="L306" s="1380"/>
      <c r="M306" s="1380"/>
      <c r="N306" s="1380"/>
      <c r="O306" s="1380"/>
      <c r="P306" s="1380"/>
      <c r="Q306" s="1380"/>
      <c r="R306" s="1380"/>
      <c r="T306" s="3" t="s">
        <v>87</v>
      </c>
      <c r="V306" s="3"/>
      <c r="W306" s="3"/>
      <c r="X306" s="3"/>
      <c r="Y306" s="3"/>
      <c r="AA306" s="1380"/>
      <c r="AB306" s="1380"/>
      <c r="AC306" s="1380"/>
      <c r="AD306" s="1380"/>
      <c r="AE306" s="1380"/>
      <c r="AF306" s="1380"/>
      <c r="AG306" s="1380"/>
      <c r="AH306" s="1380"/>
      <c r="AI306" s="1380"/>
      <c r="AJ306" s="1380"/>
      <c r="AK306" s="1380"/>
      <c r="BN306" s="34"/>
    </row>
    <row r="307" spans="2:66" ht="12.95" customHeight="1">
      <c r="B307" s="3" t="s">
        <v>88</v>
      </c>
      <c r="C307" s="3"/>
      <c r="D307" s="3"/>
      <c r="E307" s="3"/>
      <c r="F307" s="3"/>
      <c r="G307" s="3"/>
      <c r="H307" s="1481" t="s">
        <v>2697</v>
      </c>
      <c r="I307" s="1481"/>
      <c r="J307" s="1481"/>
      <c r="K307" s="1481"/>
      <c r="L307" s="1481"/>
      <c r="M307" s="1481"/>
      <c r="N307" s="4" t="s">
        <v>207</v>
      </c>
      <c r="O307" s="4"/>
      <c r="P307" s="1444"/>
      <c r="Q307" s="1444"/>
      <c r="R307" s="1444"/>
      <c r="S307" s="3"/>
      <c r="T307" s="3" t="s">
        <v>88</v>
      </c>
      <c r="V307" s="3"/>
      <c r="W307" s="3"/>
      <c r="X307" s="3"/>
      <c r="Y307" s="3"/>
      <c r="AA307" s="1481"/>
      <c r="AB307" s="1481"/>
      <c r="AC307" s="1481"/>
      <c r="AD307" s="1481"/>
      <c r="AE307" s="1481"/>
      <c r="AF307" s="1481"/>
      <c r="AG307" s="4" t="s">
        <v>207</v>
      </c>
      <c r="AH307" s="4"/>
      <c r="AI307" s="1444"/>
      <c r="AJ307" s="1444"/>
      <c r="AK307" s="1444"/>
      <c r="BN307" s="34"/>
    </row>
    <row r="308" spans="2:66" ht="12.95" customHeight="1">
      <c r="B308" s="3" t="s">
        <v>89</v>
      </c>
      <c r="C308" s="3"/>
      <c r="D308" s="3"/>
      <c r="E308" s="3"/>
      <c r="F308" s="3"/>
      <c r="G308" s="3"/>
      <c r="H308" s="1372" t="s">
        <v>599</v>
      </c>
      <c r="I308" s="1372"/>
      <c r="J308" s="1372"/>
      <c r="K308" s="1372"/>
      <c r="L308" s="1372"/>
      <c r="M308" s="1372"/>
      <c r="N308" s="4"/>
      <c r="O308" s="4"/>
      <c r="P308" s="35"/>
      <c r="Q308" s="35"/>
      <c r="R308" s="35"/>
      <c r="S308" s="3"/>
      <c r="T308" s="3" t="s">
        <v>89</v>
      </c>
      <c r="V308" s="3"/>
      <c r="W308" s="3"/>
      <c r="X308" s="3"/>
      <c r="Y308" s="3"/>
      <c r="AA308" s="1372"/>
      <c r="AB308" s="1372"/>
      <c r="AC308" s="1372"/>
      <c r="AD308" s="1372"/>
      <c r="AE308" s="1372"/>
      <c r="AF308" s="1372"/>
      <c r="AG308" s="4"/>
      <c r="AH308" s="4"/>
      <c r="AI308" s="35"/>
      <c r="AJ308" s="35"/>
      <c r="AK308" s="35"/>
      <c r="BN308" s="34"/>
    </row>
    <row r="309" spans="2:66" ht="12.95" customHeight="1">
      <c r="B309" s="3" t="s">
        <v>76</v>
      </c>
      <c r="C309" s="3"/>
      <c r="D309" s="3"/>
      <c r="E309" s="3"/>
      <c r="F309" s="3"/>
      <c r="G309" s="3"/>
      <c r="H309" s="1380" t="s">
        <v>2698</v>
      </c>
      <c r="I309" s="1380"/>
      <c r="J309" s="1380"/>
      <c r="K309" s="1380"/>
      <c r="L309" s="1380"/>
      <c r="M309" s="1380"/>
      <c r="N309" s="1374"/>
      <c r="O309" s="1374"/>
      <c r="P309" s="1374"/>
      <c r="Q309" s="1374"/>
      <c r="R309" s="1374"/>
      <c r="S309" s="3"/>
      <c r="T309" s="3" t="s">
        <v>76</v>
      </c>
      <c r="V309" s="3"/>
      <c r="W309" s="3"/>
      <c r="X309" s="3"/>
      <c r="Y309" s="3"/>
      <c r="AA309" s="1380"/>
      <c r="AB309" s="1380"/>
      <c r="AC309" s="1380"/>
      <c r="AD309" s="1380"/>
      <c r="AE309" s="1380"/>
      <c r="AF309" s="1380"/>
      <c r="AG309" s="1374"/>
      <c r="AH309" s="1374"/>
      <c r="AI309" s="1374"/>
      <c r="AJ309" s="1374"/>
      <c r="AK309" s="137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74" t="s">
        <v>2693</v>
      </c>
      <c r="I311" s="1374"/>
      <c r="J311" s="1374"/>
      <c r="K311" s="1374"/>
      <c r="L311" s="1374"/>
      <c r="M311" s="1374"/>
      <c r="N311" s="1374"/>
      <c r="O311" s="1374"/>
      <c r="P311" s="1374"/>
      <c r="Q311" s="1374"/>
      <c r="R311" s="1374"/>
      <c r="S311" s="3"/>
      <c r="T311" s="3" t="s">
        <v>366</v>
      </c>
      <c r="V311" s="3"/>
      <c r="W311" s="3"/>
      <c r="X311" s="3"/>
      <c r="Y311" s="3"/>
      <c r="AA311" s="1373" t="s">
        <v>2751</v>
      </c>
      <c r="AB311" s="1374"/>
      <c r="AC311" s="1374"/>
      <c r="AD311" s="1374"/>
      <c r="AE311" s="1374"/>
      <c r="AF311" s="1374"/>
      <c r="AG311" s="1374"/>
      <c r="AH311" s="1374"/>
      <c r="AI311" s="1374"/>
      <c r="AJ311" s="1374"/>
      <c r="AK311" s="1374"/>
      <c r="BN311" s="34"/>
    </row>
    <row r="312" spans="2:66" ht="12.95" customHeight="1">
      <c r="B312" s="3" t="s">
        <v>479</v>
      </c>
      <c r="C312" s="3"/>
      <c r="D312" s="3"/>
      <c r="E312" s="3"/>
      <c r="F312" s="3"/>
      <c r="H312" s="1380" t="s">
        <v>2694</v>
      </c>
      <c r="I312" s="1380"/>
      <c r="J312" s="1380"/>
      <c r="K312" s="1380"/>
      <c r="L312" s="1380"/>
      <c r="M312" s="1380"/>
      <c r="N312" s="1380"/>
      <c r="O312" s="1380"/>
      <c r="P312" s="1380"/>
      <c r="Q312" s="1380"/>
      <c r="R312" s="1380"/>
      <c r="S312" s="3"/>
      <c r="T312" s="3" t="s">
        <v>479</v>
      </c>
      <c r="V312" s="3"/>
      <c r="W312" s="3"/>
      <c r="X312" s="3"/>
      <c r="Y312" s="3"/>
      <c r="AA312" s="1594" t="s">
        <v>2746</v>
      </c>
      <c r="AB312" s="1380"/>
      <c r="AC312" s="1380"/>
      <c r="AD312" s="1380"/>
      <c r="AE312" s="1380"/>
      <c r="AF312" s="1380"/>
      <c r="AG312" s="1380"/>
      <c r="AH312" s="1380"/>
      <c r="AI312" s="1380"/>
      <c r="AJ312" s="1380"/>
      <c r="AK312" s="1380"/>
      <c r="BN312" s="34"/>
    </row>
    <row r="313" spans="2:66" ht="12.95" customHeight="1">
      <c r="B313" s="3" t="s">
        <v>480</v>
      </c>
      <c r="C313" s="3"/>
      <c r="D313" s="3"/>
      <c r="E313" s="3"/>
      <c r="F313" s="3"/>
      <c r="H313" s="1380" t="s">
        <v>2695</v>
      </c>
      <c r="I313" s="1380"/>
      <c r="J313" s="1380"/>
      <c r="K313" s="1380"/>
      <c r="L313" s="1380"/>
      <c r="M313" s="1380"/>
      <c r="N313" s="1380"/>
      <c r="O313" s="1380"/>
      <c r="P313" s="1380"/>
      <c r="Q313" s="1380"/>
      <c r="R313" s="1380"/>
      <c r="S313" s="3"/>
      <c r="T313" s="3" t="s">
        <v>75</v>
      </c>
      <c r="V313" s="3"/>
      <c r="W313" s="3"/>
      <c r="X313" s="3"/>
      <c r="Y313" s="3"/>
      <c r="AA313" s="1594" t="s">
        <v>2747</v>
      </c>
      <c r="AB313" s="1380"/>
      <c r="AC313" s="1380"/>
      <c r="AD313" s="1380"/>
      <c r="AE313" s="1380"/>
      <c r="AF313" s="1380"/>
      <c r="AG313" s="1380"/>
      <c r="AH313" s="1380"/>
      <c r="AI313" s="1380"/>
      <c r="AJ313" s="1380"/>
      <c r="AK313" s="1380"/>
      <c r="BN313" s="34"/>
    </row>
    <row r="314" spans="2:66" ht="12.95" customHeight="1">
      <c r="B314" s="3" t="s">
        <v>87</v>
      </c>
      <c r="C314" s="3"/>
      <c r="D314" s="3"/>
      <c r="E314" s="3"/>
      <c r="F314" s="3"/>
      <c r="H314" s="1380" t="s">
        <v>2696</v>
      </c>
      <c r="I314" s="1380"/>
      <c r="J314" s="1380"/>
      <c r="K314" s="1380"/>
      <c r="L314" s="1380"/>
      <c r="M314" s="1380"/>
      <c r="N314" s="1380"/>
      <c r="O314" s="1380"/>
      <c r="P314" s="1380"/>
      <c r="Q314" s="1380"/>
      <c r="R314" s="1380"/>
      <c r="S314" s="3"/>
      <c r="T314" s="3" t="s">
        <v>87</v>
      </c>
      <c r="V314" s="3"/>
      <c r="W314" s="3"/>
      <c r="X314" s="3"/>
      <c r="Y314" s="3"/>
      <c r="AA314" s="1380" t="s">
        <v>2748</v>
      </c>
      <c r="AB314" s="1380"/>
      <c r="AC314" s="1380"/>
      <c r="AD314" s="1380"/>
      <c r="AE314" s="1380"/>
      <c r="AF314" s="1380"/>
      <c r="AG314" s="1380"/>
      <c r="AH314" s="1380"/>
      <c r="AI314" s="1380"/>
      <c r="AJ314" s="1380"/>
      <c r="AK314" s="1380"/>
      <c r="BN314" s="34"/>
    </row>
    <row r="315" spans="2:66" ht="12.95" customHeight="1">
      <c r="B315" s="3" t="s">
        <v>88</v>
      </c>
      <c r="C315" s="3"/>
      <c r="D315" s="3"/>
      <c r="E315" s="3"/>
      <c r="F315" s="3"/>
      <c r="G315" s="3"/>
      <c r="H315" s="1481" t="s">
        <v>2697</v>
      </c>
      <c r="I315" s="1481"/>
      <c r="J315" s="1481"/>
      <c r="K315" s="1481"/>
      <c r="L315" s="1481"/>
      <c r="M315" s="1481"/>
      <c r="N315" s="4" t="s">
        <v>207</v>
      </c>
      <c r="O315" s="4"/>
      <c r="P315" s="1444"/>
      <c r="Q315" s="1444"/>
      <c r="R315" s="1444"/>
      <c r="S315" s="3"/>
      <c r="T315" s="3" t="s">
        <v>88</v>
      </c>
      <c r="V315" s="3"/>
      <c r="W315" s="3"/>
      <c r="X315" s="3"/>
      <c r="Y315" s="3"/>
      <c r="AA315" s="1481" t="s">
        <v>2749</v>
      </c>
      <c r="AB315" s="1481"/>
      <c r="AC315" s="1481"/>
      <c r="AD315" s="1481"/>
      <c r="AE315" s="1481"/>
      <c r="AF315" s="1481"/>
      <c r="AG315" s="4" t="s">
        <v>207</v>
      </c>
      <c r="AH315" s="4"/>
      <c r="AI315" s="1444"/>
      <c r="AJ315" s="1444"/>
      <c r="AK315" s="1444"/>
      <c r="BN315" s="34"/>
    </row>
    <row r="316" spans="2:66" ht="12.95" customHeight="1">
      <c r="B316" s="3" t="s">
        <v>89</v>
      </c>
      <c r="C316" s="3"/>
      <c r="D316" s="3"/>
      <c r="E316" s="3"/>
      <c r="F316" s="3"/>
      <c r="G316" s="3"/>
      <c r="H316" s="1372" t="s">
        <v>599</v>
      </c>
      <c r="I316" s="1372"/>
      <c r="J316" s="1372"/>
      <c r="K316" s="1372"/>
      <c r="L316" s="1372"/>
      <c r="M316" s="1372"/>
      <c r="N316" s="4"/>
      <c r="O316" s="4"/>
      <c r="P316" s="35"/>
      <c r="Q316" s="35"/>
      <c r="R316" s="35"/>
      <c r="S316" s="3"/>
      <c r="T316" s="3" t="s">
        <v>89</v>
      </c>
      <c r="V316" s="3"/>
      <c r="W316" s="3"/>
      <c r="X316" s="3"/>
      <c r="Y316" s="3"/>
      <c r="AA316" s="1371" t="s">
        <v>599</v>
      </c>
      <c r="AB316" s="1372"/>
      <c r="AC316" s="1372"/>
      <c r="AD316" s="1372"/>
      <c r="AE316" s="1372"/>
      <c r="AF316" s="1372"/>
      <c r="AG316" s="4"/>
      <c r="AH316" s="4"/>
      <c r="AI316" s="35"/>
      <c r="AJ316" s="35"/>
      <c r="AK316" s="35"/>
      <c r="BN316" s="34"/>
    </row>
    <row r="317" spans="2:66" ht="12.95" customHeight="1">
      <c r="B317" s="3" t="s">
        <v>76</v>
      </c>
      <c r="C317" s="3"/>
      <c r="D317" s="3"/>
      <c r="E317" s="3"/>
      <c r="F317" s="3"/>
      <c r="G317" s="3"/>
      <c r="H317" s="1380" t="s">
        <v>2698</v>
      </c>
      <c r="I317" s="1380"/>
      <c r="J317" s="1380"/>
      <c r="K317" s="1380"/>
      <c r="L317" s="1380"/>
      <c r="M317" s="1380"/>
      <c r="N317" s="1374"/>
      <c r="O317" s="1374"/>
      <c r="P317" s="1374"/>
      <c r="Q317" s="1374"/>
      <c r="R317" s="1374"/>
      <c r="S317" s="3"/>
      <c r="T317" s="3" t="s">
        <v>76</v>
      </c>
      <c r="V317" s="3"/>
      <c r="W317" s="3"/>
      <c r="X317" s="3"/>
      <c r="Y317" s="3"/>
      <c r="AA317" s="1380" t="s">
        <v>2750</v>
      </c>
      <c r="AB317" s="1380"/>
      <c r="AC317" s="1380"/>
      <c r="AD317" s="1380"/>
      <c r="AE317" s="1380"/>
      <c r="AF317" s="1380"/>
      <c r="AG317" s="1374"/>
      <c r="AH317" s="1374"/>
      <c r="AI317" s="1374"/>
      <c r="AJ317" s="1374"/>
      <c r="AK317" s="1374"/>
      <c r="BN317" s="34"/>
    </row>
    <row r="318" spans="2:66" ht="12.95" customHeight="1">
      <c r="BN318" s="34"/>
    </row>
    <row r="319" spans="2:66" ht="12.95" customHeight="1">
      <c r="B319" s="4" t="s">
        <v>923</v>
      </c>
      <c r="C319" s="3"/>
      <c r="D319" s="3"/>
      <c r="E319" s="3"/>
      <c r="F319" s="3"/>
      <c r="H319" s="1374" t="s">
        <v>599</v>
      </c>
      <c r="I319" s="1374"/>
      <c r="J319" s="1374"/>
      <c r="K319" s="1374"/>
      <c r="L319" s="1374"/>
      <c r="M319" s="1374"/>
      <c r="N319" s="1374"/>
      <c r="O319" s="1374"/>
      <c r="P319" s="1374"/>
      <c r="Q319" s="1374"/>
      <c r="R319" s="1374"/>
      <c r="T319" s="3" t="s">
        <v>367</v>
      </c>
      <c r="V319" s="3"/>
      <c r="W319" s="3"/>
      <c r="X319" s="3"/>
      <c r="Y319" s="3"/>
      <c r="AA319" s="1374" t="s">
        <v>2699</v>
      </c>
      <c r="AB319" s="1374"/>
      <c r="AC319" s="1374"/>
      <c r="AD319" s="1374"/>
      <c r="AE319" s="1374"/>
      <c r="AF319" s="1374"/>
      <c r="AG319" s="1374"/>
      <c r="AH319" s="1374"/>
      <c r="AI319" s="1374"/>
      <c r="AJ319" s="1374"/>
      <c r="AK319" s="1374"/>
      <c r="BN319" s="34"/>
    </row>
    <row r="320" spans="2:66" ht="12.95" customHeight="1">
      <c r="B320" s="3" t="s">
        <v>479</v>
      </c>
      <c r="C320" s="3"/>
      <c r="D320" s="3"/>
      <c r="E320" s="3"/>
      <c r="F320" s="3"/>
      <c r="H320" s="1380"/>
      <c r="I320" s="1380"/>
      <c r="J320" s="1380"/>
      <c r="K320" s="1380"/>
      <c r="L320" s="1380"/>
      <c r="M320" s="1380"/>
      <c r="N320" s="1380"/>
      <c r="O320" s="1380"/>
      <c r="P320" s="1380"/>
      <c r="Q320" s="1380"/>
      <c r="R320" s="1380"/>
      <c r="T320" s="3" t="s">
        <v>479</v>
      </c>
      <c r="V320" s="3"/>
      <c r="W320" s="3"/>
      <c r="X320" s="3"/>
      <c r="Y320" s="3"/>
      <c r="AA320" s="1380" t="s">
        <v>2700</v>
      </c>
      <c r="AB320" s="1380"/>
      <c r="AC320" s="1380"/>
      <c r="AD320" s="1380"/>
      <c r="AE320" s="1380"/>
      <c r="AF320" s="1380"/>
      <c r="AG320" s="1380"/>
      <c r="AH320" s="1380"/>
      <c r="AI320" s="1380"/>
      <c r="AJ320" s="1380"/>
      <c r="AK320" s="1380"/>
      <c r="BN320" s="34"/>
    </row>
    <row r="321" spans="2:66" ht="12.95" customHeight="1">
      <c r="B321" s="3" t="s">
        <v>480</v>
      </c>
      <c r="C321" s="3"/>
      <c r="D321" s="3"/>
      <c r="E321" s="3"/>
      <c r="F321" s="3"/>
      <c r="H321" s="1380"/>
      <c r="I321" s="1380"/>
      <c r="J321" s="1380"/>
      <c r="K321" s="1380"/>
      <c r="L321" s="1380"/>
      <c r="M321" s="1380"/>
      <c r="N321" s="1380"/>
      <c r="O321" s="1380"/>
      <c r="P321" s="1380"/>
      <c r="Q321" s="1380"/>
      <c r="R321" s="1380"/>
      <c r="T321" s="3" t="s">
        <v>75</v>
      </c>
      <c r="V321" s="3"/>
      <c r="W321" s="3"/>
      <c r="X321" s="3"/>
      <c r="Y321" s="3"/>
      <c r="AA321" s="1380" t="s">
        <v>2701</v>
      </c>
      <c r="AB321" s="1380"/>
      <c r="AC321" s="1380"/>
      <c r="AD321" s="1380"/>
      <c r="AE321" s="1380"/>
      <c r="AF321" s="1380"/>
      <c r="AG321" s="1380"/>
      <c r="AH321" s="1380"/>
      <c r="AI321" s="1380"/>
      <c r="AJ321" s="1380"/>
      <c r="AK321" s="1380"/>
      <c r="BN321" s="34"/>
    </row>
    <row r="322" spans="2:66" ht="12.95" customHeight="1">
      <c r="B322" s="3" t="s">
        <v>87</v>
      </c>
      <c r="C322" s="3"/>
      <c r="D322" s="3"/>
      <c r="E322" s="3"/>
      <c r="F322" s="3"/>
      <c r="H322" s="1380"/>
      <c r="I322" s="1380"/>
      <c r="J322" s="1380"/>
      <c r="K322" s="1380"/>
      <c r="L322" s="1380"/>
      <c r="M322" s="1380"/>
      <c r="N322" s="1380"/>
      <c r="O322" s="1380"/>
      <c r="P322" s="1380"/>
      <c r="Q322" s="1380"/>
      <c r="R322" s="1380"/>
      <c r="T322" s="3" t="s">
        <v>87</v>
      </c>
      <c r="V322" s="3"/>
      <c r="W322" s="3"/>
      <c r="X322" s="3"/>
      <c r="Y322" s="3"/>
      <c r="AA322" s="1380" t="s">
        <v>2702</v>
      </c>
      <c r="AB322" s="1380"/>
      <c r="AC322" s="1380"/>
      <c r="AD322" s="1380"/>
      <c r="AE322" s="1380"/>
      <c r="AF322" s="1380"/>
      <c r="AG322" s="1380"/>
      <c r="AH322" s="1380"/>
      <c r="AI322" s="1380"/>
      <c r="AJ322" s="1380"/>
      <c r="AK322" s="1380"/>
      <c r="BN322" s="34"/>
    </row>
    <row r="323" spans="2:66" ht="12.95" customHeight="1">
      <c r="B323" s="3" t="s">
        <v>88</v>
      </c>
      <c r="C323" s="3"/>
      <c r="D323" s="3"/>
      <c r="E323" s="3"/>
      <c r="F323" s="3"/>
      <c r="G323" s="3"/>
      <c r="H323" s="1481"/>
      <c r="I323" s="1481"/>
      <c r="J323" s="1481"/>
      <c r="K323" s="1481"/>
      <c r="L323" s="1481"/>
      <c r="M323" s="1481"/>
      <c r="N323" s="4" t="s">
        <v>207</v>
      </c>
      <c r="O323" s="4"/>
      <c r="P323" s="1444"/>
      <c r="Q323" s="1444"/>
      <c r="R323" s="1444"/>
      <c r="S323" s="3"/>
      <c r="T323" s="3" t="s">
        <v>88</v>
      </c>
      <c r="V323" s="3"/>
      <c r="W323" s="3"/>
      <c r="X323" s="3"/>
      <c r="Y323" s="3"/>
      <c r="AA323" s="1481" t="s">
        <v>2703</v>
      </c>
      <c r="AB323" s="1481"/>
      <c r="AC323" s="1481"/>
      <c r="AD323" s="1481"/>
      <c r="AE323" s="1481"/>
      <c r="AF323" s="1481"/>
      <c r="AG323" s="4" t="s">
        <v>207</v>
      </c>
      <c r="AH323" s="4"/>
      <c r="AI323" s="1444"/>
      <c r="AJ323" s="1444"/>
      <c r="AK323" s="1444"/>
    </row>
    <row r="324" spans="2:66" ht="12.95" customHeight="1">
      <c r="B324" s="3" t="s">
        <v>89</v>
      </c>
      <c r="C324" s="3"/>
      <c r="D324" s="3"/>
      <c r="E324" s="3"/>
      <c r="F324" s="3"/>
      <c r="G324" s="3"/>
      <c r="H324" s="1372"/>
      <c r="I324" s="1372"/>
      <c r="J324" s="1372"/>
      <c r="K324" s="1372"/>
      <c r="L324" s="1372"/>
      <c r="M324" s="1372"/>
      <c r="N324" s="4"/>
      <c r="O324" s="4"/>
      <c r="P324" s="35"/>
      <c r="Q324" s="35"/>
      <c r="R324" s="35"/>
      <c r="S324" s="3"/>
      <c r="T324" s="3" t="s">
        <v>89</v>
      </c>
      <c r="V324" s="3"/>
      <c r="W324" s="3"/>
      <c r="X324" s="3"/>
      <c r="Y324" s="3"/>
      <c r="AA324" s="1372" t="s">
        <v>2704</v>
      </c>
      <c r="AB324" s="1372"/>
      <c r="AC324" s="1372"/>
      <c r="AD324" s="1372"/>
      <c r="AE324" s="1372"/>
      <c r="AF324" s="1372"/>
      <c r="AG324" s="4"/>
      <c r="AH324" s="4"/>
      <c r="AI324" s="35"/>
      <c r="AJ324" s="35"/>
      <c r="AK324" s="35"/>
    </row>
    <row r="325" spans="2:66" ht="12.95" customHeight="1">
      <c r="B325" s="3" t="s">
        <v>76</v>
      </c>
      <c r="C325" s="3"/>
      <c r="D325" s="3"/>
      <c r="E325" s="3"/>
      <c r="F325" s="3"/>
      <c r="G325" s="3"/>
      <c r="H325" s="1380"/>
      <c r="I325" s="1380"/>
      <c r="J325" s="1380"/>
      <c r="K325" s="1380"/>
      <c r="L325" s="1380"/>
      <c r="M325" s="1380"/>
      <c r="N325" s="1374"/>
      <c r="O325" s="1374"/>
      <c r="P325" s="1374"/>
      <c r="Q325" s="1374"/>
      <c r="R325" s="1374"/>
      <c r="S325" s="3"/>
      <c r="T325" s="3" t="s">
        <v>76</v>
      </c>
      <c r="V325" s="3"/>
      <c r="W325" s="3"/>
      <c r="X325" s="3"/>
      <c r="Y325" s="3"/>
      <c r="AA325" s="1380" t="s">
        <v>2705</v>
      </c>
      <c r="AB325" s="1380"/>
      <c r="AC325" s="1380"/>
      <c r="AD325" s="1380"/>
      <c r="AE325" s="1380"/>
      <c r="AF325" s="1380"/>
      <c r="AG325" s="1374"/>
      <c r="AH325" s="1374"/>
      <c r="AI325" s="1374"/>
      <c r="AJ325" s="1374"/>
      <c r="AK325" s="137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4" t="s">
        <v>599</v>
      </c>
      <c r="I327" s="1374"/>
      <c r="J327" s="1374"/>
      <c r="K327" s="1374"/>
      <c r="L327" s="1374"/>
      <c r="M327" s="1374"/>
      <c r="N327" s="1374"/>
      <c r="O327" s="1374"/>
      <c r="P327" s="1374"/>
      <c r="Q327" s="1374"/>
      <c r="R327" s="1374"/>
      <c r="T327" s="3" t="s">
        <v>369</v>
      </c>
      <c r="V327" s="3"/>
      <c r="W327" s="3"/>
      <c r="X327" s="3"/>
      <c r="Y327" s="3"/>
      <c r="AA327" s="1374" t="s">
        <v>599</v>
      </c>
      <c r="AB327" s="1374"/>
      <c r="AC327" s="1374"/>
      <c r="AD327" s="1374"/>
      <c r="AE327" s="1374"/>
      <c r="AF327" s="1374"/>
      <c r="AG327" s="1374"/>
      <c r="AH327" s="1374"/>
      <c r="AI327" s="1374"/>
      <c r="AJ327" s="1374"/>
      <c r="AK327" s="1374"/>
    </row>
    <row r="328" spans="2:66" ht="12.95" customHeight="1">
      <c r="B328" s="3" t="s">
        <v>479</v>
      </c>
      <c r="C328" s="3"/>
      <c r="D328" s="3"/>
      <c r="E328" s="3"/>
      <c r="F328" s="3"/>
      <c r="H328" s="1380"/>
      <c r="I328" s="1380"/>
      <c r="J328" s="1380"/>
      <c r="K328" s="1380"/>
      <c r="L328" s="1380"/>
      <c r="M328" s="1380"/>
      <c r="N328" s="1380"/>
      <c r="O328" s="1380"/>
      <c r="P328" s="1380"/>
      <c r="Q328" s="1380"/>
      <c r="R328" s="1380"/>
      <c r="T328" s="3" t="s">
        <v>479</v>
      </c>
      <c r="V328" s="3"/>
      <c r="W328" s="3"/>
      <c r="X328" s="3"/>
      <c r="Y328" s="3"/>
      <c r="AA328" s="1380"/>
      <c r="AB328" s="1380"/>
      <c r="AC328" s="1380"/>
      <c r="AD328" s="1380"/>
      <c r="AE328" s="1380"/>
      <c r="AF328" s="1380"/>
      <c r="AG328" s="1380"/>
      <c r="AH328" s="1380"/>
      <c r="AI328" s="1380"/>
      <c r="AJ328" s="1380"/>
      <c r="AK328" s="1380"/>
    </row>
    <row r="329" spans="2:66" ht="12.95" customHeight="1">
      <c r="B329" s="3" t="s">
        <v>480</v>
      </c>
      <c r="C329" s="3"/>
      <c r="D329" s="3"/>
      <c r="E329" s="3"/>
      <c r="F329" s="3"/>
      <c r="H329" s="1380"/>
      <c r="I329" s="1380"/>
      <c r="J329" s="1380"/>
      <c r="K329" s="1380"/>
      <c r="L329" s="1380"/>
      <c r="M329" s="1380"/>
      <c r="N329" s="1380"/>
      <c r="O329" s="1380"/>
      <c r="P329" s="1380"/>
      <c r="Q329" s="1380"/>
      <c r="R329" s="1380"/>
      <c r="T329" s="3" t="s">
        <v>75</v>
      </c>
      <c r="V329" s="3"/>
      <c r="W329" s="3"/>
      <c r="X329" s="3"/>
      <c r="Y329" s="3"/>
      <c r="AA329" s="1380"/>
      <c r="AB329" s="1380"/>
      <c r="AC329" s="1380"/>
      <c r="AD329" s="1380"/>
      <c r="AE329" s="1380"/>
      <c r="AF329" s="1380"/>
      <c r="AG329" s="1380"/>
      <c r="AH329" s="1380"/>
      <c r="AI329" s="1380"/>
      <c r="AJ329" s="1380"/>
      <c r="AK329" s="1380"/>
    </row>
    <row r="330" spans="2:66" ht="12.95" customHeight="1">
      <c r="B330" s="3" t="s">
        <v>87</v>
      </c>
      <c r="C330" s="3"/>
      <c r="D330" s="3"/>
      <c r="E330" s="3"/>
      <c r="F330" s="3"/>
      <c r="H330" s="1380"/>
      <c r="I330" s="1380"/>
      <c r="J330" s="1380"/>
      <c r="K330" s="1380"/>
      <c r="L330" s="1380"/>
      <c r="M330" s="1380"/>
      <c r="N330" s="1380"/>
      <c r="O330" s="1380"/>
      <c r="P330" s="1380"/>
      <c r="Q330" s="1380"/>
      <c r="R330" s="1380"/>
      <c r="T330" s="3" t="s">
        <v>87</v>
      </c>
      <c r="V330" s="3"/>
      <c r="W330" s="3"/>
      <c r="X330" s="3"/>
      <c r="Y330" s="3"/>
      <c r="AA330" s="1380"/>
      <c r="AB330" s="1380"/>
      <c r="AC330" s="1380"/>
      <c r="AD330" s="1380"/>
      <c r="AE330" s="1380"/>
      <c r="AF330" s="1380"/>
      <c r="AG330" s="1380"/>
      <c r="AH330" s="1380"/>
      <c r="AI330" s="1380"/>
      <c r="AJ330" s="1380"/>
      <c r="AK330" s="1380"/>
    </row>
    <row r="331" spans="2:66" ht="12.95" customHeight="1">
      <c r="B331" s="3" t="s">
        <v>88</v>
      </c>
      <c r="C331" s="3"/>
      <c r="D331" s="3"/>
      <c r="E331" s="3"/>
      <c r="F331" s="3"/>
      <c r="G331" s="3"/>
      <c r="H331" s="1481"/>
      <c r="I331" s="1481"/>
      <c r="J331" s="1481"/>
      <c r="K331" s="1481"/>
      <c r="L331" s="1481"/>
      <c r="M331" s="1481"/>
      <c r="N331" s="4" t="s">
        <v>207</v>
      </c>
      <c r="O331" s="4"/>
      <c r="P331" s="1444"/>
      <c r="Q331" s="1444"/>
      <c r="R331" s="1444"/>
      <c r="S331" s="3"/>
      <c r="T331" s="3" t="s">
        <v>88</v>
      </c>
      <c r="V331" s="3"/>
      <c r="W331" s="3"/>
      <c r="X331" s="3"/>
      <c r="Y331" s="3"/>
      <c r="AA331" s="1481"/>
      <c r="AB331" s="1481"/>
      <c r="AC331" s="1481"/>
      <c r="AD331" s="1481"/>
      <c r="AE331" s="1481"/>
      <c r="AF331" s="1481"/>
      <c r="AG331" s="4" t="s">
        <v>207</v>
      </c>
      <c r="AH331" s="4"/>
      <c r="AI331" s="1444"/>
      <c r="AJ331" s="1444"/>
      <c r="AK331" s="1444"/>
    </row>
    <row r="332" spans="2:66" ht="12.95" customHeight="1">
      <c r="B332" s="3" t="s">
        <v>89</v>
      </c>
      <c r="C332" s="3"/>
      <c r="D332" s="3"/>
      <c r="E332" s="3"/>
      <c r="F332" s="3"/>
      <c r="G332" s="3"/>
      <c r="H332" s="1372"/>
      <c r="I332" s="1372"/>
      <c r="J332" s="1372"/>
      <c r="K332" s="1372"/>
      <c r="L332" s="1372"/>
      <c r="M332" s="1372"/>
      <c r="N332" s="4"/>
      <c r="O332" s="4"/>
      <c r="P332" s="35"/>
      <c r="Q332" s="35"/>
      <c r="R332" s="35"/>
      <c r="S332" s="3"/>
      <c r="T332" s="3" t="s">
        <v>89</v>
      </c>
      <c r="V332" s="3"/>
      <c r="W332" s="3"/>
      <c r="X332" s="3"/>
      <c r="Y332" s="3"/>
      <c r="AA332" s="1372"/>
      <c r="AB332" s="1372"/>
      <c r="AC332" s="1372"/>
      <c r="AD332" s="1372"/>
      <c r="AE332" s="1372"/>
      <c r="AF332" s="1372"/>
      <c r="AG332" s="4"/>
      <c r="AH332" s="4"/>
      <c r="AI332" s="35"/>
      <c r="AJ332" s="35"/>
      <c r="AK332" s="35"/>
    </row>
    <row r="333" spans="2:66" ht="12.95" customHeight="1">
      <c r="B333" s="3" t="s">
        <v>76</v>
      </c>
      <c r="C333" s="3"/>
      <c r="D333" s="3"/>
      <c r="E333" s="3"/>
      <c r="F333" s="3"/>
      <c r="G333" s="3"/>
      <c r="H333" s="1380"/>
      <c r="I333" s="1380"/>
      <c r="J333" s="1380"/>
      <c r="K333" s="1380"/>
      <c r="L333" s="1380"/>
      <c r="M333" s="1380"/>
      <c r="N333" s="1374"/>
      <c r="O333" s="1374"/>
      <c r="P333" s="1374"/>
      <c r="Q333" s="1374"/>
      <c r="R333" s="1374"/>
      <c r="S333" s="3"/>
      <c r="T333" s="3" t="s">
        <v>76</v>
      </c>
      <c r="V333" s="3"/>
      <c r="W333" s="3"/>
      <c r="X333" s="3"/>
      <c r="Y333" s="3"/>
      <c r="AA333" s="1380"/>
      <c r="AB333" s="1380"/>
      <c r="AC333" s="1380"/>
      <c r="AD333" s="1380"/>
      <c r="AE333" s="1380"/>
      <c r="AF333" s="1380"/>
      <c r="AG333" s="1374"/>
      <c r="AH333" s="1374"/>
      <c r="AI333" s="1374"/>
      <c r="AJ333" s="1374"/>
      <c r="AK333" s="137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4" t="s">
        <v>2706</v>
      </c>
      <c r="I335" s="1374"/>
      <c r="J335" s="1374"/>
      <c r="K335" s="1374"/>
      <c r="L335" s="1374"/>
      <c r="M335" s="1374"/>
      <c r="N335" s="1374"/>
      <c r="O335" s="1374"/>
      <c r="P335" s="1374"/>
      <c r="Q335" s="1374"/>
      <c r="R335" s="1374"/>
      <c r="T335" s="218" t="s">
        <v>899</v>
      </c>
      <c r="V335" s="3"/>
      <c r="W335" s="3"/>
      <c r="X335" s="3"/>
      <c r="Y335" s="3"/>
      <c r="AA335" s="1374" t="s">
        <v>2709</v>
      </c>
      <c r="AB335" s="1374"/>
      <c r="AC335" s="1374"/>
      <c r="AD335" s="1374"/>
      <c r="AE335" s="1374"/>
      <c r="AF335" s="1374"/>
      <c r="AG335" s="1374"/>
      <c r="AH335" s="1374"/>
      <c r="AI335" s="1374"/>
      <c r="AJ335" s="1374"/>
      <c r="AK335" s="1374"/>
    </row>
    <row r="336" spans="2:66" ht="12.95" customHeight="1">
      <c r="B336" s="3" t="s">
        <v>479</v>
      </c>
      <c r="C336" s="3"/>
      <c r="D336" s="3"/>
      <c r="E336" s="3"/>
      <c r="F336" s="3"/>
      <c r="H336" s="1380" t="s">
        <v>2707</v>
      </c>
      <c r="I336" s="1380"/>
      <c r="J336" s="1380"/>
      <c r="K336" s="1380"/>
      <c r="L336" s="1380"/>
      <c r="M336" s="1380"/>
      <c r="N336" s="1380"/>
      <c r="O336" s="1380"/>
      <c r="P336" s="1380"/>
      <c r="Q336" s="1380"/>
      <c r="R336" s="1380"/>
      <c r="T336" s="3" t="s">
        <v>479</v>
      </c>
      <c r="V336" s="3"/>
      <c r="W336" s="3"/>
      <c r="X336" s="3"/>
      <c r="Y336" s="3"/>
      <c r="AA336" s="1380" t="s">
        <v>2710</v>
      </c>
      <c r="AB336" s="1380"/>
      <c r="AC336" s="1380"/>
      <c r="AD336" s="1380"/>
      <c r="AE336" s="1380"/>
      <c r="AF336" s="1380"/>
      <c r="AG336" s="1380"/>
      <c r="AH336" s="1380"/>
      <c r="AI336" s="1380"/>
      <c r="AJ336" s="1380"/>
      <c r="AK336" s="1380"/>
    </row>
    <row r="337" spans="1:66" ht="12.95" customHeight="1">
      <c r="B337" s="3" t="s">
        <v>75</v>
      </c>
      <c r="C337" s="3"/>
      <c r="D337" s="3"/>
      <c r="E337" s="3"/>
      <c r="F337" s="3"/>
      <c r="H337" s="1380" t="s">
        <v>2708</v>
      </c>
      <c r="I337" s="1380"/>
      <c r="J337" s="1380"/>
      <c r="K337" s="1380"/>
      <c r="L337" s="1380"/>
      <c r="M337" s="1380"/>
      <c r="N337" s="1380"/>
      <c r="O337" s="1380"/>
      <c r="P337" s="1380"/>
      <c r="Q337" s="1380"/>
      <c r="R337" s="1380"/>
      <c r="T337" s="3" t="s">
        <v>75</v>
      </c>
      <c r="V337" s="3"/>
      <c r="W337" s="3"/>
      <c r="X337" s="3"/>
      <c r="Y337" s="3"/>
      <c r="AA337" s="1380" t="s">
        <v>2711</v>
      </c>
      <c r="AB337" s="1380"/>
      <c r="AC337" s="1380"/>
      <c r="AD337" s="1380"/>
      <c r="AE337" s="1380"/>
      <c r="AF337" s="1380"/>
      <c r="AG337" s="1380"/>
      <c r="AH337" s="1380"/>
      <c r="AI337" s="1380"/>
      <c r="AJ337" s="1380"/>
      <c r="AK337" s="1380"/>
    </row>
    <row r="338" spans="1:66" ht="12.95" customHeight="1">
      <c r="B338" s="3" t="s">
        <v>87</v>
      </c>
      <c r="C338" s="3"/>
      <c r="D338" s="3"/>
      <c r="E338" s="3"/>
      <c r="F338" s="3"/>
      <c r="G338" s="3"/>
      <c r="H338" s="1353" t="s">
        <v>2752</v>
      </c>
      <c r="I338" s="1353"/>
      <c r="J338" s="1353"/>
      <c r="K338" s="1353"/>
      <c r="L338" s="1353"/>
      <c r="M338" s="1353"/>
      <c r="N338" s="1353"/>
      <c r="O338" s="1353"/>
      <c r="P338" s="1353"/>
      <c r="Q338" s="1353"/>
      <c r="R338" s="1353"/>
      <c r="T338" s="3" t="s">
        <v>87</v>
      </c>
      <c r="V338" s="3"/>
      <c r="W338" s="3"/>
      <c r="X338" s="3"/>
      <c r="Y338" s="3"/>
      <c r="AA338" s="1380" t="s">
        <v>2712</v>
      </c>
      <c r="AB338" s="1380"/>
      <c r="AC338" s="1380"/>
      <c r="AD338" s="1380"/>
      <c r="AE338" s="1380"/>
      <c r="AF338" s="1380"/>
      <c r="AG338" s="1380"/>
      <c r="AH338" s="1380"/>
      <c r="AI338" s="1380"/>
      <c r="AJ338" s="1380"/>
      <c r="AK338" s="1380"/>
    </row>
    <row r="339" spans="1:66" ht="12.95" customHeight="1">
      <c r="B339" s="3" t="s">
        <v>88</v>
      </c>
      <c r="C339" s="3"/>
      <c r="D339" s="3"/>
      <c r="E339" s="3"/>
      <c r="F339" s="3"/>
      <c r="G339" s="3"/>
      <c r="H339" s="1468" t="s">
        <v>2753</v>
      </c>
      <c r="I339" s="1468"/>
      <c r="J339" s="1468"/>
      <c r="K339" s="1468"/>
      <c r="L339" s="1468"/>
      <c r="M339" s="1468"/>
      <c r="N339" s="4" t="s">
        <v>207</v>
      </c>
      <c r="O339" s="4"/>
      <c r="P339" s="1444"/>
      <c r="Q339" s="1444"/>
      <c r="R339" s="1444"/>
      <c r="S339" s="3"/>
      <c r="T339" s="3" t="s">
        <v>88</v>
      </c>
      <c r="V339" s="3"/>
      <c r="W339" s="3"/>
      <c r="X339" s="3"/>
      <c r="Y339" s="3"/>
      <c r="AA339" s="1481" t="s">
        <v>2713</v>
      </c>
      <c r="AB339" s="1481"/>
      <c r="AC339" s="1481"/>
      <c r="AD339" s="1481"/>
      <c r="AE339" s="1481"/>
      <c r="AF339" s="1481"/>
      <c r="AG339" s="4" t="s">
        <v>207</v>
      </c>
      <c r="AH339" s="4"/>
      <c r="AI339" s="1444"/>
      <c r="AJ339" s="1444"/>
      <c r="AK339" s="1444"/>
    </row>
    <row r="340" spans="1:66" ht="12.95" customHeight="1">
      <c r="B340" s="3" t="s">
        <v>89</v>
      </c>
      <c r="C340" s="3"/>
      <c r="D340" s="3"/>
      <c r="E340" s="3"/>
      <c r="F340" s="3"/>
      <c r="G340" s="3"/>
      <c r="H340" s="1379" t="s">
        <v>2754</v>
      </c>
      <c r="I340" s="1379"/>
      <c r="J340" s="1379"/>
      <c r="K340" s="1379"/>
      <c r="L340" s="1379"/>
      <c r="M340" s="1379"/>
      <c r="N340" s="4"/>
      <c r="O340" s="4"/>
      <c r="P340" s="35"/>
      <c r="Q340" s="35"/>
      <c r="R340" s="35"/>
      <c r="S340" s="3"/>
      <c r="T340" s="3" t="s">
        <v>89</v>
      </c>
      <c r="V340" s="3"/>
      <c r="W340" s="3"/>
      <c r="X340" s="3"/>
      <c r="Y340" s="3"/>
      <c r="AA340" s="1372" t="s">
        <v>599</v>
      </c>
      <c r="AB340" s="1372"/>
      <c r="AC340" s="1372"/>
      <c r="AD340" s="1372"/>
      <c r="AE340" s="1372"/>
      <c r="AF340" s="1372"/>
      <c r="AG340" s="4"/>
      <c r="AH340" s="4"/>
      <c r="AI340" s="35"/>
      <c r="AJ340" s="35"/>
      <c r="AK340" s="35"/>
    </row>
    <row r="341" spans="1:66" ht="12.95" customHeight="1">
      <c r="B341" s="3" t="s">
        <v>76</v>
      </c>
      <c r="C341" s="3"/>
      <c r="D341" s="3"/>
      <c r="E341" s="3"/>
      <c r="F341" s="3"/>
      <c r="G341" s="3"/>
      <c r="H341" s="1353" t="s">
        <v>2755</v>
      </c>
      <c r="I341" s="1353"/>
      <c r="J341" s="1353"/>
      <c r="K341" s="1353"/>
      <c r="L341" s="1353"/>
      <c r="M341" s="1353"/>
      <c r="N341" s="1449"/>
      <c r="O341" s="1449"/>
      <c r="P341" s="1449"/>
      <c r="Q341" s="1449"/>
      <c r="R341" s="1449"/>
      <c r="S341" s="3"/>
      <c r="T341" s="3" t="s">
        <v>76</v>
      </c>
      <c r="V341" s="3"/>
      <c r="W341" s="3"/>
      <c r="X341" s="3"/>
      <c r="Y341" s="3"/>
      <c r="AA341" s="1380" t="s">
        <v>2714</v>
      </c>
      <c r="AB341" s="1380"/>
      <c r="AC341" s="1380"/>
      <c r="AD341" s="1380"/>
      <c r="AE341" s="1380"/>
      <c r="AF341" s="1380"/>
      <c r="AG341" s="1374"/>
      <c r="AH341" s="1374"/>
      <c r="AI341" s="1374"/>
      <c r="AJ341" s="1374"/>
      <c r="AK341" s="137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74" t="s">
        <v>599</v>
      </c>
      <c r="Q343" s="1374"/>
      <c r="R343" s="1374"/>
      <c r="S343" s="1374"/>
      <c r="T343" s="1374"/>
      <c r="U343" s="1374"/>
      <c r="V343" s="1374"/>
      <c r="W343" s="1374"/>
      <c r="X343" s="1374"/>
      <c r="Y343" s="1374"/>
      <c r="Z343" s="1374"/>
      <c r="AA343" s="1374"/>
      <c r="AB343" s="1374"/>
      <c r="AC343" s="1374"/>
      <c r="AD343" s="1374"/>
      <c r="AE343" s="1374"/>
      <c r="BN343" t="s">
        <v>677</v>
      </c>
    </row>
    <row r="344" spans="1:66" ht="12.95" customHeight="1">
      <c r="B344" s="4"/>
      <c r="C344" s="4"/>
      <c r="D344" s="4"/>
      <c r="E344" s="4"/>
      <c r="F344" s="4"/>
      <c r="I344" s="4" t="s">
        <v>479</v>
      </c>
      <c r="P344" s="1380"/>
      <c r="Q344" s="1380"/>
      <c r="R344" s="1380"/>
      <c r="S344" s="1380"/>
      <c r="T344" s="1380"/>
      <c r="U344" s="1380"/>
      <c r="V344" s="1380"/>
      <c r="W344" s="1380"/>
      <c r="X344" s="1380"/>
      <c r="Y344" s="1380"/>
      <c r="Z344" s="1380"/>
      <c r="AA344" s="1380"/>
      <c r="AB344" s="1380"/>
      <c r="AC344" s="1380"/>
      <c r="AD344" s="1380"/>
      <c r="AE344" s="1380"/>
      <c r="BN344" t="s">
        <v>553</v>
      </c>
    </row>
    <row r="345" spans="1:66" ht="12.95" customHeight="1">
      <c r="B345" s="4"/>
      <c r="C345" s="4"/>
      <c r="D345" s="4"/>
      <c r="E345" s="4"/>
      <c r="F345" s="4"/>
      <c r="I345" s="4" t="s">
        <v>75</v>
      </c>
      <c r="P345" s="1380"/>
      <c r="Q345" s="1380"/>
      <c r="R345" s="1380"/>
      <c r="S345" s="1380"/>
      <c r="T345" s="1380"/>
      <c r="U345" s="1380"/>
      <c r="V345" s="1380"/>
      <c r="W345" s="1380"/>
      <c r="X345" s="1380"/>
      <c r="Y345" s="1380"/>
      <c r="Z345" s="1380"/>
      <c r="AA345" s="1380"/>
      <c r="AB345" s="1380"/>
      <c r="AC345" s="1380"/>
      <c r="AD345" s="1380"/>
      <c r="AE345" s="1380"/>
    </row>
    <row r="346" spans="1:66" ht="12.95" customHeight="1">
      <c r="B346" s="4"/>
      <c r="C346" s="4"/>
      <c r="D346" s="4"/>
      <c r="E346" s="4"/>
      <c r="F346" s="4"/>
      <c r="G346" s="4"/>
      <c r="I346" s="4" t="s">
        <v>87</v>
      </c>
      <c r="P346" s="1380"/>
      <c r="Q346" s="1380"/>
      <c r="R346" s="1380"/>
      <c r="S346" s="1380"/>
      <c r="T346" s="1380"/>
      <c r="U346" s="1380"/>
      <c r="V346" s="1380"/>
      <c r="W346" s="1380"/>
      <c r="X346" s="1380"/>
      <c r="Y346" s="1380"/>
      <c r="Z346" s="1380"/>
      <c r="AA346" s="1380"/>
      <c r="AB346" s="1380"/>
      <c r="AC346" s="1380"/>
      <c r="AD346" s="1380"/>
      <c r="AE346" s="1380"/>
    </row>
    <row r="347" spans="1:66" ht="12.95" customHeight="1">
      <c r="B347" s="4"/>
      <c r="C347" s="4"/>
      <c r="D347" s="4"/>
      <c r="E347" s="4"/>
      <c r="F347" s="4"/>
      <c r="G347" s="4"/>
      <c r="H347" s="324"/>
      <c r="I347" s="4" t="s">
        <v>88</v>
      </c>
      <c r="P347" s="1372"/>
      <c r="Q347" s="1372"/>
      <c r="R347" s="1372"/>
      <c r="S347" s="1372"/>
      <c r="T347" s="1372"/>
      <c r="U347" s="1372"/>
      <c r="V347" s="1372"/>
      <c r="W347" s="1372"/>
      <c r="X347" s="1372"/>
      <c r="Y347" s="1372"/>
      <c r="Z347" s="1372"/>
      <c r="AA347" s="4" t="s">
        <v>207</v>
      </c>
      <c r="AB347" s="4"/>
      <c r="AC347" s="1450"/>
      <c r="AD347" s="1450"/>
      <c r="AE347" s="1450"/>
      <c r="AF347" s="324"/>
      <c r="AG347" s="4"/>
      <c r="AH347" s="4"/>
      <c r="AI347" s="4"/>
      <c r="AJ347" s="4"/>
      <c r="AK347" s="4"/>
    </row>
    <row r="348" spans="1:66" ht="12.95" customHeight="1">
      <c r="B348" s="4"/>
      <c r="C348" s="4"/>
      <c r="D348" s="4"/>
      <c r="E348" s="4"/>
      <c r="F348" s="4"/>
      <c r="G348" s="4"/>
      <c r="H348" s="324"/>
      <c r="I348" s="4" t="s">
        <v>89</v>
      </c>
      <c r="P348" s="1372"/>
      <c r="Q348" s="1372"/>
      <c r="R348" s="1372"/>
      <c r="S348" s="1372"/>
      <c r="T348" s="1372"/>
      <c r="U348" s="1372"/>
      <c r="V348" s="1372"/>
      <c r="W348" s="1372"/>
      <c r="X348" s="1372"/>
      <c r="Y348" s="1372"/>
      <c r="Z348" s="1372"/>
      <c r="AF348" s="324"/>
      <c r="AG348" s="4"/>
      <c r="AH348" s="4"/>
      <c r="AI348" s="35"/>
      <c r="AJ348" s="35"/>
      <c r="AK348" s="35"/>
    </row>
    <row r="349" spans="1:66" ht="12.95" customHeight="1">
      <c r="B349" s="4"/>
      <c r="C349" s="4"/>
      <c r="D349" s="4"/>
      <c r="E349" s="4"/>
      <c r="F349" s="4"/>
      <c r="G349" s="4"/>
      <c r="I349" s="4" t="s">
        <v>76</v>
      </c>
      <c r="P349" s="1374"/>
      <c r="Q349" s="1374"/>
      <c r="R349" s="1374"/>
      <c r="S349" s="1374"/>
      <c r="T349" s="1374"/>
      <c r="U349" s="1374"/>
      <c r="V349" s="1374"/>
      <c r="W349" s="1374"/>
      <c r="X349" s="1374"/>
      <c r="Y349" s="1374"/>
      <c r="Z349" s="1374"/>
      <c r="AA349" s="1374"/>
      <c r="AB349" s="1374"/>
      <c r="AC349" s="1374"/>
      <c r="AD349" s="1374"/>
      <c r="AE349" s="1374"/>
    </row>
    <row r="350" spans="1:66" ht="12.95" customHeight="1">
      <c r="T350" s="8"/>
      <c r="U350" s="8"/>
      <c r="V350" s="8"/>
      <c r="W350" s="8"/>
      <c r="X350" s="8"/>
      <c r="Y350" s="8"/>
      <c r="Z350" s="8"/>
      <c r="AU350" s="95"/>
      <c r="AV350" s="95"/>
      <c r="AW350" s="95"/>
      <c r="AX350" s="95"/>
      <c r="AY350" s="95"/>
    </row>
    <row r="351" spans="1:66" ht="12.95" customHeight="1">
      <c r="A351" s="1467" t="s">
        <v>550</v>
      </c>
      <c r="B351" s="1467"/>
      <c r="C351" s="1467"/>
      <c r="D351" s="1467"/>
      <c r="E351" s="1467"/>
      <c r="F351" s="1467"/>
      <c r="G351" s="1467"/>
      <c r="H351" s="1467"/>
      <c r="I351" s="1467"/>
      <c r="J351" s="1467"/>
      <c r="K351" s="1467"/>
      <c r="L351" s="1467"/>
      <c r="M351" s="1467"/>
      <c r="N351" s="1467"/>
      <c r="O351" s="1467"/>
      <c r="P351" s="1467"/>
      <c r="Q351" s="1467"/>
      <c r="R351" s="1467"/>
      <c r="S351" s="1467"/>
      <c r="T351" s="1467"/>
      <c r="U351" s="1467"/>
      <c r="V351" s="1467"/>
      <c r="W351" s="1467"/>
      <c r="X351" s="1467"/>
      <c r="Y351" s="1467"/>
      <c r="Z351" s="1467"/>
      <c r="AA351" s="1467"/>
      <c r="AB351" s="1467"/>
      <c r="AC351" s="1467"/>
      <c r="AD351" s="1467"/>
      <c r="AE351" s="1467"/>
      <c r="AF351" s="1467"/>
      <c r="AG351" s="1467"/>
      <c r="AH351" s="1467"/>
      <c r="AI351" s="1467"/>
      <c r="AJ351" s="1467"/>
      <c r="AK351" s="1467"/>
      <c r="AL351" s="1467"/>
      <c r="AM351" s="1467"/>
      <c r="AN351" s="1467"/>
      <c r="AO351" s="1467"/>
      <c r="AP351" s="1467"/>
      <c r="AQ351" s="1467"/>
      <c r="AR351" s="1467"/>
      <c r="AS351" s="1467"/>
      <c r="AT351" s="1467"/>
      <c r="AU351" s="95"/>
      <c r="AV351" s="95"/>
      <c r="AW351" s="95"/>
      <c r="AX351" s="95"/>
      <c r="AY351" s="95"/>
    </row>
    <row r="352" spans="1:66" ht="12.95" customHeight="1">
      <c r="A352" s="1467"/>
      <c r="B352" s="1467"/>
      <c r="C352" s="1467"/>
      <c r="D352" s="1467"/>
      <c r="E352" s="1467"/>
      <c r="F352" s="1467"/>
      <c r="G352" s="1467"/>
      <c r="H352" s="1467"/>
      <c r="I352" s="1467"/>
      <c r="J352" s="1467"/>
      <c r="K352" s="1467"/>
      <c r="L352" s="1467"/>
      <c r="M352" s="1467"/>
      <c r="N352" s="1467"/>
      <c r="O352" s="1467"/>
      <c r="P352" s="1467"/>
      <c r="Q352" s="1467"/>
      <c r="R352" s="1467"/>
      <c r="S352" s="1467"/>
      <c r="T352" s="1467"/>
      <c r="U352" s="1467"/>
      <c r="V352" s="1467"/>
      <c r="W352" s="1467"/>
      <c r="X352" s="1467"/>
      <c r="Y352" s="1467"/>
      <c r="Z352" s="1467"/>
      <c r="AA352" s="1467"/>
      <c r="AB352" s="1467"/>
      <c r="AC352" s="1467"/>
      <c r="AD352" s="1467"/>
      <c r="AE352" s="1467"/>
      <c r="AF352" s="1467"/>
      <c r="AG352" s="1467"/>
      <c r="AH352" s="1467"/>
      <c r="AI352" s="1467"/>
      <c r="AJ352" s="1467"/>
      <c r="AK352" s="1467"/>
      <c r="AL352" s="1467"/>
      <c r="AM352" s="1467"/>
      <c r="AN352" s="1467"/>
      <c r="AO352" s="1467"/>
      <c r="AP352" s="1467"/>
      <c r="AQ352" s="1467"/>
      <c r="AR352" s="1467"/>
      <c r="AS352" s="1467"/>
      <c r="AT352" s="146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55" t="s">
        <v>553</v>
      </c>
      <c r="N355" s="1355"/>
      <c r="P355" t="s">
        <v>1761</v>
      </c>
      <c r="AJ355" s="1355" t="s">
        <v>677</v>
      </c>
      <c r="AK355" s="1355"/>
    </row>
    <row r="356" spans="1:46" ht="12.95" customHeight="1">
      <c r="D356" s="3" t="s">
        <v>1750</v>
      </c>
      <c r="M356" s="1355" t="s">
        <v>599</v>
      </c>
      <c r="N356" s="1355"/>
      <c r="P356" s="3" t="s">
        <v>1907</v>
      </c>
      <c r="AJ356" s="1452"/>
      <c r="AK356" s="1452"/>
    </row>
    <row r="357" spans="1:46" ht="12.95" customHeight="1">
      <c r="D357" s="3" t="s">
        <v>713</v>
      </c>
      <c r="M357" s="1355" t="s">
        <v>599</v>
      </c>
      <c r="N357" s="1355"/>
      <c r="P357" t="s">
        <v>1760</v>
      </c>
      <c r="AJ357" s="1355" t="s">
        <v>677</v>
      </c>
      <c r="AK357" s="1355"/>
    </row>
    <row r="358" spans="1:46" ht="12.95" customHeight="1">
      <c r="D358" s="3" t="s">
        <v>714</v>
      </c>
      <c r="M358" s="1355" t="s">
        <v>599</v>
      </c>
      <c r="N358" s="1355"/>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55" t="s">
        <v>599</v>
      </c>
      <c r="O363" s="1355"/>
      <c r="P363" s="40"/>
      <c r="Q363" s="40"/>
      <c r="R363" s="40"/>
      <c r="S363" s="40"/>
      <c r="T363" s="40"/>
      <c r="U363" s="40"/>
      <c r="V363" s="40"/>
      <c r="W363" s="40"/>
      <c r="X363" s="40"/>
      <c r="Y363" s="40"/>
      <c r="Z363" s="40"/>
      <c r="AC363" s="40"/>
      <c r="AD363" s="40"/>
      <c r="AE363" s="40"/>
    </row>
    <row r="364" spans="1:46" ht="12.95" customHeight="1">
      <c r="E364" t="s">
        <v>371</v>
      </c>
      <c r="Y364" s="1355" t="s">
        <v>599</v>
      </c>
      <c r="Z364" s="1355"/>
    </row>
    <row r="365" spans="1:46" ht="12.95" customHeight="1">
      <c r="D365" s="4" t="s">
        <v>997</v>
      </c>
      <c r="Q365" s="1374"/>
      <c r="R365" s="1374"/>
      <c r="S365" s="1374"/>
      <c r="T365" s="1374"/>
      <c r="U365" s="1374"/>
      <c r="V365" s="1374"/>
      <c r="W365" s="1374"/>
      <c r="X365" s="1374"/>
      <c r="Y365" s="1374"/>
      <c r="Z365" s="1374"/>
      <c r="AA365" s="1374"/>
      <c r="AB365" s="1374"/>
      <c r="AC365" s="1374"/>
      <c r="AD365" s="1374"/>
      <c r="AE365" s="1374"/>
      <c r="AF365" s="1374"/>
      <c r="AG365" s="137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55" t="s">
        <v>599</v>
      </c>
      <c r="K367" s="1355"/>
      <c r="L367" s="40"/>
      <c r="M367" s="40"/>
      <c r="N367" s="40"/>
      <c r="O367" s="40"/>
      <c r="P367" s="40"/>
      <c r="Q367" s="40"/>
      <c r="R367" s="40"/>
      <c r="S367" s="40"/>
      <c r="T367" s="40"/>
      <c r="U367" s="40"/>
      <c r="V367" s="40"/>
      <c r="W367" s="40"/>
      <c r="X367" s="40"/>
      <c r="Y367" s="40"/>
      <c r="Z367" s="40"/>
      <c r="AC367" s="40"/>
      <c r="AD367" s="40"/>
      <c r="AE367" s="40"/>
    </row>
    <row r="368" spans="1:46" ht="12.95" customHeight="1">
      <c r="E368" s="1443" t="s">
        <v>715</v>
      </c>
      <c r="F368" s="1443"/>
      <c r="G368" s="1443"/>
      <c r="H368" s="1443"/>
      <c r="I368" s="1443"/>
      <c r="J368" s="1443"/>
      <c r="K368" s="1443"/>
      <c r="L368" s="1443"/>
      <c r="M368" s="1443"/>
      <c r="N368" s="1443"/>
      <c r="O368" s="1443"/>
      <c r="P368" s="1443"/>
      <c r="Q368" s="1443"/>
      <c r="R368" s="1443"/>
      <c r="S368" s="1443"/>
      <c r="T368" s="1443"/>
      <c r="U368" s="1443"/>
      <c r="V368" s="1443"/>
      <c r="W368" s="1443"/>
      <c r="X368" s="1443"/>
      <c r="Y368" s="1443"/>
      <c r="Z368" s="1443"/>
      <c r="AA368" s="1443"/>
      <c r="AB368" s="1443"/>
      <c r="AC368" s="1443"/>
      <c r="AD368" s="1443"/>
      <c r="AE368" s="1443"/>
      <c r="AF368" s="1443"/>
      <c r="AG368" s="1443"/>
      <c r="AH368" s="1443"/>
    </row>
    <row r="369" spans="1:34" ht="12.95" customHeight="1">
      <c r="E369" s="1443"/>
      <c r="F369" s="1443"/>
      <c r="G369" s="1443"/>
      <c r="H369" s="1443"/>
      <c r="I369" s="1443"/>
      <c r="J369" s="1443"/>
      <c r="K369" s="1443"/>
      <c r="L369" s="1443"/>
      <c r="M369" s="1443"/>
      <c r="N369" s="1443"/>
      <c r="O369" s="1443"/>
      <c r="P369" s="1443"/>
      <c r="Q369" s="1443"/>
      <c r="R369" s="1443"/>
      <c r="S369" s="1443"/>
      <c r="T369" s="1443"/>
      <c r="U369" s="1443"/>
      <c r="V369" s="1443"/>
      <c r="W369" s="1443"/>
      <c r="X369" s="1443"/>
      <c r="Y369" s="1443"/>
      <c r="Z369" s="1443"/>
      <c r="AA369" s="1443"/>
      <c r="AB369" s="1443"/>
      <c r="AC369" s="1443"/>
      <c r="AD369" s="1443"/>
      <c r="AE369" s="1443"/>
      <c r="AF369" s="1443"/>
      <c r="AG369" s="1443"/>
      <c r="AH369" s="1443"/>
    </row>
    <row r="370" spans="1:34" ht="12.95" customHeight="1">
      <c r="E370" s="4" t="s">
        <v>456</v>
      </c>
      <c r="F370" s="4"/>
      <c r="G370" s="4"/>
      <c r="H370" s="4"/>
      <c r="I370" s="4"/>
      <c r="J370" s="4"/>
      <c r="K370" s="4"/>
      <c r="L370" s="4"/>
      <c r="N370" s="1685" t="s">
        <v>599</v>
      </c>
      <c r="O370" s="1649"/>
      <c r="P370" s="1649"/>
      <c r="Q370" s="1649"/>
      <c r="R370" s="4"/>
      <c r="U370" s="4" t="s">
        <v>457</v>
      </c>
      <c r="V370" s="4"/>
      <c r="W370" s="4"/>
      <c r="X370" s="4"/>
      <c r="Y370" s="4"/>
      <c r="Z370" s="4"/>
      <c r="AA370" s="4"/>
      <c r="AB370" s="4"/>
      <c r="AC370" s="1685" t="s">
        <v>599</v>
      </c>
      <c r="AD370" s="1649"/>
      <c r="AE370" s="1649"/>
      <c r="AF370" s="1649"/>
    </row>
    <row r="371" spans="1:34" ht="12.95" customHeight="1">
      <c r="E371" s="4" t="s">
        <v>458</v>
      </c>
      <c r="F371" s="4"/>
      <c r="G371" s="4"/>
      <c r="H371" s="4"/>
      <c r="I371" s="4"/>
      <c r="J371" s="4"/>
      <c r="K371" s="4"/>
      <c r="L371" s="4"/>
      <c r="N371" s="1685" t="s">
        <v>599</v>
      </c>
      <c r="O371" s="1649"/>
      <c r="P371" s="1649"/>
      <c r="Q371" s="1649"/>
      <c r="R371" s="4"/>
      <c r="U371" s="4" t="s">
        <v>0</v>
      </c>
      <c r="V371" s="4"/>
      <c r="W371" s="4"/>
      <c r="X371" s="4"/>
      <c r="Y371" s="4"/>
      <c r="Z371" s="4"/>
      <c r="AA371" s="4"/>
      <c r="AB371" s="4"/>
      <c r="AC371" s="1685" t="s">
        <v>599</v>
      </c>
      <c r="AD371" s="1649"/>
      <c r="AE371" s="1649"/>
      <c r="AF371" s="1649"/>
    </row>
    <row r="372" spans="1:34" ht="12.95" customHeight="1">
      <c r="E372" s="4" t="s">
        <v>1</v>
      </c>
      <c r="F372" s="4"/>
      <c r="G372" s="4"/>
      <c r="H372" s="4"/>
      <c r="I372" s="4"/>
      <c r="J372" s="4"/>
      <c r="K372" s="4"/>
      <c r="L372" s="4"/>
      <c r="N372" s="1685" t="s">
        <v>599</v>
      </c>
      <c r="O372" s="1649"/>
      <c r="P372" s="1649"/>
      <c r="Q372" s="1649"/>
      <c r="R372" s="4"/>
      <c r="V372" s="4"/>
      <c r="W372" s="4"/>
      <c r="X372" s="4"/>
      <c r="Y372" s="4"/>
      <c r="Z372" s="4"/>
      <c r="AA372" s="4"/>
      <c r="AB372" s="4"/>
    </row>
    <row r="373" spans="1:34" ht="12.95" customHeight="1">
      <c r="E373" s="4" t="s">
        <v>2</v>
      </c>
      <c r="F373" s="4"/>
      <c r="G373" s="4"/>
      <c r="H373" s="4"/>
      <c r="I373" s="4"/>
      <c r="J373" s="4"/>
      <c r="K373" s="4"/>
      <c r="L373" s="4"/>
      <c r="N373" s="1817" t="s">
        <v>599</v>
      </c>
      <c r="O373" s="1855"/>
      <c r="P373" s="1855"/>
      <c r="Q373" s="1855"/>
      <c r="R373" s="1855"/>
      <c r="S373" s="1855"/>
      <c r="T373" s="1855"/>
      <c r="U373" s="1855"/>
      <c r="V373" s="1855"/>
      <c r="W373" s="1855"/>
      <c r="X373" s="1855"/>
      <c r="Y373" s="1855"/>
      <c r="Z373" s="1855"/>
      <c r="AA373" s="1855"/>
      <c r="AB373" s="1855"/>
      <c r="AC373" s="1855"/>
      <c r="AD373" s="1855"/>
      <c r="AE373" s="1855"/>
      <c r="AF373" s="1855"/>
    </row>
    <row r="374" spans="1:34" ht="12.95" customHeight="1">
      <c r="E374" s="4"/>
      <c r="F374" s="4"/>
      <c r="G374" s="4"/>
      <c r="H374" s="4"/>
      <c r="I374" s="4"/>
      <c r="J374" s="4"/>
      <c r="K374" s="4"/>
      <c r="L374" s="4"/>
      <c r="N374" s="1856"/>
      <c r="O374" s="1856"/>
      <c r="P374" s="1856"/>
      <c r="Q374" s="1856"/>
      <c r="R374" s="1856"/>
      <c r="S374" s="1856"/>
      <c r="T374" s="1856"/>
      <c r="U374" s="1856"/>
      <c r="V374" s="1856"/>
      <c r="W374" s="1856"/>
      <c r="X374" s="1856"/>
      <c r="Y374" s="1856"/>
      <c r="Z374" s="1856"/>
      <c r="AA374" s="1856"/>
      <c r="AB374" s="1856"/>
      <c r="AC374" s="1856"/>
      <c r="AD374" s="1856"/>
      <c r="AE374" s="1856"/>
      <c r="AF374" s="1856"/>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84" t="s">
        <v>599</v>
      </c>
      <c r="T377" s="1684"/>
      <c r="U377" s="1" t="s">
        <v>307</v>
      </c>
      <c r="V377" s="1684" t="s">
        <v>599</v>
      </c>
      <c r="W377" s="1684"/>
      <c r="Y377" t="s">
        <v>2394</v>
      </c>
      <c r="AC377" s="27" t="s">
        <v>306</v>
      </c>
      <c r="AD377" s="1684" t="s">
        <v>599</v>
      </c>
      <c r="AE377" s="1684"/>
      <c r="AF377" s="1" t="s">
        <v>307</v>
      </c>
      <c r="AG377" s="1684" t="s">
        <v>599</v>
      </c>
      <c r="AH377" s="1684"/>
    </row>
    <row r="378" spans="1:34" ht="12.95" customHeight="1">
      <c r="E378" s="4" t="s">
        <v>1011</v>
      </c>
      <c r="F378" s="4"/>
      <c r="G378" s="4"/>
      <c r="H378" s="4"/>
      <c r="I378" s="4"/>
      <c r="J378" s="4"/>
      <c r="K378" s="4"/>
      <c r="L378" s="4"/>
      <c r="N378" s="1684" t="s">
        <v>599</v>
      </c>
      <c r="O378" s="1684"/>
      <c r="P378" s="1684"/>
    </row>
    <row r="379" spans="1:34" ht="12.95" customHeight="1">
      <c r="E379" s="218" t="s">
        <v>2400</v>
      </c>
      <c r="F379" s="4"/>
      <c r="G379" s="4"/>
      <c r="H379" s="4"/>
      <c r="I379" s="4"/>
      <c r="J379" s="4"/>
      <c r="K379" s="4"/>
      <c r="L379" s="4"/>
      <c r="AG379" s="1690" t="s">
        <v>599</v>
      </c>
      <c r="AH379" s="1690"/>
    </row>
    <row r="380" spans="1:34" ht="12.95" customHeight="1">
      <c r="E380" s="4"/>
      <c r="F380" s="4"/>
      <c r="G380" s="4" t="s">
        <v>2401</v>
      </c>
      <c r="H380" s="4"/>
      <c r="I380" s="4"/>
      <c r="J380" s="4"/>
      <c r="K380" s="4"/>
      <c r="L380" s="4"/>
      <c r="AG380" s="1690" t="s">
        <v>599</v>
      </c>
      <c r="AH380" s="1690"/>
    </row>
    <row r="381" spans="1:34" ht="12.95" customHeight="1">
      <c r="E381" s="4"/>
      <c r="F381" s="4"/>
      <c r="G381" s="348" t="s">
        <v>1012</v>
      </c>
      <c r="H381" s="4"/>
      <c r="I381" s="4"/>
      <c r="J381" s="4"/>
      <c r="K381" s="4"/>
      <c r="L381" s="4"/>
      <c r="V381" s="1355" t="s">
        <v>599</v>
      </c>
      <c r="W381" s="1355"/>
      <c r="Y381" s="22" t="s">
        <v>999</v>
      </c>
    </row>
    <row r="382" spans="1:34" ht="12.95" customHeight="1">
      <c r="E382" s="4" t="s">
        <v>1000</v>
      </c>
      <c r="F382" s="4"/>
      <c r="G382" s="4"/>
      <c r="H382" s="4"/>
      <c r="I382" s="4"/>
      <c r="J382" s="4"/>
      <c r="K382" s="4"/>
      <c r="L382" s="4"/>
      <c r="V382" s="1355" t="s">
        <v>599</v>
      </c>
      <c r="W382" s="1355"/>
      <c r="Y382" s="4" t="s">
        <v>1001</v>
      </c>
    </row>
    <row r="383" spans="1:34" ht="12.95" customHeight="1"/>
    <row r="384" spans="1:34" ht="12.95" customHeight="1">
      <c r="A384" s="2" t="s">
        <v>78</v>
      </c>
      <c r="B384" s="2"/>
    </row>
    <row r="385" spans="4:36" ht="12.95" customHeight="1">
      <c r="D385" t="s">
        <v>429</v>
      </c>
      <c r="J385" s="1374" t="s">
        <v>2715</v>
      </c>
      <c r="K385" s="1374"/>
      <c r="L385" s="1374"/>
      <c r="M385" s="1374"/>
      <c r="N385" s="1374"/>
      <c r="O385" s="1374"/>
      <c r="P385" s="1374"/>
      <c r="Q385" s="1374"/>
      <c r="R385" s="1374"/>
      <c r="S385" s="1374"/>
      <c r="T385" s="1374"/>
      <c r="U385" s="1374"/>
      <c r="V385" s="8" t="s">
        <v>83</v>
      </c>
      <c r="W385" s="8"/>
      <c r="X385" s="8"/>
      <c r="Y385" s="8"/>
      <c r="Z385" s="8"/>
      <c r="AA385" s="8"/>
      <c r="AB385" s="8"/>
      <c r="AC385" s="1374" t="s">
        <v>2715</v>
      </c>
      <c r="AD385" s="1374"/>
      <c r="AE385" s="1374"/>
      <c r="AF385" s="1374"/>
      <c r="AG385" s="1374"/>
      <c r="AH385" s="1374"/>
      <c r="AI385" s="1374"/>
      <c r="AJ385" s="1374"/>
    </row>
    <row r="386" spans="4:36" ht="12.95" customHeight="1">
      <c r="D386" s="3" t="s">
        <v>1288</v>
      </c>
      <c r="J386" s="1380" t="s">
        <v>2715</v>
      </c>
      <c r="K386" s="1380"/>
      <c r="L386" s="1380"/>
      <c r="M386" s="1380"/>
      <c r="N386" s="1380"/>
      <c r="O386" s="1380"/>
      <c r="P386" s="1380"/>
      <c r="Q386" s="1380"/>
      <c r="R386" s="1380"/>
      <c r="S386" s="1380"/>
      <c r="T386" s="1380"/>
      <c r="U386" s="1380"/>
      <c r="V386" s="3" t="s">
        <v>1288</v>
      </c>
      <c r="W386" s="8"/>
      <c r="X386" s="8"/>
      <c r="Y386" s="8"/>
      <c r="Z386" s="8"/>
      <c r="AA386" s="8"/>
      <c r="AB386" s="8"/>
      <c r="AC386" s="1374" t="s">
        <v>2715</v>
      </c>
      <c r="AD386" s="1374"/>
      <c r="AE386" s="1374"/>
      <c r="AF386" s="1374"/>
      <c r="AG386" s="1374"/>
      <c r="AH386" s="1374"/>
      <c r="AI386" s="1374"/>
      <c r="AJ386" s="1374"/>
    </row>
    <row r="387" spans="4:36" ht="12.95" customHeight="1">
      <c r="D387" s="3" t="s">
        <v>443</v>
      </c>
      <c r="J387" s="1594" t="s">
        <v>2756</v>
      </c>
      <c r="K387" s="1380"/>
      <c r="L387" s="1380"/>
      <c r="M387" s="1380"/>
      <c r="N387" s="1380"/>
      <c r="O387" s="1380"/>
      <c r="P387" s="1380"/>
      <c r="Q387" s="1380"/>
      <c r="R387" s="1380"/>
      <c r="S387" s="1380"/>
      <c r="T387" s="1380"/>
      <c r="U387" s="1380"/>
      <c r="V387" s="3" t="s">
        <v>443</v>
      </c>
      <c r="W387" s="8"/>
      <c r="X387" s="8"/>
      <c r="Y387" s="8"/>
      <c r="Z387" s="8"/>
      <c r="AA387" s="8"/>
      <c r="AB387" s="8"/>
      <c r="AC387" s="1373" t="s">
        <v>2756</v>
      </c>
      <c r="AD387" s="1374"/>
      <c r="AE387" s="1374"/>
      <c r="AF387" s="1374"/>
      <c r="AG387" s="1374"/>
      <c r="AH387" s="1374"/>
      <c r="AI387" s="1374"/>
      <c r="AJ387" s="1374"/>
    </row>
    <row r="388" spans="4:36" ht="12.95" customHeight="1">
      <c r="D388" t="s">
        <v>1284</v>
      </c>
      <c r="J388" s="1810" t="s">
        <v>2758</v>
      </c>
      <c r="K388" s="1397"/>
      <c r="L388" s="1397"/>
      <c r="M388" s="1397"/>
      <c r="N388" s="1397"/>
      <c r="O388" s="1397"/>
      <c r="P388" s="1397"/>
      <c r="Q388" s="1397"/>
      <c r="R388" s="1397"/>
      <c r="S388" s="1397"/>
      <c r="T388" s="1397"/>
      <c r="U388" s="1397"/>
      <c r="V388" s="1373" t="s">
        <v>2757</v>
      </c>
      <c r="W388" s="1374"/>
      <c r="X388" s="1374"/>
      <c r="Y388" s="1374"/>
      <c r="Z388" s="1374"/>
      <c r="AA388" s="1374"/>
      <c r="AB388" s="1374"/>
      <c r="AC388" s="1374"/>
      <c r="AD388" s="1374"/>
      <c r="AE388" s="1374"/>
      <c r="AF388" s="1374"/>
      <c r="AG388" s="1374"/>
      <c r="AH388" s="1374"/>
      <c r="AI388" s="1374"/>
      <c r="AJ388" s="1374"/>
    </row>
    <row r="389" spans="4:36" ht="12.95" customHeight="1">
      <c r="D389" t="s">
        <v>4</v>
      </c>
      <c r="Q389" s="1689">
        <v>45033</v>
      </c>
      <c r="R389" s="1689"/>
      <c r="S389" s="1689"/>
      <c r="T389" s="1689"/>
      <c r="U389" s="1689"/>
      <c r="V389" t="s">
        <v>310</v>
      </c>
      <c r="AI389" s="1355" t="s">
        <v>677</v>
      </c>
      <c r="AJ389" s="1355"/>
    </row>
    <row r="390" spans="4:36" ht="12.95" customHeight="1">
      <c r="D390" t="s">
        <v>5</v>
      </c>
      <c r="Q390" s="1585">
        <v>45187</v>
      </c>
      <c r="R390" s="1686"/>
      <c r="S390" s="1686"/>
      <c r="T390" s="1686"/>
      <c r="U390" s="1686"/>
      <c r="W390" s="21" t="s">
        <v>74</v>
      </c>
      <c r="AG390" s="1681" t="s">
        <v>599</v>
      </c>
      <c r="AH390" s="1682"/>
      <c r="AI390" s="1682"/>
      <c r="AJ390" s="1682"/>
    </row>
    <row r="391" spans="4:36" ht="12.95" customHeight="1">
      <c r="D391" t="s">
        <v>428</v>
      </c>
      <c r="Q391" s="1683">
        <v>750000</v>
      </c>
      <c r="R391" s="1683"/>
      <c r="S391" s="1683"/>
      <c r="T391" s="1683"/>
      <c r="U391" s="1683"/>
      <c r="V391" s="3" t="s">
        <v>1287</v>
      </c>
      <c r="AG391" s="1827" t="s">
        <v>599</v>
      </c>
      <c r="AH391" s="1828"/>
      <c r="AI391" s="1828"/>
      <c r="AJ391" s="1828"/>
    </row>
    <row r="392" spans="4:36" ht="12.95" customHeight="1">
      <c r="D392" t="s">
        <v>88</v>
      </c>
      <c r="I392" s="1481" t="s">
        <v>2716</v>
      </c>
      <c r="J392" s="1481"/>
      <c r="K392" s="1481"/>
      <c r="L392" s="1481"/>
      <c r="M392" s="1481"/>
      <c r="N392" s="1481"/>
      <c r="Q392" s="4" t="s">
        <v>207</v>
      </c>
      <c r="S392" s="1688"/>
      <c r="T392" s="1688"/>
      <c r="U392" s="1688"/>
      <c r="V392" t="s">
        <v>73</v>
      </c>
      <c r="AI392" s="1355" t="s">
        <v>677</v>
      </c>
      <c r="AJ392" s="1355"/>
    </row>
    <row r="393" spans="4:36" ht="12.95" customHeight="1">
      <c r="D393" t="s">
        <v>311</v>
      </c>
      <c r="Q393" s="1400">
        <v>4000</v>
      </c>
      <c r="R393" s="1400"/>
      <c r="S393" s="1400"/>
      <c r="T393" s="1400"/>
      <c r="U393" s="1400"/>
      <c r="V393" t="s">
        <v>312</v>
      </c>
      <c r="AG393" s="1681" t="s">
        <v>599</v>
      </c>
      <c r="AH393" s="1682"/>
      <c r="AI393" s="1682"/>
      <c r="AJ393" s="1682"/>
    </row>
    <row r="394" spans="4:36" ht="12.95" customHeight="1">
      <c r="D394" t="s">
        <v>313</v>
      </c>
      <c r="Q394" s="1778"/>
      <c r="R394" s="1778"/>
      <c r="S394" s="1778"/>
      <c r="T394" s="1778"/>
      <c r="U394" s="1778"/>
      <c r="V394" t="s">
        <v>1268</v>
      </c>
      <c r="AG394" s="1682">
        <v>0</v>
      </c>
      <c r="AH394" s="1682"/>
      <c r="AI394" s="1682"/>
      <c r="AJ394" s="1682"/>
    </row>
    <row r="395" spans="4:36" ht="12.95" customHeight="1">
      <c r="D395" t="s">
        <v>1267</v>
      </c>
      <c r="AG395" s="1682">
        <v>0</v>
      </c>
      <c r="AH395" s="1682"/>
      <c r="AI395" s="1682"/>
      <c r="AJ395" s="1682"/>
    </row>
    <row r="396" spans="4:36" ht="12.95" customHeight="1">
      <c r="AG396" s="490"/>
      <c r="AH396" s="490"/>
      <c r="AI396" s="490"/>
      <c r="AJ396" s="490"/>
    </row>
    <row r="397" spans="4:36" ht="12.95" customHeight="1">
      <c r="D397" s="3" t="s">
        <v>2500</v>
      </c>
      <c r="AG397" s="490"/>
      <c r="AH397" s="490"/>
      <c r="AI397" s="1355" t="s">
        <v>677</v>
      </c>
      <c r="AJ397" s="1355"/>
    </row>
    <row r="398" spans="4:36" ht="12.95" customHeight="1">
      <c r="D398" s="3" t="s">
        <v>1779</v>
      </c>
      <c r="T398" s="1785" t="s">
        <v>599</v>
      </c>
      <c r="U398" s="1785"/>
      <c r="V398" s="1785"/>
      <c r="W398" s="1785"/>
      <c r="X398" s="1785"/>
      <c r="Y398" s="1785"/>
      <c r="Z398" s="1785"/>
      <c r="AA398" s="1785"/>
      <c r="AB398" s="1785"/>
      <c r="AC398" s="1785"/>
      <c r="AD398" s="1785"/>
      <c r="AE398" s="1785"/>
      <c r="AF398" s="1785"/>
      <c r="AG398" s="1785"/>
      <c r="AH398" s="1785"/>
      <c r="AI398" s="1785"/>
      <c r="AJ398" s="1785"/>
    </row>
    <row r="399" spans="4:36" ht="12.95" customHeight="1">
      <c r="D399" s="3" t="s">
        <v>1778</v>
      </c>
      <c r="T399" s="1785" t="s">
        <v>599</v>
      </c>
      <c r="U399" s="1785"/>
      <c r="V399" s="1785"/>
      <c r="W399" s="1785"/>
      <c r="X399" s="1785"/>
      <c r="Y399" s="1785"/>
      <c r="Z399" s="1785"/>
      <c r="AA399" s="1785"/>
      <c r="AB399" s="1785"/>
      <c r="AC399" s="1785"/>
      <c r="AD399" s="1785"/>
      <c r="AE399" s="1785"/>
      <c r="AF399" s="1785"/>
      <c r="AG399" s="1785"/>
      <c r="AH399" s="1785"/>
      <c r="AI399" s="1785"/>
      <c r="AJ399" s="1785"/>
    </row>
    <row r="400" spans="4:36" ht="12.95" customHeight="1">
      <c r="AG400" s="490"/>
      <c r="AH400" s="490"/>
      <c r="AI400" s="490"/>
      <c r="AJ400" s="490"/>
    </row>
    <row r="401" spans="1:36" ht="12.95" customHeight="1">
      <c r="D401" s="3" t="s">
        <v>1772</v>
      </c>
      <c r="S401" s="1785" t="s">
        <v>677</v>
      </c>
      <c r="T401" s="1785"/>
      <c r="U401" s="1785"/>
      <c r="V401" t="s">
        <v>1773</v>
      </c>
      <c r="AG401" s="1848" t="s">
        <v>599</v>
      </c>
      <c r="AH401" s="1848"/>
      <c r="AI401" s="1848"/>
      <c r="AJ401" s="1848"/>
    </row>
    <row r="402" spans="1:36" ht="12.95" customHeight="1">
      <c r="D402" s="3" t="s">
        <v>1770</v>
      </c>
      <c r="S402" s="1785" t="s">
        <v>599</v>
      </c>
      <c r="T402" s="1785"/>
      <c r="U402" s="1785"/>
      <c r="V402" t="s">
        <v>1775</v>
      </c>
      <c r="AE402" s="1853" t="s">
        <v>599</v>
      </c>
      <c r="AF402" s="1853"/>
      <c r="AG402" s="1853"/>
      <c r="AH402" s="1853"/>
      <c r="AI402" s="1853"/>
      <c r="AJ402" s="1853"/>
    </row>
    <row r="403" spans="1:36" ht="12.95" customHeight="1">
      <c r="D403" s="3" t="s">
        <v>1771</v>
      </c>
      <c r="K403" s="1809"/>
      <c r="L403" s="1809"/>
      <c r="M403" s="1809"/>
      <c r="N403" s="1809"/>
      <c r="O403" s="1809"/>
      <c r="P403" s="1809"/>
      <c r="Q403" s="1809"/>
      <c r="R403" s="1809"/>
      <c r="S403" s="1809"/>
      <c r="T403" s="1809"/>
      <c r="U403" s="1809"/>
      <c r="V403" s="1809"/>
      <c r="W403" s="1809"/>
      <c r="X403" s="1809"/>
      <c r="Y403" s="1809"/>
      <c r="Z403" s="1809"/>
      <c r="AA403" s="1809"/>
      <c r="AB403" s="1809"/>
      <c r="AC403" s="1809"/>
      <c r="AD403" s="1809"/>
      <c r="AE403" s="1809"/>
      <c r="AF403" s="1809"/>
      <c r="AG403" s="1809"/>
      <c r="AH403" s="1809"/>
      <c r="AI403" s="1809"/>
      <c r="AJ403" s="1809"/>
    </row>
    <row r="404" spans="1:36" ht="12.95" customHeight="1">
      <c r="D404" s="3" t="s">
        <v>1774</v>
      </c>
      <c r="K404" s="1809" t="s">
        <v>599</v>
      </c>
      <c r="L404" s="1809"/>
      <c r="M404" s="1809"/>
      <c r="N404" s="1809"/>
      <c r="O404" s="1809"/>
      <c r="P404" s="1809"/>
      <c r="Q404" s="1809"/>
      <c r="R404" s="1809"/>
      <c r="S404" s="1809"/>
      <c r="T404" s="1809"/>
      <c r="U404" s="1809"/>
      <c r="V404" s="1809"/>
      <c r="W404" s="1809"/>
      <c r="X404" s="1809"/>
      <c r="Y404" s="1809"/>
      <c r="Z404" s="1809"/>
      <c r="AA404" s="1809"/>
      <c r="AB404" s="1809"/>
      <c r="AC404" s="1809"/>
      <c r="AD404" s="1809"/>
      <c r="AE404" s="1809"/>
      <c r="AF404" s="1809"/>
      <c r="AG404" s="1809"/>
      <c r="AH404" s="1809"/>
      <c r="AI404" s="1809"/>
      <c r="AJ404" s="1809"/>
    </row>
    <row r="405" spans="1:36" ht="12.95" customHeight="1">
      <c r="D405" s="3" t="s">
        <v>1777</v>
      </c>
      <c r="E405" s="511"/>
      <c r="F405" s="511"/>
      <c r="G405" s="511"/>
      <c r="H405" s="511"/>
      <c r="I405" s="511"/>
      <c r="J405" s="511"/>
      <c r="K405" s="511"/>
      <c r="L405" s="511"/>
      <c r="M405" s="511"/>
      <c r="N405" s="511"/>
      <c r="O405" s="511"/>
      <c r="P405" s="511"/>
      <c r="Q405" s="511"/>
      <c r="R405" s="511"/>
      <c r="S405" s="1830" t="s">
        <v>2759</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73" t="s">
        <v>2717</v>
      </c>
      <c r="J410" s="1373"/>
      <c r="K410" s="1373"/>
      <c r="L410" s="1373"/>
      <c r="M410" s="1373"/>
      <c r="N410" s="1373"/>
      <c r="O410" s="1373"/>
      <c r="P410" s="1373"/>
      <c r="Q410" s="1373"/>
      <c r="R410" s="1373"/>
      <c r="S410" s="1373"/>
      <c r="T410" s="1373"/>
      <c r="U410" s="1373"/>
      <c r="V410" s="1373"/>
      <c r="W410" s="1373"/>
      <c r="X410" s="1373"/>
      <c r="Y410" s="1373"/>
      <c r="Z410" s="1373"/>
      <c r="AA410" s="1373"/>
      <c r="AB410" s="1373"/>
      <c r="AC410" s="1373"/>
      <c r="AD410" s="1373"/>
      <c r="AE410" s="1373"/>
    </row>
    <row r="411" spans="1:36" ht="12.95" customHeight="1">
      <c r="E411" t="s">
        <v>106</v>
      </c>
      <c r="R411" s="1355" t="s">
        <v>599</v>
      </c>
      <c r="S411" s="1355"/>
      <c r="AC411" s="27" t="s">
        <v>578</v>
      </c>
      <c r="AD411" s="1685"/>
      <c r="AE411" s="1649"/>
    </row>
    <row r="412" spans="1:36" ht="12.95" customHeight="1">
      <c r="E412" t="s">
        <v>107</v>
      </c>
      <c r="R412" s="1355" t="s">
        <v>553</v>
      </c>
      <c r="S412" s="1355"/>
      <c r="AC412" s="27" t="s">
        <v>578</v>
      </c>
      <c r="AD412" s="1705" t="s">
        <v>2761</v>
      </c>
      <c r="AE412" s="1649"/>
    </row>
    <row r="413" spans="1:36" ht="12.95" customHeight="1">
      <c r="E413" t="s">
        <v>108</v>
      </c>
      <c r="S413" s="1355" t="s">
        <v>599</v>
      </c>
      <c r="T413" s="1355"/>
    </row>
    <row r="414" spans="1:36" ht="12.95" customHeight="1">
      <c r="E414" t="s">
        <v>170</v>
      </c>
      <c r="H414" s="1706" t="s">
        <v>2760</v>
      </c>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row>
    <row r="415" spans="1:36" ht="12.95" customHeight="1">
      <c r="H415" s="1707"/>
      <c r="I415" s="1707"/>
      <c r="J415" s="1707"/>
      <c r="K415" s="1707"/>
      <c r="L415" s="1707"/>
      <c r="M415" s="1707"/>
      <c r="N415" s="1707"/>
      <c r="O415" s="1707"/>
      <c r="P415" s="1707"/>
      <c r="Q415" s="1707"/>
      <c r="R415" s="1707"/>
      <c r="S415" s="1707"/>
      <c r="T415" s="1707"/>
      <c r="U415" s="1707"/>
      <c r="V415" s="1707"/>
      <c r="W415" s="1707"/>
      <c r="X415" s="1707"/>
      <c r="Y415" s="1707"/>
      <c r="Z415" s="1707"/>
      <c r="AA415" s="1707"/>
      <c r="AB415" s="1707"/>
      <c r="AC415" s="1707"/>
      <c r="AD415" s="1707"/>
      <c r="AE415" s="1707"/>
    </row>
    <row r="416" spans="1:36" ht="12.95" customHeight="1"/>
    <row r="417" spans="1:39" ht="12.95" customHeight="1">
      <c r="A417" s="2" t="s">
        <v>598</v>
      </c>
      <c r="B417" s="2"/>
      <c r="C417" s="2"/>
      <c r="D417" s="2" t="s">
        <v>114</v>
      </c>
      <c r="AF417" s="2" t="s">
        <v>976</v>
      </c>
    </row>
    <row r="418" spans="1:39" ht="12.95" customHeight="1">
      <c r="E418" s="1684"/>
      <c r="F418" s="1684"/>
      <c r="G418" s="1684"/>
      <c r="H418" s="13" t="s">
        <v>115</v>
      </c>
      <c r="I418" s="1684"/>
      <c r="J418" s="1684"/>
      <c r="K418" s="1684"/>
      <c r="L418" t="s">
        <v>116</v>
      </c>
      <c r="N418" s="27" t="s">
        <v>583</v>
      </c>
      <c r="P418" s="1687">
        <v>5.3109999999999999</v>
      </c>
      <c r="Q418" s="1687"/>
      <c r="R418" s="1687"/>
      <c r="S418" t="s">
        <v>117</v>
      </c>
      <c r="W418" s="1875">
        <f>IF(E418&gt;0,(E418*I418),(P418*43560))</f>
        <v>231347.16</v>
      </c>
      <c r="X418" s="1875"/>
      <c r="Y418" s="1875"/>
      <c r="Z418" t="s">
        <v>118</v>
      </c>
      <c r="AF418" s="1704">
        <f>IFERROR(IF(P418&gt;0,(AG437/P418),(AG437/(W418/43560))),0)</f>
        <v>24.100922613443796</v>
      </c>
      <c r="AG418" s="1704"/>
      <c r="AH418" s="1704"/>
      <c r="AM418" s="3"/>
    </row>
    <row r="419" spans="1:39" ht="12.95" customHeight="1">
      <c r="E419" t="s">
        <v>51</v>
      </c>
    </row>
    <row r="420" spans="1:39" ht="12.95" customHeight="1">
      <c r="E420" s="1852"/>
      <c r="F420" s="1852"/>
      <c r="G420" s="1852"/>
      <c r="H420" s="1852"/>
      <c r="I420" s="1852"/>
      <c r="J420" s="1852"/>
      <c r="K420" s="1852"/>
      <c r="L420" s="1852"/>
      <c r="M420" s="1852"/>
      <c r="N420" s="1852"/>
      <c r="O420" s="1852"/>
      <c r="P420" s="1852"/>
      <c r="Q420" s="1852"/>
      <c r="R420" s="1852"/>
      <c r="S420" s="1852"/>
      <c r="T420" s="1852"/>
      <c r="U420" s="1852"/>
      <c r="V420" s="1852"/>
      <c r="W420" s="1852"/>
      <c r="X420" s="1852"/>
      <c r="Y420" s="1852"/>
      <c r="Z420" s="1852"/>
      <c r="AA420" s="1852"/>
      <c r="AB420" s="1852"/>
      <c r="AC420" s="1852"/>
      <c r="AD420" s="1852"/>
      <c r="AE420" s="1852"/>
      <c r="AF420" s="1852"/>
      <c r="AG420" s="1852"/>
      <c r="AH420" s="1852"/>
      <c r="AI420" s="1852"/>
      <c r="AJ420" s="1852"/>
    </row>
    <row r="421" spans="1:39" ht="12.95" customHeight="1">
      <c r="E421" s="118" t="s">
        <v>1924</v>
      </c>
      <c r="F421" s="1048"/>
      <c r="G421" s="1048"/>
      <c r="H421" s="1048"/>
      <c r="I421" s="1783">
        <v>5.3109999999999999</v>
      </c>
      <c r="J421" s="1783"/>
      <c r="K421" s="1783"/>
      <c r="L421" s="1048"/>
      <c r="M421" s="118"/>
      <c r="N421" s="1048"/>
      <c r="O421" s="1048"/>
      <c r="P421" s="1640">
        <f>(CS634+CS642+CS658)/I421</f>
        <v>42.929768405196761</v>
      </c>
      <c r="Q421" s="1640"/>
      <c r="R421" s="164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55">
        <v>7</v>
      </c>
      <c r="Q424" s="1355"/>
      <c r="S424" t="s">
        <v>190</v>
      </c>
      <c r="AE424" s="1355">
        <v>6</v>
      </c>
      <c r="AF424" s="1355"/>
    </row>
    <row r="425" spans="1:39" ht="12.95" customHeight="1">
      <c r="E425" t="s">
        <v>191</v>
      </c>
      <c r="P425" s="1355">
        <v>1</v>
      </c>
      <c r="Q425" s="1355"/>
      <c r="S425" t="s">
        <v>131</v>
      </c>
      <c r="AE425" s="1355" t="s">
        <v>599</v>
      </c>
      <c r="AF425" s="1355"/>
    </row>
    <row r="426" spans="1:39" ht="12.95" customHeight="1">
      <c r="F426" s="28" t="s">
        <v>132</v>
      </c>
    </row>
    <row r="427" spans="1:39" ht="12.95" customHeight="1">
      <c r="F427" s="1803"/>
      <c r="G427" s="1803"/>
      <c r="H427" s="1803"/>
      <c r="I427" s="1803"/>
      <c r="J427" s="1803"/>
      <c r="K427" s="1803"/>
      <c r="L427" s="1803"/>
      <c r="M427" s="1803"/>
      <c r="N427" s="1803"/>
      <c r="O427" s="1803"/>
      <c r="P427" s="1803"/>
      <c r="Q427" s="1803"/>
      <c r="R427" s="1803"/>
      <c r="S427" s="1803"/>
      <c r="T427" s="1803"/>
      <c r="U427" s="1803"/>
      <c r="V427" s="1803"/>
      <c r="W427" s="1803"/>
      <c r="X427" s="1803"/>
      <c r="Y427" s="1803"/>
      <c r="Z427" s="1803"/>
      <c r="AA427" s="1803"/>
      <c r="AB427" s="1803"/>
      <c r="AC427" s="1803"/>
      <c r="AD427" s="1803"/>
      <c r="AE427" s="1803"/>
      <c r="AF427" s="1803"/>
      <c r="AG427" s="1803"/>
      <c r="AH427" s="1803"/>
    </row>
    <row r="428" spans="1:39" ht="12.95" customHeight="1">
      <c r="F428" s="1804"/>
      <c r="G428" s="1804"/>
      <c r="H428" s="1804"/>
      <c r="I428" s="1804"/>
      <c r="J428" s="1804"/>
      <c r="K428" s="1804"/>
      <c r="L428" s="1804"/>
      <c r="M428" s="1804"/>
      <c r="N428" s="1804"/>
      <c r="O428" s="1804"/>
      <c r="P428" s="1804"/>
      <c r="Q428" s="1804"/>
      <c r="R428" s="1804"/>
      <c r="S428" s="1804"/>
      <c r="T428" s="1804"/>
      <c r="U428" s="1804"/>
      <c r="V428" s="1804"/>
      <c r="W428" s="1804"/>
      <c r="X428" s="1804"/>
      <c r="Y428" s="1804"/>
      <c r="Z428" s="1804"/>
      <c r="AA428" s="1804"/>
      <c r="AB428" s="1804"/>
      <c r="AC428" s="1804"/>
      <c r="AD428" s="1804"/>
      <c r="AE428" s="1804"/>
      <c r="AF428" s="1804"/>
      <c r="AG428" s="1804"/>
      <c r="AH428" s="1804"/>
    </row>
    <row r="429" spans="1:39" ht="12.95" customHeight="1">
      <c r="E429" t="s">
        <v>616</v>
      </c>
      <c r="P429" s="1"/>
      <c r="Q429" s="1355" t="s">
        <v>553</v>
      </c>
      <c r="R429" s="1355"/>
    </row>
    <row r="430" spans="1:39" ht="12.95" customHeight="1">
      <c r="F430" t="s">
        <v>617</v>
      </c>
      <c r="P430" s="1"/>
      <c r="Q430" s="1"/>
      <c r="AF430" s="1355" t="s">
        <v>599</v>
      </c>
      <c r="AG430" s="1857"/>
    </row>
    <row r="431" spans="1:39" ht="12.95" customHeight="1"/>
    <row r="432" spans="1:39" ht="12.95" customHeight="1">
      <c r="A432" s="2"/>
      <c r="B432" s="2"/>
      <c r="C432" s="2"/>
      <c r="E432" s="4" t="s">
        <v>309</v>
      </c>
      <c r="Z432" s="1355" t="s">
        <v>677</v>
      </c>
      <c r="AA432" s="135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55" t="s">
        <v>599</v>
      </c>
      <c r="AA434" s="1355"/>
    </row>
    <row r="435" spans="1:110" ht="12.95" customHeight="1"/>
    <row r="436" spans="1:110" ht="12.95" customHeight="1">
      <c r="A436" s="2" t="s">
        <v>475</v>
      </c>
      <c r="B436" s="2"/>
      <c r="C436" s="2"/>
      <c r="D436" s="2" t="s">
        <v>773</v>
      </c>
      <c r="AF436" s="48"/>
    </row>
    <row r="437" spans="1:110" ht="12.95" customHeight="1">
      <c r="D437" s="1650" t="s">
        <v>43</v>
      </c>
      <c r="E437" s="1647"/>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849"/>
      <c r="AG437" s="1854">
        <v>128</v>
      </c>
      <c r="AH437" s="1854"/>
      <c r="AI437" s="1854"/>
      <c r="AJ437" s="1854"/>
    </row>
    <row r="438" spans="1:110" ht="12.95" customHeight="1">
      <c r="D438" s="1694" t="s">
        <v>1329</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51">
        <v>0</v>
      </c>
      <c r="AH438" s="1378"/>
      <c r="AI438" s="1378"/>
      <c r="AJ438" s="1378"/>
    </row>
    <row r="439" spans="1:110" ht="12.95" customHeight="1">
      <c r="D439" s="1694" t="s">
        <v>1055</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54">
        <v>127</v>
      </c>
      <c r="AH439" s="1854"/>
      <c r="AI439" s="1854"/>
      <c r="AJ439" s="1854"/>
    </row>
    <row r="440" spans="1:110" ht="12.95" customHeight="1">
      <c r="D440" s="1694" t="s">
        <v>1056</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54">
        <v>127</v>
      </c>
      <c r="AH440" s="1854"/>
      <c r="AI440" s="1854"/>
      <c r="AJ440" s="1854"/>
    </row>
    <row r="441" spans="1:110" ht="12.95" customHeight="1">
      <c r="D441" s="1694" t="s">
        <v>1058</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50">
        <f>IF(ISERROR(AG440/AG439),"",AG440/AG439)</f>
        <v>1</v>
      </c>
      <c r="AH441" s="1850"/>
      <c r="AI441" s="1850"/>
      <c r="AJ441" s="1850"/>
    </row>
    <row r="442" spans="1:110" ht="12.95" customHeight="1">
      <c r="D442" s="1694" t="s">
        <v>1057</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718">
        <v>127000</v>
      </c>
      <c r="AH442" s="1718"/>
      <c r="AI442" s="1718"/>
      <c r="AJ442" s="1718"/>
    </row>
    <row r="443" spans="1:110" ht="12.95" customHeight="1">
      <c r="D443" s="1694" t="s">
        <v>1059</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718">
        <v>127000</v>
      </c>
      <c r="AH443" s="1718"/>
      <c r="AI443" s="1718"/>
      <c r="AJ443" s="1718"/>
    </row>
    <row r="444" spans="1:110" ht="12.95" customHeight="1">
      <c r="D444" s="1694" t="s">
        <v>1060</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50">
        <f>IF(ISERROR(AG443/AG442),"",AG443/AG442)</f>
        <v>1</v>
      </c>
      <c r="AH444" s="1850"/>
      <c r="AI444" s="1850"/>
      <c r="AJ444" s="1850"/>
    </row>
    <row r="445" spans="1:110" ht="12.95" customHeight="1">
      <c r="D445" s="1694" t="s">
        <v>1061</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50">
        <f>MIN(IF(AG441&gt;AG444,AG444,AG441),1)</f>
        <v>1</v>
      </c>
      <c r="AH445" s="1850"/>
      <c r="AI445" s="1850"/>
      <c r="AJ445" s="1850"/>
    </row>
    <row r="446" spans="1:110" ht="12.95" customHeight="1">
      <c r="D446" s="1694" t="s">
        <v>2402</v>
      </c>
      <c r="E446" s="1647"/>
      <c r="F446" s="1647"/>
      <c r="G446" s="1647"/>
      <c r="H446" s="1647"/>
      <c r="I446" s="1647"/>
      <c r="J446" s="1647"/>
      <c r="K446" s="1647"/>
      <c r="L446" s="1647"/>
      <c r="M446" s="1647"/>
      <c r="N446" s="1647"/>
      <c r="O446" s="1647"/>
      <c r="P446" s="1647"/>
      <c r="Q446" s="1647"/>
      <c r="R446" s="1647"/>
      <c r="S446" s="1647"/>
      <c r="T446" s="1647"/>
      <c r="U446" s="1647"/>
      <c r="V446" s="1647"/>
      <c r="W446" s="1647"/>
      <c r="X446" s="1647"/>
      <c r="Y446" s="1647"/>
      <c r="Z446" s="1647"/>
      <c r="AA446" s="1647"/>
      <c r="AB446" s="1647"/>
      <c r="AC446" s="1647"/>
      <c r="AD446" s="1647"/>
      <c r="AE446" s="1647"/>
      <c r="AF446" s="1849"/>
      <c r="AG446" s="1718">
        <v>3247</v>
      </c>
      <c r="AH446" s="1718"/>
      <c r="AI446" s="1718"/>
      <c r="AJ446" s="171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0" t="s">
        <v>577</v>
      </c>
      <c r="E447" s="1647"/>
      <c r="F447" s="1647"/>
      <c r="G447" s="1647"/>
      <c r="H447" s="1647"/>
      <c r="I447" s="1647"/>
      <c r="J447" s="1647"/>
      <c r="K447" s="1647"/>
      <c r="L447" s="1647"/>
      <c r="M447" s="1647"/>
      <c r="N447" s="1647"/>
      <c r="O447" s="1647"/>
      <c r="P447" s="1647"/>
      <c r="Q447" s="1647"/>
      <c r="R447" s="1647"/>
      <c r="S447" s="1647"/>
      <c r="T447" s="1647"/>
      <c r="U447" s="1647"/>
      <c r="V447" s="1647"/>
      <c r="W447" s="1647"/>
      <c r="X447" s="1647"/>
      <c r="Y447" s="1647"/>
      <c r="Z447" s="1647"/>
      <c r="AA447" s="1647"/>
      <c r="AB447" s="1647"/>
      <c r="AC447" s="1647"/>
      <c r="AD447" s="1647"/>
      <c r="AE447" s="1647"/>
      <c r="AF447" s="1849"/>
      <c r="AG447" s="1718">
        <v>0</v>
      </c>
      <c r="AH447" s="1718"/>
      <c r="AI447" s="1718"/>
      <c r="AJ447" s="171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1311</v>
      </c>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49"/>
      <c r="AG448" s="1718">
        <v>8900</v>
      </c>
      <c r="AH448" s="1718"/>
      <c r="AI448" s="1718"/>
      <c r="AJ448" s="171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1062</v>
      </c>
      <c r="E449" s="1647"/>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49"/>
      <c r="AG449" s="1718">
        <v>0</v>
      </c>
      <c r="AH449" s="1718"/>
      <c r="AI449" s="1718"/>
      <c r="AJ449" s="171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22" t="s">
        <v>1063</v>
      </c>
      <c r="E450" s="1823"/>
      <c r="F450" s="1823"/>
      <c r="G450" s="1823"/>
      <c r="H450" s="1823"/>
      <c r="I450" s="1823"/>
      <c r="J450" s="1823"/>
      <c r="K450" s="1823"/>
      <c r="L450" s="1823"/>
      <c r="M450" s="1823"/>
      <c r="N450" s="1823"/>
      <c r="O450" s="1823"/>
      <c r="P450" s="1823"/>
      <c r="Q450" s="1823"/>
      <c r="R450" s="1823"/>
      <c r="S450" s="1823"/>
      <c r="T450" s="1823"/>
      <c r="U450" s="1823"/>
      <c r="V450" s="1823"/>
      <c r="W450" s="1823"/>
      <c r="X450" s="1823"/>
      <c r="Y450" s="1823"/>
      <c r="Z450" s="1823"/>
      <c r="AA450" s="1823"/>
      <c r="AB450" s="1823"/>
      <c r="AC450" s="1823"/>
      <c r="AD450" s="1823"/>
      <c r="AE450" s="1823"/>
      <c r="AF450" s="1824"/>
      <c r="AG450" s="1858">
        <f>AG442+AG446+AG448+AG449</f>
        <v>139147</v>
      </c>
      <c r="AH450" s="1858"/>
      <c r="AI450" s="1858"/>
      <c r="AJ450" s="185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25" t="s">
        <v>1312</v>
      </c>
      <c r="E451" s="1825"/>
      <c r="F451" s="1825"/>
      <c r="G451" s="1825"/>
      <c r="H451" s="1825"/>
      <c r="I451" s="1825"/>
      <c r="J451" s="1825"/>
      <c r="K451" s="1825"/>
      <c r="L451" s="1825"/>
      <c r="M451" s="1825"/>
      <c r="N451" s="1825"/>
      <c r="O451" s="1825"/>
      <c r="P451" s="1825"/>
      <c r="Q451" s="1825"/>
      <c r="R451" s="1825"/>
      <c r="S451" s="1825"/>
      <c r="T451" s="1825"/>
      <c r="U451" s="1825"/>
      <c r="V451" s="1825"/>
      <c r="W451" s="1825"/>
      <c r="X451" s="1825"/>
      <c r="Y451" s="1825"/>
      <c r="Z451" s="1825"/>
      <c r="AA451" s="1825"/>
      <c r="AB451" s="1825"/>
      <c r="AC451" s="1825"/>
      <c r="AD451" s="1825"/>
      <c r="AE451" s="1825"/>
      <c r="AF451" s="1825"/>
      <c r="AG451" s="1825"/>
      <c r="AH451" s="1825"/>
      <c r="AI451" s="1825"/>
      <c r="AJ451" s="18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26"/>
      <c r="E452" s="1826"/>
      <c r="F452" s="1826"/>
      <c r="G452" s="1826"/>
      <c r="H452" s="1826"/>
      <c r="I452" s="1826"/>
      <c r="J452" s="1826"/>
      <c r="K452" s="1826"/>
      <c r="L452" s="1826"/>
      <c r="M452" s="1826"/>
      <c r="N452" s="1826"/>
      <c r="O452" s="1826"/>
      <c r="P452" s="1826"/>
      <c r="Q452" s="1826"/>
      <c r="R452" s="1826"/>
      <c r="S452" s="1826"/>
      <c r="T452" s="1826"/>
      <c r="U452" s="1826"/>
      <c r="V452" s="1826"/>
      <c r="W452" s="1826"/>
      <c r="X452" s="1826"/>
      <c r="Y452" s="1826"/>
      <c r="Z452" s="1826"/>
      <c r="AA452" s="1826"/>
      <c r="AB452" s="1826"/>
      <c r="AC452" s="1826"/>
      <c r="AD452" s="1826"/>
      <c r="AE452" s="1826"/>
      <c r="AF452" s="1826"/>
      <c r="AG452" s="1826"/>
      <c r="AH452" s="1826"/>
      <c r="AI452" s="1826"/>
      <c r="AJ452" s="18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29">
        <f>IF(AG437=0,"",'Sources and Uses Budget'!B105/Application!AG437)</f>
        <v>581651.828125</v>
      </c>
      <c r="AD454" s="1829"/>
      <c r="AE454" s="1829"/>
      <c r="AF454" s="1829"/>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29">
        <f>IF(AG437=0,"",'Sources and Uses Budget'!C105/Application!AG437)</f>
        <v>581651.828125</v>
      </c>
      <c r="AD455" s="1829"/>
      <c r="AE455" s="1829"/>
      <c r="AF455" s="182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29">
        <f>IF(AG437=0,"",('Sources and Uses Budget'!$S$107+'Sources and Uses Budget'!$T$107)/Application!AG437)</f>
        <v>555336.1796875</v>
      </c>
      <c r="AD456" s="1829"/>
      <c r="AE456" s="1829"/>
      <c r="AF456" s="182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764" t="str">
        <f>IFERROR(IF(AC454&gt;650000,"Please provide a justification of cost per unit in Tab 12 for all projects with per unit costs of greater than $650,000.",""),"")</f>
        <v/>
      </c>
      <c r="G457" s="1764"/>
      <c r="H457" s="1764"/>
      <c r="I457" s="1764"/>
      <c r="J457" s="1764"/>
      <c r="K457" s="1764"/>
      <c r="L457" s="1764"/>
      <c r="M457" s="1764"/>
      <c r="N457" s="1764"/>
      <c r="O457" s="1764"/>
      <c r="P457" s="1764"/>
      <c r="Q457" s="1764"/>
      <c r="R457" s="1764"/>
      <c r="S457" s="1764"/>
      <c r="T457" s="1764"/>
      <c r="U457" s="1764"/>
      <c r="V457" s="1764"/>
      <c r="W457" s="1764"/>
      <c r="X457" s="1764"/>
      <c r="Y457" s="1764"/>
      <c r="Z457" s="1764"/>
      <c r="AA457" s="1764"/>
      <c r="AB457" s="176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764"/>
      <c r="G458" s="1764"/>
      <c r="H458" s="1764"/>
      <c r="I458" s="1764"/>
      <c r="J458" s="1764"/>
      <c r="K458" s="1764"/>
      <c r="L458" s="1764"/>
      <c r="M458" s="1764"/>
      <c r="N458" s="1764"/>
      <c r="O458" s="1764"/>
      <c r="P458" s="1764"/>
      <c r="Q458" s="1764"/>
      <c r="R458" s="1764"/>
      <c r="S458" s="1764"/>
      <c r="T458" s="1764"/>
      <c r="U458" s="1764"/>
      <c r="V458" s="1764"/>
      <c r="W458" s="1764"/>
      <c r="X458" s="1764"/>
      <c r="Y458" s="1764"/>
      <c r="Z458" s="1764"/>
      <c r="AA458" s="1764"/>
      <c r="AB458" s="176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34" t="s">
        <v>2416</v>
      </c>
      <c r="E465" s="1781"/>
      <c r="F465" s="1781"/>
      <c r="G465" s="1781"/>
      <c r="H465" s="1781"/>
      <c r="I465" s="1781"/>
      <c r="J465" s="1781"/>
      <c r="K465" s="1781"/>
      <c r="L465" s="1781"/>
      <c r="M465" s="1781"/>
      <c r="N465" s="1781"/>
      <c r="O465" s="1781"/>
      <c r="P465" s="1781"/>
      <c r="Q465" s="1781"/>
      <c r="R465" s="1781"/>
      <c r="S465" s="1781"/>
      <c r="T465" s="1781"/>
      <c r="U465" s="1781"/>
      <c r="V465" s="1782"/>
      <c r="W465" s="1697">
        <v>0</v>
      </c>
      <c r="X465" s="1698"/>
      <c r="Y465" s="169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80" t="s">
        <v>702</v>
      </c>
      <c r="E466" s="1781"/>
      <c r="F466" s="1781"/>
      <c r="G466" s="1781"/>
      <c r="H466" s="1781"/>
      <c r="I466" s="1781"/>
      <c r="J466" s="1781"/>
      <c r="K466" s="1781"/>
      <c r="L466" s="1781"/>
      <c r="M466" s="1781"/>
      <c r="N466" s="1781"/>
      <c r="O466" s="1781"/>
      <c r="P466" s="1781"/>
      <c r="Q466" s="1781"/>
      <c r="R466" s="1781"/>
      <c r="S466" s="1781"/>
      <c r="T466" s="1781"/>
      <c r="U466" s="1781"/>
      <c r="V466" s="1782"/>
      <c r="W466" s="1697">
        <v>0</v>
      </c>
      <c r="X466" s="1698"/>
      <c r="Y466" s="169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80" t="s">
        <v>703</v>
      </c>
      <c r="E467" s="1781"/>
      <c r="F467" s="1781"/>
      <c r="G467" s="1781"/>
      <c r="H467" s="1781"/>
      <c r="I467" s="1781"/>
      <c r="J467" s="1781"/>
      <c r="K467" s="1781"/>
      <c r="L467" s="1781"/>
      <c r="M467" s="1781"/>
      <c r="N467" s="1781"/>
      <c r="O467" s="1781"/>
      <c r="P467" s="1781"/>
      <c r="Q467" s="1781"/>
      <c r="R467" s="1781"/>
      <c r="S467" s="1781"/>
      <c r="T467" s="1781"/>
      <c r="U467" s="1781"/>
      <c r="V467" s="1782"/>
      <c r="W467" s="1697">
        <v>0</v>
      </c>
      <c r="X467" s="1698"/>
      <c r="Y467" s="169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80" t="s">
        <v>704</v>
      </c>
      <c r="E468" s="1781"/>
      <c r="F468" s="1781"/>
      <c r="G468" s="1781"/>
      <c r="H468" s="1781"/>
      <c r="I468" s="1781"/>
      <c r="J468" s="1781"/>
      <c r="K468" s="1781"/>
      <c r="L468" s="1781"/>
      <c r="M468" s="1781"/>
      <c r="N468" s="1781"/>
      <c r="O468" s="1781"/>
      <c r="P468" s="1781"/>
      <c r="Q468" s="1781"/>
      <c r="R468" s="1781"/>
      <c r="S468" s="1781"/>
      <c r="T468" s="1781"/>
      <c r="U468" s="1781"/>
      <c r="V468" s="1782"/>
      <c r="W468" s="1697">
        <v>0</v>
      </c>
      <c r="X468" s="1698"/>
      <c r="Y468" s="169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80" t="s">
        <v>893</v>
      </c>
      <c r="E469" s="1781"/>
      <c r="F469" s="1781"/>
      <c r="G469" s="1781"/>
      <c r="H469" s="1781"/>
      <c r="I469" s="1781"/>
      <c r="J469" s="1781"/>
      <c r="K469" s="1781"/>
      <c r="L469" s="1781"/>
      <c r="M469" s="1781"/>
      <c r="N469" s="1781"/>
      <c r="O469" s="1781"/>
      <c r="P469" s="1781"/>
      <c r="Q469" s="1781"/>
      <c r="R469" s="1781"/>
      <c r="S469" s="1781"/>
      <c r="T469" s="1781"/>
      <c r="U469" s="1781"/>
      <c r="V469" s="1782"/>
      <c r="W469" s="1697">
        <v>0</v>
      </c>
      <c r="X469" s="1698"/>
      <c r="Y469" s="1699"/>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80" t="s">
        <v>705</v>
      </c>
      <c r="E470" s="1781"/>
      <c r="F470" s="1781"/>
      <c r="G470" s="1781"/>
      <c r="H470" s="1781"/>
      <c r="I470" s="1781"/>
      <c r="J470" s="1781"/>
      <c r="K470" s="1781"/>
      <c r="L470" s="1781"/>
      <c r="M470" s="1781"/>
      <c r="N470" s="1781"/>
      <c r="O470" s="1781"/>
      <c r="P470" s="1781"/>
      <c r="Q470" s="1781"/>
      <c r="R470" s="1781"/>
      <c r="S470" s="1781"/>
      <c r="T470" s="1781"/>
      <c r="U470" s="1781"/>
      <c r="V470" s="1782"/>
      <c r="W470" s="1697">
        <v>0</v>
      </c>
      <c r="X470" s="1698"/>
      <c r="Y470" s="1699"/>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80" t="s">
        <v>1036</v>
      </c>
      <c r="E471" s="1781"/>
      <c r="F471" s="1781"/>
      <c r="G471" s="1781"/>
      <c r="H471" s="1781"/>
      <c r="I471" s="1781"/>
      <c r="J471" s="1781"/>
      <c r="K471" s="1781"/>
      <c r="L471" s="1781"/>
      <c r="M471" s="1781"/>
      <c r="N471" s="1781"/>
      <c r="O471" s="1781"/>
      <c r="P471" s="1781"/>
      <c r="Q471" s="1781"/>
      <c r="R471" s="1781"/>
      <c r="S471" s="1781"/>
      <c r="T471" s="1781"/>
      <c r="U471" s="1781"/>
      <c r="V471" s="1782"/>
      <c r="W471" s="1697">
        <v>0</v>
      </c>
      <c r="X471" s="1698"/>
      <c r="Y471" s="169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34" t="s">
        <v>2551</v>
      </c>
      <c r="E472" s="1873"/>
      <c r="F472" s="1873"/>
      <c r="G472" s="1873"/>
      <c r="H472" s="1873"/>
      <c r="I472" s="1873"/>
      <c r="J472" s="1873"/>
      <c r="K472" s="1873"/>
      <c r="L472" s="1873"/>
      <c r="M472" s="1873"/>
      <c r="N472" s="1873"/>
      <c r="O472" s="1873"/>
      <c r="P472" s="1873"/>
      <c r="Q472" s="1873"/>
      <c r="R472" s="1873"/>
      <c r="S472" s="1873"/>
      <c r="T472" s="1873"/>
      <c r="U472" s="1873"/>
      <c r="V472" s="1874"/>
      <c r="W472" s="1697">
        <v>0</v>
      </c>
      <c r="X472" s="1698"/>
      <c r="Y472" s="169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34" t="s">
        <v>1765</v>
      </c>
      <c r="E473" s="1781"/>
      <c r="F473" s="1781"/>
      <c r="G473" s="1781"/>
      <c r="H473" s="1781"/>
      <c r="I473" s="1781"/>
      <c r="J473" s="1781"/>
      <c r="K473" s="1781"/>
      <c r="L473" s="1781"/>
      <c r="M473" s="1781"/>
      <c r="N473" s="1781"/>
      <c r="O473" s="1781"/>
      <c r="P473" s="1781"/>
      <c r="Q473" s="1781"/>
      <c r="R473" s="1781"/>
      <c r="S473" s="1781"/>
      <c r="T473" s="1781"/>
      <c r="U473" s="1781"/>
      <c r="V473" s="1782"/>
      <c r="W473" s="1697">
        <v>20</v>
      </c>
      <c r="X473" s="1698"/>
      <c r="Y473" s="169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31"/>
      <c r="H474" s="1832"/>
      <c r="I474" s="1832"/>
      <c r="J474" s="1832"/>
      <c r="K474" s="1832"/>
      <c r="L474" s="1832"/>
      <c r="M474" s="1832"/>
      <c r="N474" s="1832"/>
      <c r="O474" s="1832"/>
      <c r="P474" s="1832"/>
      <c r="Q474" s="1832"/>
      <c r="R474" s="1832"/>
      <c r="S474" s="1832"/>
      <c r="T474" s="1832"/>
      <c r="U474" s="1832"/>
      <c r="V474" s="1833"/>
      <c r="W474" s="1697">
        <v>0</v>
      </c>
      <c r="X474" s="1698"/>
      <c r="Y474" s="169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7" t="s">
        <v>819</v>
      </c>
      <c r="B480" s="1467"/>
      <c r="C480" s="1467"/>
      <c r="D480" s="1467"/>
      <c r="E480" s="1467"/>
      <c r="F480" s="1467"/>
      <c r="G480" s="1467"/>
      <c r="H480" s="1467"/>
      <c r="I480" s="1467"/>
      <c r="J480" s="1467"/>
      <c r="K480" s="1467"/>
      <c r="L480" s="1467"/>
      <c r="M480" s="1467"/>
      <c r="N480" s="1467"/>
      <c r="O480" s="1467"/>
      <c r="P480" s="1467"/>
      <c r="Q480" s="1467"/>
      <c r="R480" s="1467"/>
      <c r="S480" s="1467"/>
      <c r="T480" s="1467"/>
      <c r="U480" s="1467"/>
      <c r="V480" s="1467"/>
      <c r="W480" s="1467"/>
      <c r="X480" s="1467"/>
      <c r="Y480" s="1467"/>
      <c r="Z480" s="1467"/>
      <c r="AA480" s="1467"/>
      <c r="AB480" s="1467"/>
      <c r="AC480" s="1467"/>
      <c r="AD480" s="1467"/>
      <c r="AE480" s="1467"/>
      <c r="AF480" s="1467"/>
      <c r="AG480" s="1467"/>
      <c r="AH480" s="1467"/>
      <c r="AI480" s="1467"/>
      <c r="AJ480" s="1467"/>
      <c r="AK480" s="1467"/>
      <c r="AL480" s="1467"/>
      <c r="AM480" s="1467"/>
      <c r="AN480" s="1467"/>
      <c r="AO480" s="1467"/>
      <c r="AP480" s="1467"/>
      <c r="AQ480" s="1467"/>
      <c r="AR480" s="1467"/>
      <c r="AS480" s="1467"/>
      <c r="AT480" s="146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7"/>
      <c r="B481" s="1467"/>
      <c r="C481" s="1467"/>
      <c r="D481" s="1467"/>
      <c r="E481" s="1467"/>
      <c r="F481" s="1467"/>
      <c r="G481" s="1467"/>
      <c r="H481" s="1467"/>
      <c r="I481" s="1467"/>
      <c r="J481" s="1467"/>
      <c r="K481" s="1467"/>
      <c r="L481" s="1467"/>
      <c r="M481" s="1467"/>
      <c r="N481" s="1467"/>
      <c r="O481" s="1467"/>
      <c r="P481" s="1467"/>
      <c r="Q481" s="1467"/>
      <c r="R481" s="1467"/>
      <c r="S481" s="1467"/>
      <c r="T481" s="1467"/>
      <c r="U481" s="1467"/>
      <c r="V481" s="1467"/>
      <c r="W481" s="1467"/>
      <c r="X481" s="1467"/>
      <c r="Y481" s="1467"/>
      <c r="Z481" s="1467"/>
      <c r="AA481" s="1467"/>
      <c r="AB481" s="1467"/>
      <c r="AC481" s="1467"/>
      <c r="AD481" s="1467"/>
      <c r="AE481" s="1467"/>
      <c r="AF481" s="1467"/>
      <c r="AG481" s="1467"/>
      <c r="AH481" s="1467"/>
      <c r="AI481" s="1467"/>
      <c r="AJ481" s="1467"/>
      <c r="AK481" s="1467"/>
      <c r="AL481" s="1467"/>
      <c r="AM481" s="1467"/>
      <c r="AN481" s="1467"/>
      <c r="AO481" s="1467"/>
      <c r="AP481" s="1467"/>
      <c r="AQ481" s="1467"/>
      <c r="AR481" s="1467"/>
      <c r="AS481" s="1467"/>
      <c r="AT481" s="146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5" t="s">
        <v>394</v>
      </c>
      <c r="R485" s="1716"/>
      <c r="S485" s="1716"/>
      <c r="T485" s="1716"/>
      <c r="U485" s="1716"/>
      <c r="V485" s="1716"/>
      <c r="W485" s="1716"/>
      <c r="X485" s="1716"/>
      <c r="Y485" s="1716"/>
      <c r="Z485" s="1716"/>
      <c r="AA485" s="1716"/>
      <c r="AB485" s="1716"/>
      <c r="AC485" s="1716"/>
      <c r="AD485" s="1716"/>
      <c r="AE485" s="1716"/>
      <c r="AF485" s="1716"/>
      <c r="AG485" s="1716"/>
      <c r="AH485" s="1716"/>
      <c r="AI485" s="1716"/>
      <c r="AJ485" s="1716"/>
      <c r="AK485" s="171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2" t="s">
        <v>2718</v>
      </c>
      <c r="R486" s="1380"/>
      <c r="S486" s="1380"/>
      <c r="T486" s="1380"/>
      <c r="U486" s="1380"/>
      <c r="V486" s="1380"/>
      <c r="W486" s="1380"/>
      <c r="X486" s="1380"/>
      <c r="Y486" s="1380"/>
      <c r="Z486" s="1380"/>
      <c r="AA486" s="1380"/>
      <c r="AB486" s="1380"/>
      <c r="AC486" s="1380"/>
      <c r="AD486" s="1380"/>
      <c r="AE486" s="1380"/>
      <c r="AF486" s="1380"/>
      <c r="AG486" s="1380"/>
      <c r="AH486" s="1380"/>
      <c r="AI486" s="1380"/>
      <c r="AJ486" s="1380"/>
      <c r="AK486" s="1703"/>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2" t="s">
        <v>2719</v>
      </c>
      <c r="R487" s="1380"/>
      <c r="S487" s="1380"/>
      <c r="T487" s="1380"/>
      <c r="U487" s="1380"/>
      <c r="V487" s="1380"/>
      <c r="W487" s="1380"/>
      <c r="X487" s="1380"/>
      <c r="Y487" s="1380"/>
      <c r="Z487" s="1380"/>
      <c r="AA487" s="1380"/>
      <c r="AB487" s="1380"/>
      <c r="AC487" s="1380"/>
      <c r="AD487" s="1380"/>
      <c r="AE487" s="1380"/>
      <c r="AF487" s="1380"/>
      <c r="AG487" s="1380"/>
      <c r="AH487" s="1380"/>
      <c r="AI487" s="1380"/>
      <c r="AJ487" s="1380"/>
      <c r="AK487" s="1703"/>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593" t="s">
        <v>2775</v>
      </c>
      <c r="R488" s="1380"/>
      <c r="S488" s="1380"/>
      <c r="T488" s="1380"/>
      <c r="U488" s="1380"/>
      <c r="V488" s="1380"/>
      <c r="W488" s="1380"/>
      <c r="X488" s="1380"/>
      <c r="Y488" s="1380"/>
      <c r="Z488" s="1380"/>
      <c r="AA488" s="1380"/>
      <c r="AB488" s="1380"/>
      <c r="AC488" s="1380"/>
      <c r="AD488" s="1380"/>
      <c r="AE488" s="1380"/>
      <c r="AF488" s="1380"/>
      <c r="AG488" s="1380"/>
      <c r="AH488" s="1380"/>
      <c r="AI488" s="1380"/>
      <c r="AJ488" s="1380"/>
      <c r="AK488" s="170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9" t="s">
        <v>398</v>
      </c>
      <c r="C489" s="1860"/>
      <c r="D489" s="1860"/>
      <c r="E489" s="1860"/>
      <c r="F489" s="1860"/>
      <c r="G489" s="1860"/>
      <c r="H489" s="1860"/>
      <c r="I489" s="1860"/>
      <c r="J489" s="1860"/>
      <c r="K489" s="1860"/>
      <c r="L489" s="1860"/>
      <c r="M489" s="1860"/>
      <c r="N489" s="1860"/>
      <c r="O489" s="1860"/>
      <c r="P489" s="1861"/>
      <c r="Q489" s="1865" t="s">
        <v>677</v>
      </c>
      <c r="R489" s="1866"/>
      <c r="S489" s="1835" t="s">
        <v>166</v>
      </c>
      <c r="T489" s="1836"/>
      <c r="U489" s="1836"/>
      <c r="V489" s="1836"/>
      <c r="W489" s="1836"/>
      <c r="X489" s="1836"/>
      <c r="Y489" s="1836"/>
      <c r="Z489" s="1836"/>
      <c r="AA489" s="1836"/>
      <c r="AB489" s="1836"/>
      <c r="AC489" s="1836"/>
      <c r="AD489" s="1836"/>
      <c r="AE489" s="1836"/>
      <c r="AF489" s="1836"/>
      <c r="AG489" s="1836"/>
      <c r="AH489" s="1836"/>
      <c r="AI489" s="1836"/>
      <c r="AJ489" s="1836"/>
      <c r="AK489" s="183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62"/>
      <c r="C490" s="1863"/>
      <c r="D490" s="1863"/>
      <c r="E490" s="1863"/>
      <c r="F490" s="1863"/>
      <c r="G490" s="1863"/>
      <c r="H490" s="1863"/>
      <c r="I490" s="1863"/>
      <c r="J490" s="1863"/>
      <c r="K490" s="1863"/>
      <c r="L490" s="1863"/>
      <c r="M490" s="1863"/>
      <c r="N490" s="1863"/>
      <c r="O490" s="1863"/>
      <c r="P490" s="1864"/>
      <c r="Q490" s="1867"/>
      <c r="R490" s="1868"/>
      <c r="S490" s="1838"/>
      <c r="T490" s="1804"/>
      <c r="U490" s="1804"/>
      <c r="V490" s="1804"/>
      <c r="W490" s="1804"/>
      <c r="X490" s="1804"/>
      <c r="Y490" s="1804"/>
      <c r="Z490" s="1804"/>
      <c r="AA490" s="1804"/>
      <c r="AB490" s="1804"/>
      <c r="AC490" s="1804"/>
      <c r="AD490" s="1804"/>
      <c r="AE490" s="1804"/>
      <c r="AF490" s="1804"/>
      <c r="AG490" s="1804"/>
      <c r="AH490" s="1804"/>
      <c r="AI490" s="1804"/>
      <c r="AJ490" s="1804"/>
      <c r="AK490" s="183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69" t="s">
        <v>677</v>
      </c>
      <c r="R491" s="1870"/>
      <c r="S491" s="1870"/>
      <c r="T491" s="1870"/>
      <c r="U491" s="1870"/>
      <c r="V491" s="1870"/>
      <c r="W491" s="1870"/>
      <c r="X491" s="1870"/>
      <c r="Y491" s="1870"/>
      <c r="Z491" s="1870"/>
      <c r="AA491" s="1870"/>
      <c r="AB491" s="1870"/>
      <c r="AC491" s="1870"/>
      <c r="AD491" s="1870"/>
      <c r="AE491" s="1870"/>
      <c r="AF491" s="1870"/>
      <c r="AG491" s="1870"/>
      <c r="AH491" s="1870"/>
      <c r="AI491" s="1870"/>
      <c r="AJ491" s="1870"/>
      <c r="AK491" s="18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2" t="s">
        <v>2720</v>
      </c>
      <c r="R492" s="1380"/>
      <c r="S492" s="1380"/>
      <c r="T492" s="1380"/>
      <c r="U492" s="1380"/>
      <c r="V492" s="1380"/>
      <c r="W492" s="1380"/>
      <c r="X492" s="1380"/>
      <c r="Y492" s="1380"/>
      <c r="Z492" s="1380"/>
      <c r="AA492" s="1380"/>
      <c r="AB492" s="1380"/>
      <c r="AC492" s="1380"/>
      <c r="AD492" s="1380"/>
      <c r="AE492" s="1380"/>
      <c r="AF492" s="1380"/>
      <c r="AG492" s="1380"/>
      <c r="AH492" s="1380"/>
      <c r="AI492" s="1380"/>
      <c r="AJ492" s="1380"/>
      <c r="AK492" s="170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2">
        <v>120</v>
      </c>
      <c r="R493" s="1380"/>
      <c r="S493" s="1380"/>
      <c r="T493" s="1380"/>
      <c r="U493" s="1380"/>
      <c r="V493" s="1380"/>
      <c r="W493" s="1380"/>
      <c r="X493" s="1380"/>
      <c r="Y493" s="1380"/>
      <c r="Z493" s="1380"/>
      <c r="AA493" s="1380"/>
      <c r="AB493" s="1380"/>
      <c r="AC493" s="1380"/>
      <c r="AD493" s="1380"/>
      <c r="AE493" s="1380"/>
      <c r="AF493" s="1380"/>
      <c r="AG493" s="1380"/>
      <c r="AH493" s="1380"/>
      <c r="AI493" s="1380"/>
      <c r="AJ493" s="1380"/>
      <c r="AK493" s="170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702">
        <v>170</v>
      </c>
      <c r="R494" s="1380"/>
      <c r="S494" s="1380"/>
      <c r="T494" s="1380"/>
      <c r="U494" s="1380"/>
      <c r="V494" s="1380"/>
      <c r="W494" s="1380"/>
      <c r="X494" s="1380"/>
      <c r="Y494" s="1380"/>
      <c r="Z494" s="1380"/>
      <c r="AA494" s="1380"/>
      <c r="AB494" s="1380"/>
      <c r="AC494" s="1380"/>
      <c r="AD494" s="1380"/>
      <c r="AE494" s="1380"/>
      <c r="AF494" s="1380"/>
      <c r="AG494" s="1380"/>
      <c r="AH494" s="1380"/>
      <c r="AI494" s="1380"/>
      <c r="AJ494" s="1380"/>
      <c r="AK494" s="170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1">
        <v>70</v>
      </c>
      <c r="N495" s="1452"/>
      <c r="O495" s="1452"/>
      <c r="P495" s="1453"/>
      <c r="Q495" s="121" t="s">
        <v>1782</v>
      </c>
      <c r="R495" s="5"/>
      <c r="S495" s="5"/>
      <c r="T495" s="5"/>
      <c r="U495" s="5"/>
      <c r="V495" s="5"/>
      <c r="W495" s="5"/>
      <c r="X495" s="5"/>
      <c r="Y495" s="5"/>
      <c r="Z495" s="5"/>
      <c r="AA495" s="5"/>
      <c r="AB495" s="5"/>
      <c r="AC495" s="5"/>
      <c r="AD495" s="5"/>
      <c r="AE495" s="5"/>
      <c r="AF495" s="5"/>
      <c r="AG495" s="5"/>
      <c r="AH495" s="1451">
        <v>100</v>
      </c>
      <c r="AI495" s="1452"/>
      <c r="AJ495" s="1452"/>
      <c r="AK495" s="145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5" t="s">
        <v>402</v>
      </c>
      <c r="AD499" s="1716"/>
      <c r="AE499" s="1716"/>
      <c r="AF499" s="1716"/>
      <c r="AG499" s="1716"/>
      <c r="AH499" s="1716"/>
      <c r="AI499" s="1716"/>
      <c r="AJ499" s="1716"/>
      <c r="AK499" s="171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5" t="s">
        <v>403</v>
      </c>
      <c r="AD500" s="1716"/>
      <c r="AE500" s="1716"/>
      <c r="AF500" s="1716"/>
      <c r="AG500" s="50" t="s">
        <v>404</v>
      </c>
      <c r="AH500" s="1716" t="s">
        <v>405</v>
      </c>
      <c r="AI500" s="1716"/>
      <c r="AJ500" s="1716"/>
      <c r="AK500" s="171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2" t="s">
        <v>406</v>
      </c>
      <c r="C501" s="1515"/>
      <c r="D501" s="1515"/>
      <c r="E501" s="1515"/>
      <c r="F501" s="1515"/>
      <c r="G501" s="1515"/>
      <c r="H501" s="1516"/>
      <c r="I501" s="42" t="s">
        <v>407</v>
      </c>
      <c r="J501" s="42"/>
      <c r="K501" s="42"/>
      <c r="L501" s="42"/>
      <c r="M501" s="42"/>
      <c r="N501" s="42"/>
      <c r="O501" s="42"/>
      <c r="P501" s="42"/>
      <c r="Q501" s="42"/>
      <c r="R501" s="42"/>
      <c r="S501" s="42"/>
      <c r="T501" s="42"/>
      <c r="U501" s="42"/>
      <c r="V501" s="42"/>
      <c r="W501" s="42"/>
      <c r="AC501" s="1711" t="s">
        <v>599</v>
      </c>
      <c r="AD501" s="1649"/>
      <c r="AE501" s="1649"/>
      <c r="AF501" s="1649"/>
      <c r="AG501" s="13" t="s">
        <v>404</v>
      </c>
      <c r="AH501" s="1810">
        <v>0</v>
      </c>
      <c r="AI501" s="1397"/>
      <c r="AJ501" s="1397"/>
      <c r="AK501" s="139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3"/>
      <c r="C502" s="1517"/>
      <c r="D502" s="1517"/>
      <c r="E502" s="1517"/>
      <c r="F502" s="1517"/>
      <c r="G502" s="1517"/>
      <c r="H502" s="1518"/>
      <c r="I502" s="48" t="s">
        <v>408</v>
      </c>
      <c r="J502" s="48"/>
      <c r="K502" s="48"/>
      <c r="L502" s="48"/>
      <c r="M502" s="48"/>
      <c r="N502" s="48"/>
      <c r="O502" s="48"/>
      <c r="P502" s="48"/>
      <c r="Q502" s="48"/>
      <c r="R502" s="48"/>
      <c r="S502" s="48"/>
      <c r="T502" s="48"/>
      <c r="U502" s="48"/>
      <c r="V502" s="48"/>
      <c r="W502" s="48"/>
      <c r="X502" s="48"/>
      <c r="Y502" s="48"/>
      <c r="Z502" s="48"/>
      <c r="AA502" s="48"/>
      <c r="AB502" s="48"/>
      <c r="AC502" s="1711">
        <v>9</v>
      </c>
      <c r="AD502" s="1649"/>
      <c r="AE502" s="1649"/>
      <c r="AF502" s="1649"/>
      <c r="AG502" s="38" t="s">
        <v>404</v>
      </c>
      <c r="AH502" s="1397">
        <v>2023</v>
      </c>
      <c r="AI502" s="1397"/>
      <c r="AJ502" s="1397"/>
      <c r="AK502" s="139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2" t="s">
        <v>409</v>
      </c>
      <c r="C503" s="1515"/>
      <c r="D503" s="1515"/>
      <c r="E503" s="1515"/>
      <c r="F503" s="1515"/>
      <c r="G503" s="1515"/>
      <c r="H503" s="1516"/>
      <c r="I503" s="42" t="s">
        <v>410</v>
      </c>
      <c r="J503" s="42"/>
      <c r="K503" s="42"/>
      <c r="L503" s="42"/>
      <c r="M503" s="42"/>
      <c r="N503" s="42"/>
      <c r="O503" s="42"/>
      <c r="P503" s="42"/>
      <c r="Q503" s="42"/>
      <c r="R503" s="42"/>
      <c r="S503" s="42"/>
      <c r="T503" s="42"/>
      <c r="U503" s="42"/>
      <c r="V503" s="42"/>
      <c r="W503" s="42"/>
      <c r="AC503" s="1711" t="s">
        <v>599</v>
      </c>
      <c r="AD503" s="1649"/>
      <c r="AE503" s="1649"/>
      <c r="AF503" s="1649"/>
      <c r="AG503" s="13" t="s">
        <v>404</v>
      </c>
      <c r="AH503" s="1397"/>
      <c r="AI503" s="1397"/>
      <c r="AJ503" s="1397"/>
      <c r="AK503" s="139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3"/>
      <c r="C504" s="1517"/>
      <c r="D504" s="1517"/>
      <c r="E504" s="1517"/>
      <c r="F504" s="1517"/>
      <c r="G504" s="1517"/>
      <c r="H504" s="1518"/>
      <c r="I504" t="s">
        <v>411</v>
      </c>
      <c r="AC504" s="1711" t="s">
        <v>599</v>
      </c>
      <c r="AD504" s="1649"/>
      <c r="AE504" s="1649"/>
      <c r="AF504" s="1649"/>
      <c r="AG504" s="13" t="s">
        <v>404</v>
      </c>
      <c r="AH504" s="1397"/>
      <c r="AI504" s="1397"/>
      <c r="AJ504" s="1397"/>
      <c r="AK504" s="139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3"/>
      <c r="C505" s="1517"/>
      <c r="D505" s="1517"/>
      <c r="E505" s="1517"/>
      <c r="F505" s="1517"/>
      <c r="G505" s="1517"/>
      <c r="H505" s="1518"/>
      <c r="I505" t="s">
        <v>412</v>
      </c>
      <c r="AC505" s="1711">
        <v>6</v>
      </c>
      <c r="AD505" s="1649"/>
      <c r="AE505" s="1649"/>
      <c r="AF505" s="1649"/>
      <c r="AG505" s="13" t="s">
        <v>404</v>
      </c>
      <c r="AH505" s="1397">
        <v>2024</v>
      </c>
      <c r="AI505" s="1397"/>
      <c r="AJ505" s="1397"/>
      <c r="AK505" s="139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3"/>
      <c r="C506" s="1517"/>
      <c r="D506" s="1517"/>
      <c r="E506" s="1517"/>
      <c r="F506" s="1517"/>
      <c r="G506" s="1517"/>
      <c r="H506" s="1518"/>
      <c r="I506" t="s">
        <v>413</v>
      </c>
      <c r="AC506" s="1711">
        <v>6</v>
      </c>
      <c r="AD506" s="1649"/>
      <c r="AE506" s="1649"/>
      <c r="AF506" s="1649"/>
      <c r="AG506" s="13" t="s">
        <v>404</v>
      </c>
      <c r="AH506" s="1397">
        <v>2025</v>
      </c>
      <c r="AI506" s="1397"/>
      <c r="AJ506" s="1397"/>
      <c r="AK506" s="139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3"/>
      <c r="C507" s="1517"/>
      <c r="D507" s="1517"/>
      <c r="E507" s="1517"/>
      <c r="F507" s="1517"/>
      <c r="G507" s="1517"/>
      <c r="H507" s="1518"/>
      <c r="I507" s="3" t="s">
        <v>414</v>
      </c>
      <c r="AC507" s="1356">
        <v>6</v>
      </c>
      <c r="AD507" s="1357"/>
      <c r="AE507" s="1357"/>
      <c r="AF507" s="1357"/>
      <c r="AG507" s="13" t="s">
        <v>404</v>
      </c>
      <c r="AH507" s="1397">
        <v>2025</v>
      </c>
      <c r="AI507" s="1397"/>
      <c r="AJ507" s="1397"/>
      <c r="AK507" s="139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3"/>
      <c r="C508" s="1517"/>
      <c r="D508" s="1517"/>
      <c r="E508" s="1517"/>
      <c r="F508" s="1517"/>
      <c r="G508" s="1517"/>
      <c r="H508" s="1518"/>
      <c r="I508" s="931" t="s">
        <v>170</v>
      </c>
      <c r="J508" s="48"/>
      <c r="K508" s="48"/>
      <c r="L508" s="1784" t="s">
        <v>335</v>
      </c>
      <c r="M508" s="1785"/>
      <c r="N508" s="1785"/>
      <c r="O508" s="1785"/>
      <c r="P508" s="1785"/>
      <c r="Q508" s="1785"/>
      <c r="R508" s="1785"/>
      <c r="S508" s="1785"/>
      <c r="T508" s="1785"/>
      <c r="U508" s="1785"/>
      <c r="V508" s="1785"/>
      <c r="W508" s="1785"/>
      <c r="X508" s="1785"/>
      <c r="Y508" s="1785"/>
      <c r="Z508" s="1785"/>
      <c r="AA508" s="1785"/>
      <c r="AB508" s="1841"/>
      <c r="AC508" s="1711" t="s">
        <v>599</v>
      </c>
      <c r="AD508" s="1649"/>
      <c r="AE508" s="1649"/>
      <c r="AF508" s="1649"/>
      <c r="AG508" s="38" t="s">
        <v>404</v>
      </c>
      <c r="AH508" s="1397"/>
      <c r="AI508" s="1397"/>
      <c r="AJ508" s="1397"/>
      <c r="AK508" s="139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54" t="s">
        <v>677</v>
      </c>
      <c r="AD509" s="1854"/>
      <c r="AE509" s="1854"/>
      <c r="AF509" s="1854"/>
      <c r="AG509" s="13"/>
      <c r="AH509" s="1301"/>
      <c r="AI509" s="1301"/>
      <c r="AJ509" s="1301"/>
      <c r="AK509" s="1842"/>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6"/>
      <c r="AD510" s="1357"/>
      <c r="AE510" s="1357"/>
      <c r="AF510" s="1358"/>
      <c r="AG510" s="13"/>
      <c r="AH510" s="1301"/>
      <c r="AI510" s="1301"/>
      <c r="AJ510" s="1301"/>
      <c r="AK510" s="1842"/>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43"/>
      <c r="AD512" s="1844"/>
      <c r="AE512" s="1844"/>
      <c r="AF512" s="1845"/>
      <c r="AG512" s="38"/>
      <c r="AH512" s="1846"/>
      <c r="AI512" s="1846"/>
      <c r="AJ512" s="1846"/>
      <c r="AK512" s="1847"/>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72" t="s">
        <v>403</v>
      </c>
      <c r="AD513" s="1753"/>
      <c r="AE513" s="1753"/>
      <c r="AF513" s="1753"/>
      <c r="AG513" s="38" t="s">
        <v>404</v>
      </c>
      <c r="AH513" s="1753" t="s">
        <v>405</v>
      </c>
      <c r="AI513" s="1753"/>
      <c r="AJ513" s="1753"/>
      <c r="AK513" s="1840"/>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2" t="s">
        <v>415</v>
      </c>
      <c r="C514" s="1515"/>
      <c r="D514" s="1515"/>
      <c r="E514" s="1515"/>
      <c r="F514" s="1515"/>
      <c r="G514" s="1515"/>
      <c r="H514" s="1516"/>
      <c r="I514" s="42" t="s">
        <v>416</v>
      </c>
      <c r="J514" s="42"/>
      <c r="K514" s="42"/>
      <c r="L514" s="42"/>
      <c r="M514" s="42"/>
      <c r="N514" s="42"/>
      <c r="O514" s="42"/>
      <c r="P514" s="42"/>
      <c r="Q514" s="42"/>
      <c r="R514" s="42"/>
      <c r="S514" s="42"/>
      <c r="T514" s="42"/>
      <c r="U514" s="42"/>
      <c r="V514" s="42"/>
      <c r="W514" s="42"/>
      <c r="AC514" s="1711">
        <v>8</v>
      </c>
      <c r="AD514" s="1649"/>
      <c r="AE514" s="1649"/>
      <c r="AF514" s="1649"/>
      <c r="AG514" s="13" t="s">
        <v>404</v>
      </c>
      <c r="AH514" s="1397">
        <v>2024</v>
      </c>
      <c r="AI514" s="1397"/>
      <c r="AJ514" s="1397"/>
      <c r="AK514" s="1398"/>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3"/>
      <c r="C515" s="1517"/>
      <c r="D515" s="1517"/>
      <c r="E515" s="1517"/>
      <c r="F515" s="1517"/>
      <c r="G515" s="1517"/>
      <c r="H515" s="1518"/>
      <c r="I515" t="s">
        <v>417</v>
      </c>
      <c r="AC515" s="1711">
        <v>8</v>
      </c>
      <c r="AD515" s="1649"/>
      <c r="AE515" s="1649"/>
      <c r="AF515" s="1649"/>
      <c r="AG515" s="13" t="s">
        <v>404</v>
      </c>
      <c r="AH515" s="1397">
        <v>2024</v>
      </c>
      <c r="AI515" s="1397"/>
      <c r="AJ515" s="1397"/>
      <c r="AK515" s="1398"/>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3"/>
      <c r="C516" s="1517"/>
      <c r="D516" s="1517"/>
      <c r="E516" s="1517"/>
      <c r="F516" s="1517"/>
      <c r="G516" s="1517"/>
      <c r="H516" s="1518"/>
      <c r="I516" s="48" t="s">
        <v>418</v>
      </c>
      <c r="J516" s="48"/>
      <c r="K516" s="48"/>
      <c r="L516" s="48"/>
      <c r="M516" s="48"/>
      <c r="N516" s="48"/>
      <c r="O516" s="48"/>
      <c r="P516" s="48"/>
      <c r="Q516" s="48"/>
      <c r="R516" s="48"/>
      <c r="S516" s="48"/>
      <c r="T516" s="48"/>
      <c r="U516" s="48"/>
      <c r="V516" s="48"/>
      <c r="W516" s="48"/>
      <c r="X516" s="48"/>
      <c r="Y516" s="48"/>
      <c r="Z516" s="48"/>
      <c r="AA516" s="48"/>
      <c r="AB516" s="48"/>
      <c r="AC516" s="1711">
        <v>6</v>
      </c>
      <c r="AD516" s="1649"/>
      <c r="AE516" s="1649"/>
      <c r="AF516" s="1649"/>
      <c r="AG516" s="38" t="s">
        <v>404</v>
      </c>
      <c r="AH516" s="1397">
        <v>2025</v>
      </c>
      <c r="AI516" s="1397"/>
      <c r="AJ516" s="1397"/>
      <c r="AK516" s="1398"/>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2" t="s">
        <v>419</v>
      </c>
      <c r="C517" s="1515"/>
      <c r="D517" s="1515"/>
      <c r="E517" s="1515"/>
      <c r="F517" s="1515"/>
      <c r="G517" s="1515"/>
      <c r="H517" s="1516"/>
      <c r="I517" s="42" t="s">
        <v>416</v>
      </c>
      <c r="J517" s="42"/>
      <c r="K517" s="42"/>
      <c r="L517" s="42"/>
      <c r="M517" s="42"/>
      <c r="N517" s="42"/>
      <c r="O517" s="42"/>
      <c r="P517" s="42"/>
      <c r="Q517" s="42"/>
      <c r="R517" s="42"/>
      <c r="S517" s="42"/>
      <c r="T517" s="42"/>
      <c r="U517" s="42"/>
      <c r="V517" s="42"/>
      <c r="W517" s="42"/>
      <c r="X517" s="42"/>
      <c r="Y517" s="42"/>
      <c r="Z517" s="42"/>
      <c r="AA517" s="42"/>
      <c r="AB517" s="42"/>
      <c r="AC517" s="1356">
        <v>8</v>
      </c>
      <c r="AD517" s="1357"/>
      <c r="AE517" s="1357"/>
      <c r="AF517" s="1357"/>
      <c r="AG517" s="129" t="s">
        <v>404</v>
      </c>
      <c r="AH517" s="1397">
        <v>2024</v>
      </c>
      <c r="AI517" s="1397"/>
      <c r="AJ517" s="1397"/>
      <c r="AK517" s="1398"/>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3"/>
      <c r="C518" s="1517"/>
      <c r="D518" s="1517"/>
      <c r="E518" s="1517"/>
      <c r="F518" s="1517"/>
      <c r="G518" s="1517"/>
      <c r="H518" s="1518"/>
      <c r="I518" t="s">
        <v>417</v>
      </c>
      <c r="AC518" s="1711">
        <v>8</v>
      </c>
      <c r="AD518" s="1649"/>
      <c r="AE518" s="1649"/>
      <c r="AF518" s="1649"/>
      <c r="AG518" s="13" t="s">
        <v>404</v>
      </c>
      <c r="AH518" s="1397">
        <v>2024</v>
      </c>
      <c r="AI518" s="1397"/>
      <c r="AJ518" s="1397"/>
      <c r="AK518" s="1398"/>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4"/>
      <c r="C519" s="1519"/>
      <c r="D519" s="1519"/>
      <c r="E519" s="1519"/>
      <c r="F519" s="1519"/>
      <c r="G519" s="1519"/>
      <c r="H519" s="1520"/>
      <c r="I519" s="48" t="s">
        <v>418</v>
      </c>
      <c r="J519" s="48"/>
      <c r="K519" s="48"/>
      <c r="L519" s="48"/>
      <c r="M519" s="48"/>
      <c r="N519" s="48"/>
      <c r="O519" s="48"/>
      <c r="P519" s="48"/>
      <c r="Q519" s="48"/>
      <c r="R519" s="48"/>
      <c r="S519" s="48"/>
      <c r="T519" s="48"/>
      <c r="U519" s="48"/>
      <c r="V519" s="48"/>
      <c r="W519" s="48"/>
      <c r="X519" s="48"/>
      <c r="Y519" s="48"/>
      <c r="Z519" s="48"/>
      <c r="AA519" s="48"/>
      <c r="AB519" s="48"/>
      <c r="AC519" s="1711">
        <v>6</v>
      </c>
      <c r="AD519" s="1649"/>
      <c r="AE519" s="1649"/>
      <c r="AF519" s="1649"/>
      <c r="AG519" s="38" t="s">
        <v>404</v>
      </c>
      <c r="AH519" s="1397">
        <v>2025</v>
      </c>
      <c r="AI519" s="1397"/>
      <c r="AJ519" s="1397"/>
      <c r="AK519" s="1398"/>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2" t="s">
        <v>420</v>
      </c>
      <c r="C520" s="1515"/>
      <c r="D520" s="1515"/>
      <c r="E520" s="1515"/>
      <c r="F520" s="1515"/>
      <c r="G520" s="1515"/>
      <c r="H520" s="1516"/>
      <c r="I520" s="41" t="s">
        <v>421</v>
      </c>
      <c r="J520" s="42"/>
      <c r="K520" s="42"/>
      <c r="L520" s="42"/>
      <c r="M520" s="42"/>
      <c r="N520" s="42"/>
      <c r="O520" s="1784" t="s">
        <v>2762</v>
      </c>
      <c r="P520" s="1785"/>
      <c r="Q520" s="1785"/>
      <c r="R520" s="1785"/>
      <c r="S520" s="1785"/>
      <c r="T520" s="1785"/>
      <c r="U520" s="1785"/>
      <c r="V520" s="1785"/>
      <c r="W520" s="1785"/>
      <c r="X520" s="1785"/>
      <c r="Y520" s="1785"/>
      <c r="Z520" s="1785"/>
      <c r="AA520" s="1785"/>
      <c r="AB520" s="58"/>
      <c r="AC520" s="1356"/>
      <c r="AD520" s="1357"/>
      <c r="AE520" s="1357"/>
      <c r="AF520" s="1357"/>
      <c r="AG520" s="129" t="s">
        <v>404</v>
      </c>
      <c r="AH520" s="1397"/>
      <c r="AI520" s="1397"/>
      <c r="AJ520" s="1397"/>
      <c r="AK520" s="1398"/>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3"/>
      <c r="C521" s="1517"/>
      <c r="D521" s="1517"/>
      <c r="E521" s="1517"/>
      <c r="F521" s="1517"/>
      <c r="G521" s="1517"/>
      <c r="H521" s="1518"/>
      <c r="I521" s="114" t="s">
        <v>422</v>
      </c>
      <c r="AB521" s="65"/>
      <c r="AC521" s="1711">
        <v>12</v>
      </c>
      <c r="AD521" s="1649"/>
      <c r="AE521" s="1649"/>
      <c r="AF521" s="1649"/>
      <c r="AG521" s="13" t="s">
        <v>404</v>
      </c>
      <c r="AH521" s="1397">
        <v>2023</v>
      </c>
      <c r="AI521" s="1397"/>
      <c r="AJ521" s="1397"/>
      <c r="AK521" s="1398"/>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3"/>
      <c r="C522" s="1517"/>
      <c r="D522" s="1517"/>
      <c r="E522" s="1517"/>
      <c r="F522" s="1517"/>
      <c r="G522" s="1517"/>
      <c r="H522" s="1518"/>
      <c r="I522" s="47" t="s">
        <v>423</v>
      </c>
      <c r="J522" s="48"/>
      <c r="K522" s="48"/>
      <c r="L522" s="48"/>
      <c r="M522" s="48"/>
      <c r="N522" s="48"/>
      <c r="O522" s="48"/>
      <c r="P522" s="48"/>
      <c r="Q522" s="48"/>
      <c r="R522" s="48"/>
      <c r="S522" s="48"/>
      <c r="T522" s="48"/>
      <c r="U522" s="48"/>
      <c r="V522" s="48"/>
      <c r="W522" s="48"/>
      <c r="X522" s="48"/>
      <c r="Y522" s="48"/>
      <c r="Z522" s="48"/>
      <c r="AA522" s="48"/>
      <c r="AB522" s="49"/>
      <c r="AC522" s="1711">
        <v>4</v>
      </c>
      <c r="AD522" s="1649"/>
      <c r="AE522" s="1649"/>
      <c r="AF522" s="1649"/>
      <c r="AG522" s="38" t="s">
        <v>404</v>
      </c>
      <c r="AH522" s="1397">
        <v>2024</v>
      </c>
      <c r="AI522" s="1397"/>
      <c r="AJ522" s="1397"/>
      <c r="AK522" s="1398"/>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3"/>
      <c r="C523" s="1517"/>
      <c r="D523" s="1517"/>
      <c r="E523" s="1517"/>
      <c r="F523" s="1517"/>
      <c r="G523" s="1517"/>
      <c r="H523" s="1518"/>
      <c r="I523" s="42" t="s">
        <v>424</v>
      </c>
      <c r="J523" s="42"/>
      <c r="K523" s="42"/>
      <c r="L523" s="42"/>
      <c r="M523" s="42"/>
      <c r="N523" s="42"/>
      <c r="O523" s="1784" t="s">
        <v>335</v>
      </c>
      <c r="P523" s="1785"/>
      <c r="Q523" s="1785"/>
      <c r="R523" s="1785"/>
      <c r="S523" s="1785"/>
      <c r="T523" s="1785"/>
      <c r="U523" s="1785"/>
      <c r="V523" s="1785"/>
      <c r="W523" s="1785"/>
      <c r="X523" s="1785"/>
      <c r="Y523" s="1785"/>
      <c r="Z523" s="1785"/>
      <c r="AA523" s="1785"/>
      <c r="AC523" s="1711" t="s">
        <v>599</v>
      </c>
      <c r="AD523" s="1649"/>
      <c r="AE523" s="1649"/>
      <c r="AF523" s="1649"/>
      <c r="AG523" s="13" t="s">
        <v>404</v>
      </c>
      <c r="AH523" s="1397"/>
      <c r="AI523" s="1397"/>
      <c r="AJ523" s="1397"/>
      <c r="AK523" s="1398"/>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3"/>
      <c r="C524" s="1517"/>
      <c r="D524" s="1517"/>
      <c r="E524" s="1517"/>
      <c r="F524" s="1517"/>
      <c r="G524" s="1517"/>
      <c r="H524" s="1518"/>
      <c r="I524" t="s">
        <v>422</v>
      </c>
      <c r="AC524" s="1711" t="s">
        <v>599</v>
      </c>
      <c r="AD524" s="1649"/>
      <c r="AE524" s="1649"/>
      <c r="AF524" s="1649"/>
      <c r="AG524" s="13" t="s">
        <v>404</v>
      </c>
      <c r="AH524" s="1397"/>
      <c r="AI524" s="1397"/>
      <c r="AJ524" s="1397"/>
      <c r="AK524" s="1398"/>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3"/>
      <c r="C525" s="1517"/>
      <c r="D525" s="1517"/>
      <c r="E525" s="1517"/>
      <c r="F525" s="1517"/>
      <c r="G525" s="1517"/>
      <c r="H525" s="1518"/>
      <c r="I525" s="48" t="s">
        <v>423</v>
      </c>
      <c r="J525" s="48"/>
      <c r="K525" s="48"/>
      <c r="L525" s="48"/>
      <c r="M525" s="48"/>
      <c r="N525" s="48"/>
      <c r="O525" s="48"/>
      <c r="P525" s="48"/>
      <c r="Q525" s="48"/>
      <c r="R525" s="48"/>
      <c r="S525" s="48"/>
      <c r="T525" s="48"/>
      <c r="U525" s="48"/>
      <c r="V525" s="48"/>
      <c r="W525" s="48"/>
      <c r="X525" s="48"/>
      <c r="Y525" s="48"/>
      <c r="Z525" s="48"/>
      <c r="AA525" s="48"/>
      <c r="AB525" s="48"/>
      <c r="AC525" s="1711" t="s">
        <v>599</v>
      </c>
      <c r="AD525" s="1649"/>
      <c r="AE525" s="1649"/>
      <c r="AF525" s="1649"/>
      <c r="AG525" s="38" t="s">
        <v>404</v>
      </c>
      <c r="AH525" s="1397"/>
      <c r="AI525" s="1397"/>
      <c r="AJ525" s="1397"/>
      <c r="AK525" s="1398"/>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3"/>
      <c r="C526" s="1517"/>
      <c r="D526" s="1517"/>
      <c r="E526" s="1517"/>
      <c r="F526" s="1517"/>
      <c r="G526" s="1517"/>
      <c r="H526" s="1518"/>
      <c r="I526" s="42" t="s">
        <v>424</v>
      </c>
      <c r="J526" s="42"/>
      <c r="K526" s="42"/>
      <c r="L526" s="42"/>
      <c r="M526" s="42"/>
      <c r="N526" s="42"/>
      <c r="O526" s="1784" t="s">
        <v>335</v>
      </c>
      <c r="P526" s="1785"/>
      <c r="Q526" s="1785"/>
      <c r="R526" s="1785"/>
      <c r="S526" s="1785"/>
      <c r="T526" s="1785"/>
      <c r="U526" s="1785"/>
      <c r="V526" s="1785"/>
      <c r="W526" s="1785"/>
      <c r="X526" s="1785"/>
      <c r="Y526" s="1785"/>
      <c r="Z526" s="1785"/>
      <c r="AA526" s="1785"/>
      <c r="AC526" s="1711" t="s">
        <v>599</v>
      </c>
      <c r="AD526" s="1649"/>
      <c r="AE526" s="1649"/>
      <c r="AF526" s="1649"/>
      <c r="AG526" s="13" t="s">
        <v>404</v>
      </c>
      <c r="AH526" s="1397"/>
      <c r="AI526" s="1397"/>
      <c r="AJ526" s="1397"/>
      <c r="AK526" s="1398"/>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3"/>
      <c r="C527" s="1517"/>
      <c r="D527" s="1517"/>
      <c r="E527" s="1517"/>
      <c r="F527" s="1517"/>
      <c r="G527" s="1517"/>
      <c r="H527" s="1518"/>
      <c r="I527" t="s">
        <v>422</v>
      </c>
      <c r="AC527" s="1711" t="s">
        <v>599</v>
      </c>
      <c r="AD527" s="1649"/>
      <c r="AE527" s="1649"/>
      <c r="AF527" s="1649"/>
      <c r="AG527" s="13" t="s">
        <v>404</v>
      </c>
      <c r="AH527" s="1397"/>
      <c r="AI527" s="1397"/>
      <c r="AJ527" s="1397"/>
      <c r="AK527" s="1398"/>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3"/>
      <c r="C528" s="1517"/>
      <c r="D528" s="1517"/>
      <c r="E528" s="1517"/>
      <c r="F528" s="1517"/>
      <c r="G528" s="1517"/>
      <c r="H528" s="1518"/>
      <c r="I528" s="48" t="s">
        <v>423</v>
      </c>
      <c r="J528" s="48"/>
      <c r="K528" s="48"/>
      <c r="L528" s="48"/>
      <c r="M528" s="48"/>
      <c r="N528" s="48"/>
      <c r="O528" s="48"/>
      <c r="P528" s="48"/>
      <c r="Q528" s="48"/>
      <c r="R528" s="48"/>
      <c r="S528" s="48"/>
      <c r="T528" s="48"/>
      <c r="U528" s="48"/>
      <c r="V528" s="48"/>
      <c r="W528" s="48"/>
      <c r="X528" s="48"/>
      <c r="Y528" s="48"/>
      <c r="Z528" s="48"/>
      <c r="AA528" s="48"/>
      <c r="AB528" s="48"/>
      <c r="AC528" s="1711" t="s">
        <v>599</v>
      </c>
      <c r="AD528" s="1649"/>
      <c r="AE528" s="1649"/>
      <c r="AF528" s="1649"/>
      <c r="AG528" s="38" t="s">
        <v>404</v>
      </c>
      <c r="AH528" s="1397"/>
      <c r="AI528" s="1397"/>
      <c r="AJ528" s="1397"/>
      <c r="AK528" s="1398"/>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3"/>
      <c r="C529" s="1517"/>
      <c r="D529" s="1517"/>
      <c r="E529" s="1517"/>
      <c r="F529" s="1517"/>
      <c r="G529" s="1517"/>
      <c r="H529" s="1518"/>
      <c r="I529" s="42" t="s">
        <v>424</v>
      </c>
      <c r="J529" s="42"/>
      <c r="K529" s="42"/>
      <c r="L529" s="42"/>
      <c r="M529" s="42"/>
      <c r="N529" s="42"/>
      <c r="O529" s="1784" t="s">
        <v>335</v>
      </c>
      <c r="P529" s="1785"/>
      <c r="Q529" s="1785"/>
      <c r="R529" s="1785"/>
      <c r="S529" s="1785"/>
      <c r="T529" s="1785"/>
      <c r="U529" s="1785"/>
      <c r="V529" s="1785"/>
      <c r="W529" s="1785"/>
      <c r="X529" s="1785"/>
      <c r="Y529" s="1785"/>
      <c r="Z529" s="1785"/>
      <c r="AA529" s="1785"/>
      <c r="AC529" s="1711" t="s">
        <v>599</v>
      </c>
      <c r="AD529" s="1649"/>
      <c r="AE529" s="1649"/>
      <c r="AF529" s="1649"/>
      <c r="AG529" s="13" t="s">
        <v>404</v>
      </c>
      <c r="AH529" s="1397"/>
      <c r="AI529" s="1397"/>
      <c r="AJ529" s="1397"/>
      <c r="AK529" s="1398"/>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3"/>
      <c r="C530" s="1517"/>
      <c r="D530" s="1517"/>
      <c r="E530" s="1517"/>
      <c r="F530" s="1517"/>
      <c r="G530" s="1517"/>
      <c r="H530" s="1518"/>
      <c r="I530" t="s">
        <v>422</v>
      </c>
      <c r="AC530" s="1711" t="s">
        <v>599</v>
      </c>
      <c r="AD530" s="1649"/>
      <c r="AE530" s="1649"/>
      <c r="AF530" s="1649"/>
      <c r="AG530" s="13" t="s">
        <v>404</v>
      </c>
      <c r="AH530" s="1397"/>
      <c r="AI530" s="1397"/>
      <c r="AJ530" s="1397"/>
      <c r="AK530" s="1398"/>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3"/>
      <c r="C531" s="1517"/>
      <c r="D531" s="1517"/>
      <c r="E531" s="1517"/>
      <c r="F531" s="1517"/>
      <c r="G531" s="1517"/>
      <c r="H531" s="1518"/>
      <c r="I531" s="48" t="s">
        <v>423</v>
      </c>
      <c r="J531" s="48"/>
      <c r="K531" s="48"/>
      <c r="L531" s="48"/>
      <c r="M531" s="48"/>
      <c r="N531" s="48"/>
      <c r="O531" s="48"/>
      <c r="P531" s="48"/>
      <c r="Q531" s="48"/>
      <c r="R531" s="48"/>
      <c r="S531" s="48"/>
      <c r="T531" s="48"/>
      <c r="U531" s="48"/>
      <c r="V531" s="48"/>
      <c r="W531" s="48"/>
      <c r="X531" s="48"/>
      <c r="Y531" s="48"/>
      <c r="Z531" s="48"/>
      <c r="AA531" s="48"/>
      <c r="AB531" s="48"/>
      <c r="AC531" s="1711" t="s">
        <v>599</v>
      </c>
      <c r="AD531" s="1649"/>
      <c r="AE531" s="1649"/>
      <c r="AF531" s="1649"/>
      <c r="AG531" s="38" t="s">
        <v>404</v>
      </c>
      <c r="AH531" s="1397"/>
      <c r="AI531" s="1397"/>
      <c r="AJ531" s="1397"/>
      <c r="AK531" s="1398"/>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3"/>
      <c r="C532" s="1517"/>
      <c r="D532" s="1517"/>
      <c r="E532" s="1517"/>
      <c r="F532" s="1517"/>
      <c r="G532" s="1517"/>
      <c r="H532" s="1518"/>
      <c r="I532" s="42" t="s">
        <v>424</v>
      </c>
      <c r="J532" s="42"/>
      <c r="K532" s="42"/>
      <c r="L532" s="42"/>
      <c r="M532" s="42"/>
      <c r="N532" s="42"/>
      <c r="O532" s="1784" t="s">
        <v>335</v>
      </c>
      <c r="P532" s="1785"/>
      <c r="Q532" s="1785"/>
      <c r="R532" s="1785"/>
      <c r="S532" s="1785"/>
      <c r="T532" s="1785"/>
      <c r="U532" s="1785"/>
      <c r="V532" s="1785"/>
      <c r="W532" s="1785"/>
      <c r="X532" s="1785"/>
      <c r="Y532" s="1785"/>
      <c r="Z532" s="1785"/>
      <c r="AA532" s="1785"/>
      <c r="AC532" s="1711" t="s">
        <v>599</v>
      </c>
      <c r="AD532" s="1649"/>
      <c r="AE532" s="1649"/>
      <c r="AF532" s="1649"/>
      <c r="AG532" s="13" t="s">
        <v>404</v>
      </c>
      <c r="AH532" s="1397"/>
      <c r="AI532" s="1397"/>
      <c r="AJ532" s="1397"/>
      <c r="AK532" s="1398"/>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3"/>
      <c r="C533" s="1517"/>
      <c r="D533" s="1517"/>
      <c r="E533" s="1517"/>
      <c r="F533" s="1517"/>
      <c r="G533" s="1517"/>
      <c r="H533" s="1518"/>
      <c r="I533" t="s">
        <v>422</v>
      </c>
      <c r="AC533" s="1711" t="s">
        <v>599</v>
      </c>
      <c r="AD533" s="1649"/>
      <c r="AE533" s="1649"/>
      <c r="AF533" s="1649"/>
      <c r="AG533" s="38" t="s">
        <v>404</v>
      </c>
      <c r="AH533" s="1397"/>
      <c r="AI533" s="1397"/>
      <c r="AJ533" s="1397"/>
      <c r="AK533" s="1398"/>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3"/>
      <c r="C534" s="1517"/>
      <c r="D534" s="1517"/>
      <c r="E534" s="1517"/>
      <c r="F534" s="1517"/>
      <c r="G534" s="1517"/>
      <c r="H534" s="1518"/>
      <c r="I534" s="48" t="s">
        <v>423</v>
      </c>
      <c r="J534" s="48"/>
      <c r="K534" s="48"/>
      <c r="L534" s="48"/>
      <c r="M534" s="48"/>
      <c r="N534" s="48"/>
      <c r="O534" s="48"/>
      <c r="P534" s="48"/>
      <c r="Q534" s="48"/>
      <c r="R534" s="48"/>
      <c r="S534" s="48"/>
      <c r="T534" s="48"/>
      <c r="U534" s="48"/>
      <c r="V534" s="48"/>
      <c r="W534" s="48"/>
      <c r="X534" s="48"/>
      <c r="Y534" s="48"/>
      <c r="Z534" s="48"/>
      <c r="AA534" s="48"/>
      <c r="AB534" s="48"/>
      <c r="AC534" s="1711" t="s">
        <v>599</v>
      </c>
      <c r="AD534" s="1649"/>
      <c r="AE534" s="1649"/>
      <c r="AF534" s="1649"/>
      <c r="AG534" s="13" t="s">
        <v>404</v>
      </c>
      <c r="AH534" s="1397"/>
      <c r="AI534" s="1397"/>
      <c r="AJ534" s="1397"/>
      <c r="AK534" s="1398"/>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3"/>
      <c r="C535" s="1517"/>
      <c r="D535" s="1517"/>
      <c r="E535" s="1517"/>
      <c r="F535" s="1517"/>
      <c r="G535" s="1517"/>
      <c r="H535" s="1518"/>
      <c r="I535" s="42" t="s">
        <v>424</v>
      </c>
      <c r="J535" s="42"/>
      <c r="K535" s="42"/>
      <c r="L535" s="42"/>
      <c r="M535" s="42"/>
      <c r="N535" s="42"/>
      <c r="O535" s="1784" t="s">
        <v>335</v>
      </c>
      <c r="P535" s="1785"/>
      <c r="Q535" s="1785"/>
      <c r="R535" s="1785"/>
      <c r="S535" s="1785"/>
      <c r="T535" s="1785"/>
      <c r="U535" s="1785"/>
      <c r="V535" s="1785"/>
      <c r="W535" s="1785"/>
      <c r="X535" s="1785"/>
      <c r="Y535" s="1785"/>
      <c r="Z535" s="1785"/>
      <c r="AA535" s="1785"/>
      <c r="AC535" s="1711" t="s">
        <v>599</v>
      </c>
      <c r="AD535" s="1649"/>
      <c r="AE535" s="1649"/>
      <c r="AF535" s="1649"/>
      <c r="AG535" s="38" t="s">
        <v>404</v>
      </c>
      <c r="AH535" s="1397"/>
      <c r="AI535" s="1397"/>
      <c r="AJ535" s="1397"/>
      <c r="AK535" s="1398"/>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3"/>
      <c r="C536" s="1517"/>
      <c r="D536" s="1517"/>
      <c r="E536" s="1517"/>
      <c r="F536" s="1517"/>
      <c r="G536" s="1517"/>
      <c r="H536" s="1518"/>
      <c r="I536" t="s">
        <v>422</v>
      </c>
      <c r="AC536" s="1711" t="s">
        <v>599</v>
      </c>
      <c r="AD536" s="1649"/>
      <c r="AE536" s="1649"/>
      <c r="AF536" s="1649"/>
      <c r="AG536" s="13" t="s">
        <v>404</v>
      </c>
      <c r="AH536" s="1397"/>
      <c r="AI536" s="1397"/>
      <c r="AJ536" s="1397"/>
      <c r="AK536" s="1398"/>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3"/>
      <c r="C537" s="1517"/>
      <c r="D537" s="1517"/>
      <c r="E537" s="1517"/>
      <c r="F537" s="1517"/>
      <c r="G537" s="1517"/>
      <c r="H537" s="1518"/>
      <c r="I537" s="48" t="s">
        <v>423</v>
      </c>
      <c r="J537" s="48"/>
      <c r="K537" s="48"/>
      <c r="L537" s="48"/>
      <c r="M537" s="48"/>
      <c r="N537" s="48"/>
      <c r="O537" s="48"/>
      <c r="P537" s="48"/>
      <c r="Q537" s="48"/>
      <c r="R537" s="48"/>
      <c r="S537" s="48"/>
      <c r="T537" s="48"/>
      <c r="U537" s="48"/>
      <c r="V537" s="48"/>
      <c r="W537" s="48"/>
      <c r="X537" s="48"/>
      <c r="Y537" s="48"/>
      <c r="Z537" s="48"/>
      <c r="AA537" s="48"/>
      <c r="AB537" s="48"/>
      <c r="AC537" s="1711" t="s">
        <v>599</v>
      </c>
      <c r="AD537" s="1649"/>
      <c r="AE537" s="1649"/>
      <c r="AF537" s="1649"/>
      <c r="AG537" s="38" t="s">
        <v>404</v>
      </c>
      <c r="AH537" s="1397"/>
      <c r="AI537" s="1397"/>
      <c r="AJ537" s="1397"/>
      <c r="AK537" s="1398"/>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3"/>
      <c r="C538" s="1517"/>
      <c r="D538" s="1517"/>
      <c r="E538" s="1517"/>
      <c r="F538" s="1517"/>
      <c r="G538" s="1517"/>
      <c r="H538" s="1518"/>
      <c r="I538" s="42" t="s">
        <v>570</v>
      </c>
      <c r="J538" s="42"/>
      <c r="K538" s="42"/>
      <c r="L538" s="42"/>
      <c r="M538" s="42"/>
      <c r="N538" s="42"/>
      <c r="O538" s="42"/>
      <c r="P538" s="42"/>
      <c r="Q538" s="42"/>
      <c r="R538" s="42"/>
      <c r="S538" s="42"/>
      <c r="T538" s="42"/>
      <c r="U538" s="42"/>
      <c r="V538" s="42"/>
      <c r="W538" s="42"/>
      <c r="AC538" s="1711">
        <v>8</v>
      </c>
      <c r="AD538" s="1649"/>
      <c r="AE538" s="1649"/>
      <c r="AF538" s="1649"/>
      <c r="AG538" s="38" t="s">
        <v>404</v>
      </c>
      <c r="AH538" s="1397">
        <v>2025</v>
      </c>
      <c r="AI538" s="1397"/>
      <c r="AJ538" s="1397"/>
      <c r="AK538" s="139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3"/>
      <c r="C539" s="1517"/>
      <c r="D539" s="1517"/>
      <c r="E539" s="1517"/>
      <c r="F539" s="1517"/>
      <c r="G539" s="1517"/>
      <c r="H539" s="1518"/>
      <c r="I539" t="s">
        <v>571</v>
      </c>
      <c r="AC539" s="1711">
        <v>6</v>
      </c>
      <c r="AD539" s="1649"/>
      <c r="AE539" s="1649"/>
      <c r="AF539" s="1649"/>
      <c r="AG539" s="13" t="s">
        <v>404</v>
      </c>
      <c r="AH539" s="1397">
        <v>2025</v>
      </c>
      <c r="AI539" s="1397"/>
      <c r="AJ539" s="1397"/>
      <c r="AK539" s="139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3"/>
      <c r="C540" s="1517"/>
      <c r="D540" s="1517"/>
      <c r="E540" s="1517"/>
      <c r="F540" s="1517"/>
      <c r="G540" s="1517"/>
      <c r="H540" s="1518"/>
      <c r="I540" t="s">
        <v>572</v>
      </c>
      <c r="AC540" s="1711">
        <v>2</v>
      </c>
      <c r="AD540" s="1649"/>
      <c r="AE540" s="1649"/>
      <c r="AF540" s="1649"/>
      <c r="AG540" s="38" t="s">
        <v>404</v>
      </c>
      <c r="AH540" s="1397">
        <v>2027</v>
      </c>
      <c r="AI540" s="1397"/>
      <c r="AJ540" s="1397"/>
      <c r="AK540" s="139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3"/>
      <c r="C541" s="1517"/>
      <c r="D541" s="1517"/>
      <c r="E541" s="1517"/>
      <c r="F541" s="1517"/>
      <c r="G541" s="1517"/>
      <c r="H541" s="1518"/>
      <c r="I541" t="s">
        <v>573</v>
      </c>
      <c r="AC541" s="1711">
        <v>2</v>
      </c>
      <c r="AD541" s="1649"/>
      <c r="AE541" s="1649"/>
      <c r="AF541" s="1649"/>
      <c r="AG541" s="38" t="s">
        <v>404</v>
      </c>
      <c r="AH541" s="1397">
        <v>2027</v>
      </c>
      <c r="AI541" s="1397"/>
      <c r="AJ541" s="1397"/>
      <c r="AK541" s="139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4"/>
      <c r="C542" s="1519"/>
      <c r="D542" s="1519"/>
      <c r="E542" s="1519"/>
      <c r="F542" s="1519"/>
      <c r="G542" s="1519"/>
      <c r="H542" s="1520"/>
      <c r="I542" s="48" t="s">
        <v>459</v>
      </c>
      <c r="J542" s="48"/>
      <c r="K542" s="48"/>
      <c r="L542" s="48"/>
      <c r="M542" s="48"/>
      <c r="N542" s="48"/>
      <c r="O542" s="48"/>
      <c r="P542" s="48"/>
      <c r="Q542" s="48"/>
      <c r="R542" s="48"/>
      <c r="S542" s="48"/>
      <c r="T542" s="48"/>
      <c r="U542" s="48"/>
      <c r="V542" s="48"/>
      <c r="W542" s="48"/>
      <c r="X542" s="48"/>
      <c r="Y542" s="48"/>
      <c r="Z542" s="48"/>
      <c r="AA542" s="48"/>
      <c r="AB542" s="48"/>
      <c r="AC542" s="1711">
        <v>6</v>
      </c>
      <c r="AD542" s="1649"/>
      <c r="AE542" s="1649"/>
      <c r="AF542" s="1649"/>
      <c r="AG542" s="38" t="s">
        <v>404</v>
      </c>
      <c r="AH542" s="1397">
        <v>2027</v>
      </c>
      <c r="AI542" s="1397"/>
      <c r="AJ542" s="1397"/>
      <c r="AK542" s="139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2" t="s">
        <v>2420</v>
      </c>
      <c r="C551" s="1515"/>
      <c r="D551" s="1515"/>
      <c r="E551" s="1515"/>
      <c r="F551" s="1515"/>
      <c r="G551" s="1515"/>
      <c r="H551" s="1515"/>
      <c r="I551" s="1515"/>
      <c r="J551" s="1515"/>
      <c r="K551" s="1515"/>
      <c r="L551" s="1516"/>
      <c r="M551" s="1712" t="s">
        <v>2421</v>
      </c>
      <c r="N551" s="1515"/>
      <c r="O551" s="1515"/>
      <c r="P551" s="1516"/>
      <c r="Q551" s="1712" t="s">
        <v>2447</v>
      </c>
      <c r="R551" s="1515"/>
      <c r="S551" s="1516"/>
      <c r="T551" s="1712" t="s">
        <v>2448</v>
      </c>
      <c r="U551" s="1515"/>
      <c r="V551" s="1516"/>
      <c r="W551" s="1712" t="s">
        <v>461</v>
      </c>
      <c r="X551" s="1515"/>
      <c r="Y551" s="1516"/>
      <c r="Z551" s="1712" t="s">
        <v>2041</v>
      </c>
      <c r="AA551" s="1515"/>
      <c r="AB551" s="1515"/>
      <c r="AC551" s="1515"/>
      <c r="AD551" s="1516"/>
      <c r="AE551" s="1712" t="s">
        <v>1863</v>
      </c>
      <c r="AF551" s="1515"/>
      <c r="AG551" s="1515"/>
      <c r="AH551" s="1516"/>
      <c r="AI551" s="1712" t="s">
        <v>1864</v>
      </c>
      <c r="AJ551" s="1515"/>
      <c r="AK551" s="1515"/>
      <c r="AL551" s="1516"/>
      <c r="AM551" s="1712" t="s">
        <v>462</v>
      </c>
      <c r="AN551" s="1515"/>
      <c r="AO551" s="1515"/>
      <c r="AP551" s="1515"/>
      <c r="AQ551" s="1515"/>
      <c r="AR551" s="1515"/>
      <c r="AS551" s="1516"/>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3"/>
      <c r="C552" s="1517"/>
      <c r="D552" s="1517"/>
      <c r="E552" s="1517"/>
      <c r="F552" s="1517"/>
      <c r="G552" s="1517"/>
      <c r="H552" s="1517"/>
      <c r="I552" s="1517"/>
      <c r="J552" s="1517"/>
      <c r="K552" s="1517"/>
      <c r="L552" s="1518"/>
      <c r="M552" s="1713"/>
      <c r="N552" s="1517"/>
      <c r="O552" s="1517"/>
      <c r="P552" s="1518"/>
      <c r="Q552" s="1713"/>
      <c r="R552" s="1517"/>
      <c r="S552" s="1518"/>
      <c r="T552" s="1713"/>
      <c r="U552" s="1517"/>
      <c r="V552" s="1518"/>
      <c r="W552" s="1713"/>
      <c r="X552" s="1517"/>
      <c r="Y552" s="1518"/>
      <c r="Z552" s="1713"/>
      <c r="AA552" s="1517"/>
      <c r="AB552" s="1517"/>
      <c r="AC552" s="1517"/>
      <c r="AD552" s="1518"/>
      <c r="AE552" s="1713"/>
      <c r="AF552" s="1517"/>
      <c r="AG552" s="1517"/>
      <c r="AH552" s="1518"/>
      <c r="AI552" s="1713"/>
      <c r="AJ552" s="1517"/>
      <c r="AK552" s="1517"/>
      <c r="AL552" s="1518"/>
      <c r="AM552" s="1713"/>
      <c r="AN552" s="1517"/>
      <c r="AO552" s="1517"/>
      <c r="AP552" s="1517"/>
      <c r="AQ552" s="1517"/>
      <c r="AR552" s="1517"/>
      <c r="AS552" s="151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4"/>
      <c r="C553" s="1519"/>
      <c r="D553" s="1519"/>
      <c r="E553" s="1519"/>
      <c r="F553" s="1519"/>
      <c r="G553" s="1519"/>
      <c r="H553" s="1519"/>
      <c r="I553" s="1519"/>
      <c r="J553" s="1519"/>
      <c r="K553" s="1519"/>
      <c r="L553" s="1520"/>
      <c r="M553" s="1714"/>
      <c r="N553" s="1519"/>
      <c r="O553" s="1519"/>
      <c r="P553" s="1520"/>
      <c r="Q553" s="1714"/>
      <c r="R553" s="1519"/>
      <c r="S553" s="1520"/>
      <c r="T553" s="1714"/>
      <c r="U553" s="1519"/>
      <c r="V553" s="1520"/>
      <c r="W553" s="1714"/>
      <c r="X553" s="1519"/>
      <c r="Y553" s="1520"/>
      <c r="Z553" s="1714"/>
      <c r="AA553" s="1519"/>
      <c r="AB553" s="1519"/>
      <c r="AC553" s="1519"/>
      <c r="AD553" s="1520"/>
      <c r="AE553" s="1714"/>
      <c r="AF553" s="1519"/>
      <c r="AG553" s="1519"/>
      <c r="AH553" s="1520"/>
      <c r="AI553" s="1714"/>
      <c r="AJ553" s="1519"/>
      <c r="AK553" s="1519"/>
      <c r="AL553" s="1520"/>
      <c r="AM553" s="1714"/>
      <c r="AN553" s="1519"/>
      <c r="AO553" s="1519"/>
      <c r="AP553" s="1519"/>
      <c r="AQ553" s="1519"/>
      <c r="AR553" s="1519"/>
      <c r="AS553" s="152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1" t="s">
        <v>2721</v>
      </c>
      <c r="D554" s="1701"/>
      <c r="E554" s="1701"/>
      <c r="F554" s="1701"/>
      <c r="G554" s="1701"/>
      <c r="H554" s="1701"/>
      <c r="I554" s="1701"/>
      <c r="J554" s="1701"/>
      <c r="K554" s="1701"/>
      <c r="L554" s="1701"/>
      <c r="M554" s="1701" t="s">
        <v>2437</v>
      </c>
      <c r="N554" s="1701"/>
      <c r="O554" s="1701"/>
      <c r="P554" s="1701"/>
      <c r="Q554" s="1455">
        <v>26</v>
      </c>
      <c r="R554" s="1455"/>
      <c r="S554" s="1456"/>
      <c r="T554" s="1454"/>
      <c r="U554" s="1455"/>
      <c r="V554" s="1456"/>
      <c r="W554" s="1457">
        <v>6.7000000000000004E-2</v>
      </c>
      <c r="X554" s="1458"/>
      <c r="Y554" s="1459"/>
      <c r="Z554" s="1644" t="s">
        <v>2778</v>
      </c>
      <c r="AA554" s="1644"/>
      <c r="AB554" s="1644"/>
      <c r="AC554" s="1644"/>
      <c r="AD554" s="1644"/>
      <c r="AE554" s="1641">
        <v>1</v>
      </c>
      <c r="AF554" s="1642"/>
      <c r="AG554" s="1642"/>
      <c r="AH554" s="1643"/>
      <c r="AI554" s="1708"/>
      <c r="AJ554" s="1709"/>
      <c r="AK554" s="1709"/>
      <c r="AL554" s="1710"/>
      <c r="AM554" s="1691">
        <v>36968261</v>
      </c>
      <c r="AN554" s="1692"/>
      <c r="AO554" s="1692"/>
      <c r="AP554" s="1692"/>
      <c r="AQ554" s="1692"/>
      <c r="AR554" s="1692"/>
      <c r="AS554" s="169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0" t="s">
        <v>2721</v>
      </c>
      <c r="D555" s="1700"/>
      <c r="E555" s="1700"/>
      <c r="F555" s="1700"/>
      <c r="G555" s="1700"/>
      <c r="H555" s="1700"/>
      <c r="I555" s="1700"/>
      <c r="J555" s="1700"/>
      <c r="K555" s="1700"/>
      <c r="L555" s="1700"/>
      <c r="M555" s="1701" t="s">
        <v>2436</v>
      </c>
      <c r="N555" s="1701"/>
      <c r="O555" s="1701"/>
      <c r="P555" s="1701"/>
      <c r="Q555" s="1454">
        <v>26</v>
      </c>
      <c r="R555" s="1455"/>
      <c r="S555" s="1456"/>
      <c r="T555" s="1454"/>
      <c r="U555" s="1455"/>
      <c r="V555" s="1456"/>
      <c r="W555" s="1457">
        <v>6.7000000000000004E-2</v>
      </c>
      <c r="X555" s="1458"/>
      <c r="Y555" s="1459"/>
      <c r="Z555" s="1644" t="s">
        <v>2778</v>
      </c>
      <c r="AA555" s="1644"/>
      <c r="AB555" s="1644"/>
      <c r="AC555" s="1644"/>
      <c r="AD555" s="1644"/>
      <c r="AE555" s="1641">
        <v>2</v>
      </c>
      <c r="AF555" s="1642"/>
      <c r="AG555" s="1642"/>
      <c r="AH555" s="1643"/>
      <c r="AI555" s="1708"/>
      <c r="AJ555" s="1709"/>
      <c r="AK555" s="1709"/>
      <c r="AL555" s="1710"/>
      <c r="AM555" s="1691">
        <v>18254978</v>
      </c>
      <c r="AN555" s="1692"/>
      <c r="AO555" s="1692"/>
      <c r="AP555" s="1692"/>
      <c r="AQ555" s="1692"/>
      <c r="AR555" s="1692"/>
      <c r="AS555" s="169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0" t="s">
        <v>2768</v>
      </c>
      <c r="D556" s="1700"/>
      <c r="E556" s="1700"/>
      <c r="F556" s="1700"/>
      <c r="G556" s="1700"/>
      <c r="H556" s="1700"/>
      <c r="I556" s="1700"/>
      <c r="J556" s="1700"/>
      <c r="K556" s="1700"/>
      <c r="L556" s="1700"/>
      <c r="M556" s="1701" t="s">
        <v>2428</v>
      </c>
      <c r="N556" s="1701"/>
      <c r="O556" s="1701"/>
      <c r="P556" s="1701"/>
      <c r="Q556" s="1454"/>
      <c r="R556" s="1455"/>
      <c r="S556" s="1456"/>
      <c r="T556" s="1454"/>
      <c r="U556" s="1455"/>
      <c r="V556" s="1456"/>
      <c r="W556" s="1457"/>
      <c r="X556" s="1458"/>
      <c r="Y556" s="1459"/>
      <c r="Z556" s="1644" t="s">
        <v>599</v>
      </c>
      <c r="AA556" s="1644"/>
      <c r="AB556" s="1644"/>
      <c r="AC556" s="1644"/>
      <c r="AD556" s="1644"/>
      <c r="AE556" s="1641"/>
      <c r="AF556" s="1642"/>
      <c r="AG556" s="1642"/>
      <c r="AH556" s="1643"/>
      <c r="AI556" s="1708"/>
      <c r="AJ556" s="1709"/>
      <c r="AK556" s="1709"/>
      <c r="AL556" s="1710"/>
      <c r="AM556" s="1691">
        <v>19228195</v>
      </c>
      <c r="AN556" s="1692"/>
      <c r="AO556" s="1692"/>
      <c r="AP556" s="1692"/>
      <c r="AQ556" s="1692"/>
      <c r="AR556" s="1692"/>
      <c r="AS556" s="169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0"/>
      <c r="D557" s="1700"/>
      <c r="E557" s="1700"/>
      <c r="F557" s="1700"/>
      <c r="G557" s="1700"/>
      <c r="H557" s="1700"/>
      <c r="I557" s="1700"/>
      <c r="J557" s="1700"/>
      <c r="K557" s="1700"/>
      <c r="L557" s="1700"/>
      <c r="M557" s="1701" t="s">
        <v>1290</v>
      </c>
      <c r="N557" s="1701"/>
      <c r="O557" s="1701"/>
      <c r="P557" s="1701"/>
      <c r="Q557" s="1454"/>
      <c r="R557" s="1455"/>
      <c r="S557" s="1456"/>
      <c r="T557" s="1454"/>
      <c r="U557" s="1455"/>
      <c r="V557" s="1456"/>
      <c r="W557" s="1457"/>
      <c r="X557" s="1458"/>
      <c r="Y557" s="1459"/>
      <c r="Z557" s="1644" t="s">
        <v>1290</v>
      </c>
      <c r="AA557" s="1644"/>
      <c r="AB557" s="1644"/>
      <c r="AC557" s="1644"/>
      <c r="AD557" s="1644"/>
      <c r="AE557" s="1641"/>
      <c r="AF557" s="1642"/>
      <c r="AG557" s="1642"/>
      <c r="AH557" s="1643"/>
      <c r="AI557" s="1708"/>
      <c r="AJ557" s="1709"/>
      <c r="AK557" s="1709"/>
      <c r="AL557" s="1710"/>
      <c r="AM557" s="1691"/>
      <c r="AN557" s="1692"/>
      <c r="AO557" s="1692"/>
      <c r="AP557" s="1692"/>
      <c r="AQ557" s="1692"/>
      <c r="AR557" s="1692"/>
      <c r="AS557" s="169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0"/>
      <c r="D558" s="1700"/>
      <c r="E558" s="1700"/>
      <c r="F558" s="1700"/>
      <c r="G558" s="1700"/>
      <c r="H558" s="1700"/>
      <c r="I558" s="1700"/>
      <c r="J558" s="1700"/>
      <c r="K558" s="1700"/>
      <c r="L558" s="1700"/>
      <c r="M558" s="1701" t="s">
        <v>1290</v>
      </c>
      <c r="N558" s="1701"/>
      <c r="O558" s="1701"/>
      <c r="P558" s="1701"/>
      <c r="Q558" s="1454"/>
      <c r="R558" s="1455"/>
      <c r="S558" s="1456"/>
      <c r="T558" s="1454"/>
      <c r="U558" s="1455"/>
      <c r="V558" s="1456"/>
      <c r="W558" s="1457"/>
      <c r="X558" s="1458"/>
      <c r="Y558" s="1459"/>
      <c r="Z558" s="1644" t="s">
        <v>1290</v>
      </c>
      <c r="AA558" s="1644"/>
      <c r="AB558" s="1644"/>
      <c r="AC558" s="1644"/>
      <c r="AD558" s="1644"/>
      <c r="AE558" s="1641"/>
      <c r="AF558" s="1642"/>
      <c r="AG558" s="1642"/>
      <c r="AH558" s="1643"/>
      <c r="AI558" s="1708"/>
      <c r="AJ558" s="1709"/>
      <c r="AK558" s="1709"/>
      <c r="AL558" s="1710"/>
      <c r="AM558" s="1691"/>
      <c r="AN558" s="1692"/>
      <c r="AO558" s="1692"/>
      <c r="AP558" s="1692"/>
      <c r="AQ558" s="1692"/>
      <c r="AR558" s="1692"/>
      <c r="AS558" s="1693"/>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0"/>
      <c r="D559" s="1700"/>
      <c r="E559" s="1700"/>
      <c r="F559" s="1700"/>
      <c r="G559" s="1700"/>
      <c r="H559" s="1700"/>
      <c r="I559" s="1700"/>
      <c r="J559" s="1700"/>
      <c r="K559" s="1700"/>
      <c r="L559" s="1700"/>
      <c r="M559" s="1701" t="s">
        <v>1290</v>
      </c>
      <c r="N559" s="1701"/>
      <c r="O559" s="1701"/>
      <c r="P559" s="1701"/>
      <c r="Q559" s="1454"/>
      <c r="R559" s="1455"/>
      <c r="S559" s="1456"/>
      <c r="T559" s="1454"/>
      <c r="U559" s="1455"/>
      <c r="V559" s="1456"/>
      <c r="W559" s="1457"/>
      <c r="X559" s="1458"/>
      <c r="Y559" s="1459"/>
      <c r="Z559" s="1644" t="s">
        <v>1290</v>
      </c>
      <c r="AA559" s="1644"/>
      <c r="AB559" s="1644"/>
      <c r="AC559" s="1644"/>
      <c r="AD559" s="1644"/>
      <c r="AE559" s="1641"/>
      <c r="AF559" s="1642"/>
      <c r="AG559" s="1642"/>
      <c r="AH559" s="1643"/>
      <c r="AI559" s="1708"/>
      <c r="AJ559" s="1709"/>
      <c r="AK559" s="1709"/>
      <c r="AL559" s="1710"/>
      <c r="AM559" s="1691"/>
      <c r="AN559" s="1692"/>
      <c r="AO559" s="1692"/>
      <c r="AP559" s="1692"/>
      <c r="AQ559" s="1692"/>
      <c r="AR559" s="1692"/>
      <c r="AS559" s="1693"/>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0"/>
      <c r="D560" s="1700"/>
      <c r="E560" s="1700"/>
      <c r="F560" s="1700"/>
      <c r="G560" s="1700"/>
      <c r="H560" s="1700"/>
      <c r="I560" s="1700"/>
      <c r="J560" s="1700"/>
      <c r="K560" s="1700"/>
      <c r="L560" s="1700"/>
      <c r="M560" s="1701" t="s">
        <v>1290</v>
      </c>
      <c r="N560" s="1701"/>
      <c r="O560" s="1701"/>
      <c r="P560" s="1701"/>
      <c r="Q560" s="1454"/>
      <c r="R560" s="1455"/>
      <c r="S560" s="1456"/>
      <c r="T560" s="1454"/>
      <c r="U560" s="1455"/>
      <c r="V560" s="1456"/>
      <c r="W560" s="1457"/>
      <c r="X560" s="1458"/>
      <c r="Y560" s="1459"/>
      <c r="Z560" s="1644" t="s">
        <v>1290</v>
      </c>
      <c r="AA560" s="1644"/>
      <c r="AB560" s="1644"/>
      <c r="AC560" s="1644"/>
      <c r="AD560" s="1644"/>
      <c r="AE560" s="1641"/>
      <c r="AF560" s="1642"/>
      <c r="AG560" s="1642"/>
      <c r="AH560" s="1643"/>
      <c r="AI560" s="1708"/>
      <c r="AJ560" s="1709"/>
      <c r="AK560" s="1709"/>
      <c r="AL560" s="1710"/>
      <c r="AM560" s="1691"/>
      <c r="AN560" s="1692"/>
      <c r="AO560" s="1692"/>
      <c r="AP560" s="1692"/>
      <c r="AQ560" s="1692"/>
      <c r="AR560" s="1692"/>
      <c r="AS560" s="169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0"/>
      <c r="D561" s="1700"/>
      <c r="E561" s="1700"/>
      <c r="F561" s="1700"/>
      <c r="G561" s="1700"/>
      <c r="H561" s="1700"/>
      <c r="I561" s="1700"/>
      <c r="J561" s="1700"/>
      <c r="K561" s="1700"/>
      <c r="L561" s="1700"/>
      <c r="M561" s="1701" t="s">
        <v>1290</v>
      </c>
      <c r="N561" s="1701"/>
      <c r="O561" s="1701"/>
      <c r="P561" s="1701"/>
      <c r="Q561" s="1454"/>
      <c r="R561" s="1455"/>
      <c r="S561" s="1456"/>
      <c r="T561" s="1454"/>
      <c r="U561" s="1455"/>
      <c r="V561" s="1456"/>
      <c r="W561" s="1457"/>
      <c r="X561" s="1458"/>
      <c r="Y561" s="1459"/>
      <c r="Z561" s="1644" t="s">
        <v>1290</v>
      </c>
      <c r="AA561" s="1644"/>
      <c r="AB561" s="1644"/>
      <c r="AC561" s="1644"/>
      <c r="AD561" s="1644"/>
      <c r="AE561" s="1641"/>
      <c r="AF561" s="1642"/>
      <c r="AG561" s="1642"/>
      <c r="AH561" s="1643"/>
      <c r="AI561" s="1708"/>
      <c r="AJ561" s="1709"/>
      <c r="AK561" s="1709"/>
      <c r="AL561" s="1710"/>
      <c r="AM561" s="1691"/>
      <c r="AN561" s="1692"/>
      <c r="AO561" s="1692"/>
      <c r="AP561" s="1692"/>
      <c r="AQ561" s="1692"/>
      <c r="AR561" s="1692"/>
      <c r="AS561" s="169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0"/>
      <c r="D562" s="1700"/>
      <c r="E562" s="1700"/>
      <c r="F562" s="1700"/>
      <c r="G562" s="1700"/>
      <c r="H562" s="1700"/>
      <c r="I562" s="1700"/>
      <c r="J562" s="1700"/>
      <c r="K562" s="1700"/>
      <c r="L562" s="1700"/>
      <c r="M562" s="1701" t="s">
        <v>1290</v>
      </c>
      <c r="N562" s="1701"/>
      <c r="O562" s="1701"/>
      <c r="P562" s="1701"/>
      <c r="Q562" s="1454"/>
      <c r="R562" s="1455"/>
      <c r="S562" s="1456"/>
      <c r="T562" s="1454"/>
      <c r="U562" s="1455"/>
      <c r="V562" s="1456"/>
      <c r="W562" s="1457"/>
      <c r="X562" s="1458"/>
      <c r="Y562" s="1459"/>
      <c r="Z562" s="1644" t="s">
        <v>1290</v>
      </c>
      <c r="AA562" s="1644"/>
      <c r="AB562" s="1644"/>
      <c r="AC562" s="1644"/>
      <c r="AD562" s="1644"/>
      <c r="AE562" s="1641"/>
      <c r="AF562" s="1642"/>
      <c r="AG562" s="1642"/>
      <c r="AH562" s="1643"/>
      <c r="AI562" s="1708"/>
      <c r="AJ562" s="1709"/>
      <c r="AK562" s="1709"/>
      <c r="AL562" s="1710"/>
      <c r="AM562" s="1691"/>
      <c r="AN562" s="1692"/>
      <c r="AO562" s="1692"/>
      <c r="AP562" s="1692"/>
      <c r="AQ562" s="1692"/>
      <c r="AR562" s="1692"/>
      <c r="AS562" s="169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0"/>
      <c r="D563" s="1700"/>
      <c r="E563" s="1700"/>
      <c r="F563" s="1700"/>
      <c r="G563" s="1700"/>
      <c r="H563" s="1700"/>
      <c r="I563" s="1700"/>
      <c r="J563" s="1700"/>
      <c r="K563" s="1700"/>
      <c r="L563" s="1700"/>
      <c r="M563" s="1701" t="s">
        <v>1290</v>
      </c>
      <c r="N563" s="1701"/>
      <c r="O563" s="1701"/>
      <c r="P563" s="1701"/>
      <c r="Q563" s="1454"/>
      <c r="R563" s="1455"/>
      <c r="S563" s="1456"/>
      <c r="T563" s="1454"/>
      <c r="U563" s="1455"/>
      <c r="V563" s="1456"/>
      <c r="W563" s="1457"/>
      <c r="X563" s="1458"/>
      <c r="Y563" s="1459"/>
      <c r="Z563" s="1644" t="s">
        <v>1290</v>
      </c>
      <c r="AA563" s="1644"/>
      <c r="AB563" s="1644"/>
      <c r="AC563" s="1644"/>
      <c r="AD563" s="1644"/>
      <c r="AE563" s="1641"/>
      <c r="AF563" s="1642"/>
      <c r="AG563" s="1642"/>
      <c r="AH563" s="1643"/>
      <c r="AI563" s="1708"/>
      <c r="AJ563" s="1709"/>
      <c r="AK563" s="1709"/>
      <c r="AL563" s="1710"/>
      <c r="AM563" s="1691"/>
      <c r="AN563" s="1692"/>
      <c r="AO563" s="1692"/>
      <c r="AP563" s="1692"/>
      <c r="AQ563" s="1692"/>
      <c r="AR563" s="1692"/>
      <c r="AS563" s="169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0"/>
      <c r="D564" s="1700"/>
      <c r="E564" s="1700"/>
      <c r="F564" s="1700"/>
      <c r="G564" s="1700"/>
      <c r="H564" s="1700"/>
      <c r="I564" s="1700"/>
      <c r="J564" s="1700"/>
      <c r="K564" s="1700"/>
      <c r="L564" s="1700"/>
      <c r="M564" s="1701" t="s">
        <v>1290</v>
      </c>
      <c r="N564" s="1701"/>
      <c r="O564" s="1701"/>
      <c r="P564" s="1701"/>
      <c r="Q564" s="1454"/>
      <c r="R564" s="1455"/>
      <c r="S564" s="1456"/>
      <c r="T564" s="1454"/>
      <c r="U564" s="1455"/>
      <c r="V564" s="1456"/>
      <c r="W564" s="1457"/>
      <c r="X564" s="1458"/>
      <c r="Y564" s="1459"/>
      <c r="Z564" s="1644" t="s">
        <v>1290</v>
      </c>
      <c r="AA564" s="1644"/>
      <c r="AB564" s="1644"/>
      <c r="AC564" s="1644"/>
      <c r="AD564" s="1644"/>
      <c r="AE564" s="1641"/>
      <c r="AF564" s="1642"/>
      <c r="AG564" s="1642"/>
      <c r="AH564" s="1643"/>
      <c r="AI564" s="1708"/>
      <c r="AJ564" s="1709"/>
      <c r="AK564" s="1709"/>
      <c r="AL564" s="1710"/>
      <c r="AM564" s="1691"/>
      <c r="AN564" s="1692"/>
      <c r="AO564" s="1692"/>
      <c r="AP564" s="1692"/>
      <c r="AQ564" s="1692"/>
      <c r="AR564" s="1692"/>
      <c r="AS564" s="169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0"/>
      <c r="D565" s="1700"/>
      <c r="E565" s="1700"/>
      <c r="F565" s="1700"/>
      <c r="G565" s="1700"/>
      <c r="H565" s="1700"/>
      <c r="I565" s="1700"/>
      <c r="J565" s="1700"/>
      <c r="K565" s="1700"/>
      <c r="L565" s="1700"/>
      <c r="M565" s="1701" t="s">
        <v>1290</v>
      </c>
      <c r="N565" s="1701"/>
      <c r="O565" s="1701"/>
      <c r="P565" s="1701"/>
      <c r="Q565" s="1454"/>
      <c r="R565" s="1455"/>
      <c r="S565" s="1456"/>
      <c r="T565" s="1454"/>
      <c r="U565" s="1455"/>
      <c r="V565" s="1456"/>
      <c r="W565" s="1457"/>
      <c r="X565" s="1458"/>
      <c r="Y565" s="1459"/>
      <c r="Z565" s="1644" t="s">
        <v>1290</v>
      </c>
      <c r="AA565" s="1644"/>
      <c r="AB565" s="1644"/>
      <c r="AC565" s="1644"/>
      <c r="AD565" s="1644"/>
      <c r="AE565" s="1641"/>
      <c r="AF565" s="1642"/>
      <c r="AG565" s="1642"/>
      <c r="AH565" s="1643"/>
      <c r="AI565" s="1708"/>
      <c r="AJ565" s="1709"/>
      <c r="AK565" s="1709"/>
      <c r="AL565" s="1710"/>
      <c r="AM565" s="1691"/>
      <c r="AN565" s="1692"/>
      <c r="AO565" s="1692"/>
      <c r="AP565" s="1692"/>
      <c r="AQ565" s="1692"/>
      <c r="AR565" s="1692"/>
      <c r="AS565" s="169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11" t="s">
        <v>127</v>
      </c>
      <c r="C566" s="1412"/>
      <c r="D566" s="1412"/>
      <c r="E566" s="1412"/>
      <c r="F566" s="1412"/>
      <c r="G566" s="1412"/>
      <c r="H566" s="1412"/>
      <c r="I566" s="1412"/>
      <c r="J566" s="1412"/>
      <c r="K566" s="1412"/>
      <c r="L566" s="1412"/>
      <c r="M566" s="1412"/>
      <c r="N566" s="1412"/>
      <c r="O566" s="1412"/>
      <c r="P566" s="1412"/>
      <c r="Q566" s="1412"/>
      <c r="R566" s="1412"/>
      <c r="S566" s="1412"/>
      <c r="T566" s="1412"/>
      <c r="U566" s="1415"/>
      <c r="V566" s="1412"/>
      <c r="W566" s="1412"/>
      <c r="X566" s="1412"/>
      <c r="Y566" s="1412"/>
      <c r="Z566" s="1412"/>
      <c r="AA566" s="1412"/>
      <c r="AB566" s="1412"/>
      <c r="AC566" s="1412"/>
      <c r="AD566" s="1412"/>
      <c r="AE566" s="1412"/>
      <c r="AF566" s="1412"/>
      <c r="AG566" s="1412"/>
      <c r="AH566" s="1412"/>
      <c r="AI566" s="1412"/>
      <c r="AJ566" s="1412"/>
      <c r="AK566" s="1412"/>
      <c r="AL566" s="1413"/>
      <c r="AM566" s="1655">
        <f>SUM(AM554:AS565)</f>
        <v>74451434</v>
      </c>
      <c r="AN566" s="1656"/>
      <c r="AO566" s="1656"/>
      <c r="AP566" s="1656"/>
      <c r="AQ566" s="1656"/>
      <c r="AR566" s="1656"/>
      <c r="AS566" s="1657"/>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17" t="str">
        <f>C554</f>
        <v>Banner Bank</v>
      </c>
      <c r="H568" s="1417"/>
      <c r="I568" s="1417"/>
      <c r="J568" s="1417"/>
      <c r="K568" s="1417"/>
      <c r="L568" s="1417"/>
      <c r="M568" s="1417"/>
      <c r="N568" s="1417"/>
      <c r="O568" s="1417"/>
      <c r="P568" s="1417"/>
      <c r="Q568" s="1417"/>
      <c r="R568" s="1417"/>
      <c r="S568" s="8"/>
      <c r="T568" s="55" t="s">
        <v>113</v>
      </c>
      <c r="U568" t="s">
        <v>471</v>
      </c>
      <c r="Z568" s="1417" t="str">
        <f>C555</f>
        <v>Banner Bank</v>
      </c>
      <c r="AA568" s="1417"/>
      <c r="AB568" s="1417"/>
      <c r="AC568" s="1417"/>
      <c r="AD568" s="1417"/>
      <c r="AE568" s="1417"/>
      <c r="AF568" s="1417"/>
      <c r="AG568" s="1417"/>
      <c r="AH568" s="1417"/>
      <c r="AI568" s="1417"/>
      <c r="AJ568" s="1417"/>
      <c r="AK568" s="141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4" t="s">
        <v>2736</v>
      </c>
      <c r="H569" s="1374"/>
      <c r="I569" s="1374"/>
      <c r="J569" s="1374"/>
      <c r="K569" s="1374"/>
      <c r="L569" s="1374"/>
      <c r="M569" s="1374"/>
      <c r="N569" s="1374"/>
      <c r="O569" s="1374"/>
      <c r="P569" s="1374"/>
      <c r="Q569" s="1374"/>
      <c r="R569" s="1374"/>
      <c r="S569" s="8"/>
      <c r="T569" s="22"/>
      <c r="U569" t="s">
        <v>85</v>
      </c>
      <c r="Z569" s="1374" t="s">
        <v>2736</v>
      </c>
      <c r="AA569" s="1374"/>
      <c r="AB569" s="1374"/>
      <c r="AC569" s="1374"/>
      <c r="AD569" s="1374"/>
      <c r="AE569" s="1374"/>
      <c r="AF569" s="1374"/>
      <c r="AG569" s="1374"/>
      <c r="AH569" s="1374"/>
      <c r="AI569" s="1374"/>
      <c r="AJ569" s="1374"/>
      <c r="AK569" s="137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74" t="s">
        <v>738</v>
      </c>
      <c r="H570" s="1374"/>
      <c r="I570" s="1374"/>
      <c r="J570" s="1374"/>
      <c r="K570" s="1374"/>
      <c r="L570" s="1374"/>
      <c r="M570" s="1374"/>
      <c r="N570" s="1374"/>
      <c r="O570" s="1374"/>
      <c r="P570" s="1374"/>
      <c r="Q570" s="1374"/>
      <c r="R570" s="1374"/>
      <c r="T570" s="22"/>
      <c r="U570" t="s">
        <v>588</v>
      </c>
      <c r="Z570" s="1380" t="s">
        <v>738</v>
      </c>
      <c r="AA570" s="1380"/>
      <c r="AB570" s="1380"/>
      <c r="AC570" s="1380"/>
      <c r="AD570" s="1380"/>
      <c r="AE570" s="1380"/>
      <c r="AF570" s="1380"/>
      <c r="AG570" s="1380"/>
      <c r="AH570" s="1380"/>
      <c r="AI570" s="1380"/>
      <c r="AJ570" s="1380"/>
      <c r="AK570" s="138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4" t="s">
        <v>2737</v>
      </c>
      <c r="H571" s="1374"/>
      <c r="I571" s="1374"/>
      <c r="J571" s="1374"/>
      <c r="K571" s="1374"/>
      <c r="L571" s="1374"/>
      <c r="M571" s="1374"/>
      <c r="N571" s="1374"/>
      <c r="O571" s="1374"/>
      <c r="P571" s="1374"/>
      <c r="Q571" s="1374"/>
      <c r="R571" s="1374"/>
      <c r="S571" s="8"/>
      <c r="T571" s="22"/>
      <c r="U571" t="s">
        <v>17</v>
      </c>
      <c r="Z571" s="1380" t="s">
        <v>2737</v>
      </c>
      <c r="AA571" s="1380"/>
      <c r="AB571" s="1380"/>
      <c r="AC571" s="1380"/>
      <c r="AD571" s="1380"/>
      <c r="AE571" s="1380"/>
      <c r="AF571" s="1380"/>
      <c r="AG571" s="1380"/>
      <c r="AH571" s="1380"/>
      <c r="AI571" s="1380"/>
      <c r="AJ571" s="1380"/>
      <c r="AK571" s="138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72" t="s">
        <v>2738</v>
      </c>
      <c r="H572" s="1372"/>
      <c r="I572" s="1372"/>
      <c r="J572" s="1372"/>
      <c r="K572" s="1372"/>
      <c r="L572" s="1372"/>
      <c r="O572" s="33" t="s">
        <v>207</v>
      </c>
      <c r="P572" s="1450"/>
      <c r="Q572" s="1450"/>
      <c r="R572" s="1450"/>
      <c r="S572" s="10"/>
      <c r="T572" s="22"/>
      <c r="U572" t="s">
        <v>317</v>
      </c>
      <c r="Z572" s="1372" t="s">
        <v>2738</v>
      </c>
      <c r="AA572" s="1372"/>
      <c r="AB572" s="1372"/>
      <c r="AC572" s="1372"/>
      <c r="AD572" s="1372"/>
      <c r="AE572" s="1372"/>
      <c r="AH572" s="33" t="s">
        <v>207</v>
      </c>
      <c r="AI572" s="1450"/>
      <c r="AJ572" s="1450"/>
      <c r="AK572" s="145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4" t="s">
        <v>2739</v>
      </c>
      <c r="I573" s="1374"/>
      <c r="J573" s="1374"/>
      <c r="K573" s="1374"/>
      <c r="L573" s="1374"/>
      <c r="M573" s="1374"/>
      <c r="N573" s="1374"/>
      <c r="O573" s="1374"/>
      <c r="P573" s="1374"/>
      <c r="Q573" s="1374"/>
      <c r="R573" s="1374"/>
      <c r="S573" s="8"/>
      <c r="T573" s="22"/>
      <c r="U573" t="s">
        <v>18</v>
      </c>
      <c r="AA573" s="1373" t="s">
        <v>2740</v>
      </c>
      <c r="AB573" s="1374"/>
      <c r="AC573" s="1374"/>
      <c r="AD573" s="1374"/>
      <c r="AE573" s="1374"/>
      <c r="AF573" s="1374"/>
      <c r="AG573" s="1374"/>
      <c r="AH573" s="1374"/>
      <c r="AI573" s="1374"/>
      <c r="AJ573" s="1374"/>
      <c r="AK573" s="137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21" t="s">
        <v>2777</v>
      </c>
      <c r="N574" s="1722"/>
      <c r="O574" s="1722"/>
      <c r="P574" s="1722"/>
      <c r="Q574" s="1722"/>
      <c r="R574" s="1722"/>
      <c r="S574" s="8"/>
      <c r="T574" s="22"/>
      <c r="U574" s="348" t="s">
        <v>1291</v>
      </c>
      <c r="AA574" s="8"/>
      <c r="AB574" s="8"/>
      <c r="AC574" s="8"/>
      <c r="AD574" s="8"/>
      <c r="AE574" s="8"/>
      <c r="AF574" s="1721" t="s">
        <v>2777</v>
      </c>
      <c r="AG574" s="1722"/>
      <c r="AH574" s="1722"/>
      <c r="AI574" s="1722"/>
      <c r="AJ574" s="1722"/>
      <c r="AK574" s="172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55" t="s">
        <v>553</v>
      </c>
      <c r="O575" s="1355"/>
      <c r="T575" s="22"/>
      <c r="U575" t="s">
        <v>20</v>
      </c>
      <c r="AG575" s="1355" t="s">
        <v>553</v>
      </c>
      <c r="AH575" s="135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17" t="str">
        <f>C556</f>
        <v>Boston Financial</v>
      </c>
      <c r="H577" s="1417"/>
      <c r="I577" s="1417"/>
      <c r="J577" s="1417"/>
      <c r="K577" s="1417"/>
      <c r="L577" s="1417"/>
      <c r="M577" s="1417"/>
      <c r="N577" s="1417"/>
      <c r="O577" s="1417"/>
      <c r="P577" s="1417"/>
      <c r="Q577" s="1417"/>
      <c r="R577" s="1417"/>
      <c r="T577" s="55" t="s">
        <v>589</v>
      </c>
      <c r="U577" t="s">
        <v>471</v>
      </c>
      <c r="Z577" s="1417">
        <f>C557</f>
        <v>0</v>
      </c>
      <c r="AA577" s="1417"/>
      <c r="AB577" s="1417"/>
      <c r="AC577" s="1417"/>
      <c r="AD577" s="1417"/>
      <c r="AE577" s="1417"/>
      <c r="AF577" s="1417"/>
      <c r="AG577" s="1417"/>
      <c r="AH577" s="1417"/>
      <c r="AI577" s="1417"/>
      <c r="AJ577" s="1417"/>
      <c r="AK577" s="141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4" t="s">
        <v>2769</v>
      </c>
      <c r="H578" s="1374"/>
      <c r="I578" s="1374"/>
      <c r="J578" s="1374"/>
      <c r="K578" s="1374"/>
      <c r="L578" s="1374"/>
      <c r="M578" s="1374"/>
      <c r="N578" s="1374"/>
      <c r="O578" s="1374"/>
      <c r="P578" s="1374"/>
      <c r="Q578" s="1374"/>
      <c r="R578" s="1374"/>
      <c r="T578" s="22"/>
      <c r="U578" t="s">
        <v>85</v>
      </c>
      <c r="Z578" s="1374"/>
      <c r="AA578" s="1374"/>
      <c r="AB578" s="1374"/>
      <c r="AC578" s="1374"/>
      <c r="AD578" s="1374"/>
      <c r="AE578" s="1374"/>
      <c r="AF578" s="1374"/>
      <c r="AG578" s="1374"/>
      <c r="AH578" s="1374"/>
      <c r="AI578" s="1374"/>
      <c r="AJ578" s="1374"/>
      <c r="AK578" s="137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380" t="s">
        <v>2770</v>
      </c>
      <c r="H579" s="1380"/>
      <c r="I579" s="1380"/>
      <c r="J579" s="1380"/>
      <c r="K579" s="1380"/>
      <c r="L579" s="1380"/>
      <c r="M579" s="1380"/>
      <c r="N579" s="1380"/>
      <c r="O579" s="1380"/>
      <c r="P579" s="1380"/>
      <c r="Q579" s="1380"/>
      <c r="R579" s="1380"/>
      <c r="T579" s="22"/>
      <c r="U579" t="s">
        <v>588</v>
      </c>
      <c r="Z579" s="1380"/>
      <c r="AA579" s="1380"/>
      <c r="AB579" s="1380"/>
      <c r="AC579" s="1380"/>
      <c r="AD579" s="1380"/>
      <c r="AE579" s="1380"/>
      <c r="AF579" s="1380"/>
      <c r="AG579" s="1380"/>
      <c r="AH579" s="1380"/>
      <c r="AI579" s="1380"/>
      <c r="AJ579" s="1380"/>
      <c r="AK579" s="138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80" t="s">
        <v>2771</v>
      </c>
      <c r="H580" s="1380"/>
      <c r="I580" s="1380"/>
      <c r="J580" s="1380"/>
      <c r="K580" s="1380"/>
      <c r="L580" s="1380"/>
      <c r="M580" s="1380"/>
      <c r="N580" s="1380"/>
      <c r="O580" s="1380"/>
      <c r="P580" s="1380"/>
      <c r="Q580" s="1380"/>
      <c r="R580" s="1380"/>
      <c r="T580" s="22"/>
      <c r="U580" t="s">
        <v>17</v>
      </c>
      <c r="Z580" s="1380"/>
      <c r="AA580" s="1380"/>
      <c r="AB580" s="1380"/>
      <c r="AC580" s="1380"/>
      <c r="AD580" s="1380"/>
      <c r="AE580" s="1380"/>
      <c r="AF580" s="1380"/>
      <c r="AG580" s="1380"/>
      <c r="AH580" s="1380"/>
      <c r="AI580" s="1380"/>
      <c r="AJ580" s="1380"/>
      <c r="AK580" s="138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72" t="s">
        <v>2772</v>
      </c>
      <c r="H581" s="1372"/>
      <c r="I581" s="1372"/>
      <c r="J581" s="1372"/>
      <c r="K581" s="1372"/>
      <c r="L581" s="1372"/>
      <c r="O581" s="33" t="s">
        <v>207</v>
      </c>
      <c r="P581" s="1450"/>
      <c r="Q581" s="1450"/>
      <c r="R581" s="1450"/>
      <c r="T581" s="22"/>
      <c r="U581" t="s">
        <v>317</v>
      </c>
      <c r="Z581" s="1372"/>
      <c r="AA581" s="1372"/>
      <c r="AB581" s="1372"/>
      <c r="AC581" s="1372"/>
      <c r="AD581" s="1372"/>
      <c r="AE581" s="1372"/>
      <c r="AH581" s="33" t="s">
        <v>207</v>
      </c>
      <c r="AI581" s="1450"/>
      <c r="AJ581" s="1450"/>
      <c r="AK581" s="145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4" t="s">
        <v>2763</v>
      </c>
      <c r="I582" s="1374"/>
      <c r="J582" s="1374"/>
      <c r="K582" s="1374"/>
      <c r="L582" s="1374"/>
      <c r="M582" s="1374"/>
      <c r="N582" s="1374"/>
      <c r="O582" s="1374"/>
      <c r="P582" s="1374"/>
      <c r="Q582" s="1374"/>
      <c r="R582" s="1374"/>
      <c r="T582" s="22"/>
      <c r="U582" t="s">
        <v>18</v>
      </c>
      <c r="AA582" s="1374"/>
      <c r="AB582" s="1374"/>
      <c r="AC582" s="1374"/>
      <c r="AD582" s="1374"/>
      <c r="AE582" s="1374"/>
      <c r="AF582" s="1374"/>
      <c r="AG582" s="1374"/>
      <c r="AH582" s="1374"/>
      <c r="AI582" s="1374"/>
      <c r="AJ582" s="1374"/>
      <c r="AK582" s="137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55" t="s">
        <v>553</v>
      </c>
      <c r="O583" s="1355"/>
      <c r="T583" s="22"/>
      <c r="U583" t="s">
        <v>20</v>
      </c>
      <c r="AG583" s="1355" t="s">
        <v>677</v>
      </c>
      <c r="AH583" s="135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17">
        <f>C558</f>
        <v>0</v>
      </c>
      <c r="H585" s="1417"/>
      <c r="I585" s="1417"/>
      <c r="J585" s="1417"/>
      <c r="K585" s="1417"/>
      <c r="L585" s="1417"/>
      <c r="M585" s="1417"/>
      <c r="N585" s="1417"/>
      <c r="O585" s="1417"/>
      <c r="P585" s="1417"/>
      <c r="Q585" s="1417"/>
      <c r="R585" s="1417"/>
      <c r="T585" s="55" t="s">
        <v>592</v>
      </c>
      <c r="U585" t="s">
        <v>471</v>
      </c>
      <c r="Z585" s="1417">
        <f>C559</f>
        <v>0</v>
      </c>
      <c r="AA585" s="1417"/>
      <c r="AB585" s="1417"/>
      <c r="AC585" s="1417"/>
      <c r="AD585" s="1417"/>
      <c r="AE585" s="1417"/>
      <c r="AF585" s="1417"/>
      <c r="AG585" s="1417"/>
      <c r="AH585" s="1417"/>
      <c r="AI585" s="1417"/>
      <c r="AJ585" s="1417"/>
      <c r="AK585" s="141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4"/>
      <c r="H586" s="1374"/>
      <c r="I586" s="1374"/>
      <c r="J586" s="1374"/>
      <c r="K586" s="1374"/>
      <c r="L586" s="1374"/>
      <c r="M586" s="1374"/>
      <c r="N586" s="1374"/>
      <c r="O586" s="1374"/>
      <c r="P586" s="1374"/>
      <c r="Q586" s="1374"/>
      <c r="R586" s="1374"/>
      <c r="T586" s="22"/>
      <c r="U586" t="s">
        <v>85</v>
      </c>
      <c r="Z586" s="1374"/>
      <c r="AA586" s="1374"/>
      <c r="AB586" s="1374"/>
      <c r="AC586" s="1374"/>
      <c r="AD586" s="1374"/>
      <c r="AE586" s="1374"/>
      <c r="AF586" s="1374"/>
      <c r="AG586" s="1374"/>
      <c r="AH586" s="1374"/>
      <c r="AI586" s="1374"/>
      <c r="AJ586" s="1374"/>
      <c r="AK586" s="137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74"/>
      <c r="H587" s="1374"/>
      <c r="I587" s="1374"/>
      <c r="J587" s="1374"/>
      <c r="K587" s="1374"/>
      <c r="L587" s="1374"/>
      <c r="M587" s="1374"/>
      <c r="N587" s="1374"/>
      <c r="O587" s="1374"/>
      <c r="P587" s="1374"/>
      <c r="Q587" s="1374"/>
      <c r="R587" s="1374"/>
      <c r="T587" s="22"/>
      <c r="U587" t="s">
        <v>588</v>
      </c>
      <c r="Z587" s="1380"/>
      <c r="AA587" s="1380"/>
      <c r="AB587" s="1380"/>
      <c r="AC587" s="1380"/>
      <c r="AD587" s="1380"/>
      <c r="AE587" s="1380"/>
      <c r="AF587" s="1380"/>
      <c r="AG587" s="1380"/>
      <c r="AH587" s="1380"/>
      <c r="AI587" s="1380"/>
      <c r="AJ587" s="1380"/>
      <c r="AK587" s="138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4"/>
      <c r="H588" s="1374"/>
      <c r="I588" s="1374"/>
      <c r="J588" s="1374"/>
      <c r="K588" s="1374"/>
      <c r="L588" s="1374"/>
      <c r="M588" s="1374"/>
      <c r="N588" s="1374"/>
      <c r="O588" s="1374"/>
      <c r="P588" s="1374"/>
      <c r="Q588" s="1374"/>
      <c r="R588" s="1374"/>
      <c r="T588" s="22"/>
      <c r="U588" t="s">
        <v>17</v>
      </c>
      <c r="Z588" s="1380"/>
      <c r="AA588" s="1380"/>
      <c r="AB588" s="1380"/>
      <c r="AC588" s="1380"/>
      <c r="AD588" s="1380"/>
      <c r="AE588" s="1380"/>
      <c r="AF588" s="1380"/>
      <c r="AG588" s="1380"/>
      <c r="AH588" s="1380"/>
      <c r="AI588" s="1380"/>
      <c r="AJ588" s="1380"/>
      <c r="AK588" s="1380"/>
    </row>
    <row r="589" spans="1:110" ht="12.95" customHeight="1">
      <c r="A589" s="22"/>
      <c r="B589" t="s">
        <v>317</v>
      </c>
      <c r="G589" s="1372"/>
      <c r="H589" s="1372"/>
      <c r="I589" s="1372"/>
      <c r="J589" s="1372"/>
      <c r="K589" s="1372"/>
      <c r="L589" s="1372"/>
      <c r="O589" s="33" t="s">
        <v>207</v>
      </c>
      <c r="P589" s="1450"/>
      <c r="Q589" s="1450"/>
      <c r="R589" s="1450"/>
      <c r="T589" s="22"/>
      <c r="U589" t="s">
        <v>317</v>
      </c>
      <c r="Z589" s="1372"/>
      <c r="AA589" s="1372"/>
      <c r="AB589" s="1372"/>
      <c r="AC589" s="1372"/>
      <c r="AD589" s="1372"/>
      <c r="AE589" s="1372"/>
      <c r="AH589" s="33" t="s">
        <v>207</v>
      </c>
      <c r="AI589" s="1450"/>
      <c r="AJ589" s="1450"/>
      <c r="AK589" s="145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4"/>
      <c r="I590" s="1374"/>
      <c r="J590" s="1374"/>
      <c r="K590" s="1374"/>
      <c r="L590" s="1374"/>
      <c r="M590" s="1374"/>
      <c r="N590" s="1374"/>
      <c r="O590" s="1374"/>
      <c r="P590" s="1374"/>
      <c r="Q590" s="1374"/>
      <c r="R590" s="1374"/>
      <c r="T590" s="22"/>
      <c r="U590" t="s">
        <v>18</v>
      </c>
      <c r="AA590" s="1374"/>
      <c r="AB590" s="1374"/>
      <c r="AC590" s="1374"/>
      <c r="AD590" s="1374"/>
      <c r="AE590" s="1374"/>
      <c r="AF590" s="1374"/>
      <c r="AG590" s="1374"/>
      <c r="AH590" s="1374"/>
      <c r="AI590" s="1374"/>
      <c r="AJ590" s="1374"/>
      <c r="AK590" s="137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55" t="s">
        <v>677</v>
      </c>
      <c r="O591" s="1355"/>
      <c r="T591" s="22"/>
      <c r="U591" t="s">
        <v>20</v>
      </c>
      <c r="AG591" s="1355" t="s">
        <v>677</v>
      </c>
      <c r="AH591" s="135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17">
        <f>C560</f>
        <v>0</v>
      </c>
      <c r="H593" s="1417"/>
      <c r="I593" s="1417"/>
      <c r="J593" s="1417"/>
      <c r="K593" s="1417"/>
      <c r="L593" s="1417"/>
      <c r="M593" s="1417"/>
      <c r="N593" s="1417"/>
      <c r="O593" s="1417"/>
      <c r="P593" s="1417"/>
      <c r="Q593" s="1417"/>
      <c r="R593" s="1417"/>
      <c r="T593" s="55" t="s">
        <v>464</v>
      </c>
      <c r="U593" t="s">
        <v>471</v>
      </c>
      <c r="Z593" s="1417">
        <f>C561</f>
        <v>0</v>
      </c>
      <c r="AA593" s="1417"/>
      <c r="AB593" s="1417"/>
      <c r="AC593" s="1417"/>
      <c r="AD593" s="1417"/>
      <c r="AE593" s="1417"/>
      <c r="AF593" s="1417"/>
      <c r="AG593" s="1417"/>
      <c r="AH593" s="1417"/>
      <c r="AI593" s="1417"/>
      <c r="AJ593" s="1417"/>
      <c r="AK593" s="141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4"/>
      <c r="H594" s="1374"/>
      <c r="I594" s="1374"/>
      <c r="J594" s="1374"/>
      <c r="K594" s="1374"/>
      <c r="L594" s="1374"/>
      <c r="M594" s="1374"/>
      <c r="N594" s="1374"/>
      <c r="O594" s="1374"/>
      <c r="P594" s="1374"/>
      <c r="Q594" s="1374"/>
      <c r="R594" s="1374"/>
      <c r="S594"/>
      <c r="T594" s="22"/>
      <c r="U594" t="s">
        <v>85</v>
      </c>
      <c r="V594"/>
      <c r="W594"/>
      <c r="X594"/>
      <c r="Y594"/>
      <c r="Z594" s="1374"/>
      <c r="AA594" s="1374"/>
      <c r="AB594" s="1374"/>
      <c r="AC594" s="1374"/>
      <c r="AD594" s="1374"/>
      <c r="AE594" s="1374"/>
      <c r="AF594" s="1374"/>
      <c r="AG594" s="1374"/>
      <c r="AH594" s="1374"/>
      <c r="AI594" s="1374"/>
      <c r="AJ594" s="1374"/>
      <c r="AK594" s="137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74"/>
      <c r="H595" s="1374"/>
      <c r="I595" s="1374"/>
      <c r="J595" s="1374"/>
      <c r="K595" s="1374"/>
      <c r="L595" s="1374"/>
      <c r="M595" s="1374"/>
      <c r="N595" s="1374"/>
      <c r="O595" s="1374"/>
      <c r="P595" s="1374"/>
      <c r="Q595" s="1374"/>
      <c r="R595" s="1374"/>
      <c r="S595"/>
      <c r="T595" s="22"/>
      <c r="U595" t="s">
        <v>588</v>
      </c>
      <c r="V595"/>
      <c r="W595"/>
      <c r="X595"/>
      <c r="Y595"/>
      <c r="Z595" s="1380"/>
      <c r="AA595" s="1380"/>
      <c r="AB595" s="1380"/>
      <c r="AC595" s="1380"/>
      <c r="AD595" s="1380"/>
      <c r="AE595" s="1380"/>
      <c r="AF595" s="1380"/>
      <c r="AG595" s="1380"/>
      <c r="AH595" s="1380"/>
      <c r="AI595" s="1380"/>
      <c r="AJ595" s="1380"/>
      <c r="AK595" s="138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4"/>
      <c r="H596" s="1374"/>
      <c r="I596" s="1374"/>
      <c r="J596" s="1374"/>
      <c r="K596" s="1374"/>
      <c r="L596" s="1374"/>
      <c r="M596" s="1374"/>
      <c r="N596" s="1374"/>
      <c r="O596" s="1374"/>
      <c r="P596" s="1374"/>
      <c r="Q596" s="1374"/>
      <c r="R596" s="1374"/>
      <c r="S596"/>
      <c r="T596" s="22"/>
      <c r="U596" t="s">
        <v>17</v>
      </c>
      <c r="V596"/>
      <c r="W596"/>
      <c r="X596"/>
      <c r="Y596"/>
      <c r="Z596" s="1380"/>
      <c r="AA596" s="1380"/>
      <c r="AB596" s="1380"/>
      <c r="AC596" s="1380"/>
      <c r="AD596" s="1380"/>
      <c r="AE596" s="1380"/>
      <c r="AF596" s="1380"/>
      <c r="AG596" s="1380"/>
      <c r="AH596" s="1380"/>
      <c r="AI596" s="1380"/>
      <c r="AJ596" s="1380"/>
      <c r="AK596" s="1380"/>
      <c r="AL596"/>
      <c r="AM596"/>
      <c r="AN596"/>
      <c r="AO596"/>
      <c r="AP596"/>
      <c r="AQ596"/>
      <c r="AR596"/>
      <c r="AS596"/>
      <c r="AT596"/>
      <c r="AU596"/>
      <c r="AV596"/>
      <c r="AW596"/>
      <c r="AX596"/>
      <c r="AY596"/>
      <c r="BA596" s="4" t="s">
        <v>325</v>
      </c>
      <c r="BB596" s="3"/>
      <c r="BC596" s="3"/>
      <c r="BD596" s="3"/>
      <c r="BE596" s="121" t="s">
        <v>482</v>
      </c>
      <c r="BF596" s="122"/>
      <c r="BG596" s="1509"/>
      <c r="BH596" s="1511"/>
      <c r="BI596" s="121" t="s">
        <v>483</v>
      </c>
      <c r="BJ596" s="122"/>
      <c r="BK596" s="1509"/>
      <c r="BL596" s="1511"/>
      <c r="BM596" s="3"/>
      <c r="BN596" s="1431" t="s">
        <v>641</v>
      </c>
      <c r="BO596" s="1432"/>
      <c r="BP596" s="1432"/>
      <c r="BQ596" s="1432"/>
      <c r="BR596" s="1433"/>
      <c r="BS596" s="1525" t="s">
        <v>326</v>
      </c>
      <c r="BT596" s="1525"/>
      <c r="BU596" s="1525"/>
      <c r="BV596" s="1525"/>
      <c r="BW596" s="1525"/>
      <c r="BX596" s="1525" t="s">
        <v>163</v>
      </c>
      <c r="BY596" s="1525"/>
      <c r="BZ596" s="1525"/>
      <c r="CA596" s="1525"/>
      <c r="CB596" s="1525"/>
      <c r="CC596" s="1525" t="s">
        <v>164</v>
      </c>
      <c r="CD596" s="1525"/>
      <c r="CE596" s="1525"/>
      <c r="CF596" s="1525"/>
      <c r="CG596" s="1525"/>
      <c r="CH596" s="1525" t="s">
        <v>468</v>
      </c>
      <c r="CI596" s="1525"/>
      <c r="CJ596" s="1525"/>
      <c r="CK596" s="1525"/>
      <c r="CL596" s="1525"/>
      <c r="CM596" s="1525" t="s">
        <v>30</v>
      </c>
      <c r="CN596" s="1525"/>
      <c r="CO596" s="1525"/>
      <c r="CP596" s="1525"/>
      <c r="CQ596" s="1525"/>
      <c r="CR596" s="89"/>
      <c r="CS596" s="1525" t="s">
        <v>641</v>
      </c>
      <c r="CT596" s="1525"/>
      <c r="CU596" s="1525"/>
      <c r="CV596" s="1525"/>
      <c r="CW596" s="1525"/>
      <c r="CX596" s="1525" t="s">
        <v>326</v>
      </c>
      <c r="CY596" s="1525"/>
      <c r="CZ596" s="1525"/>
      <c r="DA596" s="1525"/>
      <c r="DB596" s="1525"/>
      <c r="DC596" s="1525" t="s">
        <v>163</v>
      </c>
      <c r="DD596" s="1525"/>
      <c r="DE596" s="1525"/>
      <c r="DF596" s="1525"/>
      <c r="DG596" s="1525"/>
      <c r="DH596" s="1525" t="s">
        <v>164</v>
      </c>
      <c r="DI596" s="1525"/>
      <c r="DJ596" s="1525"/>
      <c r="DK596" s="1525"/>
      <c r="DL596" s="1525"/>
      <c r="DM596" s="1525" t="s">
        <v>468</v>
      </c>
      <c r="DN596" s="1525"/>
      <c r="DO596" s="1525"/>
      <c r="DP596" s="1525"/>
      <c r="DQ596" s="1525"/>
      <c r="DR596" s="1525" t="s">
        <v>30</v>
      </c>
      <c r="DS596" s="1525"/>
      <c r="DT596" s="1525"/>
      <c r="DU596" s="1525"/>
      <c r="DV596" s="1525"/>
      <c r="DX596" s="1525" t="s">
        <v>641</v>
      </c>
      <c r="DY596" s="1525"/>
      <c r="DZ596" s="1525"/>
      <c r="EA596" s="1525"/>
      <c r="EB596" s="1525"/>
      <c r="EC596" s="1525" t="s">
        <v>326</v>
      </c>
      <c r="ED596" s="1525"/>
      <c r="EE596" s="1525"/>
      <c r="EF596" s="1525"/>
      <c r="EG596" s="1525"/>
      <c r="EH596" s="1525" t="s">
        <v>163</v>
      </c>
      <c r="EI596" s="1525"/>
      <c r="EJ596" s="1525"/>
      <c r="EK596" s="1525"/>
      <c r="EL596" s="1525"/>
      <c r="EM596" s="1525" t="s">
        <v>164</v>
      </c>
      <c r="EN596" s="1525"/>
      <c r="EO596" s="1525"/>
      <c r="EP596" s="1525"/>
      <c r="EQ596" s="1525"/>
      <c r="ER596" s="1525" t="s">
        <v>468</v>
      </c>
      <c r="ES596" s="1525"/>
      <c r="ET596" s="1525"/>
      <c r="EU596" s="1525"/>
      <c r="EV596" s="1525"/>
      <c r="EW596" s="1525" t="s">
        <v>30</v>
      </c>
      <c r="EX596" s="1525"/>
      <c r="EY596" s="1525"/>
      <c r="EZ596" s="1525"/>
      <c r="FA596" s="1525"/>
    </row>
    <row r="597" spans="1:157" s="4" customFormat="1" ht="12.95" customHeight="1">
      <c r="A597" s="22"/>
      <c r="B597" t="s">
        <v>317</v>
      </c>
      <c r="C597"/>
      <c r="D597"/>
      <c r="E597"/>
      <c r="F597"/>
      <c r="G597" s="1372"/>
      <c r="H597" s="1372"/>
      <c r="I597" s="1372"/>
      <c r="J597" s="1372"/>
      <c r="K597" s="1372"/>
      <c r="L597" s="1372"/>
      <c r="M597"/>
      <c r="N597"/>
      <c r="O597" s="33" t="s">
        <v>207</v>
      </c>
      <c r="P597" s="1450"/>
      <c r="Q597" s="1450"/>
      <c r="R597" s="1450"/>
      <c r="S597"/>
      <c r="T597" s="22"/>
      <c r="U597" t="s">
        <v>317</v>
      </c>
      <c r="V597"/>
      <c r="W597"/>
      <c r="X597"/>
      <c r="Y597"/>
      <c r="Z597" s="1372"/>
      <c r="AA597" s="1372"/>
      <c r="AB597" s="1372"/>
      <c r="AC597" s="1372"/>
      <c r="AD597" s="1372"/>
      <c r="AE597" s="1372"/>
      <c r="AF597"/>
      <c r="AG597"/>
      <c r="AH597" s="33" t="s">
        <v>207</v>
      </c>
      <c r="AI597" s="1450"/>
      <c r="AJ597" s="1450"/>
      <c r="AK597" s="1450"/>
      <c r="AL597"/>
      <c r="AM597"/>
      <c r="AN597"/>
      <c r="AO597"/>
      <c r="AP597"/>
      <c r="AQ597"/>
      <c r="AR597"/>
      <c r="AS597"/>
      <c r="AT597"/>
      <c r="AU597"/>
      <c r="AV597"/>
      <c r="AW597"/>
      <c r="AX597"/>
      <c r="AY597"/>
      <c r="BA597" s="4" t="s">
        <v>326</v>
      </c>
      <c r="BB597" s="3"/>
      <c r="BC597" s="3"/>
      <c r="BD597" s="3"/>
      <c r="BE597" s="1484">
        <f t="shared" ref="BE597:BE631" si="1">IF(AND(AC718&lt;=0.5,AC718&gt;=0.36),1,0)</f>
        <v>0</v>
      </c>
      <c r="BF597" s="1486"/>
      <c r="BG597" s="1509">
        <f t="shared" ref="BG597:BG631" si="2">IF(BE597=1,G718,0)</f>
        <v>0</v>
      </c>
      <c r="BH597" s="1511"/>
      <c r="BI597" s="1484">
        <f t="shared" ref="BI597:BI631" si="3">IF(AND(AC718&lt;=0.35,AC718&gt;0),1,0)</f>
        <v>1</v>
      </c>
      <c r="BJ597" s="1486"/>
      <c r="BK597" s="1509">
        <f t="shared" ref="BK597:BK631" si="4">IF(BI597=1,G718,0)</f>
        <v>18</v>
      </c>
      <c r="BL597" s="1511"/>
      <c r="BM597" s="3"/>
      <c r="BN597" s="1497">
        <f t="shared" ref="BN597:BN631" si="5">IF(B718="SRO/Studio",G718,0)</f>
        <v>0</v>
      </c>
      <c r="BO597" s="1498"/>
      <c r="BP597" s="1498"/>
      <c r="BQ597" s="1498"/>
      <c r="BR597" s="1499"/>
      <c r="BS597" s="1502">
        <f t="shared" ref="BS597:BS631" si="6">IF(B718="1 Bedroom",G718,0)</f>
        <v>18</v>
      </c>
      <c r="BT597" s="1502"/>
      <c r="BU597" s="1502"/>
      <c r="BV597" s="1502"/>
      <c r="BW597" s="1502"/>
      <c r="BX597" s="1502">
        <f t="shared" ref="BX597:BX631" si="7">IF(B718="2 Bedrooms",G718,0)</f>
        <v>0</v>
      </c>
      <c r="BY597" s="1502"/>
      <c r="BZ597" s="1502"/>
      <c r="CA597" s="1502"/>
      <c r="CB597" s="1502"/>
      <c r="CC597" s="1502">
        <f t="shared" ref="CC597:CC631" si="8">IF(B718="3 Bedrooms",G718,0)</f>
        <v>0</v>
      </c>
      <c r="CD597" s="1502"/>
      <c r="CE597" s="1502"/>
      <c r="CF597" s="1502"/>
      <c r="CG597" s="1502"/>
      <c r="CH597" s="1502">
        <f t="shared" ref="CH597:CH631" si="9">IF(B718="4 Bedrooms",G718,0)</f>
        <v>0</v>
      </c>
      <c r="CI597" s="1502"/>
      <c r="CJ597" s="1502"/>
      <c r="CK597" s="1502"/>
      <c r="CL597" s="1502"/>
      <c r="CM597" s="1502">
        <f t="shared" ref="CM597:CM631" si="10">IF(B718="5 Bedrooms",G718,0)</f>
        <v>0</v>
      </c>
      <c r="CN597" s="1502"/>
      <c r="CO597" s="1502"/>
      <c r="CP597" s="1502"/>
      <c r="CQ597" s="1502"/>
      <c r="CR597" s="6"/>
      <c r="CS597" s="1508">
        <f t="shared" ref="CS597:CS631" si="11">IF(AND(B718="SRO/Studio",AC718&lt;=0.3),G718,0)</f>
        <v>0</v>
      </c>
      <c r="CT597" s="1508"/>
      <c r="CU597" s="1508"/>
      <c r="CV597" s="1508"/>
      <c r="CW597" s="1508"/>
      <c r="CX597" s="1508">
        <f t="shared" ref="CX597:CX631" si="12">IF(AND(B718="1 Bedroom",AC718&lt;=0.3),G718,0)</f>
        <v>18</v>
      </c>
      <c r="CY597" s="1508"/>
      <c r="CZ597" s="1508"/>
      <c r="DA597" s="1508"/>
      <c r="DB597" s="1508"/>
      <c r="DC597" s="1508">
        <f t="shared" ref="DC597:DC631" si="13">IF(AND(B718="2 Bedrooms",AC718&lt;=0.3),G718,0)</f>
        <v>0</v>
      </c>
      <c r="DD597" s="1508"/>
      <c r="DE597" s="1508"/>
      <c r="DF597" s="1508"/>
      <c r="DG597" s="1508"/>
      <c r="DH597" s="1508">
        <f t="shared" ref="DH597:DH631" si="14">IF(AND(B718="3 Bedrooms",AC718&lt;=0.3),G718,0)</f>
        <v>0</v>
      </c>
      <c r="DI597" s="1508"/>
      <c r="DJ597" s="1508"/>
      <c r="DK597" s="1508"/>
      <c r="DL597" s="1508"/>
      <c r="DM597" s="1508">
        <f t="shared" ref="DM597:DM631" si="15">IF(AND(B718="4 Bedrooms",AC718&lt;=0.3),G718,0)</f>
        <v>0</v>
      </c>
      <c r="DN597" s="1508"/>
      <c r="DO597" s="1508"/>
      <c r="DP597" s="1508"/>
      <c r="DQ597" s="1508"/>
      <c r="DR597" s="1508">
        <f t="shared" ref="DR597:DR631" si="16">IF(AND(B718="5 Bedrooms",AC718&lt;=0.3),G718,0)</f>
        <v>0</v>
      </c>
      <c r="DS597" s="1508"/>
      <c r="DT597" s="1508"/>
      <c r="DU597" s="1508"/>
      <c r="DV597" s="1508"/>
      <c r="DX597" s="1484" t="str">
        <f t="shared" ref="DX597:DX631" si="17">IF(BN597&gt;0,O718,"")</f>
        <v/>
      </c>
      <c r="DY597" s="1485"/>
      <c r="DZ597" s="1485"/>
      <c r="EA597" s="1485"/>
      <c r="EB597" s="1486"/>
      <c r="EC597" s="1484">
        <f t="shared" ref="EC597:EC631" si="18">IF(BS597&gt;0,O718,"")</f>
        <v>513</v>
      </c>
      <c r="ED597" s="1485"/>
      <c r="EE597" s="1485"/>
      <c r="EF597" s="1485"/>
      <c r="EG597" s="1486"/>
      <c r="EH597" s="1484" t="str">
        <f t="shared" ref="EH597:EH631" si="19">IF(BX597&gt;0,O718,"")</f>
        <v/>
      </c>
      <c r="EI597" s="1485"/>
      <c r="EJ597" s="1485"/>
      <c r="EK597" s="1485"/>
      <c r="EL597" s="1486"/>
      <c r="EM597" s="1484" t="str">
        <f t="shared" ref="EM597:EM631" si="20">IF(CC597&gt;0,O718,"")</f>
        <v/>
      </c>
      <c r="EN597" s="1485"/>
      <c r="EO597" s="1485"/>
      <c r="EP597" s="1485"/>
      <c r="EQ597" s="1486"/>
      <c r="ER597" s="1484" t="str">
        <f t="shared" ref="ER597:ER631" si="21">IF(CH597&gt;0,O718,"")</f>
        <v/>
      </c>
      <c r="ES597" s="1485"/>
      <c r="ET597" s="1485"/>
      <c r="EU597" s="1485"/>
      <c r="EV597" s="1486"/>
      <c r="EW597" s="1484" t="str">
        <f t="shared" ref="EW597:EW631" si="22">IF(CM597&gt;0,O718,"")</f>
        <v/>
      </c>
      <c r="EX597" s="1485"/>
      <c r="EY597" s="1485"/>
      <c r="EZ597" s="1485"/>
      <c r="FA597" s="1486"/>
    </row>
    <row r="598" spans="1:157" s="4" customFormat="1" ht="12.95" customHeight="1">
      <c r="A598" s="22"/>
      <c r="B598" t="s">
        <v>18</v>
      </c>
      <c r="C598"/>
      <c r="D598"/>
      <c r="E598"/>
      <c r="F598"/>
      <c r="G598"/>
      <c r="H598" s="1374"/>
      <c r="I598" s="1374"/>
      <c r="J598" s="1374"/>
      <c r="K598" s="1374"/>
      <c r="L598" s="1374"/>
      <c r="M598" s="1374"/>
      <c r="N598" s="1374"/>
      <c r="O598" s="1374"/>
      <c r="P598" s="1374"/>
      <c r="Q598" s="1374"/>
      <c r="R598" s="1374"/>
      <c r="S598"/>
      <c r="T598" s="22"/>
      <c r="U598" t="s">
        <v>18</v>
      </c>
      <c r="V598"/>
      <c r="W598"/>
      <c r="X598"/>
      <c r="Y598"/>
      <c r="Z598"/>
      <c r="AA598" s="1374"/>
      <c r="AB598" s="1374"/>
      <c r="AC598" s="1374"/>
      <c r="AD598" s="1374"/>
      <c r="AE598" s="1374"/>
      <c r="AF598" s="1374"/>
      <c r="AG598" s="1374"/>
      <c r="AH598" s="1374"/>
      <c r="AI598" s="1374"/>
      <c r="AJ598" s="1374"/>
      <c r="AK598" s="1374"/>
      <c r="AL598"/>
      <c r="AM598"/>
      <c r="AN598"/>
      <c r="AO598"/>
      <c r="AP598"/>
      <c r="AQ598"/>
      <c r="AR598"/>
      <c r="AS598"/>
      <c r="AT598"/>
      <c r="AU598"/>
      <c r="AV598"/>
      <c r="AW598"/>
      <c r="AX598"/>
      <c r="AY598"/>
      <c r="BA598" s="4" t="s">
        <v>163</v>
      </c>
      <c r="BB598" s="3"/>
      <c r="BC598" s="3"/>
      <c r="BD598" s="3"/>
      <c r="BE598" s="1484">
        <f t="shared" si="1"/>
        <v>1</v>
      </c>
      <c r="BF598" s="1486"/>
      <c r="BG598" s="1509">
        <f t="shared" si="2"/>
        <v>23</v>
      </c>
      <c r="BH598" s="1511"/>
      <c r="BI598" s="1484">
        <f t="shared" si="3"/>
        <v>0</v>
      </c>
      <c r="BJ598" s="1486"/>
      <c r="BK598" s="1509">
        <f t="shared" si="4"/>
        <v>0</v>
      </c>
      <c r="BL598" s="1511"/>
      <c r="BM598" s="3"/>
      <c r="BN598" s="1497">
        <f t="shared" si="5"/>
        <v>0</v>
      </c>
      <c r="BO598" s="1498"/>
      <c r="BP598" s="1498"/>
      <c r="BQ598" s="1498"/>
      <c r="BR598" s="1499"/>
      <c r="BS598" s="1502">
        <f t="shared" si="6"/>
        <v>23</v>
      </c>
      <c r="BT598" s="1502"/>
      <c r="BU598" s="1502"/>
      <c r="BV598" s="1502"/>
      <c r="BW598" s="1502"/>
      <c r="BX598" s="1502">
        <f t="shared" si="7"/>
        <v>0</v>
      </c>
      <c r="BY598" s="1502"/>
      <c r="BZ598" s="1502"/>
      <c r="CA598" s="1502"/>
      <c r="CB598" s="1502"/>
      <c r="CC598" s="1502">
        <f t="shared" si="8"/>
        <v>0</v>
      </c>
      <c r="CD598" s="1502"/>
      <c r="CE598" s="1502"/>
      <c r="CF598" s="1502"/>
      <c r="CG598" s="1502"/>
      <c r="CH598" s="1502">
        <f t="shared" si="9"/>
        <v>0</v>
      </c>
      <c r="CI598" s="1502"/>
      <c r="CJ598" s="1502"/>
      <c r="CK598" s="1502"/>
      <c r="CL598" s="1502"/>
      <c r="CM598" s="1502">
        <f t="shared" si="10"/>
        <v>0</v>
      </c>
      <c r="CN598" s="1502"/>
      <c r="CO598" s="1502"/>
      <c r="CP598" s="1502"/>
      <c r="CQ598" s="1502"/>
      <c r="CR598" s="6"/>
      <c r="CS598" s="1508">
        <f t="shared" si="11"/>
        <v>0</v>
      </c>
      <c r="CT598" s="1508"/>
      <c r="CU598" s="1508"/>
      <c r="CV598" s="1508"/>
      <c r="CW598" s="1508"/>
      <c r="CX598" s="1508">
        <f t="shared" si="12"/>
        <v>0</v>
      </c>
      <c r="CY598" s="1508"/>
      <c r="CZ598" s="1508"/>
      <c r="DA598" s="1508"/>
      <c r="DB598" s="1508"/>
      <c r="DC598" s="1508">
        <f t="shared" si="13"/>
        <v>0</v>
      </c>
      <c r="DD598" s="1508"/>
      <c r="DE598" s="1508"/>
      <c r="DF598" s="1508"/>
      <c r="DG598" s="1508"/>
      <c r="DH598" s="1508">
        <f t="shared" si="14"/>
        <v>0</v>
      </c>
      <c r="DI598" s="1508"/>
      <c r="DJ598" s="1508"/>
      <c r="DK598" s="1508"/>
      <c r="DL598" s="1508"/>
      <c r="DM598" s="1508">
        <f t="shared" si="15"/>
        <v>0</v>
      </c>
      <c r="DN598" s="1508"/>
      <c r="DO598" s="1508"/>
      <c r="DP598" s="1508"/>
      <c r="DQ598" s="1508"/>
      <c r="DR598" s="1508">
        <f t="shared" si="16"/>
        <v>0</v>
      </c>
      <c r="DS598" s="1508"/>
      <c r="DT598" s="1508"/>
      <c r="DU598" s="1508"/>
      <c r="DV598" s="1508"/>
      <c r="DX598" s="1484" t="str">
        <f t="shared" si="17"/>
        <v/>
      </c>
      <c r="DY598" s="1485"/>
      <c r="DZ598" s="1485"/>
      <c r="EA598" s="1485"/>
      <c r="EB598" s="1486"/>
      <c r="EC598" s="1484">
        <f t="shared" si="18"/>
        <v>955</v>
      </c>
      <c r="ED598" s="1485"/>
      <c r="EE598" s="1485"/>
      <c r="EF598" s="1485"/>
      <c r="EG598" s="1486"/>
      <c r="EH598" s="1484" t="str">
        <f t="shared" si="19"/>
        <v/>
      </c>
      <c r="EI598" s="1485"/>
      <c r="EJ598" s="1485"/>
      <c r="EK598" s="1485"/>
      <c r="EL598" s="1486"/>
      <c r="EM598" s="1484" t="str">
        <f t="shared" si="20"/>
        <v/>
      </c>
      <c r="EN598" s="1485"/>
      <c r="EO598" s="1485"/>
      <c r="EP598" s="1485"/>
      <c r="EQ598" s="1486"/>
      <c r="ER598" s="1484" t="str">
        <f t="shared" si="21"/>
        <v/>
      </c>
      <c r="ES598" s="1485"/>
      <c r="ET598" s="1485"/>
      <c r="EU598" s="1485"/>
      <c r="EV598" s="1486"/>
      <c r="EW598" s="1484" t="str">
        <f t="shared" si="22"/>
        <v/>
      </c>
      <c r="EX598" s="1485"/>
      <c r="EY598" s="1485"/>
      <c r="EZ598" s="1485"/>
      <c r="FA598" s="1486"/>
    </row>
    <row r="599" spans="1:157" ht="12.95" customHeight="1">
      <c r="A599" s="22"/>
      <c r="B599" t="s">
        <v>20</v>
      </c>
      <c r="N599" s="1355" t="s">
        <v>677</v>
      </c>
      <c r="O599" s="1355"/>
      <c r="T599" s="22"/>
      <c r="U599" t="s">
        <v>20</v>
      </c>
      <c r="AG599" s="1355" t="s">
        <v>677</v>
      </c>
      <c r="AH599" s="1355"/>
      <c r="BA599" s="4" t="s">
        <v>164</v>
      </c>
      <c r="BB599" s="3"/>
      <c r="BC599" s="3"/>
      <c r="BD599" s="3"/>
      <c r="BE599" s="1484">
        <f t="shared" si="1"/>
        <v>0</v>
      </c>
      <c r="BF599" s="1486"/>
      <c r="BG599" s="1509">
        <f t="shared" si="2"/>
        <v>0</v>
      </c>
      <c r="BH599" s="1511"/>
      <c r="BI599" s="1484">
        <f t="shared" si="3"/>
        <v>0</v>
      </c>
      <c r="BJ599" s="1486"/>
      <c r="BK599" s="1509">
        <f t="shared" si="4"/>
        <v>0</v>
      </c>
      <c r="BL599" s="1511"/>
      <c r="BM599" s="3"/>
      <c r="BN599" s="1497">
        <f t="shared" si="5"/>
        <v>0</v>
      </c>
      <c r="BO599" s="1498"/>
      <c r="BP599" s="1498"/>
      <c r="BQ599" s="1498"/>
      <c r="BR599" s="1499"/>
      <c r="BS599" s="1502">
        <f t="shared" si="6"/>
        <v>21</v>
      </c>
      <c r="BT599" s="1502"/>
      <c r="BU599" s="1502"/>
      <c r="BV599" s="1502"/>
      <c r="BW599" s="1502"/>
      <c r="BX599" s="1502">
        <f t="shared" si="7"/>
        <v>0</v>
      </c>
      <c r="BY599" s="1502"/>
      <c r="BZ599" s="1502"/>
      <c r="CA599" s="1502"/>
      <c r="CB599" s="1502"/>
      <c r="CC599" s="1502">
        <f t="shared" si="8"/>
        <v>0</v>
      </c>
      <c r="CD599" s="1502"/>
      <c r="CE599" s="1502"/>
      <c r="CF599" s="1502"/>
      <c r="CG599" s="1502"/>
      <c r="CH599" s="1502">
        <f t="shared" si="9"/>
        <v>0</v>
      </c>
      <c r="CI599" s="1502"/>
      <c r="CJ599" s="1502"/>
      <c r="CK599" s="1502"/>
      <c r="CL599" s="1502"/>
      <c r="CM599" s="1502">
        <f t="shared" si="10"/>
        <v>0</v>
      </c>
      <c r="CN599" s="1502"/>
      <c r="CO599" s="1502"/>
      <c r="CP599" s="1502"/>
      <c r="CQ599" s="1502"/>
      <c r="CR599" s="6"/>
      <c r="CS599" s="1508">
        <f t="shared" si="11"/>
        <v>0</v>
      </c>
      <c r="CT599" s="1508"/>
      <c r="CU599" s="1508"/>
      <c r="CV599" s="1508"/>
      <c r="CW599" s="1508"/>
      <c r="CX599" s="1508">
        <f t="shared" si="12"/>
        <v>0</v>
      </c>
      <c r="CY599" s="1508"/>
      <c r="CZ599" s="1508"/>
      <c r="DA599" s="1508"/>
      <c r="DB599" s="1508"/>
      <c r="DC599" s="1508">
        <f t="shared" si="13"/>
        <v>0</v>
      </c>
      <c r="DD599" s="1508"/>
      <c r="DE599" s="1508"/>
      <c r="DF599" s="1508"/>
      <c r="DG599" s="1508"/>
      <c r="DH599" s="1508">
        <f t="shared" si="14"/>
        <v>0</v>
      </c>
      <c r="DI599" s="1508"/>
      <c r="DJ599" s="1508"/>
      <c r="DK599" s="1508"/>
      <c r="DL599" s="1508"/>
      <c r="DM599" s="1508">
        <f t="shared" si="15"/>
        <v>0</v>
      </c>
      <c r="DN599" s="1508"/>
      <c r="DO599" s="1508"/>
      <c r="DP599" s="1508"/>
      <c r="DQ599" s="1508"/>
      <c r="DR599" s="1508">
        <f t="shared" si="16"/>
        <v>0</v>
      </c>
      <c r="DS599" s="1508"/>
      <c r="DT599" s="1508"/>
      <c r="DU599" s="1508"/>
      <c r="DV599" s="1508"/>
      <c r="DX599" s="1484" t="str">
        <f t="shared" si="17"/>
        <v/>
      </c>
      <c r="DY599" s="1485"/>
      <c r="DZ599" s="1485"/>
      <c r="EA599" s="1485"/>
      <c r="EB599" s="1486"/>
      <c r="EC599" s="1484">
        <f t="shared" si="18"/>
        <v>1066</v>
      </c>
      <c r="ED599" s="1485"/>
      <c r="EE599" s="1485"/>
      <c r="EF599" s="1485"/>
      <c r="EG599" s="1486"/>
      <c r="EH599" s="1484" t="str">
        <f t="shared" si="19"/>
        <v/>
      </c>
      <c r="EI599" s="1485"/>
      <c r="EJ599" s="1485"/>
      <c r="EK599" s="1485"/>
      <c r="EL599" s="1486"/>
      <c r="EM599" s="1484" t="str">
        <f t="shared" si="20"/>
        <v/>
      </c>
      <c r="EN599" s="1485"/>
      <c r="EO599" s="1485"/>
      <c r="EP599" s="1485"/>
      <c r="EQ599" s="1486"/>
      <c r="ER599" s="1484" t="str">
        <f t="shared" si="21"/>
        <v/>
      </c>
      <c r="ES599" s="1485"/>
      <c r="ET599" s="1485"/>
      <c r="EU599" s="1485"/>
      <c r="EV599" s="1486"/>
      <c r="EW599" s="1484" t="str">
        <f t="shared" si="22"/>
        <v/>
      </c>
      <c r="EX599" s="1485"/>
      <c r="EY599" s="1485"/>
      <c r="EZ599" s="1485"/>
      <c r="FA599" s="1486"/>
    </row>
    <row r="600" spans="1:157" ht="12.95" customHeight="1">
      <c r="A600" s="22"/>
      <c r="T600" s="22"/>
      <c r="BA600" s="4" t="s">
        <v>165</v>
      </c>
      <c r="BB600" s="3"/>
      <c r="BC600" s="3"/>
      <c r="BD600" s="3"/>
      <c r="BE600" s="1484">
        <f t="shared" si="1"/>
        <v>0</v>
      </c>
      <c r="BF600" s="1486"/>
      <c r="BG600" s="1509">
        <f t="shared" si="2"/>
        <v>0</v>
      </c>
      <c r="BH600" s="1511"/>
      <c r="BI600" s="1484">
        <f t="shared" si="3"/>
        <v>1</v>
      </c>
      <c r="BJ600" s="1486"/>
      <c r="BK600" s="1509">
        <f t="shared" si="4"/>
        <v>3</v>
      </c>
      <c r="BL600" s="1511"/>
      <c r="BM600" s="3"/>
      <c r="BN600" s="1497">
        <f t="shared" si="5"/>
        <v>0</v>
      </c>
      <c r="BO600" s="1498"/>
      <c r="BP600" s="1498"/>
      <c r="BQ600" s="1498"/>
      <c r="BR600" s="1499"/>
      <c r="BS600" s="1502">
        <f t="shared" si="6"/>
        <v>0</v>
      </c>
      <c r="BT600" s="1502"/>
      <c r="BU600" s="1502"/>
      <c r="BV600" s="1502"/>
      <c r="BW600" s="1502"/>
      <c r="BX600" s="1502">
        <f t="shared" si="7"/>
        <v>3</v>
      </c>
      <c r="BY600" s="1502"/>
      <c r="BZ600" s="1502"/>
      <c r="CA600" s="1502"/>
      <c r="CB600" s="1502"/>
      <c r="CC600" s="1502">
        <f t="shared" si="8"/>
        <v>0</v>
      </c>
      <c r="CD600" s="1502"/>
      <c r="CE600" s="1502"/>
      <c r="CF600" s="1502"/>
      <c r="CG600" s="1502"/>
      <c r="CH600" s="1502">
        <f t="shared" si="9"/>
        <v>0</v>
      </c>
      <c r="CI600" s="1502"/>
      <c r="CJ600" s="1502"/>
      <c r="CK600" s="1502"/>
      <c r="CL600" s="1502"/>
      <c r="CM600" s="1502">
        <f t="shared" si="10"/>
        <v>0</v>
      </c>
      <c r="CN600" s="1502"/>
      <c r="CO600" s="1502"/>
      <c r="CP600" s="1502"/>
      <c r="CQ600" s="1502"/>
      <c r="CR600" s="6"/>
      <c r="CS600" s="1508">
        <f t="shared" si="11"/>
        <v>0</v>
      </c>
      <c r="CT600" s="1508"/>
      <c r="CU600" s="1508"/>
      <c r="CV600" s="1508"/>
      <c r="CW600" s="1508"/>
      <c r="CX600" s="1508">
        <f t="shared" si="12"/>
        <v>0</v>
      </c>
      <c r="CY600" s="1508"/>
      <c r="CZ600" s="1508"/>
      <c r="DA600" s="1508"/>
      <c r="DB600" s="1508"/>
      <c r="DC600" s="1508">
        <f t="shared" si="13"/>
        <v>3</v>
      </c>
      <c r="DD600" s="1508"/>
      <c r="DE600" s="1508"/>
      <c r="DF600" s="1508"/>
      <c r="DG600" s="1508"/>
      <c r="DH600" s="1508">
        <f t="shared" si="14"/>
        <v>0</v>
      </c>
      <c r="DI600" s="1508"/>
      <c r="DJ600" s="1508"/>
      <c r="DK600" s="1508"/>
      <c r="DL600" s="1508"/>
      <c r="DM600" s="1508">
        <f t="shared" si="15"/>
        <v>0</v>
      </c>
      <c r="DN600" s="1508"/>
      <c r="DO600" s="1508"/>
      <c r="DP600" s="1508"/>
      <c r="DQ600" s="1508"/>
      <c r="DR600" s="1508">
        <f t="shared" si="16"/>
        <v>0</v>
      </c>
      <c r="DS600" s="1508"/>
      <c r="DT600" s="1508"/>
      <c r="DU600" s="1508"/>
      <c r="DV600" s="1508"/>
      <c r="DX600" s="1484" t="str">
        <f t="shared" si="17"/>
        <v/>
      </c>
      <c r="DY600" s="1485"/>
      <c r="DZ600" s="1485"/>
      <c r="EA600" s="1485"/>
      <c r="EB600" s="1486"/>
      <c r="EC600" s="1484" t="str">
        <f t="shared" si="18"/>
        <v/>
      </c>
      <c r="ED600" s="1485"/>
      <c r="EE600" s="1485"/>
      <c r="EF600" s="1485"/>
      <c r="EG600" s="1486"/>
      <c r="EH600" s="1484">
        <f t="shared" si="19"/>
        <v>589</v>
      </c>
      <c r="EI600" s="1485"/>
      <c r="EJ600" s="1485"/>
      <c r="EK600" s="1485"/>
      <c r="EL600" s="1486"/>
      <c r="EM600" s="1484" t="str">
        <f t="shared" si="20"/>
        <v/>
      </c>
      <c r="EN600" s="1485"/>
      <c r="EO600" s="1485"/>
      <c r="EP600" s="1485"/>
      <c r="EQ600" s="1486"/>
      <c r="ER600" s="1484" t="str">
        <f t="shared" si="21"/>
        <v/>
      </c>
      <c r="ES600" s="1485"/>
      <c r="ET600" s="1485"/>
      <c r="EU600" s="1485"/>
      <c r="EV600" s="1486"/>
      <c r="EW600" s="1484" t="str">
        <f t="shared" si="22"/>
        <v/>
      </c>
      <c r="EX600" s="1485"/>
      <c r="EY600" s="1485"/>
      <c r="EZ600" s="1485"/>
      <c r="FA600" s="1486"/>
    </row>
    <row r="601" spans="1:157" ht="12.95" customHeight="1">
      <c r="A601" s="55" t="s">
        <v>469</v>
      </c>
      <c r="B601" t="s">
        <v>471</v>
      </c>
      <c r="G601" s="1417">
        <f>C562</f>
        <v>0</v>
      </c>
      <c r="H601" s="1417"/>
      <c r="I601" s="1417"/>
      <c r="J601" s="1417"/>
      <c r="K601" s="1417"/>
      <c r="L601" s="1417"/>
      <c r="M601" s="1417"/>
      <c r="N601" s="1417"/>
      <c r="O601" s="1417"/>
      <c r="P601" s="1417"/>
      <c r="Q601" s="1417"/>
      <c r="R601" s="1417"/>
      <c r="T601" s="55" t="s">
        <v>654</v>
      </c>
      <c r="U601" t="s">
        <v>471</v>
      </c>
      <c r="Z601" s="1417">
        <f>C563</f>
        <v>0</v>
      </c>
      <c r="AA601" s="1417"/>
      <c r="AB601" s="1417"/>
      <c r="AC601" s="1417"/>
      <c r="AD601" s="1417"/>
      <c r="AE601" s="1417"/>
      <c r="AF601" s="1417"/>
      <c r="AG601" s="1417"/>
      <c r="AH601" s="1417"/>
      <c r="AI601" s="1417"/>
      <c r="AJ601" s="1417"/>
      <c r="AK601" s="1417"/>
      <c r="BA601" s="4" t="s">
        <v>30</v>
      </c>
      <c r="BB601" s="3"/>
      <c r="BC601" s="3"/>
      <c r="BD601" s="3"/>
      <c r="BE601" s="1484">
        <f t="shared" si="1"/>
        <v>1</v>
      </c>
      <c r="BF601" s="1486"/>
      <c r="BG601" s="1509">
        <f t="shared" si="2"/>
        <v>11</v>
      </c>
      <c r="BH601" s="1511"/>
      <c r="BI601" s="1484">
        <f t="shared" si="3"/>
        <v>0</v>
      </c>
      <c r="BJ601" s="1486"/>
      <c r="BK601" s="1509">
        <f t="shared" si="4"/>
        <v>0</v>
      </c>
      <c r="BL601" s="1511"/>
      <c r="BM601" s="3"/>
      <c r="BN601" s="1497">
        <f t="shared" si="5"/>
        <v>0</v>
      </c>
      <c r="BO601" s="1498"/>
      <c r="BP601" s="1498"/>
      <c r="BQ601" s="1498"/>
      <c r="BR601" s="1499"/>
      <c r="BS601" s="1502">
        <f t="shared" si="6"/>
        <v>0</v>
      </c>
      <c r="BT601" s="1502"/>
      <c r="BU601" s="1502"/>
      <c r="BV601" s="1502"/>
      <c r="BW601" s="1502"/>
      <c r="BX601" s="1502">
        <f t="shared" si="7"/>
        <v>11</v>
      </c>
      <c r="BY601" s="1502"/>
      <c r="BZ601" s="1502"/>
      <c r="CA601" s="1502"/>
      <c r="CB601" s="1502"/>
      <c r="CC601" s="1502">
        <f t="shared" si="8"/>
        <v>0</v>
      </c>
      <c r="CD601" s="1502"/>
      <c r="CE601" s="1502"/>
      <c r="CF601" s="1502"/>
      <c r="CG601" s="1502"/>
      <c r="CH601" s="1502">
        <f t="shared" si="9"/>
        <v>0</v>
      </c>
      <c r="CI601" s="1502"/>
      <c r="CJ601" s="1502"/>
      <c r="CK601" s="1502"/>
      <c r="CL601" s="1502"/>
      <c r="CM601" s="1502">
        <f t="shared" si="10"/>
        <v>0</v>
      </c>
      <c r="CN601" s="1502"/>
      <c r="CO601" s="1502"/>
      <c r="CP601" s="1502"/>
      <c r="CQ601" s="1502"/>
      <c r="CR601" s="6"/>
      <c r="CS601" s="1508">
        <f t="shared" si="11"/>
        <v>0</v>
      </c>
      <c r="CT601" s="1508"/>
      <c r="CU601" s="1508"/>
      <c r="CV601" s="1508"/>
      <c r="CW601" s="1508"/>
      <c r="CX601" s="1508">
        <f t="shared" si="12"/>
        <v>0</v>
      </c>
      <c r="CY601" s="1508"/>
      <c r="CZ601" s="1508"/>
      <c r="DA601" s="1508"/>
      <c r="DB601" s="1508"/>
      <c r="DC601" s="1508">
        <f t="shared" si="13"/>
        <v>0</v>
      </c>
      <c r="DD601" s="1508"/>
      <c r="DE601" s="1508"/>
      <c r="DF601" s="1508"/>
      <c r="DG601" s="1508"/>
      <c r="DH601" s="1508">
        <f t="shared" si="14"/>
        <v>0</v>
      </c>
      <c r="DI601" s="1508"/>
      <c r="DJ601" s="1508"/>
      <c r="DK601" s="1508"/>
      <c r="DL601" s="1508"/>
      <c r="DM601" s="1508">
        <f t="shared" si="15"/>
        <v>0</v>
      </c>
      <c r="DN601" s="1508"/>
      <c r="DO601" s="1508"/>
      <c r="DP601" s="1508"/>
      <c r="DQ601" s="1508"/>
      <c r="DR601" s="1508">
        <f t="shared" si="16"/>
        <v>0</v>
      </c>
      <c r="DS601" s="1508"/>
      <c r="DT601" s="1508"/>
      <c r="DU601" s="1508"/>
      <c r="DV601" s="1508"/>
      <c r="DX601" s="1484" t="str">
        <f t="shared" si="17"/>
        <v/>
      </c>
      <c r="DY601" s="1485"/>
      <c r="DZ601" s="1485"/>
      <c r="EA601" s="1485"/>
      <c r="EB601" s="1486"/>
      <c r="EC601" s="1484" t="str">
        <f t="shared" si="18"/>
        <v/>
      </c>
      <c r="ED601" s="1485"/>
      <c r="EE601" s="1485"/>
      <c r="EF601" s="1485"/>
      <c r="EG601" s="1486"/>
      <c r="EH601" s="1484">
        <f t="shared" si="19"/>
        <v>1120</v>
      </c>
      <c r="EI601" s="1485"/>
      <c r="EJ601" s="1485"/>
      <c r="EK601" s="1485"/>
      <c r="EL601" s="1486"/>
      <c r="EM601" s="1484" t="str">
        <f t="shared" si="20"/>
        <v/>
      </c>
      <c r="EN601" s="1485"/>
      <c r="EO601" s="1485"/>
      <c r="EP601" s="1485"/>
      <c r="EQ601" s="1486"/>
      <c r="ER601" s="1484" t="str">
        <f t="shared" si="21"/>
        <v/>
      </c>
      <c r="ES601" s="1485"/>
      <c r="ET601" s="1485"/>
      <c r="EU601" s="1485"/>
      <c r="EV601" s="1486"/>
      <c r="EW601" s="1484" t="str">
        <f t="shared" si="22"/>
        <v/>
      </c>
      <c r="EX601" s="1485"/>
      <c r="EY601" s="1485"/>
      <c r="EZ601" s="1485"/>
      <c r="FA601" s="1486"/>
    </row>
    <row r="602" spans="1:157" ht="12.95" customHeight="1">
      <c r="A602" s="22"/>
      <c r="B602" t="s">
        <v>85</v>
      </c>
      <c r="G602" s="1374"/>
      <c r="H602" s="1374"/>
      <c r="I602" s="1374"/>
      <c r="J602" s="1374"/>
      <c r="K602" s="1374"/>
      <c r="L602" s="1374"/>
      <c r="M602" s="1374"/>
      <c r="N602" s="1374"/>
      <c r="O602" s="1374"/>
      <c r="P602" s="1374"/>
      <c r="Q602" s="1374"/>
      <c r="R602" s="1374"/>
      <c r="T602" s="22"/>
      <c r="U602" t="s">
        <v>85</v>
      </c>
      <c r="Z602" s="1374"/>
      <c r="AA602" s="1374"/>
      <c r="AB602" s="1374"/>
      <c r="AC602" s="1374"/>
      <c r="AD602" s="1374"/>
      <c r="AE602" s="1374"/>
      <c r="AF602" s="1374"/>
      <c r="AG602" s="1374"/>
      <c r="AH602" s="1374"/>
      <c r="AI602" s="1374"/>
      <c r="AJ602" s="1374"/>
      <c r="AK602" s="1374"/>
      <c r="AZ602" s="3"/>
      <c r="BA602" s="3"/>
      <c r="BB602" s="3"/>
      <c r="BC602" s="3"/>
      <c r="BD602" s="3"/>
      <c r="BE602" s="1484">
        <f t="shared" si="1"/>
        <v>0</v>
      </c>
      <c r="BF602" s="1486"/>
      <c r="BG602" s="1509">
        <f t="shared" si="2"/>
        <v>0</v>
      </c>
      <c r="BH602" s="1511"/>
      <c r="BI602" s="1484">
        <f t="shared" si="3"/>
        <v>0</v>
      </c>
      <c r="BJ602" s="1486"/>
      <c r="BK602" s="1509">
        <f t="shared" si="4"/>
        <v>0</v>
      </c>
      <c r="BL602" s="1511"/>
      <c r="BM602" s="3"/>
      <c r="BN602" s="1497">
        <f t="shared" si="5"/>
        <v>0</v>
      </c>
      <c r="BO602" s="1498"/>
      <c r="BP602" s="1498"/>
      <c r="BQ602" s="1498"/>
      <c r="BR602" s="1499"/>
      <c r="BS602" s="1502">
        <f t="shared" si="6"/>
        <v>0</v>
      </c>
      <c r="BT602" s="1502"/>
      <c r="BU602" s="1502"/>
      <c r="BV602" s="1502"/>
      <c r="BW602" s="1502"/>
      <c r="BX602" s="1502">
        <f t="shared" si="7"/>
        <v>18</v>
      </c>
      <c r="BY602" s="1502"/>
      <c r="BZ602" s="1502"/>
      <c r="CA602" s="1502"/>
      <c r="CB602" s="1502"/>
      <c r="CC602" s="1502">
        <f t="shared" si="8"/>
        <v>0</v>
      </c>
      <c r="CD602" s="1502"/>
      <c r="CE602" s="1502"/>
      <c r="CF602" s="1502"/>
      <c r="CG602" s="1502"/>
      <c r="CH602" s="1502">
        <f t="shared" si="9"/>
        <v>0</v>
      </c>
      <c r="CI602" s="1502"/>
      <c r="CJ602" s="1502"/>
      <c r="CK602" s="1502"/>
      <c r="CL602" s="1502"/>
      <c r="CM602" s="1502">
        <f t="shared" si="10"/>
        <v>0</v>
      </c>
      <c r="CN602" s="1502"/>
      <c r="CO602" s="1502"/>
      <c r="CP602" s="1502"/>
      <c r="CQ602" s="1502"/>
      <c r="CR602" s="6"/>
      <c r="CS602" s="1508">
        <f t="shared" si="11"/>
        <v>0</v>
      </c>
      <c r="CT602" s="1508"/>
      <c r="CU602" s="1508"/>
      <c r="CV602" s="1508"/>
      <c r="CW602" s="1508"/>
      <c r="CX602" s="1508">
        <f t="shared" si="12"/>
        <v>0</v>
      </c>
      <c r="CY602" s="1508"/>
      <c r="CZ602" s="1508"/>
      <c r="DA602" s="1508"/>
      <c r="DB602" s="1508"/>
      <c r="DC602" s="1508">
        <f t="shared" si="13"/>
        <v>0</v>
      </c>
      <c r="DD602" s="1508"/>
      <c r="DE602" s="1508"/>
      <c r="DF602" s="1508"/>
      <c r="DG602" s="1508"/>
      <c r="DH602" s="1508">
        <f t="shared" si="14"/>
        <v>0</v>
      </c>
      <c r="DI602" s="1508"/>
      <c r="DJ602" s="1508"/>
      <c r="DK602" s="1508"/>
      <c r="DL602" s="1508"/>
      <c r="DM602" s="1508">
        <f t="shared" si="15"/>
        <v>0</v>
      </c>
      <c r="DN602" s="1508"/>
      <c r="DO602" s="1508"/>
      <c r="DP602" s="1508"/>
      <c r="DQ602" s="1508"/>
      <c r="DR602" s="1508">
        <f t="shared" si="16"/>
        <v>0</v>
      </c>
      <c r="DS602" s="1508"/>
      <c r="DT602" s="1508"/>
      <c r="DU602" s="1508"/>
      <c r="DV602" s="1508"/>
      <c r="DX602" s="1484" t="str">
        <f t="shared" si="17"/>
        <v/>
      </c>
      <c r="DY602" s="1485"/>
      <c r="DZ602" s="1485"/>
      <c r="EA602" s="1485"/>
      <c r="EB602" s="1486"/>
      <c r="EC602" s="1484" t="str">
        <f t="shared" si="18"/>
        <v/>
      </c>
      <c r="ED602" s="1485"/>
      <c r="EE602" s="1485"/>
      <c r="EF602" s="1485"/>
      <c r="EG602" s="1486"/>
      <c r="EH602" s="1484">
        <f t="shared" si="19"/>
        <v>1252</v>
      </c>
      <c r="EI602" s="1485"/>
      <c r="EJ602" s="1485"/>
      <c r="EK602" s="1485"/>
      <c r="EL602" s="1486"/>
      <c r="EM602" s="1484" t="str">
        <f t="shared" si="20"/>
        <v/>
      </c>
      <c r="EN602" s="1485"/>
      <c r="EO602" s="1485"/>
      <c r="EP602" s="1485"/>
      <c r="EQ602" s="1486"/>
      <c r="ER602" s="1484" t="str">
        <f t="shared" si="21"/>
        <v/>
      </c>
      <c r="ES602" s="1485"/>
      <c r="ET602" s="1485"/>
      <c r="EU602" s="1485"/>
      <c r="EV602" s="1486"/>
      <c r="EW602" s="1484" t="str">
        <f t="shared" si="22"/>
        <v/>
      </c>
      <c r="EX602" s="1485"/>
      <c r="EY602" s="1485"/>
      <c r="EZ602" s="1485"/>
      <c r="FA602" s="1486"/>
    </row>
    <row r="603" spans="1:157" ht="12.95" customHeight="1">
      <c r="A603" s="22"/>
      <c r="B603" t="s">
        <v>588</v>
      </c>
      <c r="G603" s="1374"/>
      <c r="H603" s="1374"/>
      <c r="I603" s="1374"/>
      <c r="J603" s="1374"/>
      <c r="K603" s="1374"/>
      <c r="L603" s="1374"/>
      <c r="M603" s="1374"/>
      <c r="N603" s="1374"/>
      <c r="O603" s="1374"/>
      <c r="P603" s="1374"/>
      <c r="Q603" s="1374"/>
      <c r="R603" s="1374"/>
      <c r="T603" s="22"/>
      <c r="U603" t="s">
        <v>588</v>
      </c>
      <c r="Z603" s="1380"/>
      <c r="AA603" s="1380"/>
      <c r="AB603" s="1380"/>
      <c r="AC603" s="1380"/>
      <c r="AD603" s="1380"/>
      <c r="AE603" s="1380"/>
      <c r="AF603" s="1380"/>
      <c r="AG603" s="1380"/>
      <c r="AH603" s="1380"/>
      <c r="AI603" s="1380"/>
      <c r="AJ603" s="1380"/>
      <c r="AK603" s="1380"/>
      <c r="AZ603" s="3"/>
      <c r="BA603" s="3"/>
      <c r="BB603" s="3"/>
      <c r="BC603" s="3"/>
      <c r="BD603" s="3"/>
      <c r="BE603" s="1484">
        <f t="shared" si="1"/>
        <v>0</v>
      </c>
      <c r="BF603" s="1486"/>
      <c r="BG603" s="1509">
        <f t="shared" si="2"/>
        <v>0</v>
      </c>
      <c r="BH603" s="1511"/>
      <c r="BI603" s="1484">
        <f t="shared" si="3"/>
        <v>1</v>
      </c>
      <c r="BJ603" s="1486"/>
      <c r="BK603" s="1509">
        <f t="shared" si="4"/>
        <v>4</v>
      </c>
      <c r="BL603" s="1511"/>
      <c r="BM603" s="3"/>
      <c r="BN603" s="1497">
        <f t="shared" si="5"/>
        <v>0</v>
      </c>
      <c r="BO603" s="1498"/>
      <c r="BP603" s="1498"/>
      <c r="BQ603" s="1498"/>
      <c r="BR603" s="1499"/>
      <c r="BS603" s="1502">
        <f t="shared" si="6"/>
        <v>0</v>
      </c>
      <c r="BT603" s="1502"/>
      <c r="BU603" s="1502"/>
      <c r="BV603" s="1502"/>
      <c r="BW603" s="1502"/>
      <c r="BX603" s="1502">
        <f t="shared" si="7"/>
        <v>0</v>
      </c>
      <c r="BY603" s="1502"/>
      <c r="BZ603" s="1502"/>
      <c r="CA603" s="1502"/>
      <c r="CB603" s="1502"/>
      <c r="CC603" s="1502">
        <f t="shared" si="8"/>
        <v>4</v>
      </c>
      <c r="CD603" s="1502"/>
      <c r="CE603" s="1502"/>
      <c r="CF603" s="1502"/>
      <c r="CG603" s="1502"/>
      <c r="CH603" s="1502">
        <f t="shared" si="9"/>
        <v>0</v>
      </c>
      <c r="CI603" s="1502"/>
      <c r="CJ603" s="1502"/>
      <c r="CK603" s="1502"/>
      <c r="CL603" s="1502"/>
      <c r="CM603" s="1502">
        <f t="shared" si="10"/>
        <v>0</v>
      </c>
      <c r="CN603" s="1502"/>
      <c r="CO603" s="1502"/>
      <c r="CP603" s="1502"/>
      <c r="CQ603" s="1502"/>
      <c r="CR603" s="6"/>
      <c r="CS603" s="1508">
        <f t="shared" si="11"/>
        <v>0</v>
      </c>
      <c r="CT603" s="1508"/>
      <c r="CU603" s="1508"/>
      <c r="CV603" s="1508"/>
      <c r="CW603" s="1508"/>
      <c r="CX603" s="1508">
        <f t="shared" si="12"/>
        <v>0</v>
      </c>
      <c r="CY603" s="1508"/>
      <c r="CZ603" s="1508"/>
      <c r="DA603" s="1508"/>
      <c r="DB603" s="1508"/>
      <c r="DC603" s="1508">
        <f t="shared" si="13"/>
        <v>0</v>
      </c>
      <c r="DD603" s="1508"/>
      <c r="DE603" s="1508"/>
      <c r="DF603" s="1508"/>
      <c r="DG603" s="1508"/>
      <c r="DH603" s="1508">
        <f t="shared" si="14"/>
        <v>4</v>
      </c>
      <c r="DI603" s="1508"/>
      <c r="DJ603" s="1508"/>
      <c r="DK603" s="1508"/>
      <c r="DL603" s="1508"/>
      <c r="DM603" s="1508">
        <f t="shared" si="15"/>
        <v>0</v>
      </c>
      <c r="DN603" s="1508"/>
      <c r="DO603" s="1508"/>
      <c r="DP603" s="1508"/>
      <c r="DQ603" s="1508"/>
      <c r="DR603" s="1508">
        <f t="shared" si="16"/>
        <v>0</v>
      </c>
      <c r="DS603" s="1508"/>
      <c r="DT603" s="1508"/>
      <c r="DU603" s="1508"/>
      <c r="DV603" s="1508"/>
      <c r="DX603" s="1484" t="str">
        <f t="shared" si="17"/>
        <v/>
      </c>
      <c r="DY603" s="1485"/>
      <c r="DZ603" s="1485"/>
      <c r="EA603" s="1485"/>
      <c r="EB603" s="1486"/>
      <c r="EC603" s="1484" t="str">
        <f t="shared" si="18"/>
        <v/>
      </c>
      <c r="ED603" s="1485"/>
      <c r="EE603" s="1485"/>
      <c r="EF603" s="1485"/>
      <c r="EG603" s="1486"/>
      <c r="EH603" s="1484" t="str">
        <f t="shared" si="19"/>
        <v/>
      </c>
      <c r="EI603" s="1485"/>
      <c r="EJ603" s="1485"/>
      <c r="EK603" s="1485"/>
      <c r="EL603" s="1486"/>
      <c r="EM603" s="1484">
        <f t="shared" si="20"/>
        <v>693</v>
      </c>
      <c r="EN603" s="1485"/>
      <c r="EO603" s="1485"/>
      <c r="EP603" s="1485"/>
      <c r="EQ603" s="1486"/>
      <c r="ER603" s="1484" t="str">
        <f t="shared" si="21"/>
        <v/>
      </c>
      <c r="ES603" s="1485"/>
      <c r="ET603" s="1485"/>
      <c r="EU603" s="1485"/>
      <c r="EV603" s="1486"/>
      <c r="EW603" s="1484" t="str">
        <f t="shared" si="22"/>
        <v/>
      </c>
      <c r="EX603" s="1485"/>
      <c r="EY603" s="1485"/>
      <c r="EZ603" s="1485"/>
      <c r="FA603" s="1486"/>
    </row>
    <row r="604" spans="1:157" ht="12.95" customHeight="1">
      <c r="A604" s="22"/>
      <c r="B604" t="s">
        <v>17</v>
      </c>
      <c r="G604" s="1374"/>
      <c r="H604" s="1374"/>
      <c r="I604" s="1374"/>
      <c r="J604" s="1374"/>
      <c r="K604" s="1374"/>
      <c r="L604" s="1374"/>
      <c r="M604" s="1374"/>
      <c r="N604" s="1374"/>
      <c r="O604" s="1374"/>
      <c r="P604" s="1374"/>
      <c r="Q604" s="1374"/>
      <c r="R604" s="1374"/>
      <c r="T604" s="22"/>
      <c r="U604" t="s">
        <v>17</v>
      </c>
      <c r="Z604" s="1380"/>
      <c r="AA604" s="1380"/>
      <c r="AB604" s="1380"/>
      <c r="AC604" s="1380"/>
      <c r="AD604" s="1380"/>
      <c r="AE604" s="1380"/>
      <c r="AF604" s="1380"/>
      <c r="AG604" s="1380"/>
      <c r="AH604" s="1380"/>
      <c r="AI604" s="1380"/>
      <c r="AJ604" s="1380"/>
      <c r="AK604" s="1380"/>
      <c r="AZ604" s="3"/>
      <c r="BA604" s="3"/>
      <c r="BB604" s="3"/>
      <c r="BC604" s="3"/>
      <c r="BD604" s="3"/>
      <c r="BE604" s="1484">
        <f t="shared" si="1"/>
        <v>1</v>
      </c>
      <c r="BF604" s="1486"/>
      <c r="BG604" s="1509">
        <f t="shared" si="2"/>
        <v>10</v>
      </c>
      <c r="BH604" s="1511"/>
      <c r="BI604" s="1484">
        <f t="shared" si="3"/>
        <v>0</v>
      </c>
      <c r="BJ604" s="1486"/>
      <c r="BK604" s="1509">
        <f t="shared" si="4"/>
        <v>0</v>
      </c>
      <c r="BL604" s="1511"/>
      <c r="BM604" s="3"/>
      <c r="BN604" s="1497">
        <f t="shared" si="5"/>
        <v>0</v>
      </c>
      <c r="BO604" s="1498"/>
      <c r="BP604" s="1498"/>
      <c r="BQ604" s="1498"/>
      <c r="BR604" s="1499"/>
      <c r="BS604" s="1502">
        <f t="shared" si="6"/>
        <v>0</v>
      </c>
      <c r="BT604" s="1502"/>
      <c r="BU604" s="1502"/>
      <c r="BV604" s="1502"/>
      <c r="BW604" s="1502"/>
      <c r="BX604" s="1502">
        <f t="shared" si="7"/>
        <v>0</v>
      </c>
      <c r="BY604" s="1502"/>
      <c r="BZ604" s="1502"/>
      <c r="CA604" s="1502"/>
      <c r="CB604" s="1502"/>
      <c r="CC604" s="1502">
        <f t="shared" si="8"/>
        <v>10</v>
      </c>
      <c r="CD604" s="1502"/>
      <c r="CE604" s="1502"/>
      <c r="CF604" s="1502"/>
      <c r="CG604" s="1502"/>
      <c r="CH604" s="1502">
        <f t="shared" si="9"/>
        <v>0</v>
      </c>
      <c r="CI604" s="1502"/>
      <c r="CJ604" s="1502"/>
      <c r="CK604" s="1502"/>
      <c r="CL604" s="1502"/>
      <c r="CM604" s="1502">
        <f t="shared" si="10"/>
        <v>0</v>
      </c>
      <c r="CN604" s="1502"/>
      <c r="CO604" s="1502"/>
      <c r="CP604" s="1502"/>
      <c r="CQ604" s="1502"/>
      <c r="CR604" s="6"/>
      <c r="CS604" s="1508">
        <f t="shared" si="11"/>
        <v>0</v>
      </c>
      <c r="CT604" s="1508"/>
      <c r="CU604" s="1508"/>
      <c r="CV604" s="1508"/>
      <c r="CW604" s="1508"/>
      <c r="CX604" s="1508">
        <f t="shared" si="12"/>
        <v>0</v>
      </c>
      <c r="CY604" s="1508"/>
      <c r="CZ604" s="1508"/>
      <c r="DA604" s="1508"/>
      <c r="DB604" s="1508"/>
      <c r="DC604" s="1508">
        <f t="shared" si="13"/>
        <v>0</v>
      </c>
      <c r="DD604" s="1508"/>
      <c r="DE604" s="1508"/>
      <c r="DF604" s="1508"/>
      <c r="DG604" s="1508"/>
      <c r="DH604" s="1508">
        <f t="shared" si="14"/>
        <v>0</v>
      </c>
      <c r="DI604" s="1508"/>
      <c r="DJ604" s="1508"/>
      <c r="DK604" s="1508"/>
      <c r="DL604" s="1508"/>
      <c r="DM604" s="1508">
        <f t="shared" si="15"/>
        <v>0</v>
      </c>
      <c r="DN604" s="1508"/>
      <c r="DO604" s="1508"/>
      <c r="DP604" s="1508"/>
      <c r="DQ604" s="1508"/>
      <c r="DR604" s="1508">
        <f t="shared" si="16"/>
        <v>0</v>
      </c>
      <c r="DS604" s="1508"/>
      <c r="DT604" s="1508"/>
      <c r="DU604" s="1508"/>
      <c r="DV604" s="1508"/>
      <c r="DX604" s="1484" t="str">
        <f t="shared" si="17"/>
        <v/>
      </c>
      <c r="DY604" s="1485"/>
      <c r="DZ604" s="1485"/>
      <c r="EA604" s="1485"/>
      <c r="EB604" s="1486"/>
      <c r="EC604" s="1484" t="str">
        <f t="shared" si="18"/>
        <v/>
      </c>
      <c r="ED604" s="1485"/>
      <c r="EE604" s="1485"/>
      <c r="EF604" s="1485"/>
      <c r="EG604" s="1486"/>
      <c r="EH604" s="1484" t="str">
        <f t="shared" si="19"/>
        <v/>
      </c>
      <c r="EI604" s="1485"/>
      <c r="EJ604" s="1485"/>
      <c r="EK604" s="1485"/>
      <c r="EL604" s="1486"/>
      <c r="EM604" s="1484">
        <f t="shared" si="20"/>
        <v>1306</v>
      </c>
      <c r="EN604" s="1485"/>
      <c r="EO604" s="1485"/>
      <c r="EP604" s="1485"/>
      <c r="EQ604" s="1486"/>
      <c r="ER604" s="1484" t="str">
        <f t="shared" si="21"/>
        <v/>
      </c>
      <c r="ES604" s="1485"/>
      <c r="ET604" s="1485"/>
      <c r="EU604" s="1485"/>
      <c r="EV604" s="1486"/>
      <c r="EW604" s="1484" t="str">
        <f t="shared" si="22"/>
        <v/>
      </c>
      <c r="EX604" s="1485"/>
      <c r="EY604" s="1485"/>
      <c r="EZ604" s="1485"/>
      <c r="FA604" s="1486"/>
    </row>
    <row r="605" spans="1:157" s="4" customFormat="1" ht="12.95" customHeight="1">
      <c r="A605" s="22"/>
      <c r="B605" t="s">
        <v>317</v>
      </c>
      <c r="C605"/>
      <c r="D605"/>
      <c r="E605"/>
      <c r="F605"/>
      <c r="G605" s="1372"/>
      <c r="H605" s="1372"/>
      <c r="I605" s="1372"/>
      <c r="J605" s="1372"/>
      <c r="K605" s="1372"/>
      <c r="L605" s="1372"/>
      <c r="M605"/>
      <c r="N605"/>
      <c r="O605" s="33" t="s">
        <v>207</v>
      </c>
      <c r="P605" s="1450"/>
      <c r="Q605" s="1450"/>
      <c r="R605" s="1450"/>
      <c r="S605"/>
      <c r="T605" s="22"/>
      <c r="U605" t="s">
        <v>317</v>
      </c>
      <c r="V605"/>
      <c r="W605"/>
      <c r="X605"/>
      <c r="Y605"/>
      <c r="Z605" s="1372"/>
      <c r="AA605" s="1372"/>
      <c r="AB605" s="1372"/>
      <c r="AC605" s="1372"/>
      <c r="AD605" s="1372"/>
      <c r="AE605" s="1372"/>
      <c r="AF605"/>
      <c r="AG605"/>
      <c r="AH605" s="33" t="s">
        <v>207</v>
      </c>
      <c r="AI605" s="1450"/>
      <c r="AJ605" s="1450"/>
      <c r="AK605" s="1450"/>
      <c r="AL605"/>
      <c r="AM605"/>
      <c r="AN605"/>
      <c r="AO605"/>
      <c r="AP605"/>
      <c r="AQ605"/>
      <c r="AR605"/>
      <c r="AS605"/>
      <c r="AT605"/>
      <c r="AU605"/>
      <c r="AV605"/>
      <c r="AW605"/>
      <c r="AX605"/>
      <c r="AY605"/>
      <c r="AZ605" s="3"/>
      <c r="BA605" s="3"/>
      <c r="BB605" s="3"/>
      <c r="BC605" s="3"/>
      <c r="BD605" s="3"/>
      <c r="BE605" s="1484">
        <f t="shared" si="1"/>
        <v>0</v>
      </c>
      <c r="BF605" s="1486"/>
      <c r="BG605" s="1509">
        <f t="shared" si="2"/>
        <v>0</v>
      </c>
      <c r="BH605" s="1511"/>
      <c r="BI605" s="1484">
        <f t="shared" si="3"/>
        <v>0</v>
      </c>
      <c r="BJ605" s="1486"/>
      <c r="BK605" s="1509">
        <f t="shared" si="4"/>
        <v>0</v>
      </c>
      <c r="BL605" s="1511"/>
      <c r="BM605" s="3"/>
      <c r="BN605" s="1497">
        <f t="shared" si="5"/>
        <v>0</v>
      </c>
      <c r="BO605" s="1498"/>
      <c r="BP605" s="1498"/>
      <c r="BQ605" s="1498"/>
      <c r="BR605" s="1499"/>
      <c r="BS605" s="1502">
        <f t="shared" si="6"/>
        <v>0</v>
      </c>
      <c r="BT605" s="1502"/>
      <c r="BU605" s="1502"/>
      <c r="BV605" s="1502"/>
      <c r="BW605" s="1502"/>
      <c r="BX605" s="1502">
        <f t="shared" si="7"/>
        <v>0</v>
      </c>
      <c r="BY605" s="1502"/>
      <c r="BZ605" s="1502"/>
      <c r="CA605" s="1502"/>
      <c r="CB605" s="1502"/>
      <c r="CC605" s="1502">
        <f t="shared" si="8"/>
        <v>19</v>
      </c>
      <c r="CD605" s="1502"/>
      <c r="CE605" s="1502"/>
      <c r="CF605" s="1502"/>
      <c r="CG605" s="1502"/>
      <c r="CH605" s="1502">
        <f t="shared" si="9"/>
        <v>0</v>
      </c>
      <c r="CI605" s="1502"/>
      <c r="CJ605" s="1502"/>
      <c r="CK605" s="1502"/>
      <c r="CL605" s="1502"/>
      <c r="CM605" s="1502">
        <f t="shared" si="10"/>
        <v>0</v>
      </c>
      <c r="CN605" s="1502"/>
      <c r="CO605" s="1502"/>
      <c r="CP605" s="1502"/>
      <c r="CQ605" s="1502"/>
      <c r="CR605" s="6"/>
      <c r="CS605" s="1508">
        <f t="shared" si="11"/>
        <v>0</v>
      </c>
      <c r="CT605" s="1508"/>
      <c r="CU605" s="1508"/>
      <c r="CV605" s="1508"/>
      <c r="CW605" s="1508"/>
      <c r="CX605" s="1508">
        <f t="shared" si="12"/>
        <v>0</v>
      </c>
      <c r="CY605" s="1508"/>
      <c r="CZ605" s="1508"/>
      <c r="DA605" s="1508"/>
      <c r="DB605" s="1508"/>
      <c r="DC605" s="1508">
        <f t="shared" si="13"/>
        <v>0</v>
      </c>
      <c r="DD605" s="1508"/>
      <c r="DE605" s="1508"/>
      <c r="DF605" s="1508"/>
      <c r="DG605" s="1508"/>
      <c r="DH605" s="1508">
        <f t="shared" si="14"/>
        <v>0</v>
      </c>
      <c r="DI605" s="1508"/>
      <c r="DJ605" s="1508"/>
      <c r="DK605" s="1508"/>
      <c r="DL605" s="1508"/>
      <c r="DM605" s="1508">
        <f t="shared" si="15"/>
        <v>0</v>
      </c>
      <c r="DN605" s="1508"/>
      <c r="DO605" s="1508"/>
      <c r="DP605" s="1508"/>
      <c r="DQ605" s="1508"/>
      <c r="DR605" s="1508">
        <f t="shared" si="16"/>
        <v>0</v>
      </c>
      <c r="DS605" s="1508"/>
      <c r="DT605" s="1508"/>
      <c r="DU605" s="1508"/>
      <c r="DV605" s="1508"/>
      <c r="DX605" s="1484" t="str">
        <f t="shared" si="17"/>
        <v/>
      </c>
      <c r="DY605" s="1485"/>
      <c r="DZ605" s="1485"/>
      <c r="EA605" s="1485"/>
      <c r="EB605" s="1486"/>
      <c r="EC605" s="1484" t="str">
        <f t="shared" si="18"/>
        <v/>
      </c>
      <c r="ED605" s="1485"/>
      <c r="EE605" s="1485"/>
      <c r="EF605" s="1485"/>
      <c r="EG605" s="1486"/>
      <c r="EH605" s="1484" t="str">
        <f t="shared" si="19"/>
        <v/>
      </c>
      <c r="EI605" s="1485"/>
      <c r="EJ605" s="1485"/>
      <c r="EK605" s="1485"/>
      <c r="EL605" s="1486"/>
      <c r="EM605" s="1484">
        <f t="shared" si="20"/>
        <v>1459</v>
      </c>
      <c r="EN605" s="1485"/>
      <c r="EO605" s="1485"/>
      <c r="EP605" s="1485"/>
      <c r="EQ605" s="1486"/>
      <c r="ER605" s="1484" t="str">
        <f t="shared" si="21"/>
        <v/>
      </c>
      <c r="ES605" s="1485"/>
      <c r="ET605" s="1485"/>
      <c r="EU605" s="1485"/>
      <c r="EV605" s="1486"/>
      <c r="EW605" s="1484" t="str">
        <f t="shared" si="22"/>
        <v/>
      </c>
      <c r="EX605" s="1485"/>
      <c r="EY605" s="1485"/>
      <c r="EZ605" s="1485"/>
      <c r="FA605" s="1486"/>
    </row>
    <row r="606" spans="1:157" s="4" customFormat="1" ht="12.95" customHeight="1">
      <c r="A606" s="22"/>
      <c r="B606" t="s">
        <v>18</v>
      </c>
      <c r="C606"/>
      <c r="D606"/>
      <c r="E606"/>
      <c r="F606"/>
      <c r="G606"/>
      <c r="H606" s="1374"/>
      <c r="I606" s="1374"/>
      <c r="J606" s="1374"/>
      <c r="K606" s="1374"/>
      <c r="L606" s="1374"/>
      <c r="M606" s="1374"/>
      <c r="N606" s="1374"/>
      <c r="O606" s="1374"/>
      <c r="P606" s="1374"/>
      <c r="Q606" s="1374"/>
      <c r="R606" s="1374"/>
      <c r="S606"/>
      <c r="T606" s="22"/>
      <c r="U606" t="s">
        <v>18</v>
      </c>
      <c r="V606"/>
      <c r="W606"/>
      <c r="X606"/>
      <c r="Y606"/>
      <c r="Z606"/>
      <c r="AA606" s="1374"/>
      <c r="AB606" s="1374"/>
      <c r="AC606" s="1374"/>
      <c r="AD606" s="1374"/>
      <c r="AE606" s="1374"/>
      <c r="AF606" s="1374"/>
      <c r="AG606" s="1374"/>
      <c r="AH606" s="1374"/>
      <c r="AI606" s="1374"/>
      <c r="AJ606" s="1374"/>
      <c r="AK606" s="1374"/>
      <c r="AL606"/>
      <c r="AM606"/>
      <c r="AN606"/>
      <c r="AO606"/>
      <c r="AP606"/>
      <c r="AQ606"/>
      <c r="AR606"/>
      <c r="AS606"/>
      <c r="AT606"/>
      <c r="AU606"/>
      <c r="AV606"/>
      <c r="AW606"/>
      <c r="AX606"/>
      <c r="AY606"/>
      <c r="AZ606" s="3"/>
      <c r="BA606" s="3"/>
      <c r="BB606" s="3"/>
      <c r="BC606" s="3"/>
      <c r="BD606" s="3"/>
      <c r="BE606" s="1484">
        <f t="shared" si="1"/>
        <v>0</v>
      </c>
      <c r="BF606" s="1486"/>
      <c r="BG606" s="1509">
        <f t="shared" si="2"/>
        <v>0</v>
      </c>
      <c r="BH606" s="1511"/>
      <c r="BI606" s="1484">
        <f t="shared" si="3"/>
        <v>0</v>
      </c>
      <c r="BJ606" s="1486"/>
      <c r="BK606" s="1509">
        <f t="shared" si="4"/>
        <v>0</v>
      </c>
      <c r="BL606" s="1511"/>
      <c r="BM606" s="3"/>
      <c r="BN606" s="1497">
        <f t="shared" si="5"/>
        <v>0</v>
      </c>
      <c r="BO606" s="1498"/>
      <c r="BP606" s="1498"/>
      <c r="BQ606" s="1498"/>
      <c r="BR606" s="1499"/>
      <c r="BS606" s="1502">
        <f t="shared" si="6"/>
        <v>0</v>
      </c>
      <c r="BT606" s="1502"/>
      <c r="BU606" s="1502"/>
      <c r="BV606" s="1502"/>
      <c r="BW606" s="1502"/>
      <c r="BX606" s="1502">
        <f t="shared" si="7"/>
        <v>0</v>
      </c>
      <c r="BY606" s="1502"/>
      <c r="BZ606" s="1502"/>
      <c r="CA606" s="1502"/>
      <c r="CB606" s="1502"/>
      <c r="CC606" s="1502">
        <f t="shared" si="8"/>
        <v>0</v>
      </c>
      <c r="CD606" s="1502"/>
      <c r="CE606" s="1502"/>
      <c r="CF606" s="1502"/>
      <c r="CG606" s="1502"/>
      <c r="CH606" s="1502">
        <f t="shared" si="9"/>
        <v>0</v>
      </c>
      <c r="CI606" s="1502"/>
      <c r="CJ606" s="1502"/>
      <c r="CK606" s="1502"/>
      <c r="CL606" s="1502"/>
      <c r="CM606" s="1502">
        <f t="shared" si="10"/>
        <v>0</v>
      </c>
      <c r="CN606" s="1502"/>
      <c r="CO606" s="1502"/>
      <c r="CP606" s="1502"/>
      <c r="CQ606" s="1502"/>
      <c r="CR606" s="6"/>
      <c r="CS606" s="1508">
        <f t="shared" si="11"/>
        <v>0</v>
      </c>
      <c r="CT606" s="1508"/>
      <c r="CU606" s="1508"/>
      <c r="CV606" s="1508"/>
      <c r="CW606" s="1508"/>
      <c r="CX606" s="1508">
        <f t="shared" si="12"/>
        <v>0</v>
      </c>
      <c r="CY606" s="1508"/>
      <c r="CZ606" s="1508"/>
      <c r="DA606" s="1508"/>
      <c r="DB606" s="1508"/>
      <c r="DC606" s="1508">
        <f t="shared" si="13"/>
        <v>0</v>
      </c>
      <c r="DD606" s="1508"/>
      <c r="DE606" s="1508"/>
      <c r="DF606" s="1508"/>
      <c r="DG606" s="1508"/>
      <c r="DH606" s="1508">
        <f t="shared" si="14"/>
        <v>0</v>
      </c>
      <c r="DI606" s="1508"/>
      <c r="DJ606" s="1508"/>
      <c r="DK606" s="1508"/>
      <c r="DL606" s="1508"/>
      <c r="DM606" s="1508">
        <f t="shared" si="15"/>
        <v>0</v>
      </c>
      <c r="DN606" s="1508"/>
      <c r="DO606" s="1508"/>
      <c r="DP606" s="1508"/>
      <c r="DQ606" s="1508"/>
      <c r="DR606" s="1508">
        <f t="shared" si="16"/>
        <v>0</v>
      </c>
      <c r="DS606" s="1508"/>
      <c r="DT606" s="1508"/>
      <c r="DU606" s="1508"/>
      <c r="DV606" s="1508"/>
      <c r="DX606" s="1484" t="str">
        <f t="shared" si="17"/>
        <v/>
      </c>
      <c r="DY606" s="1485"/>
      <c r="DZ606" s="1485"/>
      <c r="EA606" s="1485"/>
      <c r="EB606" s="1486"/>
      <c r="EC606" s="1484" t="str">
        <f t="shared" si="18"/>
        <v/>
      </c>
      <c r="ED606" s="1485"/>
      <c r="EE606" s="1485"/>
      <c r="EF606" s="1485"/>
      <c r="EG606" s="1486"/>
      <c r="EH606" s="1484" t="str">
        <f t="shared" si="19"/>
        <v/>
      </c>
      <c r="EI606" s="1485"/>
      <c r="EJ606" s="1485"/>
      <c r="EK606" s="1485"/>
      <c r="EL606" s="1486"/>
      <c r="EM606" s="1484" t="str">
        <f t="shared" si="20"/>
        <v/>
      </c>
      <c r="EN606" s="1485"/>
      <c r="EO606" s="1485"/>
      <c r="EP606" s="1485"/>
      <c r="EQ606" s="1486"/>
      <c r="ER606" s="1484" t="str">
        <f t="shared" si="21"/>
        <v/>
      </c>
      <c r="ES606" s="1485"/>
      <c r="ET606" s="1485"/>
      <c r="EU606" s="1485"/>
      <c r="EV606" s="1486"/>
      <c r="EW606" s="1484" t="str">
        <f t="shared" si="22"/>
        <v/>
      </c>
      <c r="EX606" s="1485"/>
      <c r="EY606" s="1485"/>
      <c r="EZ606" s="1485"/>
      <c r="FA606" s="1486"/>
    </row>
    <row r="607" spans="1:157" s="4" customFormat="1" ht="12.95" customHeight="1">
      <c r="A607" s="22"/>
      <c r="B607" t="s">
        <v>20</v>
      </c>
      <c r="C607"/>
      <c r="D607"/>
      <c r="E607"/>
      <c r="F607"/>
      <c r="G607"/>
      <c r="H607"/>
      <c r="I607"/>
      <c r="J607"/>
      <c r="K607"/>
      <c r="L607"/>
      <c r="M607"/>
      <c r="N607" s="1355" t="s">
        <v>677</v>
      </c>
      <c r="O607" s="1355"/>
      <c r="P607"/>
      <c r="Q607"/>
      <c r="R607"/>
      <c r="S607"/>
      <c r="T607" s="22"/>
      <c r="U607" t="s">
        <v>20</v>
      </c>
      <c r="V607"/>
      <c r="W607"/>
      <c r="X607"/>
      <c r="Y607"/>
      <c r="Z607"/>
      <c r="AA607"/>
      <c r="AB607"/>
      <c r="AC607"/>
      <c r="AD607"/>
      <c r="AE607"/>
      <c r="AF607"/>
      <c r="AG607" s="1355" t="s">
        <v>677</v>
      </c>
      <c r="AH607" s="1355"/>
      <c r="AI607"/>
      <c r="AJ607"/>
      <c r="AK607"/>
      <c r="AL607"/>
      <c r="AM607"/>
      <c r="AN607"/>
      <c r="AO607"/>
      <c r="AP607"/>
      <c r="AQ607"/>
      <c r="AR607"/>
      <c r="AS607"/>
      <c r="AT607"/>
      <c r="AU607"/>
      <c r="AV607"/>
      <c r="AW607"/>
      <c r="AX607"/>
      <c r="AY607"/>
      <c r="AZ607" s="3"/>
      <c r="BA607" s="3"/>
      <c r="BB607" s="3"/>
      <c r="BC607" s="3"/>
      <c r="BD607" s="3"/>
      <c r="BE607" s="1484">
        <f t="shared" si="1"/>
        <v>0</v>
      </c>
      <c r="BF607" s="1486"/>
      <c r="BG607" s="1509">
        <f t="shared" si="2"/>
        <v>0</v>
      </c>
      <c r="BH607" s="1511"/>
      <c r="BI607" s="1484">
        <f t="shared" si="3"/>
        <v>0</v>
      </c>
      <c r="BJ607" s="1486"/>
      <c r="BK607" s="1509">
        <f t="shared" si="4"/>
        <v>0</v>
      </c>
      <c r="BL607" s="1511"/>
      <c r="BM607" s="3"/>
      <c r="BN607" s="1497">
        <f t="shared" si="5"/>
        <v>0</v>
      </c>
      <c r="BO607" s="1498"/>
      <c r="BP607" s="1498"/>
      <c r="BQ607" s="1498"/>
      <c r="BR607" s="1499"/>
      <c r="BS607" s="1502">
        <f t="shared" si="6"/>
        <v>0</v>
      </c>
      <c r="BT607" s="1502"/>
      <c r="BU607" s="1502"/>
      <c r="BV607" s="1502"/>
      <c r="BW607" s="1502"/>
      <c r="BX607" s="1502">
        <f t="shared" si="7"/>
        <v>0</v>
      </c>
      <c r="BY607" s="1502"/>
      <c r="BZ607" s="1502"/>
      <c r="CA607" s="1502"/>
      <c r="CB607" s="1502"/>
      <c r="CC607" s="1502">
        <f t="shared" si="8"/>
        <v>0</v>
      </c>
      <c r="CD607" s="1502"/>
      <c r="CE607" s="1502"/>
      <c r="CF607" s="1502"/>
      <c r="CG607" s="1502"/>
      <c r="CH607" s="1502">
        <f t="shared" si="9"/>
        <v>0</v>
      </c>
      <c r="CI607" s="1502"/>
      <c r="CJ607" s="1502"/>
      <c r="CK607" s="1502"/>
      <c r="CL607" s="1502"/>
      <c r="CM607" s="1502">
        <f t="shared" si="10"/>
        <v>0</v>
      </c>
      <c r="CN607" s="1502"/>
      <c r="CO607" s="1502"/>
      <c r="CP607" s="1502"/>
      <c r="CQ607" s="1502"/>
      <c r="CR607" s="6"/>
      <c r="CS607" s="1508">
        <f t="shared" si="11"/>
        <v>0</v>
      </c>
      <c r="CT607" s="1508"/>
      <c r="CU607" s="1508"/>
      <c r="CV607" s="1508"/>
      <c r="CW607" s="1508"/>
      <c r="CX607" s="1508">
        <f t="shared" si="12"/>
        <v>0</v>
      </c>
      <c r="CY607" s="1508"/>
      <c r="CZ607" s="1508"/>
      <c r="DA607" s="1508"/>
      <c r="DB607" s="1508"/>
      <c r="DC607" s="1508">
        <f t="shared" si="13"/>
        <v>0</v>
      </c>
      <c r="DD607" s="1508"/>
      <c r="DE607" s="1508"/>
      <c r="DF607" s="1508"/>
      <c r="DG607" s="1508"/>
      <c r="DH607" s="1508">
        <f t="shared" si="14"/>
        <v>0</v>
      </c>
      <c r="DI607" s="1508"/>
      <c r="DJ607" s="1508"/>
      <c r="DK607" s="1508"/>
      <c r="DL607" s="1508"/>
      <c r="DM607" s="1508">
        <f t="shared" si="15"/>
        <v>0</v>
      </c>
      <c r="DN607" s="1508"/>
      <c r="DO607" s="1508"/>
      <c r="DP607" s="1508"/>
      <c r="DQ607" s="1508"/>
      <c r="DR607" s="1508">
        <f t="shared" si="16"/>
        <v>0</v>
      </c>
      <c r="DS607" s="1508"/>
      <c r="DT607" s="1508"/>
      <c r="DU607" s="1508"/>
      <c r="DV607" s="1508"/>
      <c r="DX607" s="1484" t="str">
        <f t="shared" si="17"/>
        <v/>
      </c>
      <c r="DY607" s="1485"/>
      <c r="DZ607" s="1485"/>
      <c r="EA607" s="1485"/>
      <c r="EB607" s="1486"/>
      <c r="EC607" s="1484" t="str">
        <f t="shared" si="18"/>
        <v/>
      </c>
      <c r="ED607" s="1485"/>
      <c r="EE607" s="1485"/>
      <c r="EF607" s="1485"/>
      <c r="EG607" s="1486"/>
      <c r="EH607" s="1484" t="str">
        <f t="shared" si="19"/>
        <v/>
      </c>
      <c r="EI607" s="1485"/>
      <c r="EJ607" s="1485"/>
      <c r="EK607" s="1485"/>
      <c r="EL607" s="1486"/>
      <c r="EM607" s="1484" t="str">
        <f t="shared" si="20"/>
        <v/>
      </c>
      <c r="EN607" s="1485"/>
      <c r="EO607" s="1485"/>
      <c r="EP607" s="1485"/>
      <c r="EQ607" s="1486"/>
      <c r="ER607" s="1484" t="str">
        <f t="shared" si="21"/>
        <v/>
      </c>
      <c r="ES607" s="1485"/>
      <c r="ET607" s="1485"/>
      <c r="EU607" s="1485"/>
      <c r="EV607" s="1486"/>
      <c r="EW607" s="1484" t="str">
        <f t="shared" si="22"/>
        <v/>
      </c>
      <c r="EX607" s="1485"/>
      <c r="EY607" s="1485"/>
      <c r="EZ607" s="1485"/>
      <c r="FA607" s="1486"/>
    </row>
    <row r="608" spans="1:157" ht="12.95" customHeight="1">
      <c r="A608" s="22"/>
      <c r="T608" s="22"/>
      <c r="AZ608" s="3"/>
      <c r="BA608" s="3"/>
      <c r="BB608" s="3"/>
      <c r="BC608" s="3"/>
      <c r="BD608" s="3"/>
      <c r="BE608" s="1484">
        <f t="shared" si="1"/>
        <v>0</v>
      </c>
      <c r="BF608" s="1486"/>
      <c r="BG608" s="1509">
        <f t="shared" si="2"/>
        <v>0</v>
      </c>
      <c r="BH608" s="1511"/>
      <c r="BI608" s="1484">
        <f t="shared" si="3"/>
        <v>0</v>
      </c>
      <c r="BJ608" s="1486"/>
      <c r="BK608" s="1509">
        <f t="shared" si="4"/>
        <v>0</v>
      </c>
      <c r="BL608" s="1511"/>
      <c r="BM608" s="3"/>
      <c r="BN608" s="1497">
        <f t="shared" si="5"/>
        <v>0</v>
      </c>
      <c r="BO608" s="1498"/>
      <c r="BP608" s="1498"/>
      <c r="BQ608" s="1498"/>
      <c r="BR608" s="1499"/>
      <c r="BS608" s="1502">
        <f t="shared" si="6"/>
        <v>0</v>
      </c>
      <c r="BT608" s="1502"/>
      <c r="BU608" s="1502"/>
      <c r="BV608" s="1502"/>
      <c r="BW608" s="1502"/>
      <c r="BX608" s="1502">
        <f t="shared" si="7"/>
        <v>0</v>
      </c>
      <c r="BY608" s="1502"/>
      <c r="BZ608" s="1502"/>
      <c r="CA608" s="1502"/>
      <c r="CB608" s="1502"/>
      <c r="CC608" s="1502">
        <f t="shared" si="8"/>
        <v>0</v>
      </c>
      <c r="CD608" s="1502"/>
      <c r="CE608" s="1502"/>
      <c r="CF608" s="1502"/>
      <c r="CG608" s="1502"/>
      <c r="CH608" s="1502">
        <f t="shared" si="9"/>
        <v>0</v>
      </c>
      <c r="CI608" s="1502"/>
      <c r="CJ608" s="1502"/>
      <c r="CK608" s="1502"/>
      <c r="CL608" s="1502"/>
      <c r="CM608" s="1502">
        <f t="shared" si="10"/>
        <v>0</v>
      </c>
      <c r="CN608" s="1502"/>
      <c r="CO608" s="1502"/>
      <c r="CP608" s="1502"/>
      <c r="CQ608" s="1502"/>
      <c r="CR608" s="6"/>
      <c r="CS608" s="1508">
        <f t="shared" si="11"/>
        <v>0</v>
      </c>
      <c r="CT608" s="1508"/>
      <c r="CU608" s="1508"/>
      <c r="CV608" s="1508"/>
      <c r="CW608" s="1508"/>
      <c r="CX608" s="1508">
        <f t="shared" si="12"/>
        <v>0</v>
      </c>
      <c r="CY608" s="1508"/>
      <c r="CZ608" s="1508"/>
      <c r="DA608" s="1508"/>
      <c r="DB608" s="1508"/>
      <c r="DC608" s="1508">
        <f t="shared" si="13"/>
        <v>0</v>
      </c>
      <c r="DD608" s="1508"/>
      <c r="DE608" s="1508"/>
      <c r="DF608" s="1508"/>
      <c r="DG608" s="1508"/>
      <c r="DH608" s="1508">
        <f t="shared" si="14"/>
        <v>0</v>
      </c>
      <c r="DI608" s="1508"/>
      <c r="DJ608" s="1508"/>
      <c r="DK608" s="1508"/>
      <c r="DL608" s="1508"/>
      <c r="DM608" s="1508">
        <f t="shared" si="15"/>
        <v>0</v>
      </c>
      <c r="DN608" s="1508"/>
      <c r="DO608" s="1508"/>
      <c r="DP608" s="1508"/>
      <c r="DQ608" s="1508"/>
      <c r="DR608" s="1508">
        <f t="shared" si="16"/>
        <v>0</v>
      </c>
      <c r="DS608" s="1508"/>
      <c r="DT608" s="1508"/>
      <c r="DU608" s="1508"/>
      <c r="DV608" s="1508"/>
      <c r="DX608" s="1484" t="str">
        <f t="shared" si="17"/>
        <v/>
      </c>
      <c r="DY608" s="1485"/>
      <c r="DZ608" s="1485"/>
      <c r="EA608" s="1485"/>
      <c r="EB608" s="1486"/>
      <c r="EC608" s="1484" t="str">
        <f t="shared" si="18"/>
        <v/>
      </c>
      <c r="ED608" s="1485"/>
      <c r="EE608" s="1485"/>
      <c r="EF608" s="1485"/>
      <c r="EG608" s="1486"/>
      <c r="EH608" s="1484" t="str">
        <f t="shared" si="19"/>
        <v/>
      </c>
      <c r="EI608" s="1485"/>
      <c r="EJ608" s="1485"/>
      <c r="EK608" s="1485"/>
      <c r="EL608" s="1486"/>
      <c r="EM608" s="1484" t="str">
        <f t="shared" si="20"/>
        <v/>
      </c>
      <c r="EN608" s="1485"/>
      <c r="EO608" s="1485"/>
      <c r="EP608" s="1485"/>
      <c r="EQ608" s="1486"/>
      <c r="ER608" s="1484" t="str">
        <f t="shared" si="21"/>
        <v/>
      </c>
      <c r="ES608" s="1485"/>
      <c r="ET608" s="1485"/>
      <c r="EU608" s="1485"/>
      <c r="EV608" s="1486"/>
      <c r="EW608" s="1484" t="str">
        <f t="shared" si="22"/>
        <v/>
      </c>
      <c r="EX608" s="1485"/>
      <c r="EY608" s="1485"/>
      <c r="EZ608" s="1485"/>
      <c r="FA608" s="1486"/>
    </row>
    <row r="609" spans="1:157" ht="12.95" customHeight="1">
      <c r="A609" s="55" t="s">
        <v>363</v>
      </c>
      <c r="B609" t="s">
        <v>471</v>
      </c>
      <c r="G609" s="1417">
        <f>C564</f>
        <v>0</v>
      </c>
      <c r="H609" s="1417"/>
      <c r="I609" s="1417"/>
      <c r="J609" s="1417"/>
      <c r="K609" s="1417"/>
      <c r="L609" s="1417"/>
      <c r="M609" s="1417"/>
      <c r="N609" s="1417"/>
      <c r="O609" s="1417"/>
      <c r="P609" s="1417"/>
      <c r="Q609" s="1417"/>
      <c r="R609" s="1417"/>
      <c r="T609" s="55" t="s">
        <v>364</v>
      </c>
      <c r="U609" t="s">
        <v>471</v>
      </c>
      <c r="Z609" s="1417">
        <f>C565</f>
        <v>0</v>
      </c>
      <c r="AA609" s="1417"/>
      <c r="AB609" s="1417"/>
      <c r="AC609" s="1417"/>
      <c r="AD609" s="1417"/>
      <c r="AE609" s="1417"/>
      <c r="AF609" s="1417"/>
      <c r="AG609" s="1417"/>
      <c r="AH609" s="1417"/>
      <c r="AI609" s="1417"/>
      <c r="AJ609" s="1417"/>
      <c r="AK609" s="1417"/>
      <c r="AZ609" s="3"/>
      <c r="BA609" s="3"/>
      <c r="BB609" s="3"/>
      <c r="BC609" s="3"/>
      <c r="BD609" s="3"/>
      <c r="BE609" s="1484">
        <f t="shared" si="1"/>
        <v>0</v>
      </c>
      <c r="BF609" s="1486"/>
      <c r="BG609" s="1509">
        <f t="shared" si="2"/>
        <v>0</v>
      </c>
      <c r="BH609" s="1511"/>
      <c r="BI609" s="1484">
        <f t="shared" si="3"/>
        <v>0</v>
      </c>
      <c r="BJ609" s="1486"/>
      <c r="BK609" s="1509">
        <f t="shared" si="4"/>
        <v>0</v>
      </c>
      <c r="BL609" s="1511"/>
      <c r="BM609" s="3"/>
      <c r="BN609" s="1497">
        <f t="shared" si="5"/>
        <v>0</v>
      </c>
      <c r="BO609" s="1498"/>
      <c r="BP609" s="1498"/>
      <c r="BQ609" s="1498"/>
      <c r="BR609" s="1499"/>
      <c r="BS609" s="1502">
        <f t="shared" si="6"/>
        <v>0</v>
      </c>
      <c r="BT609" s="1502"/>
      <c r="BU609" s="1502"/>
      <c r="BV609" s="1502"/>
      <c r="BW609" s="1502"/>
      <c r="BX609" s="1502">
        <f t="shared" si="7"/>
        <v>0</v>
      </c>
      <c r="BY609" s="1502"/>
      <c r="BZ609" s="1502"/>
      <c r="CA609" s="1502"/>
      <c r="CB609" s="1502"/>
      <c r="CC609" s="1502">
        <f t="shared" si="8"/>
        <v>0</v>
      </c>
      <c r="CD609" s="1502"/>
      <c r="CE609" s="1502"/>
      <c r="CF609" s="1502"/>
      <c r="CG609" s="1502"/>
      <c r="CH609" s="1502">
        <f t="shared" si="9"/>
        <v>0</v>
      </c>
      <c r="CI609" s="1502"/>
      <c r="CJ609" s="1502"/>
      <c r="CK609" s="1502"/>
      <c r="CL609" s="1502"/>
      <c r="CM609" s="1502">
        <f t="shared" si="10"/>
        <v>0</v>
      </c>
      <c r="CN609" s="1502"/>
      <c r="CO609" s="1502"/>
      <c r="CP609" s="1502"/>
      <c r="CQ609" s="1502"/>
      <c r="CR609" s="6"/>
      <c r="CS609" s="1508">
        <f t="shared" si="11"/>
        <v>0</v>
      </c>
      <c r="CT609" s="1508"/>
      <c r="CU609" s="1508"/>
      <c r="CV609" s="1508"/>
      <c r="CW609" s="1508"/>
      <c r="CX609" s="1508">
        <f t="shared" si="12"/>
        <v>0</v>
      </c>
      <c r="CY609" s="1508"/>
      <c r="CZ609" s="1508"/>
      <c r="DA609" s="1508"/>
      <c r="DB609" s="1508"/>
      <c r="DC609" s="1508">
        <f t="shared" si="13"/>
        <v>0</v>
      </c>
      <c r="DD609" s="1508"/>
      <c r="DE609" s="1508"/>
      <c r="DF609" s="1508"/>
      <c r="DG609" s="1508"/>
      <c r="DH609" s="1508">
        <f t="shared" si="14"/>
        <v>0</v>
      </c>
      <c r="DI609" s="1508"/>
      <c r="DJ609" s="1508"/>
      <c r="DK609" s="1508"/>
      <c r="DL609" s="1508"/>
      <c r="DM609" s="1508">
        <f t="shared" si="15"/>
        <v>0</v>
      </c>
      <c r="DN609" s="1508"/>
      <c r="DO609" s="1508"/>
      <c r="DP609" s="1508"/>
      <c r="DQ609" s="1508"/>
      <c r="DR609" s="1508">
        <f t="shared" si="16"/>
        <v>0</v>
      </c>
      <c r="DS609" s="1508"/>
      <c r="DT609" s="1508"/>
      <c r="DU609" s="1508"/>
      <c r="DV609" s="1508"/>
      <c r="DX609" s="1484" t="str">
        <f t="shared" si="17"/>
        <v/>
      </c>
      <c r="DY609" s="1485"/>
      <c r="DZ609" s="1485"/>
      <c r="EA609" s="1485"/>
      <c r="EB609" s="1486"/>
      <c r="EC609" s="1484" t="str">
        <f t="shared" si="18"/>
        <v/>
      </c>
      <c r="ED609" s="1485"/>
      <c r="EE609" s="1485"/>
      <c r="EF609" s="1485"/>
      <c r="EG609" s="1486"/>
      <c r="EH609" s="1484" t="str">
        <f t="shared" si="19"/>
        <v/>
      </c>
      <c r="EI609" s="1485"/>
      <c r="EJ609" s="1485"/>
      <c r="EK609" s="1485"/>
      <c r="EL609" s="1486"/>
      <c r="EM609" s="1484" t="str">
        <f t="shared" si="20"/>
        <v/>
      </c>
      <c r="EN609" s="1485"/>
      <c r="EO609" s="1485"/>
      <c r="EP609" s="1485"/>
      <c r="EQ609" s="1486"/>
      <c r="ER609" s="1484" t="str">
        <f t="shared" si="21"/>
        <v/>
      </c>
      <c r="ES609" s="1485"/>
      <c r="ET609" s="1485"/>
      <c r="EU609" s="1485"/>
      <c r="EV609" s="1486"/>
      <c r="EW609" s="1484" t="str">
        <f t="shared" si="22"/>
        <v/>
      </c>
      <c r="EX609" s="1485"/>
      <c r="EY609" s="1485"/>
      <c r="EZ609" s="1485"/>
      <c r="FA609" s="1486"/>
    </row>
    <row r="610" spans="1:157" ht="12.95" customHeight="1">
      <c r="B610" t="s">
        <v>85</v>
      </c>
      <c r="G610" s="1374"/>
      <c r="H610" s="1374"/>
      <c r="I610" s="1374"/>
      <c r="J610" s="1374"/>
      <c r="K610" s="1374"/>
      <c r="L610" s="1374"/>
      <c r="M610" s="1374"/>
      <c r="N610" s="1374"/>
      <c r="O610" s="1374"/>
      <c r="P610" s="1374"/>
      <c r="Q610" s="1374"/>
      <c r="R610" s="1374"/>
      <c r="U610" t="s">
        <v>85</v>
      </c>
      <c r="Z610" s="1374"/>
      <c r="AA610" s="1374"/>
      <c r="AB610" s="1374"/>
      <c r="AC610" s="1374"/>
      <c r="AD610" s="1374"/>
      <c r="AE610" s="1374"/>
      <c r="AF610" s="1374"/>
      <c r="AG610" s="1374"/>
      <c r="AH610" s="1374"/>
      <c r="AI610" s="1374"/>
      <c r="AJ610" s="1374"/>
      <c r="AK610" s="1374"/>
      <c r="AZ610" s="3"/>
      <c r="BA610" s="3"/>
      <c r="BB610" s="3"/>
      <c r="BC610" s="3"/>
      <c r="BD610" s="3"/>
      <c r="BE610" s="1484">
        <f t="shared" si="1"/>
        <v>0</v>
      </c>
      <c r="BF610" s="1486"/>
      <c r="BG610" s="1509">
        <f t="shared" si="2"/>
        <v>0</v>
      </c>
      <c r="BH610" s="1511"/>
      <c r="BI610" s="1484">
        <f t="shared" si="3"/>
        <v>0</v>
      </c>
      <c r="BJ610" s="1486"/>
      <c r="BK610" s="1509">
        <f t="shared" si="4"/>
        <v>0</v>
      </c>
      <c r="BL610" s="1511"/>
      <c r="BM610" s="3"/>
      <c r="BN610" s="1497">
        <f t="shared" si="5"/>
        <v>0</v>
      </c>
      <c r="BO610" s="1498"/>
      <c r="BP610" s="1498"/>
      <c r="BQ610" s="1498"/>
      <c r="BR610" s="1499"/>
      <c r="BS610" s="1502">
        <f t="shared" si="6"/>
        <v>0</v>
      </c>
      <c r="BT610" s="1502"/>
      <c r="BU610" s="1502"/>
      <c r="BV610" s="1502"/>
      <c r="BW610" s="1502"/>
      <c r="BX610" s="1502">
        <f t="shared" si="7"/>
        <v>0</v>
      </c>
      <c r="BY610" s="1502"/>
      <c r="BZ610" s="1502"/>
      <c r="CA610" s="1502"/>
      <c r="CB610" s="1502"/>
      <c r="CC610" s="1502">
        <f t="shared" si="8"/>
        <v>0</v>
      </c>
      <c r="CD610" s="1502"/>
      <c r="CE610" s="1502"/>
      <c r="CF610" s="1502"/>
      <c r="CG610" s="1502"/>
      <c r="CH610" s="1502">
        <f t="shared" si="9"/>
        <v>0</v>
      </c>
      <c r="CI610" s="1502"/>
      <c r="CJ610" s="1502"/>
      <c r="CK610" s="1502"/>
      <c r="CL610" s="1502"/>
      <c r="CM610" s="1502">
        <f t="shared" si="10"/>
        <v>0</v>
      </c>
      <c r="CN610" s="1502"/>
      <c r="CO610" s="1502"/>
      <c r="CP610" s="1502"/>
      <c r="CQ610" s="1502"/>
      <c r="CR610" s="6"/>
      <c r="CS610" s="1508">
        <f t="shared" si="11"/>
        <v>0</v>
      </c>
      <c r="CT610" s="1508"/>
      <c r="CU610" s="1508"/>
      <c r="CV610" s="1508"/>
      <c r="CW610" s="1508"/>
      <c r="CX610" s="1508">
        <f t="shared" si="12"/>
        <v>0</v>
      </c>
      <c r="CY610" s="1508"/>
      <c r="CZ610" s="1508"/>
      <c r="DA610" s="1508"/>
      <c r="DB610" s="1508"/>
      <c r="DC610" s="1508">
        <f t="shared" si="13"/>
        <v>0</v>
      </c>
      <c r="DD610" s="1508"/>
      <c r="DE610" s="1508"/>
      <c r="DF610" s="1508"/>
      <c r="DG610" s="1508"/>
      <c r="DH610" s="1508">
        <f t="shared" si="14"/>
        <v>0</v>
      </c>
      <c r="DI610" s="1508"/>
      <c r="DJ610" s="1508"/>
      <c r="DK610" s="1508"/>
      <c r="DL610" s="1508"/>
      <c r="DM610" s="1508">
        <f t="shared" si="15"/>
        <v>0</v>
      </c>
      <c r="DN610" s="1508"/>
      <c r="DO610" s="1508"/>
      <c r="DP610" s="1508"/>
      <c r="DQ610" s="1508"/>
      <c r="DR610" s="1508">
        <f t="shared" si="16"/>
        <v>0</v>
      </c>
      <c r="DS610" s="1508"/>
      <c r="DT610" s="1508"/>
      <c r="DU610" s="1508"/>
      <c r="DV610" s="1508"/>
      <c r="DX610" s="1484" t="str">
        <f t="shared" si="17"/>
        <v/>
      </c>
      <c r="DY610" s="1485"/>
      <c r="DZ610" s="1485"/>
      <c r="EA610" s="1485"/>
      <c r="EB610" s="1486"/>
      <c r="EC610" s="1484" t="str">
        <f t="shared" si="18"/>
        <v/>
      </c>
      <c r="ED610" s="1485"/>
      <c r="EE610" s="1485"/>
      <c r="EF610" s="1485"/>
      <c r="EG610" s="1486"/>
      <c r="EH610" s="1484" t="str">
        <f t="shared" si="19"/>
        <v/>
      </c>
      <c r="EI610" s="1485"/>
      <c r="EJ610" s="1485"/>
      <c r="EK610" s="1485"/>
      <c r="EL610" s="1486"/>
      <c r="EM610" s="1484" t="str">
        <f t="shared" si="20"/>
        <v/>
      </c>
      <c r="EN610" s="1485"/>
      <c r="EO610" s="1485"/>
      <c r="EP610" s="1485"/>
      <c r="EQ610" s="1486"/>
      <c r="ER610" s="1484" t="str">
        <f t="shared" si="21"/>
        <v/>
      </c>
      <c r="ES610" s="1485"/>
      <c r="ET610" s="1485"/>
      <c r="EU610" s="1485"/>
      <c r="EV610" s="1486"/>
      <c r="EW610" s="1484" t="str">
        <f t="shared" si="22"/>
        <v/>
      </c>
      <c r="EX610" s="1485"/>
      <c r="EY610" s="1485"/>
      <c r="EZ610" s="1485"/>
      <c r="FA610" s="1486"/>
    </row>
    <row r="611" spans="1:157" ht="12.95" customHeight="1">
      <c r="B611" t="s">
        <v>588</v>
      </c>
      <c r="G611" s="1374"/>
      <c r="H611" s="1374"/>
      <c r="I611" s="1374"/>
      <c r="J611" s="1374"/>
      <c r="K611" s="1374"/>
      <c r="L611" s="1374"/>
      <c r="M611" s="1374"/>
      <c r="N611" s="1374"/>
      <c r="O611" s="1374"/>
      <c r="P611" s="1374"/>
      <c r="Q611" s="1374"/>
      <c r="R611" s="1374"/>
      <c r="U611" t="s">
        <v>588</v>
      </c>
      <c r="Z611" s="1380"/>
      <c r="AA611" s="1380"/>
      <c r="AB611" s="1380"/>
      <c r="AC611" s="1380"/>
      <c r="AD611" s="1380"/>
      <c r="AE611" s="1380"/>
      <c r="AF611" s="1380"/>
      <c r="AG611" s="1380"/>
      <c r="AH611" s="1380"/>
      <c r="AI611" s="1380"/>
      <c r="AJ611" s="1380"/>
      <c r="AK611" s="1380"/>
      <c r="AZ611" s="3"/>
      <c r="BA611" s="3"/>
      <c r="BB611" s="3"/>
      <c r="BC611" s="3"/>
      <c r="BD611" s="3"/>
      <c r="BE611" s="1484">
        <f t="shared" si="1"/>
        <v>0</v>
      </c>
      <c r="BF611" s="1486"/>
      <c r="BG611" s="1509">
        <f t="shared" si="2"/>
        <v>0</v>
      </c>
      <c r="BH611" s="1511"/>
      <c r="BI611" s="1484">
        <f t="shared" si="3"/>
        <v>0</v>
      </c>
      <c r="BJ611" s="1486"/>
      <c r="BK611" s="1509">
        <f t="shared" si="4"/>
        <v>0</v>
      </c>
      <c r="BL611" s="1511"/>
      <c r="BM611" s="3"/>
      <c r="BN611" s="1497">
        <f t="shared" si="5"/>
        <v>0</v>
      </c>
      <c r="BO611" s="1498"/>
      <c r="BP611" s="1498"/>
      <c r="BQ611" s="1498"/>
      <c r="BR611" s="1499"/>
      <c r="BS611" s="1502">
        <f t="shared" si="6"/>
        <v>0</v>
      </c>
      <c r="BT611" s="1502"/>
      <c r="BU611" s="1502"/>
      <c r="BV611" s="1502"/>
      <c r="BW611" s="1502"/>
      <c r="BX611" s="1502">
        <f t="shared" si="7"/>
        <v>0</v>
      </c>
      <c r="BY611" s="1502"/>
      <c r="BZ611" s="1502"/>
      <c r="CA611" s="1502"/>
      <c r="CB611" s="1502"/>
      <c r="CC611" s="1502">
        <f t="shared" si="8"/>
        <v>0</v>
      </c>
      <c r="CD611" s="1502"/>
      <c r="CE611" s="1502"/>
      <c r="CF611" s="1502"/>
      <c r="CG611" s="1502"/>
      <c r="CH611" s="1502">
        <f t="shared" si="9"/>
        <v>0</v>
      </c>
      <c r="CI611" s="1502"/>
      <c r="CJ611" s="1502"/>
      <c r="CK611" s="1502"/>
      <c r="CL611" s="1502"/>
      <c r="CM611" s="1502">
        <f t="shared" si="10"/>
        <v>0</v>
      </c>
      <c r="CN611" s="1502"/>
      <c r="CO611" s="1502"/>
      <c r="CP611" s="1502"/>
      <c r="CQ611" s="1502"/>
      <c r="CR611" s="6"/>
      <c r="CS611" s="1508">
        <f t="shared" si="11"/>
        <v>0</v>
      </c>
      <c r="CT611" s="1508"/>
      <c r="CU611" s="1508"/>
      <c r="CV611" s="1508"/>
      <c r="CW611" s="1508"/>
      <c r="CX611" s="1508">
        <f t="shared" si="12"/>
        <v>0</v>
      </c>
      <c r="CY611" s="1508"/>
      <c r="CZ611" s="1508"/>
      <c r="DA611" s="1508"/>
      <c r="DB611" s="1508"/>
      <c r="DC611" s="1508">
        <f t="shared" si="13"/>
        <v>0</v>
      </c>
      <c r="DD611" s="1508"/>
      <c r="DE611" s="1508"/>
      <c r="DF611" s="1508"/>
      <c r="DG611" s="1508"/>
      <c r="DH611" s="1508">
        <f t="shared" si="14"/>
        <v>0</v>
      </c>
      <c r="DI611" s="1508"/>
      <c r="DJ611" s="1508"/>
      <c r="DK611" s="1508"/>
      <c r="DL611" s="1508"/>
      <c r="DM611" s="1508">
        <f t="shared" si="15"/>
        <v>0</v>
      </c>
      <c r="DN611" s="1508"/>
      <c r="DO611" s="1508"/>
      <c r="DP611" s="1508"/>
      <c r="DQ611" s="1508"/>
      <c r="DR611" s="1508">
        <f t="shared" si="16"/>
        <v>0</v>
      </c>
      <c r="DS611" s="1508"/>
      <c r="DT611" s="1508"/>
      <c r="DU611" s="1508"/>
      <c r="DV611" s="1508"/>
      <c r="DX611" s="1484" t="str">
        <f t="shared" si="17"/>
        <v/>
      </c>
      <c r="DY611" s="1485"/>
      <c r="DZ611" s="1485"/>
      <c r="EA611" s="1485"/>
      <c r="EB611" s="1486"/>
      <c r="EC611" s="1484" t="str">
        <f t="shared" si="18"/>
        <v/>
      </c>
      <c r="ED611" s="1485"/>
      <c r="EE611" s="1485"/>
      <c r="EF611" s="1485"/>
      <c r="EG611" s="1486"/>
      <c r="EH611" s="1484" t="str">
        <f t="shared" si="19"/>
        <v/>
      </c>
      <c r="EI611" s="1485"/>
      <c r="EJ611" s="1485"/>
      <c r="EK611" s="1485"/>
      <c r="EL611" s="1486"/>
      <c r="EM611" s="1484" t="str">
        <f t="shared" si="20"/>
        <v/>
      </c>
      <c r="EN611" s="1485"/>
      <c r="EO611" s="1485"/>
      <c r="EP611" s="1485"/>
      <c r="EQ611" s="1486"/>
      <c r="ER611" s="1484" t="str">
        <f t="shared" si="21"/>
        <v/>
      </c>
      <c r="ES611" s="1485"/>
      <c r="ET611" s="1485"/>
      <c r="EU611" s="1485"/>
      <c r="EV611" s="1486"/>
      <c r="EW611" s="1484" t="str">
        <f t="shared" si="22"/>
        <v/>
      </c>
      <c r="EX611" s="1485"/>
      <c r="EY611" s="1485"/>
      <c r="EZ611" s="1485"/>
      <c r="FA611" s="1486"/>
    </row>
    <row r="612" spans="1:157" ht="12.95" customHeight="1">
      <c r="B612" t="s">
        <v>17</v>
      </c>
      <c r="G612" s="1374"/>
      <c r="H612" s="1374"/>
      <c r="I612" s="1374"/>
      <c r="J612" s="1374"/>
      <c r="K612" s="1374"/>
      <c r="L612" s="1374"/>
      <c r="M612" s="1374"/>
      <c r="N612" s="1374"/>
      <c r="O612" s="1374"/>
      <c r="P612" s="1374"/>
      <c r="Q612" s="1374"/>
      <c r="R612" s="1374"/>
      <c r="U612" t="s">
        <v>17</v>
      </c>
      <c r="Z612" s="1380"/>
      <c r="AA612" s="1380"/>
      <c r="AB612" s="1380"/>
      <c r="AC612" s="1380"/>
      <c r="AD612" s="1380"/>
      <c r="AE612" s="1380"/>
      <c r="AF612" s="1380"/>
      <c r="AG612" s="1380"/>
      <c r="AH612" s="1380"/>
      <c r="AI612" s="1380"/>
      <c r="AJ612" s="1380"/>
      <c r="AK612" s="1380"/>
      <c r="AZ612" s="3"/>
      <c r="BA612" s="3"/>
      <c r="BB612" s="3"/>
      <c r="BC612" s="3"/>
      <c r="BD612" s="3"/>
      <c r="BE612" s="1484">
        <f t="shared" si="1"/>
        <v>0</v>
      </c>
      <c r="BF612" s="1486"/>
      <c r="BG612" s="1509">
        <f t="shared" si="2"/>
        <v>0</v>
      </c>
      <c r="BH612" s="1511"/>
      <c r="BI612" s="1484">
        <f t="shared" si="3"/>
        <v>0</v>
      </c>
      <c r="BJ612" s="1486"/>
      <c r="BK612" s="1509">
        <f t="shared" si="4"/>
        <v>0</v>
      </c>
      <c r="BL612" s="1511"/>
      <c r="BM612" s="3"/>
      <c r="BN612" s="1497">
        <f t="shared" si="5"/>
        <v>0</v>
      </c>
      <c r="BO612" s="1498"/>
      <c r="BP612" s="1498"/>
      <c r="BQ612" s="1498"/>
      <c r="BR612" s="1499"/>
      <c r="BS612" s="1502">
        <f t="shared" si="6"/>
        <v>0</v>
      </c>
      <c r="BT612" s="1502"/>
      <c r="BU612" s="1502"/>
      <c r="BV612" s="1502"/>
      <c r="BW612" s="1502"/>
      <c r="BX612" s="1502">
        <f t="shared" si="7"/>
        <v>0</v>
      </c>
      <c r="BY612" s="1502"/>
      <c r="BZ612" s="1502"/>
      <c r="CA612" s="1502"/>
      <c r="CB612" s="1502"/>
      <c r="CC612" s="1502">
        <f t="shared" si="8"/>
        <v>0</v>
      </c>
      <c r="CD612" s="1502"/>
      <c r="CE612" s="1502"/>
      <c r="CF612" s="1502"/>
      <c r="CG612" s="1502"/>
      <c r="CH612" s="1502">
        <f t="shared" si="9"/>
        <v>0</v>
      </c>
      <c r="CI612" s="1502"/>
      <c r="CJ612" s="1502"/>
      <c r="CK612" s="1502"/>
      <c r="CL612" s="1502"/>
      <c r="CM612" s="1502">
        <f t="shared" si="10"/>
        <v>0</v>
      </c>
      <c r="CN612" s="1502"/>
      <c r="CO612" s="1502"/>
      <c r="CP612" s="1502"/>
      <c r="CQ612" s="1502"/>
      <c r="CR612" s="6"/>
      <c r="CS612" s="1508">
        <f t="shared" si="11"/>
        <v>0</v>
      </c>
      <c r="CT612" s="1508"/>
      <c r="CU612" s="1508"/>
      <c r="CV612" s="1508"/>
      <c r="CW612" s="1508"/>
      <c r="CX612" s="1508">
        <f t="shared" si="12"/>
        <v>0</v>
      </c>
      <c r="CY612" s="1508"/>
      <c r="CZ612" s="1508"/>
      <c r="DA612" s="1508"/>
      <c r="DB612" s="1508"/>
      <c r="DC612" s="1508">
        <f t="shared" si="13"/>
        <v>0</v>
      </c>
      <c r="DD612" s="1508"/>
      <c r="DE612" s="1508"/>
      <c r="DF612" s="1508"/>
      <c r="DG612" s="1508"/>
      <c r="DH612" s="1508">
        <f t="shared" si="14"/>
        <v>0</v>
      </c>
      <c r="DI612" s="1508"/>
      <c r="DJ612" s="1508"/>
      <c r="DK612" s="1508"/>
      <c r="DL612" s="1508"/>
      <c r="DM612" s="1508">
        <f t="shared" si="15"/>
        <v>0</v>
      </c>
      <c r="DN612" s="1508"/>
      <c r="DO612" s="1508"/>
      <c r="DP612" s="1508"/>
      <c r="DQ612" s="1508"/>
      <c r="DR612" s="1508">
        <f t="shared" si="16"/>
        <v>0</v>
      </c>
      <c r="DS612" s="1508"/>
      <c r="DT612" s="1508"/>
      <c r="DU612" s="1508"/>
      <c r="DV612" s="1508"/>
      <c r="DX612" s="1484" t="str">
        <f t="shared" si="17"/>
        <v/>
      </c>
      <c r="DY612" s="1485"/>
      <c r="DZ612" s="1485"/>
      <c r="EA612" s="1485"/>
      <c r="EB612" s="1486"/>
      <c r="EC612" s="1484" t="str">
        <f t="shared" si="18"/>
        <v/>
      </c>
      <c r="ED612" s="1485"/>
      <c r="EE612" s="1485"/>
      <c r="EF612" s="1485"/>
      <c r="EG612" s="1486"/>
      <c r="EH612" s="1484" t="str">
        <f t="shared" si="19"/>
        <v/>
      </c>
      <c r="EI612" s="1485"/>
      <c r="EJ612" s="1485"/>
      <c r="EK612" s="1485"/>
      <c r="EL612" s="1486"/>
      <c r="EM612" s="1484" t="str">
        <f t="shared" si="20"/>
        <v/>
      </c>
      <c r="EN612" s="1485"/>
      <c r="EO612" s="1485"/>
      <c r="EP612" s="1485"/>
      <c r="EQ612" s="1486"/>
      <c r="ER612" s="1484" t="str">
        <f t="shared" si="21"/>
        <v/>
      </c>
      <c r="ES612" s="1485"/>
      <c r="ET612" s="1485"/>
      <c r="EU612" s="1485"/>
      <c r="EV612" s="1486"/>
      <c r="EW612" s="1484" t="str">
        <f t="shared" si="22"/>
        <v/>
      </c>
      <c r="EX612" s="1485"/>
      <c r="EY612" s="1485"/>
      <c r="EZ612" s="1485"/>
      <c r="FA612" s="1486"/>
    </row>
    <row r="613" spans="1:157" ht="12.95" customHeight="1">
      <c r="B613" t="s">
        <v>317</v>
      </c>
      <c r="G613" s="1372"/>
      <c r="H613" s="1372"/>
      <c r="I613" s="1372"/>
      <c r="J613" s="1372"/>
      <c r="K613" s="1372"/>
      <c r="L613" s="1372"/>
      <c r="O613" s="33" t="s">
        <v>207</v>
      </c>
      <c r="P613" s="1450"/>
      <c r="Q613" s="1450"/>
      <c r="R613" s="1450"/>
      <c r="U613" t="s">
        <v>317</v>
      </c>
      <c r="Z613" s="1372"/>
      <c r="AA613" s="1372"/>
      <c r="AB613" s="1372"/>
      <c r="AC613" s="1372"/>
      <c r="AD613" s="1372"/>
      <c r="AE613" s="1372"/>
      <c r="AH613" s="33" t="s">
        <v>207</v>
      </c>
      <c r="AI613" s="1450"/>
      <c r="AJ613" s="1450"/>
      <c r="AK613" s="1450"/>
      <c r="AZ613" s="3"/>
      <c r="BA613" s="3"/>
      <c r="BB613" s="3"/>
      <c r="BC613" s="3"/>
      <c r="BD613" s="3"/>
      <c r="BE613" s="1484">
        <f t="shared" si="1"/>
        <v>0</v>
      </c>
      <c r="BF613" s="1486"/>
      <c r="BG613" s="1509">
        <f t="shared" si="2"/>
        <v>0</v>
      </c>
      <c r="BH613" s="1511"/>
      <c r="BI613" s="1484">
        <f t="shared" si="3"/>
        <v>0</v>
      </c>
      <c r="BJ613" s="1486"/>
      <c r="BK613" s="1509">
        <f t="shared" si="4"/>
        <v>0</v>
      </c>
      <c r="BL613" s="1511"/>
      <c r="BM613" s="3"/>
      <c r="BN613" s="1497">
        <f t="shared" si="5"/>
        <v>0</v>
      </c>
      <c r="BO613" s="1498"/>
      <c r="BP613" s="1498"/>
      <c r="BQ613" s="1498"/>
      <c r="BR613" s="1499"/>
      <c r="BS613" s="1502">
        <f t="shared" si="6"/>
        <v>0</v>
      </c>
      <c r="BT613" s="1502"/>
      <c r="BU613" s="1502"/>
      <c r="BV613" s="1502"/>
      <c r="BW613" s="1502"/>
      <c r="BX613" s="1502">
        <f t="shared" si="7"/>
        <v>0</v>
      </c>
      <c r="BY613" s="1502"/>
      <c r="BZ613" s="1502"/>
      <c r="CA613" s="1502"/>
      <c r="CB613" s="1502"/>
      <c r="CC613" s="1502">
        <f t="shared" si="8"/>
        <v>0</v>
      </c>
      <c r="CD613" s="1502"/>
      <c r="CE613" s="1502"/>
      <c r="CF613" s="1502"/>
      <c r="CG613" s="1502"/>
      <c r="CH613" s="1502">
        <f t="shared" si="9"/>
        <v>0</v>
      </c>
      <c r="CI613" s="1502"/>
      <c r="CJ613" s="1502"/>
      <c r="CK613" s="1502"/>
      <c r="CL613" s="1502"/>
      <c r="CM613" s="1502">
        <f t="shared" si="10"/>
        <v>0</v>
      </c>
      <c r="CN613" s="1502"/>
      <c r="CO613" s="1502"/>
      <c r="CP613" s="1502"/>
      <c r="CQ613" s="1502"/>
      <c r="CR613" s="6"/>
      <c r="CS613" s="1508">
        <f t="shared" si="11"/>
        <v>0</v>
      </c>
      <c r="CT613" s="1508"/>
      <c r="CU613" s="1508"/>
      <c r="CV613" s="1508"/>
      <c r="CW613" s="1508"/>
      <c r="CX613" s="1508">
        <f t="shared" si="12"/>
        <v>0</v>
      </c>
      <c r="CY613" s="1508"/>
      <c r="CZ613" s="1508"/>
      <c r="DA613" s="1508"/>
      <c r="DB613" s="1508"/>
      <c r="DC613" s="1508">
        <f t="shared" si="13"/>
        <v>0</v>
      </c>
      <c r="DD613" s="1508"/>
      <c r="DE613" s="1508"/>
      <c r="DF613" s="1508"/>
      <c r="DG613" s="1508"/>
      <c r="DH613" s="1508">
        <f t="shared" si="14"/>
        <v>0</v>
      </c>
      <c r="DI613" s="1508"/>
      <c r="DJ613" s="1508"/>
      <c r="DK613" s="1508"/>
      <c r="DL613" s="1508"/>
      <c r="DM613" s="1508">
        <f t="shared" si="15"/>
        <v>0</v>
      </c>
      <c r="DN613" s="1508"/>
      <c r="DO613" s="1508"/>
      <c r="DP613" s="1508"/>
      <c r="DQ613" s="1508"/>
      <c r="DR613" s="1508">
        <f t="shared" si="16"/>
        <v>0</v>
      </c>
      <c r="DS613" s="1508"/>
      <c r="DT613" s="1508"/>
      <c r="DU613" s="1508"/>
      <c r="DV613" s="1508"/>
      <c r="DX613" s="1484" t="str">
        <f t="shared" si="17"/>
        <v/>
      </c>
      <c r="DY613" s="1485"/>
      <c r="DZ613" s="1485"/>
      <c r="EA613" s="1485"/>
      <c r="EB613" s="1486"/>
      <c r="EC613" s="1484" t="str">
        <f t="shared" si="18"/>
        <v/>
      </c>
      <c r="ED613" s="1485"/>
      <c r="EE613" s="1485"/>
      <c r="EF613" s="1485"/>
      <c r="EG613" s="1486"/>
      <c r="EH613" s="1484" t="str">
        <f t="shared" si="19"/>
        <v/>
      </c>
      <c r="EI613" s="1485"/>
      <c r="EJ613" s="1485"/>
      <c r="EK613" s="1485"/>
      <c r="EL613" s="1486"/>
      <c r="EM613" s="1484" t="str">
        <f t="shared" si="20"/>
        <v/>
      </c>
      <c r="EN613" s="1485"/>
      <c r="EO613" s="1485"/>
      <c r="EP613" s="1485"/>
      <c r="EQ613" s="1486"/>
      <c r="ER613" s="1484" t="str">
        <f t="shared" si="21"/>
        <v/>
      </c>
      <c r="ES613" s="1485"/>
      <c r="ET613" s="1485"/>
      <c r="EU613" s="1485"/>
      <c r="EV613" s="1486"/>
      <c r="EW613" s="1484" t="str">
        <f t="shared" si="22"/>
        <v/>
      </c>
      <c r="EX613" s="1485"/>
      <c r="EY613" s="1485"/>
      <c r="EZ613" s="1485"/>
      <c r="FA613" s="1486"/>
    </row>
    <row r="614" spans="1:157" ht="12.95" customHeight="1">
      <c r="B614" t="s">
        <v>18</v>
      </c>
      <c r="H614" s="1374"/>
      <c r="I614" s="1374"/>
      <c r="J614" s="1374"/>
      <c r="K614" s="1374"/>
      <c r="L614" s="1374"/>
      <c r="M614" s="1374"/>
      <c r="N614" s="1374"/>
      <c r="O614" s="1374"/>
      <c r="P614" s="1374"/>
      <c r="Q614" s="1374"/>
      <c r="R614" s="1374"/>
      <c r="U614" t="s">
        <v>18</v>
      </c>
      <c r="AA614" s="1374"/>
      <c r="AB614" s="1374"/>
      <c r="AC614" s="1374"/>
      <c r="AD614" s="1374"/>
      <c r="AE614" s="1374"/>
      <c r="AF614" s="1374"/>
      <c r="AG614" s="1374"/>
      <c r="AH614" s="1374"/>
      <c r="AI614" s="1374"/>
      <c r="AJ614" s="1374"/>
      <c r="AK614" s="1374"/>
      <c r="AU614" s="934"/>
      <c r="AV614" s="934"/>
      <c r="AW614" s="934"/>
      <c r="AX614" s="934"/>
      <c r="AY614" s="934"/>
      <c r="AZ614" s="3"/>
      <c r="BA614" s="3"/>
      <c r="BB614" s="3"/>
      <c r="BC614" s="3"/>
      <c r="BD614" s="3"/>
      <c r="BE614" s="1484">
        <f t="shared" si="1"/>
        <v>0</v>
      </c>
      <c r="BF614" s="1486"/>
      <c r="BG614" s="1509">
        <f t="shared" si="2"/>
        <v>0</v>
      </c>
      <c r="BH614" s="1511"/>
      <c r="BI614" s="1484">
        <f t="shared" si="3"/>
        <v>0</v>
      </c>
      <c r="BJ614" s="1486"/>
      <c r="BK614" s="1509">
        <f t="shared" si="4"/>
        <v>0</v>
      </c>
      <c r="BL614" s="1511"/>
      <c r="BM614" s="3"/>
      <c r="BN614" s="1497">
        <f t="shared" si="5"/>
        <v>0</v>
      </c>
      <c r="BO614" s="1498"/>
      <c r="BP614" s="1498"/>
      <c r="BQ614" s="1498"/>
      <c r="BR614" s="1499"/>
      <c r="BS614" s="1502">
        <f t="shared" si="6"/>
        <v>0</v>
      </c>
      <c r="BT614" s="1502"/>
      <c r="BU614" s="1502"/>
      <c r="BV614" s="1502"/>
      <c r="BW614" s="1502"/>
      <c r="BX614" s="1502">
        <f t="shared" si="7"/>
        <v>0</v>
      </c>
      <c r="BY614" s="1502"/>
      <c r="BZ614" s="1502"/>
      <c r="CA614" s="1502"/>
      <c r="CB614" s="1502"/>
      <c r="CC614" s="1502">
        <f t="shared" si="8"/>
        <v>0</v>
      </c>
      <c r="CD614" s="1502"/>
      <c r="CE614" s="1502"/>
      <c r="CF614" s="1502"/>
      <c r="CG614" s="1502"/>
      <c r="CH614" s="1502">
        <f t="shared" si="9"/>
        <v>0</v>
      </c>
      <c r="CI614" s="1502"/>
      <c r="CJ614" s="1502"/>
      <c r="CK614" s="1502"/>
      <c r="CL614" s="1502"/>
      <c r="CM614" s="1502">
        <f t="shared" si="10"/>
        <v>0</v>
      </c>
      <c r="CN614" s="1502"/>
      <c r="CO614" s="1502"/>
      <c r="CP614" s="1502"/>
      <c r="CQ614" s="1502"/>
      <c r="CR614" s="6"/>
      <c r="CS614" s="1508">
        <f t="shared" si="11"/>
        <v>0</v>
      </c>
      <c r="CT614" s="1508"/>
      <c r="CU614" s="1508"/>
      <c r="CV614" s="1508"/>
      <c r="CW614" s="1508"/>
      <c r="CX614" s="1508">
        <f t="shared" si="12"/>
        <v>0</v>
      </c>
      <c r="CY614" s="1508"/>
      <c r="CZ614" s="1508"/>
      <c r="DA614" s="1508"/>
      <c r="DB614" s="1508"/>
      <c r="DC614" s="1508">
        <f t="shared" si="13"/>
        <v>0</v>
      </c>
      <c r="DD614" s="1508"/>
      <c r="DE614" s="1508"/>
      <c r="DF614" s="1508"/>
      <c r="DG614" s="1508"/>
      <c r="DH614" s="1508">
        <f t="shared" si="14"/>
        <v>0</v>
      </c>
      <c r="DI614" s="1508"/>
      <c r="DJ614" s="1508"/>
      <c r="DK614" s="1508"/>
      <c r="DL614" s="1508"/>
      <c r="DM614" s="1508">
        <f t="shared" si="15"/>
        <v>0</v>
      </c>
      <c r="DN614" s="1508"/>
      <c r="DO614" s="1508"/>
      <c r="DP614" s="1508"/>
      <c r="DQ614" s="1508"/>
      <c r="DR614" s="1508">
        <f t="shared" si="16"/>
        <v>0</v>
      </c>
      <c r="DS614" s="1508"/>
      <c r="DT614" s="1508"/>
      <c r="DU614" s="1508"/>
      <c r="DV614" s="1508"/>
      <c r="DX614" s="1484" t="str">
        <f t="shared" si="17"/>
        <v/>
      </c>
      <c r="DY614" s="1485"/>
      <c r="DZ614" s="1485"/>
      <c r="EA614" s="1485"/>
      <c r="EB614" s="1486"/>
      <c r="EC614" s="1484" t="str">
        <f t="shared" si="18"/>
        <v/>
      </c>
      <c r="ED614" s="1485"/>
      <c r="EE614" s="1485"/>
      <c r="EF614" s="1485"/>
      <c r="EG614" s="1486"/>
      <c r="EH614" s="1484" t="str">
        <f t="shared" si="19"/>
        <v/>
      </c>
      <c r="EI614" s="1485"/>
      <c r="EJ614" s="1485"/>
      <c r="EK614" s="1485"/>
      <c r="EL614" s="1486"/>
      <c r="EM614" s="1484" t="str">
        <f t="shared" si="20"/>
        <v/>
      </c>
      <c r="EN614" s="1485"/>
      <c r="EO614" s="1485"/>
      <c r="EP614" s="1485"/>
      <c r="EQ614" s="1486"/>
      <c r="ER614" s="1484" t="str">
        <f t="shared" si="21"/>
        <v/>
      </c>
      <c r="ES614" s="1485"/>
      <c r="ET614" s="1485"/>
      <c r="EU614" s="1485"/>
      <c r="EV614" s="1486"/>
      <c r="EW614" s="1484" t="str">
        <f t="shared" si="22"/>
        <v/>
      </c>
      <c r="EX614" s="1485"/>
      <c r="EY614" s="1485"/>
      <c r="EZ614" s="1485"/>
      <c r="FA614" s="1486"/>
    </row>
    <row r="615" spans="1:157" ht="12.95" customHeight="1">
      <c r="B615" t="s">
        <v>20</v>
      </c>
      <c r="N615" s="1355" t="s">
        <v>677</v>
      </c>
      <c r="O615" s="1355"/>
      <c r="U615" t="s">
        <v>20</v>
      </c>
      <c r="AG615" s="1355" t="s">
        <v>677</v>
      </c>
      <c r="AH615" s="1355"/>
      <c r="AU615" s="934"/>
      <c r="AV615" s="934"/>
      <c r="AW615" s="934"/>
      <c r="AX615" s="934"/>
      <c r="AY615" s="934"/>
      <c r="AZ615" s="3"/>
      <c r="BA615" s="3"/>
      <c r="BB615" s="3"/>
      <c r="BC615" s="3"/>
      <c r="BD615" s="3"/>
      <c r="BE615" s="1484">
        <f t="shared" si="1"/>
        <v>0</v>
      </c>
      <c r="BF615" s="1486"/>
      <c r="BG615" s="1509">
        <f t="shared" si="2"/>
        <v>0</v>
      </c>
      <c r="BH615" s="1511"/>
      <c r="BI615" s="1484">
        <f t="shared" si="3"/>
        <v>0</v>
      </c>
      <c r="BJ615" s="1486"/>
      <c r="BK615" s="1509">
        <f t="shared" si="4"/>
        <v>0</v>
      </c>
      <c r="BL615" s="1511"/>
      <c r="BM615" s="3"/>
      <c r="BN615" s="1497">
        <f t="shared" si="5"/>
        <v>0</v>
      </c>
      <c r="BO615" s="1498"/>
      <c r="BP615" s="1498"/>
      <c r="BQ615" s="1498"/>
      <c r="BR615" s="1499"/>
      <c r="BS615" s="1502">
        <f t="shared" si="6"/>
        <v>0</v>
      </c>
      <c r="BT615" s="1502"/>
      <c r="BU615" s="1502"/>
      <c r="BV615" s="1502"/>
      <c r="BW615" s="1502"/>
      <c r="BX615" s="1502">
        <f t="shared" si="7"/>
        <v>0</v>
      </c>
      <c r="BY615" s="1502"/>
      <c r="BZ615" s="1502"/>
      <c r="CA615" s="1502"/>
      <c r="CB615" s="1502"/>
      <c r="CC615" s="1502">
        <f t="shared" si="8"/>
        <v>0</v>
      </c>
      <c r="CD615" s="1502"/>
      <c r="CE615" s="1502"/>
      <c r="CF615" s="1502"/>
      <c r="CG615" s="1502"/>
      <c r="CH615" s="1502">
        <f t="shared" si="9"/>
        <v>0</v>
      </c>
      <c r="CI615" s="1502"/>
      <c r="CJ615" s="1502"/>
      <c r="CK615" s="1502"/>
      <c r="CL615" s="1502"/>
      <c r="CM615" s="1502">
        <f t="shared" si="10"/>
        <v>0</v>
      </c>
      <c r="CN615" s="1502"/>
      <c r="CO615" s="1502"/>
      <c r="CP615" s="1502"/>
      <c r="CQ615" s="1502"/>
      <c r="CR615" s="6"/>
      <c r="CS615" s="1508">
        <f t="shared" si="11"/>
        <v>0</v>
      </c>
      <c r="CT615" s="1508"/>
      <c r="CU615" s="1508"/>
      <c r="CV615" s="1508"/>
      <c r="CW615" s="1508"/>
      <c r="CX615" s="1508">
        <f t="shared" si="12"/>
        <v>0</v>
      </c>
      <c r="CY615" s="1508"/>
      <c r="CZ615" s="1508"/>
      <c r="DA615" s="1508"/>
      <c r="DB615" s="1508"/>
      <c r="DC615" s="1508">
        <f t="shared" si="13"/>
        <v>0</v>
      </c>
      <c r="DD615" s="1508"/>
      <c r="DE615" s="1508"/>
      <c r="DF615" s="1508"/>
      <c r="DG615" s="1508"/>
      <c r="DH615" s="1508">
        <f t="shared" si="14"/>
        <v>0</v>
      </c>
      <c r="DI615" s="1508"/>
      <c r="DJ615" s="1508"/>
      <c r="DK615" s="1508"/>
      <c r="DL615" s="1508"/>
      <c r="DM615" s="1508">
        <f t="shared" si="15"/>
        <v>0</v>
      </c>
      <c r="DN615" s="1508"/>
      <c r="DO615" s="1508"/>
      <c r="DP615" s="1508"/>
      <c r="DQ615" s="1508"/>
      <c r="DR615" s="1508">
        <f t="shared" si="16"/>
        <v>0</v>
      </c>
      <c r="DS615" s="1508"/>
      <c r="DT615" s="1508"/>
      <c r="DU615" s="1508"/>
      <c r="DV615" s="1508"/>
      <c r="DX615" s="1484" t="str">
        <f t="shared" si="17"/>
        <v/>
      </c>
      <c r="DY615" s="1485"/>
      <c r="DZ615" s="1485"/>
      <c r="EA615" s="1485"/>
      <c r="EB615" s="1486"/>
      <c r="EC615" s="1484" t="str">
        <f t="shared" si="18"/>
        <v/>
      </c>
      <c r="ED615" s="1485"/>
      <c r="EE615" s="1485"/>
      <c r="EF615" s="1485"/>
      <c r="EG615" s="1486"/>
      <c r="EH615" s="1484" t="str">
        <f t="shared" si="19"/>
        <v/>
      </c>
      <c r="EI615" s="1485"/>
      <c r="EJ615" s="1485"/>
      <c r="EK615" s="1485"/>
      <c r="EL615" s="1486"/>
      <c r="EM615" s="1484" t="str">
        <f t="shared" si="20"/>
        <v/>
      </c>
      <c r="EN615" s="1485"/>
      <c r="EO615" s="1485"/>
      <c r="EP615" s="1485"/>
      <c r="EQ615" s="1486"/>
      <c r="ER615" s="1484" t="str">
        <f t="shared" si="21"/>
        <v/>
      </c>
      <c r="ES615" s="1485"/>
      <c r="ET615" s="1485"/>
      <c r="EU615" s="1485"/>
      <c r="EV615" s="1486"/>
      <c r="EW615" s="1484" t="str">
        <f t="shared" si="22"/>
        <v/>
      </c>
      <c r="EX615" s="1485"/>
      <c r="EY615" s="1485"/>
      <c r="EZ615" s="1485"/>
      <c r="FA615" s="1486"/>
    </row>
    <row r="616" spans="1:157" ht="12.95" customHeight="1">
      <c r="AZ616" s="3"/>
      <c r="BA616" s="3"/>
      <c r="BB616" s="3"/>
      <c r="BC616" s="3"/>
      <c r="BD616" s="3"/>
      <c r="BE616" s="1484">
        <f t="shared" si="1"/>
        <v>0</v>
      </c>
      <c r="BF616" s="1486"/>
      <c r="BG616" s="1509">
        <f t="shared" si="2"/>
        <v>0</v>
      </c>
      <c r="BH616" s="1511"/>
      <c r="BI616" s="1484">
        <f t="shared" si="3"/>
        <v>0</v>
      </c>
      <c r="BJ616" s="1486"/>
      <c r="BK616" s="1509">
        <f t="shared" si="4"/>
        <v>0</v>
      </c>
      <c r="BL616" s="1511"/>
      <c r="BM616" s="3"/>
      <c r="BN616" s="1497">
        <f t="shared" si="5"/>
        <v>0</v>
      </c>
      <c r="BO616" s="1498"/>
      <c r="BP616" s="1498"/>
      <c r="BQ616" s="1498"/>
      <c r="BR616" s="1499"/>
      <c r="BS616" s="1502">
        <f t="shared" si="6"/>
        <v>0</v>
      </c>
      <c r="BT616" s="1502"/>
      <c r="BU616" s="1502"/>
      <c r="BV616" s="1502"/>
      <c r="BW616" s="1502"/>
      <c r="BX616" s="1502">
        <f t="shared" si="7"/>
        <v>0</v>
      </c>
      <c r="BY616" s="1502"/>
      <c r="BZ616" s="1502"/>
      <c r="CA616" s="1502"/>
      <c r="CB616" s="1502"/>
      <c r="CC616" s="1502">
        <f t="shared" si="8"/>
        <v>0</v>
      </c>
      <c r="CD616" s="1502"/>
      <c r="CE616" s="1502"/>
      <c r="CF616" s="1502"/>
      <c r="CG616" s="1502"/>
      <c r="CH616" s="1502">
        <f t="shared" si="9"/>
        <v>0</v>
      </c>
      <c r="CI616" s="1502"/>
      <c r="CJ616" s="1502"/>
      <c r="CK616" s="1502"/>
      <c r="CL616" s="1502"/>
      <c r="CM616" s="1502">
        <f t="shared" si="10"/>
        <v>0</v>
      </c>
      <c r="CN616" s="1502"/>
      <c r="CO616" s="1502"/>
      <c r="CP616" s="1502"/>
      <c r="CQ616" s="1502"/>
      <c r="CR616" s="6"/>
      <c r="CS616" s="1508">
        <f t="shared" si="11"/>
        <v>0</v>
      </c>
      <c r="CT616" s="1508"/>
      <c r="CU616" s="1508"/>
      <c r="CV616" s="1508"/>
      <c r="CW616" s="1508"/>
      <c r="CX616" s="1508">
        <f t="shared" si="12"/>
        <v>0</v>
      </c>
      <c r="CY616" s="1508"/>
      <c r="CZ616" s="1508"/>
      <c r="DA616" s="1508"/>
      <c r="DB616" s="1508"/>
      <c r="DC616" s="1508">
        <f t="shared" si="13"/>
        <v>0</v>
      </c>
      <c r="DD616" s="1508"/>
      <c r="DE616" s="1508"/>
      <c r="DF616" s="1508"/>
      <c r="DG616" s="1508"/>
      <c r="DH616" s="1508">
        <f t="shared" si="14"/>
        <v>0</v>
      </c>
      <c r="DI616" s="1508"/>
      <c r="DJ616" s="1508"/>
      <c r="DK616" s="1508"/>
      <c r="DL616" s="1508"/>
      <c r="DM616" s="1508">
        <f t="shared" si="15"/>
        <v>0</v>
      </c>
      <c r="DN616" s="1508"/>
      <c r="DO616" s="1508"/>
      <c r="DP616" s="1508"/>
      <c r="DQ616" s="1508"/>
      <c r="DR616" s="1508">
        <f t="shared" si="16"/>
        <v>0</v>
      </c>
      <c r="DS616" s="1508"/>
      <c r="DT616" s="1508"/>
      <c r="DU616" s="1508"/>
      <c r="DV616" s="1508"/>
      <c r="DX616" s="1484" t="str">
        <f t="shared" si="17"/>
        <v/>
      </c>
      <c r="DY616" s="1485"/>
      <c r="DZ616" s="1485"/>
      <c r="EA616" s="1485"/>
      <c r="EB616" s="1486"/>
      <c r="EC616" s="1484" t="str">
        <f t="shared" si="18"/>
        <v/>
      </c>
      <c r="ED616" s="1485"/>
      <c r="EE616" s="1485"/>
      <c r="EF616" s="1485"/>
      <c r="EG616" s="1486"/>
      <c r="EH616" s="1484" t="str">
        <f t="shared" si="19"/>
        <v/>
      </c>
      <c r="EI616" s="1485"/>
      <c r="EJ616" s="1485"/>
      <c r="EK616" s="1485"/>
      <c r="EL616" s="1486"/>
      <c r="EM616" s="1484" t="str">
        <f t="shared" si="20"/>
        <v/>
      </c>
      <c r="EN616" s="1485"/>
      <c r="EO616" s="1485"/>
      <c r="EP616" s="1485"/>
      <c r="EQ616" s="1486"/>
      <c r="ER616" s="1484" t="str">
        <f t="shared" si="21"/>
        <v/>
      </c>
      <c r="ES616" s="1485"/>
      <c r="ET616" s="1485"/>
      <c r="EU616" s="1485"/>
      <c r="EV616" s="1486"/>
      <c r="EW616" s="1484" t="str">
        <f t="shared" si="22"/>
        <v/>
      </c>
      <c r="EX616" s="1485"/>
      <c r="EY616" s="1485"/>
      <c r="EZ616" s="1485"/>
      <c r="FA616" s="1486"/>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4">
        <f t="shared" si="1"/>
        <v>0</v>
      </c>
      <c r="BF617" s="1486"/>
      <c r="BG617" s="1509">
        <f t="shared" si="2"/>
        <v>0</v>
      </c>
      <c r="BH617" s="1511"/>
      <c r="BI617" s="1484">
        <f t="shared" si="3"/>
        <v>0</v>
      </c>
      <c r="BJ617" s="1486"/>
      <c r="BK617" s="1509">
        <f t="shared" si="4"/>
        <v>0</v>
      </c>
      <c r="BL617" s="1511"/>
      <c r="BM617" s="3"/>
      <c r="BN617" s="1497">
        <f t="shared" si="5"/>
        <v>0</v>
      </c>
      <c r="BO617" s="1498"/>
      <c r="BP617" s="1498"/>
      <c r="BQ617" s="1498"/>
      <c r="BR617" s="1499"/>
      <c r="BS617" s="1502">
        <f t="shared" si="6"/>
        <v>0</v>
      </c>
      <c r="BT617" s="1502"/>
      <c r="BU617" s="1502"/>
      <c r="BV617" s="1502"/>
      <c r="BW617" s="1502"/>
      <c r="BX617" s="1502">
        <f t="shared" si="7"/>
        <v>0</v>
      </c>
      <c r="BY617" s="1502"/>
      <c r="BZ617" s="1502"/>
      <c r="CA617" s="1502"/>
      <c r="CB617" s="1502"/>
      <c r="CC617" s="1502">
        <f t="shared" si="8"/>
        <v>0</v>
      </c>
      <c r="CD617" s="1502"/>
      <c r="CE617" s="1502"/>
      <c r="CF617" s="1502"/>
      <c r="CG617" s="1502"/>
      <c r="CH617" s="1502">
        <f t="shared" si="9"/>
        <v>0</v>
      </c>
      <c r="CI617" s="1502"/>
      <c r="CJ617" s="1502"/>
      <c r="CK617" s="1502"/>
      <c r="CL617" s="1502"/>
      <c r="CM617" s="1502">
        <f t="shared" si="10"/>
        <v>0</v>
      </c>
      <c r="CN617" s="1502"/>
      <c r="CO617" s="1502"/>
      <c r="CP617" s="1502"/>
      <c r="CQ617" s="1502"/>
      <c r="CR617" s="6"/>
      <c r="CS617" s="1508">
        <f t="shared" si="11"/>
        <v>0</v>
      </c>
      <c r="CT617" s="1508"/>
      <c r="CU617" s="1508"/>
      <c r="CV617" s="1508"/>
      <c r="CW617" s="1508"/>
      <c r="CX617" s="1508">
        <f t="shared" si="12"/>
        <v>0</v>
      </c>
      <c r="CY617" s="1508"/>
      <c r="CZ617" s="1508"/>
      <c r="DA617" s="1508"/>
      <c r="DB617" s="1508"/>
      <c r="DC617" s="1508">
        <f t="shared" si="13"/>
        <v>0</v>
      </c>
      <c r="DD617" s="1508"/>
      <c r="DE617" s="1508"/>
      <c r="DF617" s="1508"/>
      <c r="DG617" s="1508"/>
      <c r="DH617" s="1508">
        <f t="shared" si="14"/>
        <v>0</v>
      </c>
      <c r="DI617" s="1508"/>
      <c r="DJ617" s="1508"/>
      <c r="DK617" s="1508"/>
      <c r="DL617" s="1508"/>
      <c r="DM617" s="1508">
        <f t="shared" si="15"/>
        <v>0</v>
      </c>
      <c r="DN617" s="1508"/>
      <c r="DO617" s="1508"/>
      <c r="DP617" s="1508"/>
      <c r="DQ617" s="1508"/>
      <c r="DR617" s="1508">
        <f t="shared" si="16"/>
        <v>0</v>
      </c>
      <c r="DS617" s="1508"/>
      <c r="DT617" s="1508"/>
      <c r="DU617" s="1508"/>
      <c r="DV617" s="1508"/>
      <c r="DX617" s="1484" t="str">
        <f t="shared" si="17"/>
        <v/>
      </c>
      <c r="DY617" s="1485"/>
      <c r="DZ617" s="1485"/>
      <c r="EA617" s="1485"/>
      <c r="EB617" s="1486"/>
      <c r="EC617" s="1484" t="str">
        <f t="shared" si="18"/>
        <v/>
      </c>
      <c r="ED617" s="1485"/>
      <c r="EE617" s="1485"/>
      <c r="EF617" s="1485"/>
      <c r="EG617" s="1486"/>
      <c r="EH617" s="1484" t="str">
        <f t="shared" si="19"/>
        <v/>
      </c>
      <c r="EI617" s="1485"/>
      <c r="EJ617" s="1485"/>
      <c r="EK617" s="1485"/>
      <c r="EL617" s="1486"/>
      <c r="EM617" s="1484" t="str">
        <f t="shared" si="20"/>
        <v/>
      </c>
      <c r="EN617" s="1485"/>
      <c r="EO617" s="1485"/>
      <c r="EP617" s="1485"/>
      <c r="EQ617" s="1486"/>
      <c r="ER617" s="1484" t="str">
        <f t="shared" si="21"/>
        <v/>
      </c>
      <c r="ES617" s="1485"/>
      <c r="ET617" s="1485"/>
      <c r="EU617" s="1485"/>
      <c r="EV617" s="1486"/>
      <c r="EW617" s="1484" t="str">
        <f t="shared" si="22"/>
        <v/>
      </c>
      <c r="EX617" s="1485"/>
      <c r="EY617" s="1485"/>
      <c r="EZ617" s="1485"/>
      <c r="FA617" s="1486"/>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4">
        <f t="shared" si="1"/>
        <v>0</v>
      </c>
      <c r="BF618" s="1486"/>
      <c r="BG618" s="1509">
        <f t="shared" si="2"/>
        <v>0</v>
      </c>
      <c r="BH618" s="1511"/>
      <c r="BI618" s="1484">
        <f t="shared" si="3"/>
        <v>0</v>
      </c>
      <c r="BJ618" s="1486"/>
      <c r="BK618" s="1509">
        <f t="shared" si="4"/>
        <v>0</v>
      </c>
      <c r="BL618" s="1511"/>
      <c r="BM618" s="3"/>
      <c r="BN618" s="1497">
        <f t="shared" si="5"/>
        <v>0</v>
      </c>
      <c r="BO618" s="1498"/>
      <c r="BP618" s="1498"/>
      <c r="BQ618" s="1498"/>
      <c r="BR618" s="1499"/>
      <c r="BS618" s="1502">
        <f t="shared" si="6"/>
        <v>0</v>
      </c>
      <c r="BT618" s="1502"/>
      <c r="BU618" s="1502"/>
      <c r="BV618" s="1502"/>
      <c r="BW618" s="1502"/>
      <c r="BX618" s="1502">
        <f t="shared" si="7"/>
        <v>0</v>
      </c>
      <c r="BY618" s="1502"/>
      <c r="BZ618" s="1502"/>
      <c r="CA618" s="1502"/>
      <c r="CB618" s="1502"/>
      <c r="CC618" s="1502">
        <f t="shared" si="8"/>
        <v>0</v>
      </c>
      <c r="CD618" s="1502"/>
      <c r="CE618" s="1502"/>
      <c r="CF618" s="1502"/>
      <c r="CG618" s="1502"/>
      <c r="CH618" s="1502">
        <f t="shared" si="9"/>
        <v>0</v>
      </c>
      <c r="CI618" s="1502"/>
      <c r="CJ618" s="1502"/>
      <c r="CK618" s="1502"/>
      <c r="CL618" s="1502"/>
      <c r="CM618" s="1502">
        <f t="shared" si="10"/>
        <v>0</v>
      </c>
      <c r="CN618" s="1502"/>
      <c r="CO618" s="1502"/>
      <c r="CP618" s="1502"/>
      <c r="CQ618" s="1502"/>
      <c r="CR618" s="6"/>
      <c r="CS618" s="1508">
        <f t="shared" si="11"/>
        <v>0</v>
      </c>
      <c r="CT618" s="1508"/>
      <c r="CU618" s="1508"/>
      <c r="CV618" s="1508"/>
      <c r="CW618" s="1508"/>
      <c r="CX618" s="1508">
        <f t="shared" si="12"/>
        <v>0</v>
      </c>
      <c r="CY618" s="1508"/>
      <c r="CZ618" s="1508"/>
      <c r="DA618" s="1508"/>
      <c r="DB618" s="1508"/>
      <c r="DC618" s="1508">
        <f t="shared" si="13"/>
        <v>0</v>
      </c>
      <c r="DD618" s="1508"/>
      <c r="DE618" s="1508"/>
      <c r="DF618" s="1508"/>
      <c r="DG618" s="1508"/>
      <c r="DH618" s="1508">
        <f t="shared" si="14"/>
        <v>0</v>
      </c>
      <c r="DI618" s="1508"/>
      <c r="DJ618" s="1508"/>
      <c r="DK618" s="1508"/>
      <c r="DL618" s="1508"/>
      <c r="DM618" s="1508">
        <f t="shared" si="15"/>
        <v>0</v>
      </c>
      <c r="DN618" s="1508"/>
      <c r="DO618" s="1508"/>
      <c r="DP618" s="1508"/>
      <c r="DQ618" s="1508"/>
      <c r="DR618" s="1508">
        <f t="shared" si="16"/>
        <v>0</v>
      </c>
      <c r="DS618" s="1508"/>
      <c r="DT618" s="1508"/>
      <c r="DU618" s="1508"/>
      <c r="DV618" s="1508"/>
      <c r="DX618" s="1484" t="str">
        <f t="shared" si="17"/>
        <v/>
      </c>
      <c r="DY618" s="1485"/>
      <c r="DZ618" s="1485"/>
      <c r="EA618" s="1485"/>
      <c r="EB618" s="1486"/>
      <c r="EC618" s="1484" t="str">
        <f t="shared" si="18"/>
        <v/>
      </c>
      <c r="ED618" s="1485"/>
      <c r="EE618" s="1485"/>
      <c r="EF618" s="1485"/>
      <c r="EG618" s="1486"/>
      <c r="EH618" s="1484" t="str">
        <f t="shared" si="19"/>
        <v/>
      </c>
      <c r="EI618" s="1485"/>
      <c r="EJ618" s="1485"/>
      <c r="EK618" s="1485"/>
      <c r="EL618" s="1486"/>
      <c r="EM618" s="1484" t="str">
        <f t="shared" si="20"/>
        <v/>
      </c>
      <c r="EN618" s="1485"/>
      <c r="EO618" s="1485"/>
      <c r="EP618" s="1485"/>
      <c r="EQ618" s="1486"/>
      <c r="ER618" s="1484" t="str">
        <f t="shared" si="21"/>
        <v/>
      </c>
      <c r="ES618" s="1485"/>
      <c r="ET618" s="1485"/>
      <c r="EU618" s="1485"/>
      <c r="EV618" s="1486"/>
      <c r="EW618" s="1484" t="str">
        <f t="shared" si="22"/>
        <v/>
      </c>
      <c r="EX618" s="1485"/>
      <c r="EY618" s="1485"/>
      <c r="EZ618" s="1485"/>
      <c r="FA618" s="1486"/>
    </row>
    <row r="619" spans="1:157" ht="12.95" customHeight="1">
      <c r="AZ619" s="3"/>
      <c r="BA619" s="3"/>
      <c r="BB619" s="3"/>
      <c r="BC619" s="3"/>
      <c r="BD619" s="3"/>
      <c r="BE619" s="1484">
        <f t="shared" si="1"/>
        <v>0</v>
      </c>
      <c r="BF619" s="1486"/>
      <c r="BG619" s="1509">
        <f t="shared" si="2"/>
        <v>0</v>
      </c>
      <c r="BH619" s="1511"/>
      <c r="BI619" s="1484">
        <f t="shared" si="3"/>
        <v>0</v>
      </c>
      <c r="BJ619" s="1486"/>
      <c r="BK619" s="1509">
        <f t="shared" si="4"/>
        <v>0</v>
      </c>
      <c r="BL619" s="1511"/>
      <c r="BM619" s="3"/>
      <c r="BN619" s="1497">
        <f t="shared" si="5"/>
        <v>0</v>
      </c>
      <c r="BO619" s="1498"/>
      <c r="BP619" s="1498"/>
      <c r="BQ619" s="1498"/>
      <c r="BR619" s="1499"/>
      <c r="BS619" s="1502">
        <f t="shared" si="6"/>
        <v>0</v>
      </c>
      <c r="BT619" s="1502"/>
      <c r="BU619" s="1502"/>
      <c r="BV619" s="1502"/>
      <c r="BW619" s="1502"/>
      <c r="BX619" s="1502">
        <f t="shared" si="7"/>
        <v>0</v>
      </c>
      <c r="BY619" s="1502"/>
      <c r="BZ619" s="1502"/>
      <c r="CA619" s="1502"/>
      <c r="CB619" s="1502"/>
      <c r="CC619" s="1502">
        <f t="shared" si="8"/>
        <v>0</v>
      </c>
      <c r="CD619" s="1502"/>
      <c r="CE619" s="1502"/>
      <c r="CF619" s="1502"/>
      <c r="CG619" s="1502"/>
      <c r="CH619" s="1502">
        <f t="shared" si="9"/>
        <v>0</v>
      </c>
      <c r="CI619" s="1502"/>
      <c r="CJ619" s="1502"/>
      <c r="CK619" s="1502"/>
      <c r="CL619" s="1502"/>
      <c r="CM619" s="1502">
        <f t="shared" si="10"/>
        <v>0</v>
      </c>
      <c r="CN619" s="1502"/>
      <c r="CO619" s="1502"/>
      <c r="CP619" s="1502"/>
      <c r="CQ619" s="1502"/>
      <c r="CR619" s="6"/>
      <c r="CS619" s="1508">
        <f t="shared" si="11"/>
        <v>0</v>
      </c>
      <c r="CT619" s="1508"/>
      <c r="CU619" s="1508"/>
      <c r="CV619" s="1508"/>
      <c r="CW619" s="1508"/>
      <c r="CX619" s="1508">
        <f t="shared" si="12"/>
        <v>0</v>
      </c>
      <c r="CY619" s="1508"/>
      <c r="CZ619" s="1508"/>
      <c r="DA619" s="1508"/>
      <c r="DB619" s="1508"/>
      <c r="DC619" s="1508">
        <f t="shared" si="13"/>
        <v>0</v>
      </c>
      <c r="DD619" s="1508"/>
      <c r="DE619" s="1508"/>
      <c r="DF619" s="1508"/>
      <c r="DG619" s="1508"/>
      <c r="DH619" s="1508">
        <f t="shared" si="14"/>
        <v>0</v>
      </c>
      <c r="DI619" s="1508"/>
      <c r="DJ619" s="1508"/>
      <c r="DK619" s="1508"/>
      <c r="DL619" s="1508"/>
      <c r="DM619" s="1508">
        <f t="shared" si="15"/>
        <v>0</v>
      </c>
      <c r="DN619" s="1508"/>
      <c r="DO619" s="1508"/>
      <c r="DP619" s="1508"/>
      <c r="DQ619" s="1508"/>
      <c r="DR619" s="1508">
        <f t="shared" si="16"/>
        <v>0</v>
      </c>
      <c r="DS619" s="1508"/>
      <c r="DT619" s="1508"/>
      <c r="DU619" s="1508"/>
      <c r="DV619" s="1508"/>
      <c r="DX619" s="1484" t="str">
        <f t="shared" si="17"/>
        <v/>
      </c>
      <c r="DY619" s="1485"/>
      <c r="DZ619" s="1485"/>
      <c r="EA619" s="1485"/>
      <c r="EB619" s="1486"/>
      <c r="EC619" s="1484" t="str">
        <f t="shared" si="18"/>
        <v/>
      </c>
      <c r="ED619" s="1485"/>
      <c r="EE619" s="1485"/>
      <c r="EF619" s="1485"/>
      <c r="EG619" s="1486"/>
      <c r="EH619" s="1484" t="str">
        <f t="shared" si="19"/>
        <v/>
      </c>
      <c r="EI619" s="1485"/>
      <c r="EJ619" s="1485"/>
      <c r="EK619" s="1485"/>
      <c r="EL619" s="1486"/>
      <c r="EM619" s="1484" t="str">
        <f t="shared" si="20"/>
        <v/>
      </c>
      <c r="EN619" s="1485"/>
      <c r="EO619" s="1485"/>
      <c r="EP619" s="1485"/>
      <c r="EQ619" s="1486"/>
      <c r="ER619" s="1484" t="str">
        <f t="shared" si="21"/>
        <v/>
      </c>
      <c r="ES619" s="1485"/>
      <c r="ET619" s="1485"/>
      <c r="EU619" s="1485"/>
      <c r="EV619" s="1486"/>
      <c r="EW619" s="1484" t="str">
        <f t="shared" si="22"/>
        <v/>
      </c>
      <c r="EX619" s="1485"/>
      <c r="EY619" s="1485"/>
      <c r="EZ619" s="1485"/>
      <c r="FA619" s="1486"/>
    </row>
    <row r="620" spans="1:157" ht="12.95" customHeight="1">
      <c r="A620" s="2" t="s">
        <v>320</v>
      </c>
      <c r="B620" s="2"/>
      <c r="C620" s="2" t="s">
        <v>21</v>
      </c>
      <c r="AZ620" s="3"/>
      <c r="BA620" s="3"/>
      <c r="BB620" s="3"/>
      <c r="BC620" s="3"/>
      <c r="BD620" s="3"/>
      <c r="BE620" s="1484">
        <f t="shared" si="1"/>
        <v>0</v>
      </c>
      <c r="BF620" s="1486"/>
      <c r="BG620" s="1509">
        <f t="shared" si="2"/>
        <v>0</v>
      </c>
      <c r="BH620" s="1511"/>
      <c r="BI620" s="1484">
        <f t="shared" si="3"/>
        <v>0</v>
      </c>
      <c r="BJ620" s="1486"/>
      <c r="BK620" s="1509">
        <f t="shared" si="4"/>
        <v>0</v>
      </c>
      <c r="BL620" s="1511"/>
      <c r="BM620" s="3"/>
      <c r="BN620" s="1497">
        <f t="shared" si="5"/>
        <v>0</v>
      </c>
      <c r="BO620" s="1498"/>
      <c r="BP620" s="1498"/>
      <c r="BQ620" s="1498"/>
      <c r="BR620" s="1499"/>
      <c r="BS620" s="1502">
        <f t="shared" si="6"/>
        <v>0</v>
      </c>
      <c r="BT620" s="1502"/>
      <c r="BU620" s="1502"/>
      <c r="BV620" s="1502"/>
      <c r="BW620" s="1502"/>
      <c r="BX620" s="1502">
        <f t="shared" si="7"/>
        <v>0</v>
      </c>
      <c r="BY620" s="1502"/>
      <c r="BZ620" s="1502"/>
      <c r="CA620" s="1502"/>
      <c r="CB620" s="1502"/>
      <c r="CC620" s="1502">
        <f t="shared" si="8"/>
        <v>0</v>
      </c>
      <c r="CD620" s="1502"/>
      <c r="CE620" s="1502"/>
      <c r="CF620" s="1502"/>
      <c r="CG620" s="1502"/>
      <c r="CH620" s="1502">
        <f t="shared" si="9"/>
        <v>0</v>
      </c>
      <c r="CI620" s="1502"/>
      <c r="CJ620" s="1502"/>
      <c r="CK620" s="1502"/>
      <c r="CL620" s="1502"/>
      <c r="CM620" s="1502">
        <f t="shared" si="10"/>
        <v>0</v>
      </c>
      <c r="CN620" s="1502"/>
      <c r="CO620" s="1502"/>
      <c r="CP620" s="1502"/>
      <c r="CQ620" s="1502"/>
      <c r="CR620" s="6"/>
      <c r="CS620" s="1508">
        <f t="shared" si="11"/>
        <v>0</v>
      </c>
      <c r="CT620" s="1508"/>
      <c r="CU620" s="1508"/>
      <c r="CV620" s="1508"/>
      <c r="CW620" s="1508"/>
      <c r="CX620" s="1508">
        <f t="shared" si="12"/>
        <v>0</v>
      </c>
      <c r="CY620" s="1508"/>
      <c r="CZ620" s="1508"/>
      <c r="DA620" s="1508"/>
      <c r="DB620" s="1508"/>
      <c r="DC620" s="1508">
        <f t="shared" si="13"/>
        <v>0</v>
      </c>
      <c r="DD620" s="1508"/>
      <c r="DE620" s="1508"/>
      <c r="DF620" s="1508"/>
      <c r="DG620" s="1508"/>
      <c r="DH620" s="1508">
        <f t="shared" si="14"/>
        <v>0</v>
      </c>
      <c r="DI620" s="1508"/>
      <c r="DJ620" s="1508"/>
      <c r="DK620" s="1508"/>
      <c r="DL620" s="1508"/>
      <c r="DM620" s="1508">
        <f t="shared" si="15"/>
        <v>0</v>
      </c>
      <c r="DN620" s="1508"/>
      <c r="DO620" s="1508"/>
      <c r="DP620" s="1508"/>
      <c r="DQ620" s="1508"/>
      <c r="DR620" s="1508">
        <f t="shared" si="16"/>
        <v>0</v>
      </c>
      <c r="DS620" s="1508"/>
      <c r="DT620" s="1508"/>
      <c r="DU620" s="1508"/>
      <c r="DV620" s="1508"/>
      <c r="DX620" s="1484" t="str">
        <f t="shared" si="17"/>
        <v/>
      </c>
      <c r="DY620" s="1485"/>
      <c r="DZ620" s="1485"/>
      <c r="EA620" s="1485"/>
      <c r="EB620" s="1486"/>
      <c r="EC620" s="1484" t="str">
        <f t="shared" si="18"/>
        <v/>
      </c>
      <c r="ED620" s="1485"/>
      <c r="EE620" s="1485"/>
      <c r="EF620" s="1485"/>
      <c r="EG620" s="1486"/>
      <c r="EH620" s="1484" t="str">
        <f t="shared" si="19"/>
        <v/>
      </c>
      <c r="EI620" s="1485"/>
      <c r="EJ620" s="1485"/>
      <c r="EK620" s="1485"/>
      <c r="EL620" s="1486"/>
      <c r="EM620" s="1484" t="str">
        <f t="shared" si="20"/>
        <v/>
      </c>
      <c r="EN620" s="1485"/>
      <c r="EO620" s="1485"/>
      <c r="EP620" s="1485"/>
      <c r="EQ620" s="1486"/>
      <c r="ER620" s="1484" t="str">
        <f t="shared" si="21"/>
        <v/>
      </c>
      <c r="ES620" s="1485"/>
      <c r="ET620" s="1485"/>
      <c r="EU620" s="1485"/>
      <c r="EV620" s="1486"/>
      <c r="EW620" s="1484" t="str">
        <f t="shared" si="22"/>
        <v/>
      </c>
      <c r="EX620" s="1485"/>
      <c r="EY620" s="1485"/>
      <c r="EZ620" s="1485"/>
      <c r="FA620" s="1486"/>
    </row>
    <row r="621" spans="1:157" ht="12.95" customHeight="1">
      <c r="A621" s="2"/>
      <c r="B621" s="2"/>
      <c r="C621" s="2"/>
      <c r="AZ621" s="3"/>
      <c r="BA621" s="3"/>
      <c r="BB621" s="3"/>
      <c r="BC621" s="3"/>
      <c r="BD621" s="3"/>
      <c r="BE621" s="1484">
        <f t="shared" si="1"/>
        <v>0</v>
      </c>
      <c r="BF621" s="1486"/>
      <c r="BG621" s="1509">
        <f t="shared" si="2"/>
        <v>0</v>
      </c>
      <c r="BH621" s="1511"/>
      <c r="BI621" s="1484">
        <f t="shared" si="3"/>
        <v>0</v>
      </c>
      <c r="BJ621" s="1486"/>
      <c r="BK621" s="1509">
        <f t="shared" si="4"/>
        <v>0</v>
      </c>
      <c r="BL621" s="1511"/>
      <c r="BM621" s="3"/>
      <c r="BN621" s="1497">
        <f t="shared" si="5"/>
        <v>0</v>
      </c>
      <c r="BO621" s="1498"/>
      <c r="BP621" s="1498"/>
      <c r="BQ621" s="1498"/>
      <c r="BR621" s="1499"/>
      <c r="BS621" s="1502">
        <f t="shared" si="6"/>
        <v>0</v>
      </c>
      <c r="BT621" s="1502"/>
      <c r="BU621" s="1502"/>
      <c r="BV621" s="1502"/>
      <c r="BW621" s="1502"/>
      <c r="BX621" s="1502">
        <f t="shared" si="7"/>
        <v>0</v>
      </c>
      <c r="BY621" s="1502"/>
      <c r="BZ621" s="1502"/>
      <c r="CA621" s="1502"/>
      <c r="CB621" s="1502"/>
      <c r="CC621" s="1502">
        <f t="shared" si="8"/>
        <v>0</v>
      </c>
      <c r="CD621" s="1502"/>
      <c r="CE621" s="1502"/>
      <c r="CF621" s="1502"/>
      <c r="CG621" s="1502"/>
      <c r="CH621" s="1502">
        <f t="shared" si="9"/>
        <v>0</v>
      </c>
      <c r="CI621" s="1502"/>
      <c r="CJ621" s="1502"/>
      <c r="CK621" s="1502"/>
      <c r="CL621" s="1502"/>
      <c r="CM621" s="1502">
        <f t="shared" si="10"/>
        <v>0</v>
      </c>
      <c r="CN621" s="1502"/>
      <c r="CO621" s="1502"/>
      <c r="CP621" s="1502"/>
      <c r="CQ621" s="1502"/>
      <c r="CR621" s="6"/>
      <c r="CS621" s="1508">
        <f t="shared" si="11"/>
        <v>0</v>
      </c>
      <c r="CT621" s="1508"/>
      <c r="CU621" s="1508"/>
      <c r="CV621" s="1508"/>
      <c r="CW621" s="1508"/>
      <c r="CX621" s="1508">
        <f t="shared" si="12"/>
        <v>0</v>
      </c>
      <c r="CY621" s="1508"/>
      <c r="CZ621" s="1508"/>
      <c r="DA621" s="1508"/>
      <c r="DB621" s="1508"/>
      <c r="DC621" s="1508">
        <f t="shared" si="13"/>
        <v>0</v>
      </c>
      <c r="DD621" s="1508"/>
      <c r="DE621" s="1508"/>
      <c r="DF621" s="1508"/>
      <c r="DG621" s="1508"/>
      <c r="DH621" s="1508">
        <f t="shared" si="14"/>
        <v>0</v>
      </c>
      <c r="DI621" s="1508"/>
      <c r="DJ621" s="1508"/>
      <c r="DK621" s="1508"/>
      <c r="DL621" s="1508"/>
      <c r="DM621" s="1508">
        <f t="shared" si="15"/>
        <v>0</v>
      </c>
      <c r="DN621" s="1508"/>
      <c r="DO621" s="1508"/>
      <c r="DP621" s="1508"/>
      <c r="DQ621" s="1508"/>
      <c r="DR621" s="1508">
        <f t="shared" si="16"/>
        <v>0</v>
      </c>
      <c r="DS621" s="1508"/>
      <c r="DT621" s="1508"/>
      <c r="DU621" s="1508"/>
      <c r="DV621" s="1508"/>
      <c r="DX621" s="1484" t="str">
        <f t="shared" si="17"/>
        <v/>
      </c>
      <c r="DY621" s="1485"/>
      <c r="DZ621" s="1485"/>
      <c r="EA621" s="1485"/>
      <c r="EB621" s="1486"/>
      <c r="EC621" s="1484" t="str">
        <f t="shared" si="18"/>
        <v/>
      </c>
      <c r="ED621" s="1485"/>
      <c r="EE621" s="1485"/>
      <c r="EF621" s="1485"/>
      <c r="EG621" s="1486"/>
      <c r="EH621" s="1484" t="str">
        <f t="shared" si="19"/>
        <v/>
      </c>
      <c r="EI621" s="1485"/>
      <c r="EJ621" s="1485"/>
      <c r="EK621" s="1485"/>
      <c r="EL621" s="1486"/>
      <c r="EM621" s="1484" t="str">
        <f t="shared" si="20"/>
        <v/>
      </c>
      <c r="EN621" s="1485"/>
      <c r="EO621" s="1485"/>
      <c r="EP621" s="1485"/>
      <c r="EQ621" s="1486"/>
      <c r="ER621" s="1484" t="str">
        <f t="shared" si="21"/>
        <v/>
      </c>
      <c r="ES621" s="1485"/>
      <c r="ET621" s="1485"/>
      <c r="EU621" s="1485"/>
      <c r="EV621" s="1486"/>
      <c r="EW621" s="1484" t="str">
        <f t="shared" si="22"/>
        <v/>
      </c>
      <c r="EX621" s="1485"/>
      <c r="EY621" s="1485"/>
      <c r="EZ621" s="1485"/>
      <c r="FA621" s="1486"/>
    </row>
    <row r="622" spans="1:157" ht="12.95" customHeight="1">
      <c r="C622" s="2" t="s">
        <v>2418</v>
      </c>
      <c r="AZ622" s="3"/>
      <c r="BA622" s="3"/>
      <c r="BB622" s="3"/>
      <c r="BC622" s="3"/>
      <c r="BD622" s="3"/>
      <c r="BE622" s="1484">
        <f t="shared" si="1"/>
        <v>0</v>
      </c>
      <c r="BF622" s="1486"/>
      <c r="BG622" s="1509">
        <f t="shared" si="2"/>
        <v>0</v>
      </c>
      <c r="BH622" s="1511"/>
      <c r="BI622" s="1484">
        <f t="shared" si="3"/>
        <v>0</v>
      </c>
      <c r="BJ622" s="1486"/>
      <c r="BK622" s="1509">
        <f t="shared" si="4"/>
        <v>0</v>
      </c>
      <c r="BL622" s="1511"/>
      <c r="BM622" s="3"/>
      <c r="BN622" s="1497">
        <f t="shared" si="5"/>
        <v>0</v>
      </c>
      <c r="BO622" s="1498"/>
      <c r="BP622" s="1498"/>
      <c r="BQ622" s="1498"/>
      <c r="BR622" s="1499"/>
      <c r="BS622" s="1502">
        <f t="shared" si="6"/>
        <v>0</v>
      </c>
      <c r="BT622" s="1502"/>
      <c r="BU622" s="1502"/>
      <c r="BV622" s="1502"/>
      <c r="BW622" s="1502"/>
      <c r="BX622" s="1502">
        <f t="shared" si="7"/>
        <v>0</v>
      </c>
      <c r="BY622" s="1502"/>
      <c r="BZ622" s="1502"/>
      <c r="CA622" s="1502"/>
      <c r="CB622" s="1502"/>
      <c r="CC622" s="1502">
        <f t="shared" si="8"/>
        <v>0</v>
      </c>
      <c r="CD622" s="1502"/>
      <c r="CE622" s="1502"/>
      <c r="CF622" s="1502"/>
      <c r="CG622" s="1502"/>
      <c r="CH622" s="1502">
        <f t="shared" si="9"/>
        <v>0</v>
      </c>
      <c r="CI622" s="1502"/>
      <c r="CJ622" s="1502"/>
      <c r="CK622" s="1502"/>
      <c r="CL622" s="1502"/>
      <c r="CM622" s="1502">
        <f t="shared" si="10"/>
        <v>0</v>
      </c>
      <c r="CN622" s="1502"/>
      <c r="CO622" s="1502"/>
      <c r="CP622" s="1502"/>
      <c r="CQ622" s="1502"/>
      <c r="CR622" s="6"/>
      <c r="CS622" s="1508">
        <f t="shared" si="11"/>
        <v>0</v>
      </c>
      <c r="CT622" s="1508"/>
      <c r="CU622" s="1508"/>
      <c r="CV622" s="1508"/>
      <c r="CW622" s="1508"/>
      <c r="CX622" s="1508">
        <f t="shared" si="12"/>
        <v>0</v>
      </c>
      <c r="CY622" s="1508"/>
      <c r="CZ622" s="1508"/>
      <c r="DA622" s="1508"/>
      <c r="DB622" s="1508"/>
      <c r="DC622" s="1508">
        <f t="shared" si="13"/>
        <v>0</v>
      </c>
      <c r="DD622" s="1508"/>
      <c r="DE622" s="1508"/>
      <c r="DF622" s="1508"/>
      <c r="DG622" s="1508"/>
      <c r="DH622" s="1508">
        <f t="shared" si="14"/>
        <v>0</v>
      </c>
      <c r="DI622" s="1508"/>
      <c r="DJ622" s="1508"/>
      <c r="DK622" s="1508"/>
      <c r="DL622" s="1508"/>
      <c r="DM622" s="1508">
        <f t="shared" si="15"/>
        <v>0</v>
      </c>
      <c r="DN622" s="1508"/>
      <c r="DO622" s="1508"/>
      <c r="DP622" s="1508"/>
      <c r="DQ622" s="1508"/>
      <c r="DR622" s="1508">
        <f t="shared" si="16"/>
        <v>0</v>
      </c>
      <c r="DS622" s="1508"/>
      <c r="DT622" s="1508"/>
      <c r="DU622" s="1508"/>
      <c r="DV622" s="1508"/>
      <c r="DX622" s="1484" t="str">
        <f t="shared" si="17"/>
        <v/>
      </c>
      <c r="DY622" s="1485"/>
      <c r="DZ622" s="1485"/>
      <c r="EA622" s="1485"/>
      <c r="EB622" s="1486"/>
      <c r="EC622" s="1484" t="str">
        <f t="shared" si="18"/>
        <v/>
      </c>
      <c r="ED622" s="1485"/>
      <c r="EE622" s="1485"/>
      <c r="EF622" s="1485"/>
      <c r="EG622" s="1486"/>
      <c r="EH622" s="1484" t="str">
        <f t="shared" si="19"/>
        <v/>
      </c>
      <c r="EI622" s="1485"/>
      <c r="EJ622" s="1485"/>
      <c r="EK622" s="1485"/>
      <c r="EL622" s="1486"/>
      <c r="EM622" s="1484" t="str">
        <f t="shared" si="20"/>
        <v/>
      </c>
      <c r="EN622" s="1485"/>
      <c r="EO622" s="1485"/>
      <c r="EP622" s="1485"/>
      <c r="EQ622" s="1486"/>
      <c r="ER622" s="1484" t="str">
        <f t="shared" si="21"/>
        <v/>
      </c>
      <c r="ES622" s="1485"/>
      <c r="ET622" s="1485"/>
      <c r="EU622" s="1485"/>
      <c r="EV622" s="1486"/>
      <c r="EW622" s="1484" t="str">
        <f t="shared" si="22"/>
        <v/>
      </c>
      <c r="EX622" s="1485"/>
      <c r="EY622" s="1485"/>
      <c r="EZ622" s="1485"/>
      <c r="FA622" s="1486"/>
    </row>
    <row r="623" spans="1:157" ht="12.95" customHeight="1">
      <c r="B623" s="546"/>
      <c r="C623" s="2"/>
      <c r="AU623" s="3"/>
      <c r="AZ623" s="3"/>
      <c r="BA623" s="3"/>
      <c r="BB623" s="3"/>
      <c r="BC623" s="3"/>
      <c r="BD623" s="3"/>
      <c r="BE623" s="1484">
        <f t="shared" si="1"/>
        <v>0</v>
      </c>
      <c r="BF623" s="1486"/>
      <c r="BG623" s="1509">
        <f t="shared" si="2"/>
        <v>0</v>
      </c>
      <c r="BH623" s="1511"/>
      <c r="BI623" s="1484">
        <f t="shared" si="3"/>
        <v>0</v>
      </c>
      <c r="BJ623" s="1486"/>
      <c r="BK623" s="1509">
        <f t="shared" si="4"/>
        <v>0</v>
      </c>
      <c r="BL623" s="1511"/>
      <c r="BM623" s="3"/>
      <c r="BN623" s="1497">
        <f t="shared" si="5"/>
        <v>0</v>
      </c>
      <c r="BO623" s="1498"/>
      <c r="BP623" s="1498"/>
      <c r="BQ623" s="1498"/>
      <c r="BR623" s="1499"/>
      <c r="BS623" s="1502">
        <f t="shared" si="6"/>
        <v>0</v>
      </c>
      <c r="BT623" s="1502"/>
      <c r="BU623" s="1502"/>
      <c r="BV623" s="1502"/>
      <c r="BW623" s="1502"/>
      <c r="BX623" s="1502">
        <f t="shared" si="7"/>
        <v>0</v>
      </c>
      <c r="BY623" s="1502"/>
      <c r="BZ623" s="1502"/>
      <c r="CA623" s="1502"/>
      <c r="CB623" s="1502"/>
      <c r="CC623" s="1502">
        <f t="shared" si="8"/>
        <v>0</v>
      </c>
      <c r="CD623" s="1502"/>
      <c r="CE623" s="1502"/>
      <c r="CF623" s="1502"/>
      <c r="CG623" s="1502"/>
      <c r="CH623" s="1502">
        <f t="shared" si="9"/>
        <v>0</v>
      </c>
      <c r="CI623" s="1502"/>
      <c r="CJ623" s="1502"/>
      <c r="CK623" s="1502"/>
      <c r="CL623" s="1502"/>
      <c r="CM623" s="1502">
        <f t="shared" si="10"/>
        <v>0</v>
      </c>
      <c r="CN623" s="1502"/>
      <c r="CO623" s="1502"/>
      <c r="CP623" s="1502"/>
      <c r="CQ623" s="1502"/>
      <c r="CR623" s="6"/>
      <c r="CS623" s="1508">
        <f t="shared" si="11"/>
        <v>0</v>
      </c>
      <c r="CT623" s="1508"/>
      <c r="CU623" s="1508"/>
      <c r="CV623" s="1508"/>
      <c r="CW623" s="1508"/>
      <c r="CX623" s="1508">
        <f t="shared" si="12"/>
        <v>0</v>
      </c>
      <c r="CY623" s="1508"/>
      <c r="CZ623" s="1508"/>
      <c r="DA623" s="1508"/>
      <c r="DB623" s="1508"/>
      <c r="DC623" s="1508">
        <f t="shared" si="13"/>
        <v>0</v>
      </c>
      <c r="DD623" s="1508"/>
      <c r="DE623" s="1508"/>
      <c r="DF623" s="1508"/>
      <c r="DG623" s="1508"/>
      <c r="DH623" s="1508">
        <f t="shared" si="14"/>
        <v>0</v>
      </c>
      <c r="DI623" s="1508"/>
      <c r="DJ623" s="1508"/>
      <c r="DK623" s="1508"/>
      <c r="DL623" s="1508"/>
      <c r="DM623" s="1508">
        <f t="shared" si="15"/>
        <v>0</v>
      </c>
      <c r="DN623" s="1508"/>
      <c r="DO623" s="1508"/>
      <c r="DP623" s="1508"/>
      <c r="DQ623" s="1508"/>
      <c r="DR623" s="1508">
        <f t="shared" si="16"/>
        <v>0</v>
      </c>
      <c r="DS623" s="1508"/>
      <c r="DT623" s="1508"/>
      <c r="DU623" s="1508"/>
      <c r="DV623" s="1508"/>
      <c r="DX623" s="1484" t="str">
        <f t="shared" si="17"/>
        <v/>
      </c>
      <c r="DY623" s="1485"/>
      <c r="DZ623" s="1485"/>
      <c r="EA623" s="1485"/>
      <c r="EB623" s="1486"/>
      <c r="EC623" s="1484" t="str">
        <f t="shared" si="18"/>
        <v/>
      </c>
      <c r="ED623" s="1485"/>
      <c r="EE623" s="1485"/>
      <c r="EF623" s="1485"/>
      <c r="EG623" s="1486"/>
      <c r="EH623" s="1484" t="str">
        <f t="shared" si="19"/>
        <v/>
      </c>
      <c r="EI623" s="1485"/>
      <c r="EJ623" s="1485"/>
      <c r="EK623" s="1485"/>
      <c r="EL623" s="1486"/>
      <c r="EM623" s="1484" t="str">
        <f t="shared" si="20"/>
        <v/>
      </c>
      <c r="EN623" s="1485"/>
      <c r="EO623" s="1485"/>
      <c r="EP623" s="1485"/>
      <c r="EQ623" s="1486"/>
      <c r="ER623" s="1484" t="str">
        <f t="shared" si="21"/>
        <v/>
      </c>
      <c r="ES623" s="1485"/>
      <c r="ET623" s="1485"/>
      <c r="EU623" s="1485"/>
      <c r="EV623" s="1486"/>
      <c r="EW623" s="1484" t="str">
        <f t="shared" si="22"/>
        <v/>
      </c>
      <c r="EX623" s="1485"/>
      <c r="EY623" s="1485"/>
      <c r="EZ623" s="1485"/>
      <c r="FA623" s="1486"/>
    </row>
    <row r="624" spans="1:157" ht="12.95" customHeight="1">
      <c r="B624" s="1719" t="s">
        <v>2420</v>
      </c>
      <c r="C624" s="1719"/>
      <c r="D624" s="1719"/>
      <c r="E624" s="1719"/>
      <c r="F624" s="1719"/>
      <c r="G624" s="1719"/>
      <c r="H624" s="1719"/>
      <c r="I624" s="1719"/>
      <c r="J624" s="1719"/>
      <c r="K624" s="1719"/>
      <c r="L624" s="1719"/>
      <c r="M624" s="1482" t="s">
        <v>2421</v>
      </c>
      <c r="N624" s="1482"/>
      <c r="O624" s="1482"/>
      <c r="P624" s="1482"/>
      <c r="Q624" s="1482" t="s">
        <v>2042</v>
      </c>
      <c r="R624" s="1482"/>
      <c r="S624" s="1482"/>
      <c r="T624" s="1482" t="s">
        <v>2040</v>
      </c>
      <c r="U624" s="1482"/>
      <c r="V624" s="1482"/>
      <c r="W624" s="1483" t="s">
        <v>461</v>
      </c>
      <c r="X624" s="1483"/>
      <c r="Y624" s="1483"/>
      <c r="Z624" s="1515" t="s">
        <v>2450</v>
      </c>
      <c r="AA624" s="1515"/>
      <c r="AB624" s="1516"/>
      <c r="AC624" s="1723" t="s">
        <v>1863</v>
      </c>
      <c r="AD624" s="1724"/>
      <c r="AE624" s="1725"/>
      <c r="AF624" s="1712" t="s">
        <v>2229</v>
      </c>
      <c r="AG624" s="1515"/>
      <c r="AH624" s="1515"/>
      <c r="AI624" s="1515"/>
      <c r="AJ624" s="1516"/>
      <c r="AK624" s="1472" t="s">
        <v>2230</v>
      </c>
      <c r="AL624" s="1473"/>
      <c r="AM624" s="1473"/>
      <c r="AN624" s="1474"/>
      <c r="AO624" s="1482" t="s">
        <v>462</v>
      </c>
      <c r="AP624" s="1482"/>
      <c r="AQ624" s="1482"/>
      <c r="AR624" s="1482"/>
      <c r="AS624" s="1482"/>
      <c r="AU624" s="3"/>
      <c r="AZ624" s="3"/>
      <c r="BA624" s="3"/>
      <c r="BB624" s="3"/>
      <c r="BC624" s="3"/>
      <c r="BD624" s="3"/>
      <c r="BE624" s="1484">
        <f t="shared" si="1"/>
        <v>0</v>
      </c>
      <c r="BF624" s="1486"/>
      <c r="BG624" s="1509">
        <f t="shared" si="2"/>
        <v>0</v>
      </c>
      <c r="BH624" s="1511"/>
      <c r="BI624" s="1484">
        <f t="shared" si="3"/>
        <v>0</v>
      </c>
      <c r="BJ624" s="1486"/>
      <c r="BK624" s="1509">
        <f t="shared" si="4"/>
        <v>0</v>
      </c>
      <c r="BL624" s="1511"/>
      <c r="BM624" s="3"/>
      <c r="BN624" s="1497">
        <f t="shared" si="5"/>
        <v>0</v>
      </c>
      <c r="BO624" s="1498"/>
      <c r="BP624" s="1498"/>
      <c r="BQ624" s="1498"/>
      <c r="BR624" s="1499"/>
      <c r="BS624" s="1502">
        <f t="shared" si="6"/>
        <v>0</v>
      </c>
      <c r="BT624" s="1502"/>
      <c r="BU624" s="1502"/>
      <c r="BV624" s="1502"/>
      <c r="BW624" s="1502"/>
      <c r="BX624" s="1502">
        <f t="shared" si="7"/>
        <v>0</v>
      </c>
      <c r="BY624" s="1502"/>
      <c r="BZ624" s="1502"/>
      <c r="CA624" s="1502"/>
      <c r="CB624" s="1502"/>
      <c r="CC624" s="1502">
        <f t="shared" si="8"/>
        <v>0</v>
      </c>
      <c r="CD624" s="1502"/>
      <c r="CE624" s="1502"/>
      <c r="CF624" s="1502"/>
      <c r="CG624" s="1502"/>
      <c r="CH624" s="1502">
        <f t="shared" si="9"/>
        <v>0</v>
      </c>
      <c r="CI624" s="1502"/>
      <c r="CJ624" s="1502"/>
      <c r="CK624" s="1502"/>
      <c r="CL624" s="1502"/>
      <c r="CM624" s="1502">
        <f t="shared" si="10"/>
        <v>0</v>
      </c>
      <c r="CN624" s="1502"/>
      <c r="CO624" s="1502"/>
      <c r="CP624" s="1502"/>
      <c r="CQ624" s="1502"/>
      <c r="CR624" s="6"/>
      <c r="CS624" s="1508">
        <f t="shared" si="11"/>
        <v>0</v>
      </c>
      <c r="CT624" s="1508"/>
      <c r="CU624" s="1508"/>
      <c r="CV624" s="1508"/>
      <c r="CW624" s="1508"/>
      <c r="CX624" s="1508">
        <f t="shared" si="12"/>
        <v>0</v>
      </c>
      <c r="CY624" s="1508"/>
      <c r="CZ624" s="1508"/>
      <c r="DA624" s="1508"/>
      <c r="DB624" s="1508"/>
      <c r="DC624" s="1508">
        <f t="shared" si="13"/>
        <v>0</v>
      </c>
      <c r="DD624" s="1508"/>
      <c r="DE624" s="1508"/>
      <c r="DF624" s="1508"/>
      <c r="DG624" s="1508"/>
      <c r="DH624" s="1508">
        <f t="shared" si="14"/>
        <v>0</v>
      </c>
      <c r="DI624" s="1508"/>
      <c r="DJ624" s="1508"/>
      <c r="DK624" s="1508"/>
      <c r="DL624" s="1508"/>
      <c r="DM624" s="1508">
        <f t="shared" si="15"/>
        <v>0</v>
      </c>
      <c r="DN624" s="1508"/>
      <c r="DO624" s="1508"/>
      <c r="DP624" s="1508"/>
      <c r="DQ624" s="1508"/>
      <c r="DR624" s="1508">
        <f t="shared" si="16"/>
        <v>0</v>
      </c>
      <c r="DS624" s="1508"/>
      <c r="DT624" s="1508"/>
      <c r="DU624" s="1508"/>
      <c r="DV624" s="1508"/>
      <c r="DX624" s="1484" t="str">
        <f t="shared" si="17"/>
        <v/>
      </c>
      <c r="DY624" s="1485"/>
      <c r="DZ624" s="1485"/>
      <c r="EA624" s="1485"/>
      <c r="EB624" s="1486"/>
      <c r="EC624" s="1484" t="str">
        <f t="shared" si="18"/>
        <v/>
      </c>
      <c r="ED624" s="1485"/>
      <c r="EE624" s="1485"/>
      <c r="EF624" s="1485"/>
      <c r="EG624" s="1486"/>
      <c r="EH624" s="1484" t="str">
        <f t="shared" si="19"/>
        <v/>
      </c>
      <c r="EI624" s="1485"/>
      <c r="EJ624" s="1485"/>
      <c r="EK624" s="1485"/>
      <c r="EL624" s="1486"/>
      <c r="EM624" s="1484" t="str">
        <f t="shared" si="20"/>
        <v/>
      </c>
      <c r="EN624" s="1485"/>
      <c r="EO624" s="1485"/>
      <c r="EP624" s="1485"/>
      <c r="EQ624" s="1486"/>
      <c r="ER624" s="1484" t="str">
        <f t="shared" si="21"/>
        <v/>
      </c>
      <c r="ES624" s="1485"/>
      <c r="ET624" s="1485"/>
      <c r="EU624" s="1485"/>
      <c r="EV624" s="1486"/>
      <c r="EW624" s="1484" t="str">
        <f t="shared" si="22"/>
        <v/>
      </c>
      <c r="EX624" s="1485"/>
      <c r="EY624" s="1485"/>
      <c r="EZ624" s="1485"/>
      <c r="FA624" s="1486"/>
    </row>
    <row r="625" spans="2:157" ht="12.95" customHeight="1">
      <c r="B625" s="1719"/>
      <c r="C625" s="1719"/>
      <c r="D625" s="1719"/>
      <c r="E625" s="1719"/>
      <c r="F625" s="1719"/>
      <c r="G625" s="1719"/>
      <c r="H625" s="1719"/>
      <c r="I625" s="1719"/>
      <c r="J625" s="1719"/>
      <c r="K625" s="1719"/>
      <c r="L625" s="1719"/>
      <c r="M625" s="1482"/>
      <c r="N625" s="1482"/>
      <c r="O625" s="1482"/>
      <c r="P625" s="1482"/>
      <c r="Q625" s="1482"/>
      <c r="R625" s="1482"/>
      <c r="S625" s="1482"/>
      <c r="T625" s="1482"/>
      <c r="U625" s="1482"/>
      <c r="V625" s="1482"/>
      <c r="W625" s="1483"/>
      <c r="X625" s="1483"/>
      <c r="Y625" s="1483"/>
      <c r="Z625" s="1517"/>
      <c r="AA625" s="1517"/>
      <c r="AB625" s="1518"/>
      <c r="AC625" s="1726"/>
      <c r="AD625" s="1727"/>
      <c r="AE625" s="1728"/>
      <c r="AF625" s="1713"/>
      <c r="AG625" s="1517"/>
      <c r="AH625" s="1517"/>
      <c r="AI625" s="1517"/>
      <c r="AJ625" s="1518"/>
      <c r="AK625" s="1475"/>
      <c r="AL625" s="1476"/>
      <c r="AM625" s="1476"/>
      <c r="AN625" s="1477"/>
      <c r="AO625" s="1482"/>
      <c r="AP625" s="1482"/>
      <c r="AQ625" s="1482"/>
      <c r="AR625" s="1482"/>
      <c r="AS625" s="1482"/>
      <c r="AU625" s="3"/>
      <c r="AZ625" s="3"/>
      <c r="BA625" s="3"/>
      <c r="BB625" s="3"/>
      <c r="BC625" s="3"/>
      <c r="BD625" s="3"/>
      <c r="BE625" s="1484">
        <f t="shared" si="1"/>
        <v>0</v>
      </c>
      <c r="BF625" s="1486"/>
      <c r="BG625" s="1509">
        <f t="shared" si="2"/>
        <v>0</v>
      </c>
      <c r="BH625" s="1511"/>
      <c r="BI625" s="1484">
        <f t="shared" si="3"/>
        <v>0</v>
      </c>
      <c r="BJ625" s="1486"/>
      <c r="BK625" s="1509">
        <f t="shared" si="4"/>
        <v>0</v>
      </c>
      <c r="BL625" s="1511"/>
      <c r="BM625" s="3"/>
      <c r="BN625" s="1497">
        <f t="shared" si="5"/>
        <v>0</v>
      </c>
      <c r="BO625" s="1498"/>
      <c r="BP625" s="1498"/>
      <c r="BQ625" s="1498"/>
      <c r="BR625" s="1499"/>
      <c r="BS625" s="1502">
        <f t="shared" si="6"/>
        <v>0</v>
      </c>
      <c r="BT625" s="1502"/>
      <c r="BU625" s="1502"/>
      <c r="BV625" s="1502"/>
      <c r="BW625" s="1502"/>
      <c r="BX625" s="1502">
        <f t="shared" si="7"/>
        <v>0</v>
      </c>
      <c r="BY625" s="1502"/>
      <c r="BZ625" s="1502"/>
      <c r="CA625" s="1502"/>
      <c r="CB625" s="1502"/>
      <c r="CC625" s="1502">
        <f t="shared" si="8"/>
        <v>0</v>
      </c>
      <c r="CD625" s="1502"/>
      <c r="CE625" s="1502"/>
      <c r="CF625" s="1502"/>
      <c r="CG625" s="1502"/>
      <c r="CH625" s="1502">
        <f t="shared" si="9"/>
        <v>0</v>
      </c>
      <c r="CI625" s="1502"/>
      <c r="CJ625" s="1502"/>
      <c r="CK625" s="1502"/>
      <c r="CL625" s="1502"/>
      <c r="CM625" s="1502">
        <f t="shared" si="10"/>
        <v>0</v>
      </c>
      <c r="CN625" s="1502"/>
      <c r="CO625" s="1502"/>
      <c r="CP625" s="1502"/>
      <c r="CQ625" s="1502"/>
      <c r="CR625" s="6"/>
      <c r="CS625" s="1508">
        <f t="shared" si="11"/>
        <v>0</v>
      </c>
      <c r="CT625" s="1508"/>
      <c r="CU625" s="1508"/>
      <c r="CV625" s="1508"/>
      <c r="CW625" s="1508"/>
      <c r="CX625" s="1508">
        <f t="shared" si="12"/>
        <v>0</v>
      </c>
      <c r="CY625" s="1508"/>
      <c r="CZ625" s="1508"/>
      <c r="DA625" s="1508"/>
      <c r="DB625" s="1508"/>
      <c r="DC625" s="1508">
        <f t="shared" si="13"/>
        <v>0</v>
      </c>
      <c r="DD625" s="1508"/>
      <c r="DE625" s="1508"/>
      <c r="DF625" s="1508"/>
      <c r="DG625" s="1508"/>
      <c r="DH625" s="1508">
        <f t="shared" si="14"/>
        <v>0</v>
      </c>
      <c r="DI625" s="1508"/>
      <c r="DJ625" s="1508"/>
      <c r="DK625" s="1508"/>
      <c r="DL625" s="1508"/>
      <c r="DM625" s="1508">
        <f t="shared" si="15"/>
        <v>0</v>
      </c>
      <c r="DN625" s="1508"/>
      <c r="DO625" s="1508"/>
      <c r="DP625" s="1508"/>
      <c r="DQ625" s="1508"/>
      <c r="DR625" s="1508">
        <f t="shared" si="16"/>
        <v>0</v>
      </c>
      <c r="DS625" s="1508"/>
      <c r="DT625" s="1508"/>
      <c r="DU625" s="1508"/>
      <c r="DV625" s="1508"/>
      <c r="DX625" s="1484" t="str">
        <f t="shared" si="17"/>
        <v/>
      </c>
      <c r="DY625" s="1485"/>
      <c r="DZ625" s="1485"/>
      <c r="EA625" s="1485"/>
      <c r="EB625" s="1486"/>
      <c r="EC625" s="1484" t="str">
        <f t="shared" si="18"/>
        <v/>
      </c>
      <c r="ED625" s="1485"/>
      <c r="EE625" s="1485"/>
      <c r="EF625" s="1485"/>
      <c r="EG625" s="1486"/>
      <c r="EH625" s="1484" t="str">
        <f t="shared" si="19"/>
        <v/>
      </c>
      <c r="EI625" s="1485"/>
      <c r="EJ625" s="1485"/>
      <c r="EK625" s="1485"/>
      <c r="EL625" s="1486"/>
      <c r="EM625" s="1484" t="str">
        <f t="shared" si="20"/>
        <v/>
      </c>
      <c r="EN625" s="1485"/>
      <c r="EO625" s="1485"/>
      <c r="EP625" s="1485"/>
      <c r="EQ625" s="1486"/>
      <c r="ER625" s="1484" t="str">
        <f t="shared" si="21"/>
        <v/>
      </c>
      <c r="ES625" s="1485"/>
      <c r="ET625" s="1485"/>
      <c r="EU625" s="1485"/>
      <c r="EV625" s="1486"/>
      <c r="EW625" s="1484" t="str">
        <f t="shared" si="22"/>
        <v/>
      </c>
      <c r="EX625" s="1485"/>
      <c r="EY625" s="1485"/>
      <c r="EZ625" s="1485"/>
      <c r="FA625" s="1486"/>
    </row>
    <row r="626" spans="2:157" ht="12.95" customHeight="1">
      <c r="B626" s="1719"/>
      <c r="C626" s="1719"/>
      <c r="D626" s="1719"/>
      <c r="E626" s="1719"/>
      <c r="F626" s="1719"/>
      <c r="G626" s="1719"/>
      <c r="H626" s="1719"/>
      <c r="I626" s="1719"/>
      <c r="J626" s="1719"/>
      <c r="K626" s="1719"/>
      <c r="L626" s="1719"/>
      <c r="M626" s="1482"/>
      <c r="N626" s="1482"/>
      <c r="O626" s="1482"/>
      <c r="P626" s="1482"/>
      <c r="Q626" s="1482"/>
      <c r="R626" s="1482"/>
      <c r="S626" s="1482"/>
      <c r="T626" s="1482"/>
      <c r="U626" s="1482"/>
      <c r="V626" s="1482"/>
      <c r="W626" s="1483"/>
      <c r="X626" s="1483"/>
      <c r="Y626" s="1483"/>
      <c r="Z626" s="1519"/>
      <c r="AA626" s="1519"/>
      <c r="AB626" s="1520"/>
      <c r="AC626" s="1729"/>
      <c r="AD626" s="1730"/>
      <c r="AE626" s="1731"/>
      <c r="AF626" s="1714"/>
      <c r="AG626" s="1519"/>
      <c r="AH626" s="1519"/>
      <c r="AI626" s="1519"/>
      <c r="AJ626" s="1520"/>
      <c r="AK626" s="1478"/>
      <c r="AL626" s="1479"/>
      <c r="AM626" s="1479"/>
      <c r="AN626" s="1480"/>
      <c r="AO626" s="1482"/>
      <c r="AP626" s="1482"/>
      <c r="AQ626" s="1482"/>
      <c r="AR626" s="1482"/>
      <c r="AS626" s="1482"/>
      <c r="AT626" s="3"/>
      <c r="AU626" s="3"/>
      <c r="AZ626" s="3"/>
      <c r="BA626" s="3"/>
      <c r="BB626" s="3"/>
      <c r="BC626" s="3"/>
      <c r="BD626" s="3"/>
      <c r="BE626" s="1484">
        <f t="shared" si="1"/>
        <v>0</v>
      </c>
      <c r="BF626" s="1486"/>
      <c r="BG626" s="1509">
        <f t="shared" si="2"/>
        <v>0</v>
      </c>
      <c r="BH626" s="1511"/>
      <c r="BI626" s="1484">
        <f t="shared" si="3"/>
        <v>0</v>
      </c>
      <c r="BJ626" s="1486"/>
      <c r="BK626" s="1509">
        <f t="shared" si="4"/>
        <v>0</v>
      </c>
      <c r="BL626" s="1511"/>
      <c r="BM626" s="3"/>
      <c r="BN626" s="1497">
        <f t="shared" si="5"/>
        <v>0</v>
      </c>
      <c r="BO626" s="1498"/>
      <c r="BP626" s="1498"/>
      <c r="BQ626" s="1498"/>
      <c r="BR626" s="1499"/>
      <c r="BS626" s="1502">
        <f t="shared" si="6"/>
        <v>0</v>
      </c>
      <c r="BT626" s="1502"/>
      <c r="BU626" s="1502"/>
      <c r="BV626" s="1502"/>
      <c r="BW626" s="1502"/>
      <c r="BX626" s="1502">
        <f t="shared" si="7"/>
        <v>0</v>
      </c>
      <c r="BY626" s="1502"/>
      <c r="BZ626" s="1502"/>
      <c r="CA626" s="1502"/>
      <c r="CB626" s="1502"/>
      <c r="CC626" s="1502">
        <f t="shared" si="8"/>
        <v>0</v>
      </c>
      <c r="CD626" s="1502"/>
      <c r="CE626" s="1502"/>
      <c r="CF626" s="1502"/>
      <c r="CG626" s="1502"/>
      <c r="CH626" s="1502">
        <f t="shared" si="9"/>
        <v>0</v>
      </c>
      <c r="CI626" s="1502"/>
      <c r="CJ626" s="1502"/>
      <c r="CK626" s="1502"/>
      <c r="CL626" s="1502"/>
      <c r="CM626" s="1502">
        <f t="shared" si="10"/>
        <v>0</v>
      </c>
      <c r="CN626" s="1502"/>
      <c r="CO626" s="1502"/>
      <c r="CP626" s="1502"/>
      <c r="CQ626" s="1502"/>
      <c r="CR626" s="6"/>
      <c r="CS626" s="1508">
        <f t="shared" si="11"/>
        <v>0</v>
      </c>
      <c r="CT626" s="1508"/>
      <c r="CU626" s="1508"/>
      <c r="CV626" s="1508"/>
      <c r="CW626" s="1508"/>
      <c r="CX626" s="1508">
        <f t="shared" si="12"/>
        <v>0</v>
      </c>
      <c r="CY626" s="1508"/>
      <c r="CZ626" s="1508"/>
      <c r="DA626" s="1508"/>
      <c r="DB626" s="1508"/>
      <c r="DC626" s="1508">
        <f t="shared" si="13"/>
        <v>0</v>
      </c>
      <c r="DD626" s="1508"/>
      <c r="DE626" s="1508"/>
      <c r="DF626" s="1508"/>
      <c r="DG626" s="1508"/>
      <c r="DH626" s="1508">
        <f t="shared" si="14"/>
        <v>0</v>
      </c>
      <c r="DI626" s="1508"/>
      <c r="DJ626" s="1508"/>
      <c r="DK626" s="1508"/>
      <c r="DL626" s="1508"/>
      <c r="DM626" s="1508">
        <f t="shared" si="15"/>
        <v>0</v>
      </c>
      <c r="DN626" s="1508"/>
      <c r="DO626" s="1508"/>
      <c r="DP626" s="1508"/>
      <c r="DQ626" s="1508"/>
      <c r="DR626" s="1508">
        <f t="shared" si="16"/>
        <v>0</v>
      </c>
      <c r="DS626" s="1508"/>
      <c r="DT626" s="1508"/>
      <c r="DU626" s="1508"/>
      <c r="DV626" s="1508"/>
      <c r="DX626" s="1484" t="str">
        <f t="shared" si="17"/>
        <v/>
      </c>
      <c r="DY626" s="1485"/>
      <c r="DZ626" s="1485"/>
      <c r="EA626" s="1485"/>
      <c r="EB626" s="1486"/>
      <c r="EC626" s="1484" t="str">
        <f t="shared" si="18"/>
        <v/>
      </c>
      <c r="ED626" s="1485"/>
      <c r="EE626" s="1485"/>
      <c r="EF626" s="1485"/>
      <c r="EG626" s="1486"/>
      <c r="EH626" s="1484" t="str">
        <f t="shared" si="19"/>
        <v/>
      </c>
      <c r="EI626" s="1485"/>
      <c r="EJ626" s="1485"/>
      <c r="EK626" s="1485"/>
      <c r="EL626" s="1486"/>
      <c r="EM626" s="1484" t="str">
        <f t="shared" si="20"/>
        <v/>
      </c>
      <c r="EN626" s="1485"/>
      <c r="EO626" s="1485"/>
      <c r="EP626" s="1485"/>
      <c r="EQ626" s="1486"/>
      <c r="ER626" s="1484" t="str">
        <f t="shared" si="21"/>
        <v/>
      </c>
      <c r="ES626" s="1485"/>
      <c r="ET626" s="1485"/>
      <c r="EU626" s="1485"/>
      <c r="EV626" s="1486"/>
      <c r="EW626" s="1484" t="str">
        <f t="shared" si="22"/>
        <v/>
      </c>
      <c r="EX626" s="1485"/>
      <c r="EY626" s="1485"/>
      <c r="EZ626" s="1485"/>
      <c r="FA626" s="1486"/>
    </row>
    <row r="627" spans="2:157" ht="12.95" customHeight="1">
      <c r="B627" s="51" t="s">
        <v>112</v>
      </c>
      <c r="C627" s="1720" t="s">
        <v>2721</v>
      </c>
      <c r="D627" s="1720"/>
      <c r="E627" s="1720"/>
      <c r="F627" s="1720"/>
      <c r="G627" s="1720"/>
      <c r="H627" s="1720"/>
      <c r="I627" s="1720"/>
      <c r="J627" s="1720"/>
      <c r="K627" s="1720"/>
      <c r="L627" s="1720"/>
      <c r="M627" s="1463" t="s">
        <v>2431</v>
      </c>
      <c r="N627" s="1463"/>
      <c r="O627" s="1463"/>
      <c r="P627" s="1463"/>
      <c r="Q627" s="1465">
        <v>240</v>
      </c>
      <c r="R627" s="1465"/>
      <c r="S627" s="1466"/>
      <c r="T627" s="1464">
        <v>480</v>
      </c>
      <c r="U627" s="1465"/>
      <c r="V627" s="1466"/>
      <c r="W627" s="1408">
        <v>5.8999999999999997E-2</v>
      </c>
      <c r="X627" s="1409"/>
      <c r="Y627" s="1410"/>
      <c r="Z627" s="1512" t="s">
        <v>2449</v>
      </c>
      <c r="AA627" s="1513"/>
      <c r="AB627" s="1514"/>
      <c r="AC627" s="1451">
        <v>1</v>
      </c>
      <c r="AD627" s="1452"/>
      <c r="AE627" s="1453"/>
      <c r="AF627" s="1469">
        <v>715095</v>
      </c>
      <c r="AG627" s="1470"/>
      <c r="AH627" s="1470"/>
      <c r="AI627" s="1470"/>
      <c r="AJ627" s="1471"/>
      <c r="AK627" s="1460"/>
      <c r="AL627" s="1461"/>
      <c r="AM627" s="1461"/>
      <c r="AN627" s="1462"/>
      <c r="AO627" s="1524">
        <v>10969225</v>
      </c>
      <c r="AP627" s="1524"/>
      <c r="AQ627" s="1524"/>
      <c r="AR627" s="1524"/>
      <c r="AS627" s="1524"/>
      <c r="AT627" s="3"/>
      <c r="AU627" s="3"/>
      <c r="AZ627" s="3"/>
      <c r="BA627" s="3"/>
      <c r="BB627" s="3"/>
      <c r="BC627" s="3"/>
      <c r="BD627" s="3"/>
      <c r="BE627" s="1484">
        <f t="shared" si="1"/>
        <v>0</v>
      </c>
      <c r="BF627" s="1486"/>
      <c r="BG627" s="1509">
        <f t="shared" si="2"/>
        <v>0</v>
      </c>
      <c r="BH627" s="1511"/>
      <c r="BI627" s="1484">
        <f t="shared" si="3"/>
        <v>0</v>
      </c>
      <c r="BJ627" s="1486"/>
      <c r="BK627" s="1509">
        <f t="shared" si="4"/>
        <v>0</v>
      </c>
      <c r="BL627" s="1511"/>
      <c r="BM627" s="3"/>
      <c r="BN627" s="1497">
        <f t="shared" si="5"/>
        <v>0</v>
      </c>
      <c r="BO627" s="1498"/>
      <c r="BP627" s="1498"/>
      <c r="BQ627" s="1498"/>
      <c r="BR627" s="1499"/>
      <c r="BS627" s="1502">
        <f t="shared" si="6"/>
        <v>0</v>
      </c>
      <c r="BT627" s="1502"/>
      <c r="BU627" s="1502"/>
      <c r="BV627" s="1502"/>
      <c r="BW627" s="1502"/>
      <c r="BX627" s="1502">
        <f t="shared" si="7"/>
        <v>0</v>
      </c>
      <c r="BY627" s="1502"/>
      <c r="BZ627" s="1502"/>
      <c r="CA627" s="1502"/>
      <c r="CB627" s="1502"/>
      <c r="CC627" s="1502">
        <f t="shared" si="8"/>
        <v>0</v>
      </c>
      <c r="CD627" s="1502"/>
      <c r="CE627" s="1502"/>
      <c r="CF627" s="1502"/>
      <c r="CG627" s="1502"/>
      <c r="CH627" s="1502">
        <f t="shared" si="9"/>
        <v>0</v>
      </c>
      <c r="CI627" s="1502"/>
      <c r="CJ627" s="1502"/>
      <c r="CK627" s="1502"/>
      <c r="CL627" s="1502"/>
      <c r="CM627" s="1502">
        <f t="shared" si="10"/>
        <v>0</v>
      </c>
      <c r="CN627" s="1502"/>
      <c r="CO627" s="1502"/>
      <c r="CP627" s="1502"/>
      <c r="CQ627" s="1502"/>
      <c r="CR627" s="6"/>
      <c r="CS627" s="1508">
        <f t="shared" si="11"/>
        <v>0</v>
      </c>
      <c r="CT627" s="1508"/>
      <c r="CU627" s="1508"/>
      <c r="CV627" s="1508"/>
      <c r="CW627" s="1508"/>
      <c r="CX627" s="1508">
        <f t="shared" si="12"/>
        <v>0</v>
      </c>
      <c r="CY627" s="1508"/>
      <c r="CZ627" s="1508"/>
      <c r="DA627" s="1508"/>
      <c r="DB627" s="1508"/>
      <c r="DC627" s="1508">
        <f t="shared" si="13"/>
        <v>0</v>
      </c>
      <c r="DD627" s="1508"/>
      <c r="DE627" s="1508"/>
      <c r="DF627" s="1508"/>
      <c r="DG627" s="1508"/>
      <c r="DH627" s="1508">
        <f t="shared" si="14"/>
        <v>0</v>
      </c>
      <c r="DI627" s="1508"/>
      <c r="DJ627" s="1508"/>
      <c r="DK627" s="1508"/>
      <c r="DL627" s="1508"/>
      <c r="DM627" s="1508">
        <f t="shared" si="15"/>
        <v>0</v>
      </c>
      <c r="DN627" s="1508"/>
      <c r="DO627" s="1508"/>
      <c r="DP627" s="1508"/>
      <c r="DQ627" s="1508"/>
      <c r="DR627" s="1508">
        <f t="shared" si="16"/>
        <v>0</v>
      </c>
      <c r="DS627" s="1508"/>
      <c r="DT627" s="1508"/>
      <c r="DU627" s="1508"/>
      <c r="DV627" s="1508"/>
      <c r="DX627" s="1484" t="str">
        <f t="shared" si="17"/>
        <v/>
      </c>
      <c r="DY627" s="1485"/>
      <c r="DZ627" s="1485"/>
      <c r="EA627" s="1485"/>
      <c r="EB627" s="1486"/>
      <c r="EC627" s="1484" t="str">
        <f t="shared" si="18"/>
        <v/>
      </c>
      <c r="ED627" s="1485"/>
      <c r="EE627" s="1485"/>
      <c r="EF627" s="1485"/>
      <c r="EG627" s="1486"/>
      <c r="EH627" s="1484" t="str">
        <f t="shared" si="19"/>
        <v/>
      </c>
      <c r="EI627" s="1485"/>
      <c r="EJ627" s="1485"/>
      <c r="EK627" s="1485"/>
      <c r="EL627" s="1486"/>
      <c r="EM627" s="1484" t="str">
        <f t="shared" si="20"/>
        <v/>
      </c>
      <c r="EN627" s="1485"/>
      <c r="EO627" s="1485"/>
      <c r="EP627" s="1485"/>
      <c r="EQ627" s="1486"/>
      <c r="ER627" s="1484" t="str">
        <f t="shared" si="21"/>
        <v/>
      </c>
      <c r="ES627" s="1485"/>
      <c r="ET627" s="1485"/>
      <c r="EU627" s="1485"/>
      <c r="EV627" s="1486"/>
      <c r="EW627" s="1484" t="str">
        <f t="shared" si="22"/>
        <v/>
      </c>
      <c r="EX627" s="1485"/>
      <c r="EY627" s="1485"/>
      <c r="EZ627" s="1485"/>
      <c r="FA627" s="1486"/>
    </row>
    <row r="628" spans="2:157" ht="12.95" customHeight="1">
      <c r="B628" s="52" t="s">
        <v>113</v>
      </c>
      <c r="C628" s="1720" t="s">
        <v>2764</v>
      </c>
      <c r="D628" s="1720"/>
      <c r="E628" s="1720"/>
      <c r="F628" s="1720"/>
      <c r="G628" s="1720"/>
      <c r="H628" s="1720"/>
      <c r="I628" s="1720"/>
      <c r="J628" s="1720"/>
      <c r="K628" s="1720"/>
      <c r="L628" s="1720"/>
      <c r="M628" s="1463" t="s">
        <v>2433</v>
      </c>
      <c r="N628" s="1463"/>
      <c r="O628" s="1463"/>
      <c r="P628" s="1463"/>
      <c r="Q628" s="1464">
        <v>660</v>
      </c>
      <c r="R628" s="1465"/>
      <c r="S628" s="1466"/>
      <c r="T628" s="1464"/>
      <c r="U628" s="1465"/>
      <c r="V628" s="1466"/>
      <c r="W628" s="1408">
        <v>0</v>
      </c>
      <c r="X628" s="1409"/>
      <c r="Y628" s="1410"/>
      <c r="Z628" s="1512" t="s">
        <v>465</v>
      </c>
      <c r="AA628" s="1513"/>
      <c r="AB628" s="1514"/>
      <c r="AC628" s="1451">
        <v>2</v>
      </c>
      <c r="AD628" s="1452"/>
      <c r="AE628" s="1453"/>
      <c r="AF628" s="1469"/>
      <c r="AG628" s="1470"/>
      <c r="AH628" s="1470"/>
      <c r="AI628" s="1470"/>
      <c r="AJ628" s="1471"/>
      <c r="AK628" s="1460"/>
      <c r="AL628" s="1461"/>
      <c r="AM628" s="1461"/>
      <c r="AN628" s="1462"/>
      <c r="AO628" s="1521">
        <v>6277300</v>
      </c>
      <c r="AP628" s="1522"/>
      <c r="AQ628" s="1522"/>
      <c r="AR628" s="1522"/>
      <c r="AS628" s="1523"/>
      <c r="AT628" s="1192" t="str">
        <f>IF(AND(NOT(C627=""),C628="",NOT(C629="")),"!","")</f>
        <v/>
      </c>
      <c r="AU628" s="3"/>
      <c r="AZ628" s="3"/>
      <c r="BA628" s="3"/>
      <c r="BB628" s="3"/>
      <c r="BC628" s="3"/>
      <c r="BD628" s="3"/>
      <c r="BE628" s="1484">
        <f t="shared" si="1"/>
        <v>0</v>
      </c>
      <c r="BF628" s="1486"/>
      <c r="BG628" s="1509">
        <f t="shared" si="2"/>
        <v>0</v>
      </c>
      <c r="BH628" s="1511"/>
      <c r="BI628" s="1484">
        <f t="shared" si="3"/>
        <v>0</v>
      </c>
      <c r="BJ628" s="1486"/>
      <c r="BK628" s="1509">
        <f t="shared" si="4"/>
        <v>0</v>
      </c>
      <c r="BL628" s="1511"/>
      <c r="BM628" s="3"/>
      <c r="BN628" s="1497">
        <f t="shared" si="5"/>
        <v>0</v>
      </c>
      <c r="BO628" s="1498"/>
      <c r="BP628" s="1498"/>
      <c r="BQ628" s="1498"/>
      <c r="BR628" s="1499"/>
      <c r="BS628" s="1502">
        <f t="shared" si="6"/>
        <v>0</v>
      </c>
      <c r="BT628" s="1502"/>
      <c r="BU628" s="1502"/>
      <c r="BV628" s="1502"/>
      <c r="BW628" s="1502"/>
      <c r="BX628" s="1502">
        <f t="shared" si="7"/>
        <v>0</v>
      </c>
      <c r="BY628" s="1502"/>
      <c r="BZ628" s="1502"/>
      <c r="CA628" s="1502"/>
      <c r="CB628" s="1502"/>
      <c r="CC628" s="1502">
        <f t="shared" si="8"/>
        <v>0</v>
      </c>
      <c r="CD628" s="1502"/>
      <c r="CE628" s="1502"/>
      <c r="CF628" s="1502"/>
      <c r="CG628" s="1502"/>
      <c r="CH628" s="1502">
        <f t="shared" si="9"/>
        <v>0</v>
      </c>
      <c r="CI628" s="1502"/>
      <c r="CJ628" s="1502"/>
      <c r="CK628" s="1502"/>
      <c r="CL628" s="1502"/>
      <c r="CM628" s="1502">
        <f t="shared" si="10"/>
        <v>0</v>
      </c>
      <c r="CN628" s="1502"/>
      <c r="CO628" s="1502"/>
      <c r="CP628" s="1502"/>
      <c r="CQ628" s="1502"/>
      <c r="CR628" s="6"/>
      <c r="CS628" s="1508">
        <f t="shared" si="11"/>
        <v>0</v>
      </c>
      <c r="CT628" s="1508"/>
      <c r="CU628" s="1508"/>
      <c r="CV628" s="1508"/>
      <c r="CW628" s="1508"/>
      <c r="CX628" s="1508">
        <f t="shared" si="12"/>
        <v>0</v>
      </c>
      <c r="CY628" s="1508"/>
      <c r="CZ628" s="1508"/>
      <c r="DA628" s="1508"/>
      <c r="DB628" s="1508"/>
      <c r="DC628" s="1508">
        <f t="shared" si="13"/>
        <v>0</v>
      </c>
      <c r="DD628" s="1508"/>
      <c r="DE628" s="1508"/>
      <c r="DF628" s="1508"/>
      <c r="DG628" s="1508"/>
      <c r="DH628" s="1508">
        <f t="shared" si="14"/>
        <v>0</v>
      </c>
      <c r="DI628" s="1508"/>
      <c r="DJ628" s="1508"/>
      <c r="DK628" s="1508"/>
      <c r="DL628" s="1508"/>
      <c r="DM628" s="1508">
        <f t="shared" si="15"/>
        <v>0</v>
      </c>
      <c r="DN628" s="1508"/>
      <c r="DO628" s="1508"/>
      <c r="DP628" s="1508"/>
      <c r="DQ628" s="1508"/>
      <c r="DR628" s="1508">
        <f t="shared" si="16"/>
        <v>0</v>
      </c>
      <c r="DS628" s="1508"/>
      <c r="DT628" s="1508"/>
      <c r="DU628" s="1508"/>
      <c r="DV628" s="1508"/>
      <c r="DX628" s="1484" t="str">
        <f t="shared" si="17"/>
        <v/>
      </c>
      <c r="DY628" s="1485"/>
      <c r="DZ628" s="1485"/>
      <c r="EA628" s="1485"/>
      <c r="EB628" s="1486"/>
      <c r="EC628" s="1484" t="str">
        <f t="shared" si="18"/>
        <v/>
      </c>
      <c r="ED628" s="1485"/>
      <c r="EE628" s="1485"/>
      <c r="EF628" s="1485"/>
      <c r="EG628" s="1486"/>
      <c r="EH628" s="1484" t="str">
        <f t="shared" si="19"/>
        <v/>
      </c>
      <c r="EI628" s="1485"/>
      <c r="EJ628" s="1485"/>
      <c r="EK628" s="1485"/>
      <c r="EL628" s="1486"/>
      <c r="EM628" s="1484" t="str">
        <f t="shared" si="20"/>
        <v/>
      </c>
      <c r="EN628" s="1485"/>
      <c r="EO628" s="1485"/>
      <c r="EP628" s="1485"/>
      <c r="EQ628" s="1486"/>
      <c r="ER628" s="1484" t="str">
        <f t="shared" si="21"/>
        <v/>
      </c>
      <c r="ES628" s="1485"/>
      <c r="ET628" s="1485"/>
      <c r="EU628" s="1485"/>
      <c r="EV628" s="1486"/>
      <c r="EW628" s="1484" t="str">
        <f t="shared" si="22"/>
        <v/>
      </c>
      <c r="EX628" s="1485"/>
      <c r="EY628" s="1485"/>
      <c r="EZ628" s="1485"/>
      <c r="FA628" s="1486"/>
    </row>
    <row r="629" spans="2:157" ht="12.95" customHeight="1">
      <c r="B629" s="52" t="s">
        <v>119</v>
      </c>
      <c r="C629" s="1720" t="s">
        <v>2670</v>
      </c>
      <c r="D629" s="1720"/>
      <c r="E629" s="1720"/>
      <c r="F629" s="1720"/>
      <c r="G629" s="1720"/>
      <c r="H629" s="1720"/>
      <c r="I629" s="1720"/>
      <c r="J629" s="1720"/>
      <c r="K629" s="1720"/>
      <c r="L629" s="1720"/>
      <c r="M629" s="1463" t="s">
        <v>2424</v>
      </c>
      <c r="N629" s="1463"/>
      <c r="O629" s="1463"/>
      <c r="P629" s="1463"/>
      <c r="Q629" s="1464"/>
      <c r="R629" s="1465"/>
      <c r="S629" s="1466"/>
      <c r="T629" s="1464"/>
      <c r="U629" s="1465"/>
      <c r="V629" s="1466"/>
      <c r="W629" s="1408"/>
      <c r="X629" s="1409"/>
      <c r="Y629" s="1410"/>
      <c r="Z629" s="1512" t="s">
        <v>466</v>
      </c>
      <c r="AA629" s="1513"/>
      <c r="AB629" s="1514"/>
      <c r="AC629" s="1451"/>
      <c r="AD629" s="1452"/>
      <c r="AE629" s="1453"/>
      <c r="AF629" s="1469"/>
      <c r="AG629" s="1470"/>
      <c r="AH629" s="1470"/>
      <c r="AI629" s="1470"/>
      <c r="AJ629" s="1471"/>
      <c r="AK629" s="1460"/>
      <c r="AL629" s="1461"/>
      <c r="AM629" s="1461"/>
      <c r="AN629" s="1462"/>
      <c r="AO629" s="1521">
        <v>3980494</v>
      </c>
      <c r="AP629" s="1522"/>
      <c r="AQ629" s="1522"/>
      <c r="AR629" s="1522"/>
      <c r="AS629" s="1523"/>
      <c r="AT629" s="1192" t="str">
        <f t="shared" ref="AT629:AT638" si="23">IF(AND(NOT(C628=""),C629="",NOT(C630="")),"!","")</f>
        <v/>
      </c>
      <c r="AU629" s="3"/>
      <c r="AZ629" s="3"/>
      <c r="BA629" s="3"/>
      <c r="BB629" s="3"/>
      <c r="BC629" s="3"/>
      <c r="BD629" s="3"/>
      <c r="BE629" s="1484">
        <f t="shared" si="1"/>
        <v>0</v>
      </c>
      <c r="BF629" s="1486"/>
      <c r="BG629" s="1509">
        <f t="shared" si="2"/>
        <v>0</v>
      </c>
      <c r="BH629" s="1511"/>
      <c r="BI629" s="1484">
        <f t="shared" si="3"/>
        <v>0</v>
      </c>
      <c r="BJ629" s="1486"/>
      <c r="BK629" s="1509">
        <f t="shared" si="4"/>
        <v>0</v>
      </c>
      <c r="BL629" s="1511"/>
      <c r="BM629" s="3"/>
      <c r="BN629" s="1497">
        <f t="shared" si="5"/>
        <v>0</v>
      </c>
      <c r="BO629" s="1498"/>
      <c r="BP629" s="1498"/>
      <c r="BQ629" s="1498"/>
      <c r="BR629" s="1499"/>
      <c r="BS629" s="1502">
        <f t="shared" si="6"/>
        <v>0</v>
      </c>
      <c r="BT629" s="1502"/>
      <c r="BU629" s="1502"/>
      <c r="BV629" s="1502"/>
      <c r="BW629" s="1502"/>
      <c r="BX629" s="1502">
        <f t="shared" si="7"/>
        <v>0</v>
      </c>
      <c r="BY629" s="1502"/>
      <c r="BZ629" s="1502"/>
      <c r="CA629" s="1502"/>
      <c r="CB629" s="1502"/>
      <c r="CC629" s="1502">
        <f t="shared" si="8"/>
        <v>0</v>
      </c>
      <c r="CD629" s="1502"/>
      <c r="CE629" s="1502"/>
      <c r="CF629" s="1502"/>
      <c r="CG629" s="1502"/>
      <c r="CH629" s="1502">
        <f t="shared" si="9"/>
        <v>0</v>
      </c>
      <c r="CI629" s="1502"/>
      <c r="CJ629" s="1502"/>
      <c r="CK629" s="1502"/>
      <c r="CL629" s="1502"/>
      <c r="CM629" s="1502">
        <f t="shared" si="10"/>
        <v>0</v>
      </c>
      <c r="CN629" s="1502"/>
      <c r="CO629" s="1502"/>
      <c r="CP629" s="1502"/>
      <c r="CQ629" s="1502"/>
      <c r="CR629" s="6"/>
      <c r="CS629" s="1508">
        <f t="shared" si="11"/>
        <v>0</v>
      </c>
      <c r="CT629" s="1508"/>
      <c r="CU629" s="1508"/>
      <c r="CV629" s="1508"/>
      <c r="CW629" s="1508"/>
      <c r="CX629" s="1508">
        <f t="shared" si="12"/>
        <v>0</v>
      </c>
      <c r="CY629" s="1508"/>
      <c r="CZ629" s="1508"/>
      <c r="DA629" s="1508"/>
      <c r="DB629" s="1508"/>
      <c r="DC629" s="1508">
        <f t="shared" si="13"/>
        <v>0</v>
      </c>
      <c r="DD629" s="1508"/>
      <c r="DE629" s="1508"/>
      <c r="DF629" s="1508"/>
      <c r="DG629" s="1508"/>
      <c r="DH629" s="1508">
        <f t="shared" si="14"/>
        <v>0</v>
      </c>
      <c r="DI629" s="1508"/>
      <c r="DJ629" s="1508"/>
      <c r="DK629" s="1508"/>
      <c r="DL629" s="1508"/>
      <c r="DM629" s="1508">
        <f t="shared" si="15"/>
        <v>0</v>
      </c>
      <c r="DN629" s="1508"/>
      <c r="DO629" s="1508"/>
      <c r="DP629" s="1508"/>
      <c r="DQ629" s="1508"/>
      <c r="DR629" s="1508">
        <f t="shared" si="16"/>
        <v>0</v>
      </c>
      <c r="DS629" s="1508"/>
      <c r="DT629" s="1508"/>
      <c r="DU629" s="1508"/>
      <c r="DV629" s="1508"/>
      <c r="DX629" s="1484" t="str">
        <f t="shared" si="17"/>
        <v/>
      </c>
      <c r="DY629" s="1485"/>
      <c r="DZ629" s="1485"/>
      <c r="EA629" s="1485"/>
      <c r="EB629" s="1486"/>
      <c r="EC629" s="1484" t="str">
        <f t="shared" si="18"/>
        <v/>
      </c>
      <c r="ED629" s="1485"/>
      <c r="EE629" s="1485"/>
      <c r="EF629" s="1485"/>
      <c r="EG629" s="1486"/>
      <c r="EH629" s="1484" t="str">
        <f t="shared" si="19"/>
        <v/>
      </c>
      <c r="EI629" s="1485"/>
      <c r="EJ629" s="1485"/>
      <c r="EK629" s="1485"/>
      <c r="EL629" s="1486"/>
      <c r="EM629" s="1484" t="str">
        <f t="shared" si="20"/>
        <v/>
      </c>
      <c r="EN629" s="1485"/>
      <c r="EO629" s="1485"/>
      <c r="EP629" s="1485"/>
      <c r="EQ629" s="1486"/>
      <c r="ER629" s="1484" t="str">
        <f t="shared" si="21"/>
        <v/>
      </c>
      <c r="ES629" s="1485"/>
      <c r="ET629" s="1485"/>
      <c r="EU629" s="1485"/>
      <c r="EV629" s="1486"/>
      <c r="EW629" s="1484" t="str">
        <f t="shared" si="22"/>
        <v/>
      </c>
      <c r="EX629" s="1485"/>
      <c r="EY629" s="1485"/>
      <c r="EZ629" s="1485"/>
      <c r="FA629" s="1486"/>
    </row>
    <row r="630" spans="2:157" ht="12.95" customHeight="1">
      <c r="B630" s="52" t="s">
        <v>589</v>
      </c>
      <c r="C630" s="1354"/>
      <c r="D630" s="1354"/>
      <c r="E630" s="1354"/>
      <c r="F630" s="1354"/>
      <c r="G630" s="1354"/>
      <c r="H630" s="1354"/>
      <c r="I630" s="1354"/>
      <c r="J630" s="1354"/>
      <c r="K630" s="1354"/>
      <c r="L630" s="1354"/>
      <c r="M630" s="1463" t="s">
        <v>1290</v>
      </c>
      <c r="N630" s="1463"/>
      <c r="O630" s="1463"/>
      <c r="P630" s="1463"/>
      <c r="Q630" s="1464"/>
      <c r="R630" s="1465"/>
      <c r="S630" s="1466"/>
      <c r="T630" s="1464"/>
      <c r="U630" s="1465"/>
      <c r="V630" s="1466"/>
      <c r="W630" s="1408"/>
      <c r="X630" s="1409"/>
      <c r="Y630" s="1410"/>
      <c r="Z630" s="1512" t="s">
        <v>1290</v>
      </c>
      <c r="AA630" s="1513"/>
      <c r="AB630" s="1514"/>
      <c r="AC630" s="1451"/>
      <c r="AD630" s="1452"/>
      <c r="AE630" s="1453"/>
      <c r="AF630" s="1469"/>
      <c r="AG630" s="1470"/>
      <c r="AH630" s="1470"/>
      <c r="AI630" s="1470"/>
      <c r="AJ630" s="1471"/>
      <c r="AK630" s="1460"/>
      <c r="AL630" s="1461"/>
      <c r="AM630" s="1461"/>
      <c r="AN630" s="1462"/>
      <c r="AO630" s="1521"/>
      <c r="AP630" s="1522"/>
      <c r="AQ630" s="1522"/>
      <c r="AR630" s="1522"/>
      <c r="AS630" s="1523"/>
      <c r="AT630" s="1192" t="str">
        <f t="shared" si="23"/>
        <v/>
      </c>
      <c r="AU630" s="3"/>
      <c r="AZ630" s="3"/>
      <c r="BA630" s="3"/>
      <c r="BB630" s="3"/>
      <c r="BC630" s="3"/>
      <c r="BD630" s="3"/>
      <c r="BE630" s="1484">
        <f t="shared" si="1"/>
        <v>0</v>
      </c>
      <c r="BF630" s="1486"/>
      <c r="BG630" s="1509">
        <f t="shared" si="2"/>
        <v>0</v>
      </c>
      <c r="BH630" s="1511"/>
      <c r="BI630" s="1484">
        <f t="shared" si="3"/>
        <v>0</v>
      </c>
      <c r="BJ630" s="1486"/>
      <c r="BK630" s="1509">
        <f t="shared" si="4"/>
        <v>0</v>
      </c>
      <c r="BL630" s="1511"/>
      <c r="BM630" s="3"/>
      <c r="BN630" s="1497">
        <f t="shared" si="5"/>
        <v>0</v>
      </c>
      <c r="BO630" s="1498"/>
      <c r="BP630" s="1498"/>
      <c r="BQ630" s="1498"/>
      <c r="BR630" s="1499"/>
      <c r="BS630" s="1502">
        <f t="shared" si="6"/>
        <v>0</v>
      </c>
      <c r="BT630" s="1502"/>
      <c r="BU630" s="1502"/>
      <c r="BV630" s="1502"/>
      <c r="BW630" s="1502"/>
      <c r="BX630" s="1502">
        <f t="shared" si="7"/>
        <v>0</v>
      </c>
      <c r="BY630" s="1502"/>
      <c r="BZ630" s="1502"/>
      <c r="CA630" s="1502"/>
      <c r="CB630" s="1502"/>
      <c r="CC630" s="1502">
        <f t="shared" si="8"/>
        <v>0</v>
      </c>
      <c r="CD630" s="1502"/>
      <c r="CE630" s="1502"/>
      <c r="CF630" s="1502"/>
      <c r="CG630" s="1502"/>
      <c r="CH630" s="1502">
        <f t="shared" si="9"/>
        <v>0</v>
      </c>
      <c r="CI630" s="1502"/>
      <c r="CJ630" s="1502"/>
      <c r="CK630" s="1502"/>
      <c r="CL630" s="1502"/>
      <c r="CM630" s="1502">
        <f t="shared" si="10"/>
        <v>0</v>
      </c>
      <c r="CN630" s="1502"/>
      <c r="CO630" s="1502"/>
      <c r="CP630" s="1502"/>
      <c r="CQ630" s="1502"/>
      <c r="CR630" s="6"/>
      <c r="CS630" s="1508">
        <f t="shared" si="11"/>
        <v>0</v>
      </c>
      <c r="CT630" s="1508"/>
      <c r="CU630" s="1508"/>
      <c r="CV630" s="1508"/>
      <c r="CW630" s="1508"/>
      <c r="CX630" s="1508">
        <f t="shared" si="12"/>
        <v>0</v>
      </c>
      <c r="CY630" s="1508"/>
      <c r="CZ630" s="1508"/>
      <c r="DA630" s="1508"/>
      <c r="DB630" s="1508"/>
      <c r="DC630" s="1508">
        <f t="shared" si="13"/>
        <v>0</v>
      </c>
      <c r="DD630" s="1508"/>
      <c r="DE630" s="1508"/>
      <c r="DF630" s="1508"/>
      <c r="DG630" s="1508"/>
      <c r="DH630" s="1508">
        <f t="shared" si="14"/>
        <v>0</v>
      </c>
      <c r="DI630" s="1508"/>
      <c r="DJ630" s="1508"/>
      <c r="DK630" s="1508"/>
      <c r="DL630" s="1508"/>
      <c r="DM630" s="1508">
        <f t="shared" si="15"/>
        <v>0</v>
      </c>
      <c r="DN630" s="1508"/>
      <c r="DO630" s="1508"/>
      <c r="DP630" s="1508"/>
      <c r="DQ630" s="1508"/>
      <c r="DR630" s="1508">
        <f t="shared" si="16"/>
        <v>0</v>
      </c>
      <c r="DS630" s="1508"/>
      <c r="DT630" s="1508"/>
      <c r="DU630" s="1508"/>
      <c r="DV630" s="1508"/>
      <c r="DX630" s="1484" t="str">
        <f t="shared" si="17"/>
        <v/>
      </c>
      <c r="DY630" s="1485"/>
      <c r="DZ630" s="1485"/>
      <c r="EA630" s="1485"/>
      <c r="EB630" s="1486"/>
      <c r="EC630" s="1484" t="str">
        <f t="shared" si="18"/>
        <v/>
      </c>
      <c r="ED630" s="1485"/>
      <c r="EE630" s="1485"/>
      <c r="EF630" s="1485"/>
      <c r="EG630" s="1486"/>
      <c r="EH630" s="1484" t="str">
        <f t="shared" si="19"/>
        <v/>
      </c>
      <c r="EI630" s="1485"/>
      <c r="EJ630" s="1485"/>
      <c r="EK630" s="1485"/>
      <c r="EL630" s="1486"/>
      <c r="EM630" s="1484" t="str">
        <f t="shared" si="20"/>
        <v/>
      </c>
      <c r="EN630" s="1485"/>
      <c r="EO630" s="1485"/>
      <c r="EP630" s="1485"/>
      <c r="EQ630" s="1486"/>
      <c r="ER630" s="1484" t="str">
        <f t="shared" si="21"/>
        <v/>
      </c>
      <c r="ES630" s="1485"/>
      <c r="ET630" s="1485"/>
      <c r="EU630" s="1485"/>
      <c r="EV630" s="1486"/>
      <c r="EW630" s="1484" t="str">
        <f t="shared" si="22"/>
        <v/>
      </c>
      <c r="EX630" s="1485"/>
      <c r="EY630" s="1485"/>
      <c r="EZ630" s="1485"/>
      <c r="FA630" s="1486"/>
    </row>
    <row r="631" spans="2:157" ht="12.95" customHeight="1">
      <c r="B631" s="52" t="s">
        <v>772</v>
      </c>
      <c r="C631" s="1354"/>
      <c r="D631" s="1354"/>
      <c r="E631" s="1354"/>
      <c r="F631" s="1354"/>
      <c r="G631" s="1354"/>
      <c r="H631" s="1354"/>
      <c r="I631" s="1354"/>
      <c r="J631" s="1354"/>
      <c r="K631" s="1354"/>
      <c r="L631" s="1354"/>
      <c r="M631" s="1463" t="s">
        <v>1290</v>
      </c>
      <c r="N631" s="1463"/>
      <c r="O631" s="1463"/>
      <c r="P631" s="1463"/>
      <c r="Q631" s="1464"/>
      <c r="R631" s="1465"/>
      <c r="S631" s="1466"/>
      <c r="T631" s="1464"/>
      <c r="U631" s="1465"/>
      <c r="V631" s="1466"/>
      <c r="W631" s="1408"/>
      <c r="X631" s="1409"/>
      <c r="Y631" s="1410"/>
      <c r="Z631" s="1512" t="s">
        <v>1290</v>
      </c>
      <c r="AA631" s="1513"/>
      <c r="AB631" s="1514"/>
      <c r="AC631" s="1451"/>
      <c r="AD631" s="1452"/>
      <c r="AE631" s="1453"/>
      <c r="AF631" s="1469"/>
      <c r="AG631" s="1470"/>
      <c r="AH631" s="1470"/>
      <c r="AI631" s="1470"/>
      <c r="AJ631" s="1471"/>
      <c r="AK631" s="1460"/>
      <c r="AL631" s="1461"/>
      <c r="AM631" s="1461"/>
      <c r="AN631" s="1462"/>
      <c r="AO631" s="1521"/>
      <c r="AP631" s="1522"/>
      <c r="AQ631" s="1522"/>
      <c r="AR631" s="1522"/>
      <c r="AS631" s="1523"/>
      <c r="AT631" s="1192" t="str">
        <f t="shared" si="23"/>
        <v/>
      </c>
      <c r="AU631" s="3"/>
      <c r="AZ631" s="3"/>
      <c r="BA631" s="3"/>
      <c r="BB631" s="3"/>
      <c r="BC631" s="3"/>
      <c r="BD631" s="3"/>
      <c r="BE631" s="1484">
        <f t="shared" si="1"/>
        <v>0</v>
      </c>
      <c r="BF631" s="1486"/>
      <c r="BG631" s="1509">
        <f t="shared" si="2"/>
        <v>0</v>
      </c>
      <c r="BH631" s="1511"/>
      <c r="BI631" s="1484">
        <f t="shared" si="3"/>
        <v>0</v>
      </c>
      <c r="BJ631" s="1486"/>
      <c r="BK631" s="1509">
        <f t="shared" si="4"/>
        <v>0</v>
      </c>
      <c r="BL631" s="1511"/>
      <c r="BM631" s="3"/>
      <c r="BN631" s="1497">
        <f t="shared" si="5"/>
        <v>0</v>
      </c>
      <c r="BO631" s="1498"/>
      <c r="BP631" s="1498"/>
      <c r="BQ631" s="1498"/>
      <c r="BR631" s="1499"/>
      <c r="BS631" s="1502">
        <f t="shared" si="6"/>
        <v>0</v>
      </c>
      <c r="BT631" s="1502"/>
      <c r="BU631" s="1502"/>
      <c r="BV631" s="1502"/>
      <c r="BW631" s="1502"/>
      <c r="BX631" s="1502">
        <f t="shared" si="7"/>
        <v>0</v>
      </c>
      <c r="BY631" s="1502"/>
      <c r="BZ631" s="1502"/>
      <c r="CA631" s="1502"/>
      <c r="CB631" s="1502"/>
      <c r="CC631" s="1502">
        <f t="shared" si="8"/>
        <v>0</v>
      </c>
      <c r="CD631" s="1502"/>
      <c r="CE631" s="1502"/>
      <c r="CF631" s="1502"/>
      <c r="CG631" s="1502"/>
      <c r="CH631" s="1502">
        <f t="shared" si="9"/>
        <v>0</v>
      </c>
      <c r="CI631" s="1502"/>
      <c r="CJ631" s="1502"/>
      <c r="CK631" s="1502"/>
      <c r="CL631" s="1502"/>
      <c r="CM631" s="1502">
        <f t="shared" si="10"/>
        <v>0</v>
      </c>
      <c r="CN631" s="1502"/>
      <c r="CO631" s="1502"/>
      <c r="CP631" s="1502"/>
      <c r="CQ631" s="1502"/>
      <c r="CR631" s="6"/>
      <c r="CS631" s="1508">
        <f t="shared" si="11"/>
        <v>0</v>
      </c>
      <c r="CT631" s="1508"/>
      <c r="CU631" s="1508"/>
      <c r="CV631" s="1508"/>
      <c r="CW631" s="1508"/>
      <c r="CX631" s="1508">
        <f t="shared" si="12"/>
        <v>0</v>
      </c>
      <c r="CY631" s="1508"/>
      <c r="CZ631" s="1508"/>
      <c r="DA631" s="1508"/>
      <c r="DB631" s="1508"/>
      <c r="DC631" s="1508">
        <f t="shared" si="13"/>
        <v>0</v>
      </c>
      <c r="DD631" s="1508"/>
      <c r="DE631" s="1508"/>
      <c r="DF631" s="1508"/>
      <c r="DG631" s="1508"/>
      <c r="DH631" s="1508">
        <f t="shared" si="14"/>
        <v>0</v>
      </c>
      <c r="DI631" s="1508"/>
      <c r="DJ631" s="1508"/>
      <c r="DK631" s="1508"/>
      <c r="DL631" s="1508"/>
      <c r="DM631" s="1508">
        <f t="shared" si="15"/>
        <v>0</v>
      </c>
      <c r="DN631" s="1508"/>
      <c r="DO631" s="1508"/>
      <c r="DP631" s="1508"/>
      <c r="DQ631" s="1508"/>
      <c r="DR631" s="1508">
        <f t="shared" si="16"/>
        <v>0</v>
      </c>
      <c r="DS631" s="1508"/>
      <c r="DT631" s="1508"/>
      <c r="DU631" s="1508"/>
      <c r="DV631" s="1508"/>
      <c r="DX631" s="1484" t="str">
        <f t="shared" si="17"/>
        <v/>
      </c>
      <c r="DY631" s="1485"/>
      <c r="DZ631" s="1485"/>
      <c r="EA631" s="1485"/>
      <c r="EB631" s="1486"/>
      <c r="EC631" s="1484" t="str">
        <f t="shared" si="18"/>
        <v/>
      </c>
      <c r="ED631" s="1485"/>
      <c r="EE631" s="1485"/>
      <c r="EF631" s="1485"/>
      <c r="EG631" s="1486"/>
      <c r="EH631" s="1484" t="str">
        <f t="shared" si="19"/>
        <v/>
      </c>
      <c r="EI631" s="1485"/>
      <c r="EJ631" s="1485"/>
      <c r="EK631" s="1485"/>
      <c r="EL631" s="1486"/>
      <c r="EM631" s="1484" t="str">
        <f t="shared" si="20"/>
        <v/>
      </c>
      <c r="EN631" s="1485"/>
      <c r="EO631" s="1485"/>
      <c r="EP631" s="1485"/>
      <c r="EQ631" s="1486"/>
      <c r="ER631" s="1484" t="str">
        <f t="shared" si="21"/>
        <v/>
      </c>
      <c r="ES631" s="1485"/>
      <c r="ET631" s="1485"/>
      <c r="EU631" s="1485"/>
      <c r="EV631" s="1486"/>
      <c r="EW631" s="1484" t="str">
        <f t="shared" si="22"/>
        <v/>
      </c>
      <c r="EX631" s="1485"/>
      <c r="EY631" s="1485"/>
      <c r="EZ631" s="1485"/>
      <c r="FA631" s="1486"/>
    </row>
    <row r="632" spans="2:157" ht="12.95" customHeight="1">
      <c r="B632" s="52" t="s">
        <v>592</v>
      </c>
      <c r="C632" s="1354"/>
      <c r="D632" s="1354"/>
      <c r="E632" s="1354"/>
      <c r="F632" s="1354"/>
      <c r="G632" s="1354"/>
      <c r="H632" s="1354"/>
      <c r="I632" s="1354"/>
      <c r="J632" s="1354"/>
      <c r="K632" s="1354"/>
      <c r="L632" s="1354"/>
      <c r="M632" s="1463" t="s">
        <v>1290</v>
      </c>
      <c r="N632" s="1463"/>
      <c r="O632" s="1463"/>
      <c r="P632" s="1463"/>
      <c r="Q632" s="1464"/>
      <c r="R632" s="1465"/>
      <c r="S632" s="1466"/>
      <c r="T632" s="1464"/>
      <c r="U632" s="1465"/>
      <c r="V632" s="1466"/>
      <c r="W632" s="1408"/>
      <c r="X632" s="1409"/>
      <c r="Y632" s="1410"/>
      <c r="Z632" s="1512" t="s">
        <v>1290</v>
      </c>
      <c r="AA632" s="1513"/>
      <c r="AB632" s="1514"/>
      <c r="AC632" s="1451"/>
      <c r="AD632" s="1452"/>
      <c r="AE632" s="1453"/>
      <c r="AF632" s="1469"/>
      <c r="AG632" s="1470"/>
      <c r="AH632" s="1470"/>
      <c r="AI632" s="1470"/>
      <c r="AJ632" s="1471"/>
      <c r="AK632" s="1460"/>
      <c r="AL632" s="1461"/>
      <c r="AM632" s="1461"/>
      <c r="AN632" s="1462"/>
      <c r="AO632" s="1521"/>
      <c r="AP632" s="1522"/>
      <c r="AQ632" s="1522"/>
      <c r="AR632" s="1522"/>
      <c r="AS632" s="1523"/>
      <c r="AT632" s="1192" t="str">
        <f t="shared" si="23"/>
        <v/>
      </c>
      <c r="AU632" s="3"/>
      <c r="AZ632" s="3"/>
      <c r="BA632" s="3"/>
      <c r="BB632" s="3"/>
      <c r="BC632" s="3"/>
      <c r="BD632" s="3"/>
      <c r="BE632" s="3"/>
      <c r="BF632" s="3"/>
      <c r="BG632" s="1484">
        <f>SUM(BG597:BH631)</f>
        <v>44</v>
      </c>
      <c r="BH632" s="1486"/>
      <c r="BI632" s="3"/>
      <c r="BJ632" s="3"/>
      <c r="BK632" s="1484">
        <f>SUM(BK597:BL631)</f>
        <v>25</v>
      </c>
      <c r="BL632" s="1486"/>
      <c r="BM632" s="3"/>
      <c r="BN632" s="1484">
        <f>SUM(BN597:BR631)</f>
        <v>0</v>
      </c>
      <c r="BO632" s="1485"/>
      <c r="BP632" s="1485"/>
      <c r="BQ632" s="1485"/>
      <c r="BR632" s="1486"/>
      <c r="BS632" s="1507">
        <f>SUM(BS597:BW631)</f>
        <v>62</v>
      </c>
      <c r="BT632" s="1507"/>
      <c r="BU632" s="1507"/>
      <c r="BV632" s="1507"/>
      <c r="BW632" s="1507"/>
      <c r="BX632" s="1507">
        <f>SUM(BX597:CB631)</f>
        <v>32</v>
      </c>
      <c r="BY632" s="1507"/>
      <c r="BZ632" s="1507"/>
      <c r="CA632" s="1507"/>
      <c r="CB632" s="1507"/>
      <c r="CC632" s="1507">
        <f>SUM(CC597:CG631)</f>
        <v>33</v>
      </c>
      <c r="CD632" s="1507"/>
      <c r="CE632" s="1507"/>
      <c r="CF632" s="1507"/>
      <c r="CG632" s="1507"/>
      <c r="CH632" s="1507">
        <f>SUM(CH597:CL631)</f>
        <v>0</v>
      </c>
      <c r="CI632" s="1507"/>
      <c r="CJ632" s="1507"/>
      <c r="CK632" s="1507"/>
      <c r="CL632" s="1507"/>
      <c r="CM632" s="1507">
        <f>SUM(CM597:CQ631)</f>
        <v>0</v>
      </c>
      <c r="CN632" s="1507"/>
      <c r="CO632" s="1507"/>
      <c r="CP632" s="1507"/>
      <c r="CQ632" s="1507"/>
      <c r="CR632" s="385"/>
      <c r="CS632" s="1507">
        <f>SUM(CS597:CW631)</f>
        <v>0</v>
      </c>
      <c r="CT632" s="1507"/>
      <c r="CU632" s="1507"/>
      <c r="CV632" s="1507"/>
      <c r="CW632" s="1507"/>
      <c r="CX632" s="1507">
        <f>SUM(CX597:DB631)</f>
        <v>18</v>
      </c>
      <c r="CY632" s="1507"/>
      <c r="CZ632" s="1507"/>
      <c r="DA632" s="1507"/>
      <c r="DB632" s="1507"/>
      <c r="DC632" s="1507">
        <f>SUM(DC597:DG631)</f>
        <v>3</v>
      </c>
      <c r="DD632" s="1507"/>
      <c r="DE632" s="1507"/>
      <c r="DF632" s="1507"/>
      <c r="DG632" s="1507"/>
      <c r="DH632" s="1507">
        <f>SUM(DH597:DL631)</f>
        <v>4</v>
      </c>
      <c r="DI632" s="1507"/>
      <c r="DJ632" s="1507"/>
      <c r="DK632" s="1507"/>
      <c r="DL632" s="1507"/>
      <c r="DM632" s="1507">
        <f>SUM(DM597:DQ631)</f>
        <v>0</v>
      </c>
      <c r="DN632" s="1507"/>
      <c r="DO632" s="1507"/>
      <c r="DP632" s="1507"/>
      <c r="DQ632" s="1507"/>
      <c r="DR632" s="1507">
        <f>SUM(DR597:DV631)</f>
        <v>0</v>
      </c>
      <c r="DS632" s="1507"/>
      <c r="DT632" s="1507"/>
      <c r="DU632" s="1507"/>
      <c r="DV632" s="1507"/>
      <c r="DX632" s="1507">
        <f>SUM(DX597:EB631)</f>
        <v>0</v>
      </c>
      <c r="DY632" s="1507"/>
      <c r="DZ632" s="1507"/>
      <c r="EA632" s="1507"/>
      <c r="EB632" s="1507"/>
      <c r="EC632" s="1507">
        <f>SUM(EC597:EG631)</f>
        <v>2534</v>
      </c>
      <c r="ED632" s="1507"/>
      <c r="EE632" s="1507"/>
      <c r="EF632" s="1507"/>
      <c r="EG632" s="1507"/>
      <c r="EH632" s="1507">
        <f>SUM(EH597:EL631)</f>
        <v>2961</v>
      </c>
      <c r="EI632" s="1507"/>
      <c r="EJ632" s="1507"/>
      <c r="EK632" s="1507"/>
      <c r="EL632" s="1507"/>
      <c r="EM632" s="1507">
        <f>SUM(EM597:EQ631)</f>
        <v>3458</v>
      </c>
      <c r="EN632" s="1507"/>
      <c r="EO632" s="1507"/>
      <c r="EP632" s="1507"/>
      <c r="EQ632" s="1507"/>
      <c r="ER632" s="1507">
        <f>SUM(ER597:EV631)</f>
        <v>0</v>
      </c>
      <c r="ES632" s="1507"/>
      <c r="ET632" s="1507"/>
      <c r="EU632" s="1507"/>
      <c r="EV632" s="1507"/>
      <c r="EW632" s="1507">
        <f>SUM(EW597:FA631)</f>
        <v>0</v>
      </c>
      <c r="EX632" s="1507"/>
      <c r="EY632" s="1507"/>
      <c r="EZ632" s="1507"/>
      <c r="FA632" s="1507"/>
    </row>
    <row r="633" spans="2:157" ht="12.95" customHeight="1">
      <c r="B633" s="52" t="s">
        <v>463</v>
      </c>
      <c r="C633" s="1354"/>
      <c r="D633" s="1354"/>
      <c r="E633" s="1354"/>
      <c r="F633" s="1354"/>
      <c r="G633" s="1354"/>
      <c r="H633" s="1354"/>
      <c r="I633" s="1354"/>
      <c r="J633" s="1354"/>
      <c r="K633" s="1354"/>
      <c r="L633" s="1354"/>
      <c r="M633" s="1463" t="s">
        <v>1290</v>
      </c>
      <c r="N633" s="1463"/>
      <c r="O633" s="1463"/>
      <c r="P633" s="1463"/>
      <c r="Q633" s="1464"/>
      <c r="R633" s="1465"/>
      <c r="S633" s="1466"/>
      <c r="T633" s="1464"/>
      <c r="U633" s="1465"/>
      <c r="V633" s="1466"/>
      <c r="W633" s="1408"/>
      <c r="X633" s="1409"/>
      <c r="Y633" s="1410"/>
      <c r="Z633" s="1512" t="s">
        <v>1290</v>
      </c>
      <c r="AA633" s="1513"/>
      <c r="AB633" s="1514"/>
      <c r="AC633" s="1451"/>
      <c r="AD633" s="1452"/>
      <c r="AE633" s="1453"/>
      <c r="AF633" s="1469"/>
      <c r="AG633" s="1470"/>
      <c r="AH633" s="1470"/>
      <c r="AI633" s="1470"/>
      <c r="AJ633" s="1471"/>
      <c r="AK633" s="1460"/>
      <c r="AL633" s="1461"/>
      <c r="AM633" s="1461"/>
      <c r="AN633" s="1462"/>
      <c r="AO633" s="1521"/>
      <c r="AP633" s="1522"/>
      <c r="AQ633" s="1522"/>
      <c r="AR633" s="1522"/>
      <c r="AS633" s="152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4">
        <f>BN632+BS632+BX632+CC632+CH632+CM632</f>
        <v>127</v>
      </c>
      <c r="CN633" s="1485"/>
      <c r="CO633" s="1485"/>
      <c r="CP633" s="1485"/>
      <c r="CQ633" s="1486"/>
      <c r="CR633" s="385"/>
      <c r="CS633" s="3"/>
      <c r="CT633" s="3"/>
      <c r="CU633" s="3"/>
      <c r="CV633" s="3"/>
      <c r="CW633" s="3"/>
      <c r="CX633" s="3"/>
      <c r="CY633" s="3"/>
      <c r="CZ633" s="3"/>
      <c r="DA633" s="3"/>
      <c r="DB633" s="3"/>
      <c r="DC633" s="3"/>
      <c r="DD633" s="3"/>
      <c r="DE633" s="3"/>
      <c r="DF633" s="3"/>
    </row>
    <row r="634" spans="2:157" ht="12.95" customHeight="1">
      <c r="B634" s="52" t="s">
        <v>464</v>
      </c>
      <c r="C634" s="1354"/>
      <c r="D634" s="1354"/>
      <c r="E634" s="1354"/>
      <c r="F634" s="1354"/>
      <c r="G634" s="1354"/>
      <c r="H634" s="1354"/>
      <c r="I634" s="1354"/>
      <c r="J634" s="1354"/>
      <c r="K634" s="1354"/>
      <c r="L634" s="1354"/>
      <c r="M634" s="1463" t="s">
        <v>1290</v>
      </c>
      <c r="N634" s="1463"/>
      <c r="O634" s="1463"/>
      <c r="P634" s="1463"/>
      <c r="Q634" s="1464"/>
      <c r="R634" s="1465"/>
      <c r="S634" s="1466"/>
      <c r="T634" s="1464"/>
      <c r="U634" s="1465"/>
      <c r="V634" s="1466"/>
      <c r="W634" s="1408"/>
      <c r="X634" s="1409"/>
      <c r="Y634" s="1410"/>
      <c r="Z634" s="1512" t="s">
        <v>1290</v>
      </c>
      <c r="AA634" s="1513"/>
      <c r="AB634" s="1514"/>
      <c r="AC634" s="1451"/>
      <c r="AD634" s="1452"/>
      <c r="AE634" s="1453"/>
      <c r="AF634" s="1469"/>
      <c r="AG634" s="1470"/>
      <c r="AH634" s="1470"/>
      <c r="AI634" s="1470"/>
      <c r="AJ634" s="1471"/>
      <c r="AK634" s="1460"/>
      <c r="AL634" s="1461"/>
      <c r="AM634" s="1461"/>
      <c r="AN634" s="1462"/>
      <c r="AO634" s="1521"/>
      <c r="AP634" s="1522"/>
      <c r="AQ634" s="1522"/>
      <c r="AR634" s="1522"/>
      <c r="AS634" s="1523"/>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62</v>
      </c>
      <c r="BX634" s="3"/>
      <c r="BY634" s="3"/>
      <c r="BZ634" s="3"/>
      <c r="CA634" s="3"/>
      <c r="CB634" s="895">
        <f>BX632*2</f>
        <v>64</v>
      </c>
      <c r="CC634" s="3"/>
      <c r="CD634" s="3"/>
      <c r="CE634" s="3"/>
      <c r="CF634" s="3"/>
      <c r="CG634" s="895">
        <f>CC632*3</f>
        <v>99</v>
      </c>
      <c r="CH634" s="3"/>
      <c r="CI634" s="3"/>
      <c r="CJ634" s="3"/>
      <c r="CK634" s="3"/>
      <c r="CL634" s="895">
        <f>CH632*4</f>
        <v>0</v>
      </c>
      <c r="CM634" s="3"/>
      <c r="CN634" s="3"/>
      <c r="CO634" s="3"/>
      <c r="CP634" s="3"/>
      <c r="CQ634" s="895">
        <f>CM632*5</f>
        <v>0</v>
      </c>
      <c r="CS634" s="895">
        <f>BR634+BW634+CB634+CG634+CL634+CQ634</f>
        <v>225</v>
      </c>
      <c r="CT634" s="57" t="s">
        <v>2052</v>
      </c>
      <c r="CU634" s="3"/>
      <c r="CV634" s="3"/>
      <c r="CW634" s="3"/>
      <c r="CX634" s="3"/>
      <c r="CY634" s="3"/>
      <c r="CZ634" s="3"/>
      <c r="DA634" s="3"/>
      <c r="DB634" s="3"/>
      <c r="DC634" s="3"/>
      <c r="DD634" s="3"/>
      <c r="DE634" s="3"/>
      <c r="DF634" s="3"/>
    </row>
    <row r="635" spans="2:157" ht="12.95" customHeight="1">
      <c r="B635" s="52" t="s">
        <v>469</v>
      </c>
      <c r="C635" s="1354"/>
      <c r="D635" s="1354"/>
      <c r="E635" s="1354"/>
      <c r="F635" s="1354"/>
      <c r="G635" s="1354"/>
      <c r="H635" s="1354"/>
      <c r="I635" s="1354"/>
      <c r="J635" s="1354"/>
      <c r="K635" s="1354"/>
      <c r="L635" s="1354"/>
      <c r="M635" s="1463" t="s">
        <v>1290</v>
      </c>
      <c r="N635" s="1463"/>
      <c r="O635" s="1463"/>
      <c r="P635" s="1463"/>
      <c r="Q635" s="1464"/>
      <c r="R635" s="1465"/>
      <c r="S635" s="1466"/>
      <c r="T635" s="1464"/>
      <c r="U635" s="1465"/>
      <c r="V635" s="1466"/>
      <c r="W635" s="1408"/>
      <c r="X635" s="1409"/>
      <c r="Y635" s="1410"/>
      <c r="Z635" s="1512" t="s">
        <v>1290</v>
      </c>
      <c r="AA635" s="1513"/>
      <c r="AB635" s="1514"/>
      <c r="AC635" s="1451"/>
      <c r="AD635" s="1452"/>
      <c r="AE635" s="1453"/>
      <c r="AF635" s="1469"/>
      <c r="AG635" s="1470"/>
      <c r="AH635" s="1470"/>
      <c r="AI635" s="1470"/>
      <c r="AJ635" s="1471"/>
      <c r="AK635" s="1460"/>
      <c r="AL635" s="1461"/>
      <c r="AM635" s="1461"/>
      <c r="AN635" s="1462"/>
      <c r="AO635" s="1521"/>
      <c r="AP635" s="1522"/>
      <c r="AQ635" s="1522"/>
      <c r="AR635" s="1522"/>
      <c r="AS635" s="152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6" t="e">
        <f>DX597*(BN597/$BN$632)</f>
        <v>#VALUE!</v>
      </c>
      <c r="DY635" s="1496"/>
      <c r="DZ635" s="1496"/>
      <c r="EA635" s="1496"/>
      <c r="EB635" s="1496"/>
      <c r="EC635" s="1496">
        <f t="shared" ref="EC635:EC657" si="24">EC597*(BS597/$BS$632)</f>
        <v>148.93548387096774</v>
      </c>
      <c r="ED635" s="1496"/>
      <c r="EE635" s="1496"/>
      <c r="EF635" s="1496"/>
      <c r="EG635" s="1496"/>
      <c r="EH635" s="1496" t="e">
        <f t="shared" ref="EH635:EH657" si="25">EH597*(BX597/$BX$632)</f>
        <v>#VALUE!</v>
      </c>
      <c r="EI635" s="1496"/>
      <c r="EJ635" s="1496"/>
      <c r="EK635" s="1496"/>
      <c r="EL635" s="1496"/>
      <c r="EM635" s="1496" t="e">
        <f t="shared" ref="EM635:EM657" si="26">EM597*(CC597/$CC$632)</f>
        <v>#VALUE!</v>
      </c>
      <c r="EN635" s="1496"/>
      <c r="EO635" s="1496"/>
      <c r="EP635" s="1496"/>
      <c r="EQ635" s="1496"/>
      <c r="ER635" s="1496" t="e">
        <f t="shared" ref="ER635:ER657" si="27">ER597*(CH597/$CH$632)</f>
        <v>#VALUE!</v>
      </c>
      <c r="ES635" s="1496"/>
      <c r="ET635" s="1496"/>
      <c r="EU635" s="1496"/>
      <c r="EV635" s="1496"/>
      <c r="EW635" s="1496" t="e">
        <f t="shared" ref="EW635:EW657" si="28">EW597*(CM597/$CM$632)</f>
        <v>#VALUE!</v>
      </c>
      <c r="EX635" s="1496"/>
      <c r="EY635" s="1496"/>
      <c r="EZ635" s="1496"/>
      <c r="FA635" s="1496"/>
    </row>
    <row r="636" spans="2:157" ht="12.95" customHeight="1">
      <c r="B636" s="52" t="s">
        <v>654</v>
      </c>
      <c r="C636" s="1354"/>
      <c r="D636" s="1354"/>
      <c r="E636" s="1354"/>
      <c r="F636" s="1354"/>
      <c r="G636" s="1354"/>
      <c r="H636" s="1354"/>
      <c r="I636" s="1354"/>
      <c r="J636" s="1354"/>
      <c r="K636" s="1354"/>
      <c r="L636" s="1354"/>
      <c r="M636" s="1463" t="s">
        <v>1290</v>
      </c>
      <c r="N636" s="1463"/>
      <c r="O636" s="1463"/>
      <c r="P636" s="1463"/>
      <c r="Q636" s="1464"/>
      <c r="R636" s="1465"/>
      <c r="S636" s="1466"/>
      <c r="T636" s="1464"/>
      <c r="U636" s="1465"/>
      <c r="V636" s="1466"/>
      <c r="W636" s="1408"/>
      <c r="X636" s="1409"/>
      <c r="Y636" s="1410"/>
      <c r="Z636" s="1512" t="s">
        <v>1290</v>
      </c>
      <c r="AA636" s="1513"/>
      <c r="AB636" s="1514"/>
      <c r="AC636" s="1451"/>
      <c r="AD636" s="1452"/>
      <c r="AE636" s="1453"/>
      <c r="AF636" s="1469"/>
      <c r="AG636" s="1470"/>
      <c r="AH636" s="1470"/>
      <c r="AI636" s="1470"/>
      <c r="AJ636" s="1471"/>
      <c r="AK636" s="1460"/>
      <c r="AL636" s="1461"/>
      <c r="AM636" s="1461"/>
      <c r="AN636" s="1462"/>
      <c r="AO636" s="1521"/>
      <c r="AP636" s="1522"/>
      <c r="AQ636" s="1522"/>
      <c r="AR636" s="1522"/>
      <c r="AS636" s="152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6" t="e">
        <f t="shared" ref="DX636:DX657" si="29">DX598*(BN598/$BN$632)</f>
        <v>#VALUE!</v>
      </c>
      <c r="DY636" s="1496"/>
      <c r="DZ636" s="1496"/>
      <c r="EA636" s="1496"/>
      <c r="EB636" s="1496"/>
      <c r="EC636" s="1496">
        <f t="shared" si="24"/>
        <v>354.27419354838707</v>
      </c>
      <c r="ED636" s="1496"/>
      <c r="EE636" s="1496"/>
      <c r="EF636" s="1496"/>
      <c r="EG636" s="1496"/>
      <c r="EH636" s="1496" t="e">
        <f t="shared" si="25"/>
        <v>#VALUE!</v>
      </c>
      <c r="EI636" s="1496"/>
      <c r="EJ636" s="1496"/>
      <c r="EK636" s="1496"/>
      <c r="EL636" s="1496"/>
      <c r="EM636" s="1496" t="e">
        <f t="shared" si="26"/>
        <v>#VALUE!</v>
      </c>
      <c r="EN636" s="1496"/>
      <c r="EO636" s="1496"/>
      <c r="EP636" s="1496"/>
      <c r="EQ636" s="1496"/>
      <c r="ER636" s="1496" t="e">
        <f t="shared" si="27"/>
        <v>#VALUE!</v>
      </c>
      <c r="ES636" s="1496"/>
      <c r="ET636" s="1496"/>
      <c r="EU636" s="1496"/>
      <c r="EV636" s="1496"/>
      <c r="EW636" s="1496" t="e">
        <f t="shared" si="28"/>
        <v>#VALUE!</v>
      </c>
      <c r="EX636" s="1496"/>
      <c r="EY636" s="1496"/>
      <c r="EZ636" s="1496"/>
      <c r="FA636" s="1496"/>
    </row>
    <row r="637" spans="2:157" ht="12.95" customHeight="1">
      <c r="B637" s="52" t="s">
        <v>363</v>
      </c>
      <c r="C637" s="1354"/>
      <c r="D637" s="1354"/>
      <c r="E637" s="1354"/>
      <c r="F637" s="1354"/>
      <c r="G637" s="1354"/>
      <c r="H637" s="1354"/>
      <c r="I637" s="1354"/>
      <c r="J637" s="1354"/>
      <c r="K637" s="1354"/>
      <c r="L637" s="1354"/>
      <c r="M637" s="1463" t="s">
        <v>1290</v>
      </c>
      <c r="N637" s="1463"/>
      <c r="O637" s="1463"/>
      <c r="P637" s="1463"/>
      <c r="Q637" s="1464"/>
      <c r="R637" s="1465"/>
      <c r="S637" s="1466"/>
      <c r="T637" s="1464"/>
      <c r="U637" s="1465"/>
      <c r="V637" s="1466"/>
      <c r="W637" s="1408"/>
      <c r="X637" s="1409"/>
      <c r="Y637" s="1410"/>
      <c r="Z637" s="1512" t="s">
        <v>1290</v>
      </c>
      <c r="AA637" s="1513"/>
      <c r="AB637" s="1514"/>
      <c r="AC637" s="1451"/>
      <c r="AD637" s="1452"/>
      <c r="AE637" s="1453"/>
      <c r="AF637" s="1469"/>
      <c r="AG637" s="1470"/>
      <c r="AH637" s="1470"/>
      <c r="AI637" s="1470"/>
      <c r="AJ637" s="1471"/>
      <c r="AK637" s="1460"/>
      <c r="AL637" s="1461"/>
      <c r="AM637" s="1461"/>
      <c r="AN637" s="1462"/>
      <c r="AO637" s="1521"/>
      <c r="AP637" s="1522"/>
      <c r="AQ637" s="1522"/>
      <c r="AR637" s="1522"/>
      <c r="AS637" s="1523"/>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7">
        <f>IF(J773="SRO/Studio",O773,0)</f>
        <v>0</v>
      </c>
      <c r="BO637" s="1498"/>
      <c r="BP637" s="1498"/>
      <c r="BQ637" s="1498"/>
      <c r="BR637" s="1499"/>
      <c r="BS637" s="1502">
        <f>IF(J773="1 Bedroom",O773,0)</f>
        <v>0</v>
      </c>
      <c r="BT637" s="1502"/>
      <c r="BU637" s="1502"/>
      <c r="BV637" s="1502"/>
      <c r="BW637" s="1502"/>
      <c r="BX637" s="1502">
        <f>IF(J773="2 Bedrooms",O773,0)</f>
        <v>0</v>
      </c>
      <c r="BY637" s="1502"/>
      <c r="BZ637" s="1502"/>
      <c r="CA637" s="1502"/>
      <c r="CB637" s="1502"/>
      <c r="CC637" s="1502">
        <f>IF(J773="3 Bedrooms",O773,0)</f>
        <v>1</v>
      </c>
      <c r="CD637" s="1502"/>
      <c r="CE637" s="1502"/>
      <c r="CF637" s="1502"/>
      <c r="CG637" s="1502"/>
      <c r="CH637" s="1502">
        <f>IF(J773="4 Bedrooms",O773,0)</f>
        <v>0</v>
      </c>
      <c r="CI637" s="1502"/>
      <c r="CJ637" s="1502"/>
      <c r="CK637" s="1502"/>
      <c r="CL637" s="1502"/>
      <c r="CM637" s="1502">
        <f>IF(J773="5 Bedrooms",O773,0)</f>
        <v>0</v>
      </c>
      <c r="CN637" s="1502"/>
      <c r="CO637" s="1502"/>
      <c r="CP637" s="1502"/>
      <c r="CQ637" s="1502"/>
      <c r="CR637" s="6"/>
      <c r="CS637" s="3"/>
      <c r="CT637" s="3"/>
      <c r="CU637" s="3"/>
      <c r="CV637" s="3"/>
      <c r="CW637" s="3"/>
      <c r="CX637" s="3"/>
      <c r="CY637" s="3"/>
      <c r="CZ637" s="3"/>
      <c r="DA637" s="3"/>
      <c r="DB637" s="3"/>
      <c r="DC637" s="3"/>
      <c r="DD637" s="3"/>
      <c r="DE637" s="3"/>
      <c r="DF637" s="3"/>
      <c r="DX637" s="1496" t="e">
        <f t="shared" si="29"/>
        <v>#VALUE!</v>
      </c>
      <c r="DY637" s="1496"/>
      <c r="DZ637" s="1496"/>
      <c r="EA637" s="1496"/>
      <c r="EB637" s="1496"/>
      <c r="EC637" s="1496">
        <f t="shared" si="24"/>
        <v>361.06451612903226</v>
      </c>
      <c r="ED637" s="1496"/>
      <c r="EE637" s="1496"/>
      <c r="EF637" s="1496"/>
      <c r="EG637" s="1496"/>
      <c r="EH637" s="1496" t="e">
        <f t="shared" si="25"/>
        <v>#VALUE!</v>
      </c>
      <c r="EI637" s="1496"/>
      <c r="EJ637" s="1496"/>
      <c r="EK637" s="1496"/>
      <c r="EL637" s="1496"/>
      <c r="EM637" s="1496" t="e">
        <f t="shared" si="26"/>
        <v>#VALUE!</v>
      </c>
      <c r="EN637" s="1496"/>
      <c r="EO637" s="1496"/>
      <c r="EP637" s="1496"/>
      <c r="EQ637" s="1496"/>
      <c r="ER637" s="1496" t="e">
        <f t="shared" si="27"/>
        <v>#VALUE!</v>
      </c>
      <c r="ES637" s="1496"/>
      <c r="ET637" s="1496"/>
      <c r="EU637" s="1496"/>
      <c r="EV637" s="1496"/>
      <c r="EW637" s="1496" t="e">
        <f t="shared" si="28"/>
        <v>#VALUE!</v>
      </c>
      <c r="EX637" s="1496"/>
      <c r="EY637" s="1496"/>
      <c r="EZ637" s="1496"/>
      <c r="FA637" s="1496"/>
    </row>
    <row r="638" spans="2:157" ht="12.95" customHeight="1">
      <c r="B638" s="52" t="s">
        <v>364</v>
      </c>
      <c r="C638" s="1354"/>
      <c r="D638" s="1354"/>
      <c r="E638" s="1354"/>
      <c r="F638" s="1354"/>
      <c r="G638" s="1354"/>
      <c r="H638" s="1354"/>
      <c r="I638" s="1354"/>
      <c r="J638" s="1354"/>
      <c r="K638" s="1354"/>
      <c r="L638" s="1354"/>
      <c r="M638" s="1463" t="s">
        <v>1290</v>
      </c>
      <c r="N638" s="1463"/>
      <c r="O638" s="1463"/>
      <c r="P638" s="1463"/>
      <c r="Q638" s="1464"/>
      <c r="R638" s="1465"/>
      <c r="S638" s="1466"/>
      <c r="T638" s="1464"/>
      <c r="U638" s="1465"/>
      <c r="V638" s="1466"/>
      <c r="W638" s="1408"/>
      <c r="X638" s="1409"/>
      <c r="Y638" s="1410"/>
      <c r="Z638" s="1512" t="s">
        <v>1290</v>
      </c>
      <c r="AA638" s="1513"/>
      <c r="AB638" s="1514"/>
      <c r="AC638" s="1451"/>
      <c r="AD638" s="1452"/>
      <c r="AE638" s="1453"/>
      <c r="AF638" s="1469"/>
      <c r="AG638" s="1470"/>
      <c r="AH638" s="1470"/>
      <c r="AI638" s="1470"/>
      <c r="AJ638" s="1471"/>
      <c r="AK638" s="1460"/>
      <c r="AL638" s="1461"/>
      <c r="AM638" s="1461"/>
      <c r="AN638" s="1462"/>
      <c r="AO638" s="1521"/>
      <c r="AP638" s="1522"/>
      <c r="AQ638" s="1522"/>
      <c r="AR638" s="1522"/>
      <c r="AS638" s="152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7">
        <f>IF(J774="SRO/Studio",O774,0)</f>
        <v>0</v>
      </c>
      <c r="BO638" s="1498"/>
      <c r="BP638" s="1498"/>
      <c r="BQ638" s="1498"/>
      <c r="BR638" s="1499"/>
      <c r="BS638" s="1502">
        <f>IF(J774="1 Bedroom",O774,0)</f>
        <v>0</v>
      </c>
      <c r="BT638" s="1502"/>
      <c r="BU638" s="1502"/>
      <c r="BV638" s="1502"/>
      <c r="BW638" s="1502"/>
      <c r="BX638" s="1502">
        <f>IF(J774="2 Bedrooms",O774,0)</f>
        <v>0</v>
      </c>
      <c r="BY638" s="1502"/>
      <c r="BZ638" s="1502"/>
      <c r="CA638" s="1502"/>
      <c r="CB638" s="1502"/>
      <c r="CC638" s="1502">
        <f>IF(J774="3 Bedrooms",O774,0)</f>
        <v>0</v>
      </c>
      <c r="CD638" s="1502"/>
      <c r="CE638" s="1502"/>
      <c r="CF638" s="1502"/>
      <c r="CG638" s="1502"/>
      <c r="CH638" s="1502">
        <f>IF(J774="4 Bedrooms",O774,0)</f>
        <v>0</v>
      </c>
      <c r="CI638" s="1502"/>
      <c r="CJ638" s="1502"/>
      <c r="CK638" s="1502"/>
      <c r="CL638" s="1502"/>
      <c r="CM638" s="1502">
        <f>IF(J774="5 Bedrooms",O774,0)</f>
        <v>0</v>
      </c>
      <c r="CN638" s="1502"/>
      <c r="CO638" s="1502"/>
      <c r="CP638" s="1502"/>
      <c r="CQ638" s="1502"/>
      <c r="CR638" s="6"/>
      <c r="CS638" s="3"/>
      <c r="CT638" s="3"/>
      <c r="CU638" s="3"/>
      <c r="CV638" s="3"/>
      <c r="CW638" s="3"/>
      <c r="CX638" s="3"/>
      <c r="CY638" s="3"/>
      <c r="CZ638" s="3"/>
      <c r="DA638" s="3"/>
      <c r="DB638" s="3"/>
      <c r="DC638" s="3"/>
      <c r="DD638" s="3"/>
      <c r="DE638" s="3"/>
      <c r="DF638" s="3"/>
      <c r="DX638" s="1496" t="e">
        <f t="shared" si="29"/>
        <v>#VALUE!</v>
      </c>
      <c r="DY638" s="1496"/>
      <c r="DZ638" s="1496"/>
      <c r="EA638" s="1496"/>
      <c r="EB638" s="1496"/>
      <c r="EC638" s="1496" t="e">
        <f t="shared" si="24"/>
        <v>#VALUE!</v>
      </c>
      <c r="ED638" s="1496"/>
      <c r="EE638" s="1496"/>
      <c r="EF638" s="1496"/>
      <c r="EG638" s="1496"/>
      <c r="EH638" s="1496">
        <f t="shared" si="25"/>
        <v>55.21875</v>
      </c>
      <c r="EI638" s="1496"/>
      <c r="EJ638" s="1496"/>
      <c r="EK638" s="1496"/>
      <c r="EL638" s="1496"/>
      <c r="EM638" s="1496" t="e">
        <f t="shared" si="26"/>
        <v>#VALUE!</v>
      </c>
      <c r="EN638" s="1496"/>
      <c r="EO638" s="1496"/>
      <c r="EP638" s="1496"/>
      <c r="EQ638" s="1496"/>
      <c r="ER638" s="1496" t="e">
        <f t="shared" si="27"/>
        <v>#VALUE!</v>
      </c>
      <c r="ES638" s="1496"/>
      <c r="ET638" s="1496"/>
      <c r="EU638" s="1496"/>
      <c r="EV638" s="1496"/>
      <c r="EW638" s="1496" t="e">
        <f t="shared" si="28"/>
        <v>#VALUE!</v>
      </c>
      <c r="EX638" s="1496"/>
      <c r="EY638" s="1496"/>
      <c r="EZ638" s="1496"/>
      <c r="FA638" s="1496"/>
    </row>
    <row r="639" spans="2:157" ht="12.95" customHeight="1">
      <c r="B639" s="1411" t="s">
        <v>128</v>
      </c>
      <c r="C639" s="1412"/>
      <c r="D639" s="1412"/>
      <c r="E639" s="1412"/>
      <c r="F639" s="1412"/>
      <c r="G639" s="1412"/>
      <c r="H639" s="1412"/>
      <c r="I639" s="1412"/>
      <c r="J639" s="1412"/>
      <c r="K639" s="1412"/>
      <c r="L639" s="1412"/>
      <c r="M639" s="1412"/>
      <c r="N639" s="1412"/>
      <c r="O639" s="1412"/>
      <c r="P639" s="1412"/>
      <c r="Q639" s="1412"/>
      <c r="R639" s="1412"/>
      <c r="S639" s="1412"/>
      <c r="T639" s="1412"/>
      <c r="U639" s="1412"/>
      <c r="V639" s="1412"/>
      <c r="W639" s="1412"/>
      <c r="X639" s="1412"/>
      <c r="Y639" s="1412"/>
      <c r="Z639" s="1412"/>
      <c r="AA639" s="1412"/>
      <c r="AB639" s="1412"/>
      <c r="AC639" s="1412"/>
      <c r="AD639" s="1412"/>
      <c r="AE639" s="1412"/>
      <c r="AF639" s="1412"/>
      <c r="AG639" s="1412"/>
      <c r="AH639" s="1412"/>
      <c r="AI639" s="1412"/>
      <c r="AJ639" s="1412"/>
      <c r="AK639" s="1412"/>
      <c r="AL639" s="1412"/>
      <c r="AM639" s="1412"/>
      <c r="AN639" s="1413"/>
      <c r="AO639" s="1655">
        <f>SUM(AO627:AR638)</f>
        <v>21227019</v>
      </c>
      <c r="AP639" s="1656"/>
      <c r="AQ639" s="1656"/>
      <c r="AR639" s="1656"/>
      <c r="AS639" s="1657"/>
      <c r="AV639" s="3"/>
      <c r="AW639" s="3"/>
      <c r="AX639" s="3"/>
      <c r="AY639" s="3"/>
      <c r="AZ639" s="34"/>
      <c r="BA639" s="34"/>
      <c r="BB639" s="34"/>
      <c r="BC639" s="34"/>
      <c r="BD639" s="34"/>
      <c r="BE639" s="34"/>
      <c r="BF639" s="34"/>
      <c r="BG639" s="34"/>
      <c r="BH639" s="34"/>
      <c r="BI639" s="34"/>
      <c r="BJ639" s="34"/>
      <c r="BK639" s="34"/>
      <c r="BL639" s="34"/>
      <c r="BM639" s="34"/>
      <c r="BN639" s="1497">
        <f>IF(J775="SRO/Studio",O775,0)</f>
        <v>0</v>
      </c>
      <c r="BO639" s="1498"/>
      <c r="BP639" s="1498"/>
      <c r="BQ639" s="1498"/>
      <c r="BR639" s="1499"/>
      <c r="BS639" s="1502">
        <f>IF(J775="1 Bedroom",O775,0)</f>
        <v>0</v>
      </c>
      <c r="BT639" s="1502"/>
      <c r="BU639" s="1502"/>
      <c r="BV639" s="1502"/>
      <c r="BW639" s="1502"/>
      <c r="BX639" s="1502">
        <f>IF(J775="2 Bedrooms",O775,0)</f>
        <v>0</v>
      </c>
      <c r="BY639" s="1502"/>
      <c r="BZ639" s="1502"/>
      <c r="CA639" s="1502"/>
      <c r="CB639" s="1502"/>
      <c r="CC639" s="1502">
        <f>IF(J775="3 Bedrooms",O775,0)</f>
        <v>0</v>
      </c>
      <c r="CD639" s="1502"/>
      <c r="CE639" s="1502"/>
      <c r="CF639" s="1502"/>
      <c r="CG639" s="1502"/>
      <c r="CH639" s="1502">
        <f>IF(J775="4 Bedrooms",O775,0)</f>
        <v>0</v>
      </c>
      <c r="CI639" s="1502"/>
      <c r="CJ639" s="1502"/>
      <c r="CK639" s="1502"/>
      <c r="CL639" s="1502"/>
      <c r="CM639" s="1502">
        <f>IF(J775="5 Bedrooms",O775,0)</f>
        <v>0</v>
      </c>
      <c r="CN639" s="1502"/>
      <c r="CO639" s="1502"/>
      <c r="CP639" s="1502"/>
      <c r="CQ639" s="1502"/>
      <c r="CR639" s="1047"/>
      <c r="CV639" s="3"/>
      <c r="CW639" s="3"/>
      <c r="CX639" s="3"/>
      <c r="CY639" s="3"/>
      <c r="CZ639" s="3"/>
      <c r="DA639" s="3"/>
      <c r="DB639" s="3"/>
      <c r="DC639" s="3"/>
      <c r="DD639" s="3"/>
      <c r="DE639" s="3"/>
      <c r="DF639" s="3"/>
      <c r="DX639" s="1496" t="e">
        <f t="shared" si="29"/>
        <v>#VALUE!</v>
      </c>
      <c r="DY639" s="1496"/>
      <c r="DZ639" s="1496"/>
      <c r="EA639" s="1496"/>
      <c r="EB639" s="1496"/>
      <c r="EC639" s="1496" t="e">
        <f t="shared" si="24"/>
        <v>#VALUE!</v>
      </c>
      <c r="ED639" s="1496"/>
      <c r="EE639" s="1496"/>
      <c r="EF639" s="1496"/>
      <c r="EG639" s="1496"/>
      <c r="EH639" s="1496">
        <f t="shared" si="25"/>
        <v>385</v>
      </c>
      <c r="EI639" s="1496"/>
      <c r="EJ639" s="1496"/>
      <c r="EK639" s="1496"/>
      <c r="EL639" s="1496"/>
      <c r="EM639" s="1496" t="e">
        <f t="shared" si="26"/>
        <v>#VALUE!</v>
      </c>
      <c r="EN639" s="1496"/>
      <c r="EO639" s="1496"/>
      <c r="EP639" s="1496"/>
      <c r="EQ639" s="1496"/>
      <c r="ER639" s="1496" t="e">
        <f t="shared" si="27"/>
        <v>#VALUE!</v>
      </c>
      <c r="ES639" s="1496"/>
      <c r="ET639" s="1496"/>
      <c r="EU639" s="1496"/>
      <c r="EV639" s="1496"/>
      <c r="EW639" s="1496" t="e">
        <f t="shared" si="28"/>
        <v>#VALUE!</v>
      </c>
      <c r="EX639" s="1496"/>
      <c r="EY639" s="1496"/>
      <c r="EZ639" s="1496"/>
      <c r="FA639" s="1496"/>
    </row>
    <row r="640" spans="2:157" ht="12.95" customHeight="1">
      <c r="B640" s="1411" t="s">
        <v>268</v>
      </c>
      <c r="C640" s="1412"/>
      <c r="D640" s="1412"/>
      <c r="E640" s="1412"/>
      <c r="F640" s="1412"/>
      <c r="G640" s="1412"/>
      <c r="H640" s="1412"/>
      <c r="I640" s="1412"/>
      <c r="J640" s="1412"/>
      <c r="K640" s="1412"/>
      <c r="L640" s="1412"/>
      <c r="M640" s="1412"/>
      <c r="N640" s="1412"/>
      <c r="O640" s="1412"/>
      <c r="P640" s="1412"/>
      <c r="Q640" s="1412"/>
      <c r="R640" s="1412"/>
      <c r="S640" s="1412"/>
      <c r="T640" s="1412"/>
      <c r="U640" s="1412"/>
      <c r="V640" s="1412"/>
      <c r="W640" s="1412"/>
      <c r="X640" s="1412"/>
      <c r="Y640" s="1412"/>
      <c r="Z640" s="1412"/>
      <c r="AA640" s="1412"/>
      <c r="AB640" s="1412"/>
      <c r="AC640" s="1412"/>
      <c r="AD640" s="1412"/>
      <c r="AE640" s="1412"/>
      <c r="AF640" s="1412"/>
      <c r="AG640" s="1412"/>
      <c r="AH640" s="1412"/>
      <c r="AI640" s="1412"/>
      <c r="AJ640" s="1412"/>
      <c r="AK640" s="1412"/>
      <c r="AL640" s="1412"/>
      <c r="AM640" s="1412"/>
      <c r="AN640" s="1413"/>
      <c r="AO640" s="1521">
        <f>34031996.5+19192418.5</f>
        <v>53224415</v>
      </c>
      <c r="AP640" s="1522"/>
      <c r="AQ640" s="1522"/>
      <c r="AR640" s="1522"/>
      <c r="AS640" s="1523"/>
      <c r="AV640" s="3"/>
      <c r="AW640" s="3"/>
      <c r="AX640" s="3"/>
      <c r="AY640" s="3"/>
      <c r="AZ640" s="34"/>
      <c r="BA640" s="34"/>
      <c r="BB640" s="34"/>
      <c r="BC640" s="34"/>
      <c r="BD640" s="34"/>
      <c r="BE640" s="34"/>
      <c r="BF640" s="34"/>
      <c r="BG640" s="34"/>
      <c r="BH640" s="34"/>
      <c r="BI640" s="34"/>
      <c r="BJ640" s="34"/>
      <c r="BK640" s="34"/>
      <c r="BL640" s="34"/>
      <c r="BM640" s="34"/>
      <c r="BN640" s="1497">
        <f>IF(J776="SRO/Studio",O776,0)</f>
        <v>0</v>
      </c>
      <c r="BO640" s="1498"/>
      <c r="BP640" s="1498"/>
      <c r="BQ640" s="1498"/>
      <c r="BR640" s="1499"/>
      <c r="BS640" s="1502">
        <f>IF(J776="1 Bedroom",O776,0)</f>
        <v>0</v>
      </c>
      <c r="BT640" s="1502"/>
      <c r="BU640" s="1502"/>
      <c r="BV640" s="1502"/>
      <c r="BW640" s="1502"/>
      <c r="BX640" s="1502">
        <f>IF(J776="2 Bedrooms",O776,0)</f>
        <v>0</v>
      </c>
      <c r="BY640" s="1502"/>
      <c r="BZ640" s="1502"/>
      <c r="CA640" s="1502"/>
      <c r="CB640" s="1502"/>
      <c r="CC640" s="1502">
        <f>IF(J776="3 Bedrooms",O776,0)</f>
        <v>0</v>
      </c>
      <c r="CD640" s="1502"/>
      <c r="CE640" s="1502"/>
      <c r="CF640" s="1502"/>
      <c r="CG640" s="1502"/>
      <c r="CH640" s="1502">
        <f>IF(J776="4 Bedrooms",O776,0)</f>
        <v>0</v>
      </c>
      <c r="CI640" s="1502"/>
      <c r="CJ640" s="1502"/>
      <c r="CK640" s="1502"/>
      <c r="CL640" s="1502"/>
      <c r="CM640" s="1502">
        <f>IF(J776="5 Bedrooms",O776,0)</f>
        <v>0</v>
      </c>
      <c r="CN640" s="1502"/>
      <c r="CO640" s="1502"/>
      <c r="CP640" s="1502"/>
      <c r="CQ640" s="1502"/>
      <c r="CV640" s="3"/>
      <c r="CW640" s="3"/>
      <c r="CX640" s="3"/>
      <c r="CY640" s="3"/>
      <c r="CZ640" s="3"/>
      <c r="DA640" s="3"/>
      <c r="DB640" s="3"/>
      <c r="DC640" s="3"/>
      <c r="DD640" s="3"/>
      <c r="DE640" s="3"/>
      <c r="DF640" s="3"/>
      <c r="DX640" s="1496" t="e">
        <f t="shared" si="29"/>
        <v>#VALUE!</v>
      </c>
      <c r="DY640" s="1496"/>
      <c r="DZ640" s="1496"/>
      <c r="EA640" s="1496"/>
      <c r="EB640" s="1496"/>
      <c r="EC640" s="1496" t="e">
        <f t="shared" si="24"/>
        <v>#VALUE!</v>
      </c>
      <c r="ED640" s="1496"/>
      <c r="EE640" s="1496"/>
      <c r="EF640" s="1496"/>
      <c r="EG640" s="1496"/>
      <c r="EH640" s="1496">
        <f t="shared" si="25"/>
        <v>704.25</v>
      </c>
      <c r="EI640" s="1496"/>
      <c r="EJ640" s="1496"/>
      <c r="EK640" s="1496"/>
      <c r="EL640" s="1496"/>
      <c r="EM640" s="1496" t="e">
        <f t="shared" si="26"/>
        <v>#VALUE!</v>
      </c>
      <c r="EN640" s="1496"/>
      <c r="EO640" s="1496"/>
      <c r="EP640" s="1496"/>
      <c r="EQ640" s="1496"/>
      <c r="ER640" s="1496" t="e">
        <f t="shared" si="27"/>
        <v>#VALUE!</v>
      </c>
      <c r="ES640" s="1496"/>
      <c r="ET640" s="1496"/>
      <c r="EU640" s="1496"/>
      <c r="EV640" s="1496"/>
      <c r="EW640" s="1496" t="e">
        <f t="shared" si="28"/>
        <v>#VALUE!</v>
      </c>
      <c r="EX640" s="1496"/>
      <c r="EY640" s="1496"/>
      <c r="EZ640" s="1496"/>
      <c r="FA640" s="1496"/>
    </row>
    <row r="641" spans="1:157" ht="12.95" customHeight="1">
      <c r="B641" s="1414" t="s">
        <v>269</v>
      </c>
      <c r="C641" s="1415"/>
      <c r="D641" s="1415"/>
      <c r="E641" s="1415"/>
      <c r="F641" s="1415"/>
      <c r="G641" s="1415"/>
      <c r="H641" s="1415"/>
      <c r="I641" s="1415"/>
      <c r="J641" s="1415"/>
      <c r="K641" s="1415"/>
      <c r="L641" s="1415"/>
      <c r="M641" s="1415"/>
      <c r="N641" s="1415"/>
      <c r="O641" s="1415"/>
      <c r="P641" s="1415"/>
      <c r="Q641" s="1415"/>
      <c r="R641" s="1415"/>
      <c r="S641" s="1415"/>
      <c r="T641" s="1415"/>
      <c r="U641" s="1415"/>
      <c r="V641" s="1415"/>
      <c r="W641" s="1415"/>
      <c r="X641" s="1415"/>
      <c r="Y641" s="1415"/>
      <c r="Z641" s="1415"/>
      <c r="AA641" s="1415"/>
      <c r="AB641" s="1415"/>
      <c r="AC641" s="1415"/>
      <c r="AD641" s="1415"/>
      <c r="AE641" s="1415"/>
      <c r="AF641" s="1415"/>
      <c r="AG641" s="1415"/>
      <c r="AH641" s="1415"/>
      <c r="AI641" s="1415"/>
      <c r="AJ641" s="1415"/>
      <c r="AK641" s="1415"/>
      <c r="AL641" s="1415"/>
      <c r="AM641" s="1415"/>
      <c r="AN641" s="1416"/>
      <c r="AO641" s="1655">
        <f>AO639+AO640</f>
        <v>74451434</v>
      </c>
      <c r="AP641" s="1656"/>
      <c r="AQ641" s="1656"/>
      <c r="AR641" s="1656"/>
      <c r="AS641" s="1657"/>
      <c r="AV641" s="3"/>
      <c r="AW641" s="3"/>
      <c r="AX641" s="3"/>
      <c r="AY641" s="3"/>
      <c r="AZ641" s="34"/>
      <c r="BA641" s="34"/>
      <c r="BB641" s="34"/>
      <c r="BC641" s="34"/>
      <c r="BD641" s="34"/>
      <c r="BE641" s="34"/>
      <c r="BF641" s="34"/>
      <c r="BG641" s="34"/>
      <c r="BH641" s="34"/>
      <c r="BI641" s="34"/>
      <c r="BJ641" s="34"/>
      <c r="BK641" s="34"/>
      <c r="BL641" s="34"/>
      <c r="BM641" s="34"/>
      <c r="BN641" s="1509">
        <f>SUM(BN637:BR640)</f>
        <v>0</v>
      </c>
      <c r="BO641" s="1510"/>
      <c r="BP641" s="1510"/>
      <c r="BQ641" s="1510"/>
      <c r="BR641" s="1511"/>
      <c r="BS641" s="1503">
        <f>SUM(BS637:BW640)</f>
        <v>0</v>
      </c>
      <c r="BT641" s="1504"/>
      <c r="BU641" s="1504"/>
      <c r="BV641" s="1504"/>
      <c r="BW641" s="1505"/>
      <c r="BX641" s="1503">
        <f>SUM(BX637:CB640)</f>
        <v>0</v>
      </c>
      <c r="BY641" s="1504"/>
      <c r="BZ641" s="1504"/>
      <c r="CA641" s="1504"/>
      <c r="CB641" s="1505"/>
      <c r="CC641" s="1503">
        <f>SUM(CC637:CG640)</f>
        <v>1</v>
      </c>
      <c r="CD641" s="1504"/>
      <c r="CE641" s="1504"/>
      <c r="CF641" s="1504"/>
      <c r="CG641" s="1505"/>
      <c r="CH641" s="1503">
        <f>SUM(CH637:CL640)</f>
        <v>0</v>
      </c>
      <c r="CI641" s="1504"/>
      <c r="CJ641" s="1504"/>
      <c r="CK641" s="1504"/>
      <c r="CL641" s="1505"/>
      <c r="CM641" s="1503">
        <f>SUM(CM637:CQ640)</f>
        <v>0</v>
      </c>
      <c r="CN641" s="1504"/>
      <c r="CO641" s="1504"/>
      <c r="CP641" s="1504"/>
      <c r="CQ641" s="1505"/>
      <c r="CS641" s="895">
        <f>BN641+BS641+BX641+CC641+CH641+CM641</f>
        <v>1</v>
      </c>
      <c r="CT641" s="57" t="s">
        <v>2049</v>
      </c>
      <c r="CU641" s="3"/>
      <c r="CV641" s="3"/>
      <c r="CW641" s="3"/>
      <c r="CX641" s="3"/>
      <c r="CY641" s="3"/>
      <c r="CZ641" s="3"/>
      <c r="DA641" s="3"/>
      <c r="DB641" s="3"/>
      <c r="DC641" s="3"/>
      <c r="DD641" s="3"/>
      <c r="DE641" s="3"/>
      <c r="DF641" s="3"/>
      <c r="DX641" s="1496" t="e">
        <f t="shared" si="29"/>
        <v>#VALUE!</v>
      </c>
      <c r="DY641" s="1496"/>
      <c r="DZ641" s="1496"/>
      <c r="EA641" s="1496"/>
      <c r="EB641" s="1496"/>
      <c r="EC641" s="1496" t="e">
        <f t="shared" si="24"/>
        <v>#VALUE!</v>
      </c>
      <c r="ED641" s="1496"/>
      <c r="EE641" s="1496"/>
      <c r="EF641" s="1496"/>
      <c r="EG641" s="1496"/>
      <c r="EH641" s="1496" t="e">
        <f t="shared" si="25"/>
        <v>#VALUE!</v>
      </c>
      <c r="EI641" s="1496"/>
      <c r="EJ641" s="1496"/>
      <c r="EK641" s="1496"/>
      <c r="EL641" s="1496"/>
      <c r="EM641" s="1496">
        <f t="shared" si="26"/>
        <v>84</v>
      </c>
      <c r="EN641" s="1496"/>
      <c r="EO641" s="1496"/>
      <c r="EP641" s="1496"/>
      <c r="EQ641" s="1496"/>
      <c r="ER641" s="1496" t="e">
        <f t="shared" si="27"/>
        <v>#VALUE!</v>
      </c>
      <c r="ES641" s="1496"/>
      <c r="ET641" s="1496"/>
      <c r="EU641" s="1496"/>
      <c r="EV641" s="1496"/>
      <c r="EW641" s="1496" t="e">
        <f t="shared" si="28"/>
        <v>#VALUE!</v>
      </c>
      <c r="EX641" s="1496"/>
      <c r="EY641" s="1496"/>
      <c r="EZ641" s="1496"/>
      <c r="FA641" s="149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2051</v>
      </c>
      <c r="CU642" s="3"/>
      <c r="CV642" s="3"/>
      <c r="CW642" s="3"/>
      <c r="CX642" s="3"/>
      <c r="CY642" s="3"/>
      <c r="CZ642" s="3"/>
      <c r="DA642" s="3"/>
      <c r="DB642" s="3"/>
      <c r="DC642" s="3"/>
      <c r="DD642" s="3"/>
      <c r="DE642" s="3"/>
      <c r="DF642" s="3"/>
      <c r="DX642" s="1496" t="e">
        <f t="shared" si="29"/>
        <v>#VALUE!</v>
      </c>
      <c r="DY642" s="1496"/>
      <c r="DZ642" s="1496"/>
      <c r="EA642" s="1496"/>
      <c r="EB642" s="1496"/>
      <c r="EC642" s="1496" t="e">
        <f t="shared" si="24"/>
        <v>#VALUE!</v>
      </c>
      <c r="ED642" s="1496"/>
      <c r="EE642" s="1496"/>
      <c r="EF642" s="1496"/>
      <c r="EG642" s="1496"/>
      <c r="EH642" s="1496" t="e">
        <f t="shared" si="25"/>
        <v>#VALUE!</v>
      </c>
      <c r="EI642" s="1496"/>
      <c r="EJ642" s="1496"/>
      <c r="EK642" s="1496"/>
      <c r="EL642" s="1496"/>
      <c r="EM642" s="1496">
        <f t="shared" si="26"/>
        <v>395.75757575757575</v>
      </c>
      <c r="EN642" s="1496"/>
      <c r="EO642" s="1496"/>
      <c r="EP642" s="1496"/>
      <c r="EQ642" s="1496"/>
      <c r="ER642" s="1496" t="e">
        <f t="shared" si="27"/>
        <v>#VALUE!</v>
      </c>
      <c r="ES642" s="1496"/>
      <c r="ET642" s="1496"/>
      <c r="EU642" s="1496"/>
      <c r="EV642" s="1496"/>
      <c r="EW642" s="1496" t="e">
        <f t="shared" si="28"/>
        <v>#VALUE!</v>
      </c>
      <c r="EX642" s="1496"/>
      <c r="EY642" s="1496"/>
      <c r="EZ642" s="1496"/>
      <c r="FA642" s="1496"/>
    </row>
    <row r="643" spans="1:157" ht="12.95" customHeight="1">
      <c r="A643" s="55" t="s">
        <v>112</v>
      </c>
      <c r="B643" t="s">
        <v>471</v>
      </c>
      <c r="G643" s="1417" t="str">
        <f>C627</f>
        <v>Banner Bank</v>
      </c>
      <c r="H643" s="1417"/>
      <c r="I643" s="1417"/>
      <c r="J643" s="1417"/>
      <c r="K643" s="1417"/>
      <c r="L643" s="1417"/>
      <c r="M643" s="1417"/>
      <c r="N643" s="1417"/>
      <c r="O643" s="1417"/>
      <c r="P643" s="1417"/>
      <c r="Q643" s="1417"/>
      <c r="R643" s="1417"/>
      <c r="S643" s="8"/>
      <c r="T643" s="55" t="s">
        <v>113</v>
      </c>
      <c r="U643" t="s">
        <v>471</v>
      </c>
      <c r="Z643" s="1417" t="str">
        <f>C628</f>
        <v>HCD Infill &amp; Infrastructure</v>
      </c>
      <c r="AA643" s="1417"/>
      <c r="AB643" s="1417"/>
      <c r="AC643" s="1417"/>
      <c r="AD643" s="1417"/>
      <c r="AE643" s="1417"/>
      <c r="AF643" s="1417"/>
      <c r="AG643" s="1417"/>
      <c r="AH643" s="1417"/>
      <c r="AI643" s="1417"/>
      <c r="AJ643" s="1417"/>
      <c r="AK643" s="141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6" t="e">
        <f t="shared" si="29"/>
        <v>#VALUE!</v>
      </c>
      <c r="DY643" s="1496"/>
      <c r="DZ643" s="1496"/>
      <c r="EA643" s="1496"/>
      <c r="EB643" s="1496"/>
      <c r="EC643" s="1496" t="e">
        <f t="shared" si="24"/>
        <v>#VALUE!</v>
      </c>
      <c r="ED643" s="1496"/>
      <c r="EE643" s="1496"/>
      <c r="EF643" s="1496"/>
      <c r="EG643" s="1496"/>
      <c r="EH643" s="1496" t="e">
        <f t="shared" si="25"/>
        <v>#VALUE!</v>
      </c>
      <c r="EI643" s="1496"/>
      <c r="EJ643" s="1496"/>
      <c r="EK643" s="1496"/>
      <c r="EL643" s="1496"/>
      <c r="EM643" s="1496">
        <f t="shared" si="26"/>
        <v>840.03030303030312</v>
      </c>
      <c r="EN643" s="1496"/>
      <c r="EO643" s="1496"/>
      <c r="EP643" s="1496"/>
      <c r="EQ643" s="1496"/>
      <c r="ER643" s="1496" t="e">
        <f t="shared" si="27"/>
        <v>#VALUE!</v>
      </c>
      <c r="ES643" s="1496"/>
      <c r="ET643" s="1496"/>
      <c r="EU643" s="1496"/>
      <c r="EV643" s="1496"/>
      <c r="EW643" s="1496" t="e">
        <f t="shared" si="28"/>
        <v>#VALUE!</v>
      </c>
      <c r="EX643" s="1496"/>
      <c r="EY643" s="1496"/>
      <c r="EZ643" s="1496"/>
      <c r="FA643" s="1496"/>
    </row>
    <row r="644" spans="1:157" ht="12.95" customHeight="1">
      <c r="A644" s="22"/>
      <c r="B644" t="s">
        <v>85</v>
      </c>
      <c r="G644" s="1374" t="s">
        <v>2736</v>
      </c>
      <c r="H644" s="1374"/>
      <c r="I644" s="1374"/>
      <c r="J644" s="1374"/>
      <c r="K644" s="1374"/>
      <c r="L644" s="1374"/>
      <c r="M644" s="1374"/>
      <c r="N644" s="1374"/>
      <c r="O644" s="1374"/>
      <c r="P644" s="1374"/>
      <c r="Q644" s="1374"/>
      <c r="R644" s="1374"/>
      <c r="S644" s="8"/>
      <c r="T644" s="22"/>
      <c r="U644" t="s">
        <v>85</v>
      </c>
      <c r="Z644" s="1449" t="s">
        <v>2765</v>
      </c>
      <c r="AA644" s="1449"/>
      <c r="AB644" s="1449"/>
      <c r="AC644" s="1449"/>
      <c r="AD644" s="1449"/>
      <c r="AE644" s="1449"/>
      <c r="AF644" s="1449"/>
      <c r="AG644" s="1449"/>
      <c r="AH644" s="1449"/>
      <c r="AI644" s="1449"/>
      <c r="AJ644" s="1449"/>
      <c r="AK644" s="144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96" t="e">
        <f t="shared" si="29"/>
        <v>#VALUE!</v>
      </c>
      <c r="DY644" s="1496"/>
      <c r="DZ644" s="1496"/>
      <c r="EA644" s="1496"/>
      <c r="EB644" s="1496"/>
      <c r="EC644" s="1496" t="e">
        <f t="shared" si="24"/>
        <v>#VALUE!</v>
      </c>
      <c r="ED644" s="1496"/>
      <c r="EE644" s="1496"/>
      <c r="EF644" s="1496"/>
      <c r="EG644" s="1496"/>
      <c r="EH644" s="1496" t="e">
        <f t="shared" si="25"/>
        <v>#VALUE!</v>
      </c>
      <c r="EI644" s="1496"/>
      <c r="EJ644" s="1496"/>
      <c r="EK644" s="1496"/>
      <c r="EL644" s="1496"/>
      <c r="EM644" s="1496" t="e">
        <f t="shared" si="26"/>
        <v>#VALUE!</v>
      </c>
      <c r="EN644" s="1496"/>
      <c r="EO644" s="1496"/>
      <c r="EP644" s="1496"/>
      <c r="EQ644" s="1496"/>
      <c r="ER644" s="1496" t="e">
        <f t="shared" si="27"/>
        <v>#VALUE!</v>
      </c>
      <c r="ES644" s="1496"/>
      <c r="ET644" s="1496"/>
      <c r="EU644" s="1496"/>
      <c r="EV644" s="1496"/>
      <c r="EW644" s="1496" t="e">
        <f t="shared" si="28"/>
        <v>#VALUE!</v>
      </c>
      <c r="EX644" s="1496"/>
      <c r="EY644" s="1496"/>
      <c r="EZ644" s="1496"/>
      <c r="FA644" s="1496"/>
    </row>
    <row r="645" spans="1:157" ht="12.95" customHeight="1">
      <c r="A645" s="22"/>
      <c r="B645" t="s">
        <v>588</v>
      </c>
      <c r="G645" s="1374" t="s">
        <v>738</v>
      </c>
      <c r="H645" s="1374"/>
      <c r="I645" s="1374"/>
      <c r="J645" s="1374"/>
      <c r="K645" s="1374"/>
      <c r="L645" s="1374"/>
      <c r="M645" s="1374"/>
      <c r="N645" s="1374"/>
      <c r="O645" s="1374"/>
      <c r="P645" s="1374"/>
      <c r="Q645" s="1374"/>
      <c r="R645" s="1374"/>
      <c r="T645" s="22"/>
      <c r="U645" t="s">
        <v>588</v>
      </c>
      <c r="Z645" s="1594" t="s">
        <v>68</v>
      </c>
      <c r="AA645" s="1380"/>
      <c r="AB645" s="1380"/>
      <c r="AC645" s="1380"/>
      <c r="AD645" s="1380"/>
      <c r="AE645" s="1380"/>
      <c r="AF645" s="1380"/>
      <c r="AG645" s="1380"/>
      <c r="AH645" s="1380"/>
      <c r="AI645" s="1380"/>
      <c r="AJ645" s="1380"/>
      <c r="AK645" s="1380"/>
      <c r="AV645" s="3"/>
      <c r="AW645" s="3"/>
      <c r="AX645" s="3"/>
      <c r="AY645" s="3"/>
      <c r="AZ645" s="3"/>
      <c r="BA645" s="3"/>
      <c r="BB645" s="3"/>
      <c r="BC645" s="3"/>
      <c r="BD645" s="3"/>
      <c r="BE645" s="3"/>
      <c r="BF645" s="3"/>
      <c r="BG645" s="3"/>
      <c r="BH645" s="3"/>
      <c r="BI645" s="3"/>
      <c r="BJ645" s="3"/>
      <c r="BK645" s="3"/>
      <c r="BL645" s="3"/>
      <c r="BM645" s="3"/>
      <c r="BN645" s="1497">
        <f t="shared" ref="BN645:BN654" si="30">IF(J787="SRO/Studio",O787,0)</f>
        <v>0</v>
      </c>
      <c r="BO645" s="1498"/>
      <c r="BP645" s="1498"/>
      <c r="BQ645" s="1498"/>
      <c r="BR645" s="1499"/>
      <c r="BS645" s="1502">
        <f t="shared" ref="BS645:BS654" si="31">IF(J787="1 Bedroom",O787,0)</f>
        <v>0</v>
      </c>
      <c r="BT645" s="1502"/>
      <c r="BU645" s="1502"/>
      <c r="BV645" s="1502"/>
      <c r="BW645" s="1502"/>
      <c r="BX645" s="1502">
        <f t="shared" ref="BX645:BX654" si="32">IF(J787="2 Bedrooms",O787,0)</f>
        <v>0</v>
      </c>
      <c r="BY645" s="1502"/>
      <c r="BZ645" s="1502"/>
      <c r="CA645" s="1502"/>
      <c r="CB645" s="1502"/>
      <c r="CC645" s="1502">
        <f t="shared" ref="CC645:CC654" si="33">IF(J787="3 Bedrooms",O787,0)</f>
        <v>0</v>
      </c>
      <c r="CD645" s="1502"/>
      <c r="CE645" s="1502"/>
      <c r="CF645" s="1502"/>
      <c r="CG645" s="1502"/>
      <c r="CH645" s="1502">
        <f t="shared" ref="CH645:CH654" si="34">IF(J787="4 Bedrooms",O787,0)</f>
        <v>0</v>
      </c>
      <c r="CI645" s="1502"/>
      <c r="CJ645" s="1502"/>
      <c r="CK645" s="1502"/>
      <c r="CL645" s="1502"/>
      <c r="CM645" s="1502">
        <f t="shared" ref="CM645:CM654" si="35">IF(J787="5 Bedrooms",O787,0)</f>
        <v>0</v>
      </c>
      <c r="CN645" s="1502"/>
      <c r="CO645" s="1502"/>
      <c r="CP645" s="1502"/>
      <c r="CQ645" s="1502"/>
      <c r="CR645" s="6"/>
      <c r="CS645" s="1497">
        <f t="shared" ref="CS645:CS654" si="36">IF(AND(BN645&gt;=1,AH787&gt;=0.1,AH787&lt;=1),O787,0)</f>
        <v>0</v>
      </c>
      <c r="CT645" s="1498"/>
      <c r="CU645" s="1498"/>
      <c r="CV645" s="1498"/>
      <c r="CW645" s="1499"/>
      <c r="CX645" s="1497">
        <f t="shared" ref="CX645:CX654" si="37">IF(AND(BS645&gt;=1,AH787&gt;=0.1,AH787&lt;=1),O787,0)</f>
        <v>0</v>
      </c>
      <c r="CY645" s="1498"/>
      <c r="CZ645" s="1498"/>
      <c r="DA645" s="1498"/>
      <c r="DB645" s="1499"/>
      <c r="DC645" s="1497">
        <f t="shared" ref="DC645:DC654" si="38">IF(AND(BX645&gt;=1,AH787&gt;=0.1,AH787&lt;=1),O787,0)</f>
        <v>0</v>
      </c>
      <c r="DD645" s="1498"/>
      <c r="DE645" s="1498"/>
      <c r="DF645" s="1498"/>
      <c r="DG645" s="1499"/>
      <c r="DH645" s="1497">
        <f t="shared" ref="DH645:DH654" si="39">IF(AND(CC645&gt;=1,AH787&gt;=0.1,AH787&lt;=1),O787,0)</f>
        <v>0</v>
      </c>
      <c r="DI645" s="1498"/>
      <c r="DJ645" s="1498"/>
      <c r="DK645" s="1498"/>
      <c r="DL645" s="1499"/>
      <c r="DM645" s="1497">
        <f t="shared" ref="DM645:DM654" si="40">IF(AND(CH645&gt;=1,AH787&gt;=0.1,AH787&lt;=1),O787,0)</f>
        <v>0</v>
      </c>
      <c r="DN645" s="1498"/>
      <c r="DO645" s="1498"/>
      <c r="DP645" s="1498"/>
      <c r="DQ645" s="1499"/>
      <c r="DR645" s="1497">
        <f t="shared" ref="DR645:DR654" si="41">IF(AND(CM645&gt;=1,AH787&gt;=0.1,AH787&lt;=1),O787,0)</f>
        <v>0</v>
      </c>
      <c r="DS645" s="1498"/>
      <c r="DT645" s="1498"/>
      <c r="DU645" s="1498"/>
      <c r="DV645" s="1499"/>
      <c r="DX645" s="1496" t="e">
        <f t="shared" si="29"/>
        <v>#VALUE!</v>
      </c>
      <c r="DY645" s="1496"/>
      <c r="DZ645" s="1496"/>
      <c r="EA645" s="1496"/>
      <c r="EB645" s="1496"/>
      <c r="EC645" s="1496" t="e">
        <f t="shared" si="24"/>
        <v>#VALUE!</v>
      </c>
      <c r="ED645" s="1496"/>
      <c r="EE645" s="1496"/>
      <c r="EF645" s="1496"/>
      <c r="EG645" s="1496"/>
      <c r="EH645" s="1496" t="e">
        <f t="shared" si="25"/>
        <v>#VALUE!</v>
      </c>
      <c r="EI645" s="1496"/>
      <c r="EJ645" s="1496"/>
      <c r="EK645" s="1496"/>
      <c r="EL645" s="1496"/>
      <c r="EM645" s="1496" t="e">
        <f t="shared" si="26"/>
        <v>#VALUE!</v>
      </c>
      <c r="EN645" s="1496"/>
      <c r="EO645" s="1496"/>
      <c r="EP645" s="1496"/>
      <c r="EQ645" s="1496"/>
      <c r="ER645" s="1496" t="e">
        <f t="shared" si="27"/>
        <v>#VALUE!</v>
      </c>
      <c r="ES645" s="1496"/>
      <c r="ET645" s="1496"/>
      <c r="EU645" s="1496"/>
      <c r="EV645" s="1496"/>
      <c r="EW645" s="1496" t="e">
        <f t="shared" si="28"/>
        <v>#VALUE!</v>
      </c>
      <c r="EX645" s="1496"/>
      <c r="EY645" s="1496"/>
      <c r="EZ645" s="1496"/>
      <c r="FA645" s="1496"/>
    </row>
    <row r="646" spans="1:157" ht="12.95" customHeight="1">
      <c r="A646" s="22"/>
      <c r="B646" t="s">
        <v>17</v>
      </c>
      <c r="G646" s="1374" t="s">
        <v>2737</v>
      </c>
      <c r="H646" s="1374"/>
      <c r="I646" s="1374"/>
      <c r="J646" s="1374"/>
      <c r="K646" s="1374"/>
      <c r="L646" s="1374"/>
      <c r="M646" s="1374"/>
      <c r="N646" s="1374"/>
      <c r="O646" s="1374"/>
      <c r="P646" s="1374"/>
      <c r="Q646" s="1374"/>
      <c r="R646" s="1374"/>
      <c r="S646" s="8"/>
      <c r="T646" s="22"/>
      <c r="U646" t="s">
        <v>17</v>
      </c>
      <c r="Z646" s="1353" t="s">
        <v>2766</v>
      </c>
      <c r="AA646" s="1353"/>
      <c r="AB646" s="1353"/>
      <c r="AC646" s="1353"/>
      <c r="AD646" s="1353"/>
      <c r="AE646" s="1353"/>
      <c r="AF646" s="1353"/>
      <c r="AG646" s="1353"/>
      <c r="AH646" s="1353"/>
      <c r="AI646" s="1353"/>
      <c r="AJ646" s="1353"/>
      <c r="AK646" s="1353"/>
      <c r="AZ646" s="3"/>
      <c r="BA646" s="3"/>
      <c r="BB646" s="3"/>
      <c r="BC646" s="3"/>
      <c r="BD646" s="3"/>
      <c r="BE646" s="3"/>
      <c r="BF646" s="3"/>
      <c r="BG646" s="3"/>
      <c r="BH646" s="3"/>
      <c r="BI646" s="3"/>
      <c r="BJ646" s="3"/>
      <c r="BK646" s="3"/>
      <c r="BL646" s="3"/>
      <c r="BM646" s="3"/>
      <c r="BN646" s="1497">
        <f t="shared" si="30"/>
        <v>0</v>
      </c>
      <c r="BO646" s="1498"/>
      <c r="BP646" s="1498"/>
      <c r="BQ646" s="1498"/>
      <c r="BR646" s="1499"/>
      <c r="BS646" s="1502">
        <f t="shared" si="31"/>
        <v>0</v>
      </c>
      <c r="BT646" s="1502"/>
      <c r="BU646" s="1502"/>
      <c r="BV646" s="1502"/>
      <c r="BW646" s="1502"/>
      <c r="BX646" s="1502">
        <f t="shared" si="32"/>
        <v>0</v>
      </c>
      <c r="BY646" s="1502"/>
      <c r="BZ646" s="1502"/>
      <c r="CA646" s="1502"/>
      <c r="CB646" s="1502"/>
      <c r="CC646" s="1502">
        <f t="shared" si="33"/>
        <v>0</v>
      </c>
      <c r="CD646" s="1502"/>
      <c r="CE646" s="1502"/>
      <c r="CF646" s="1502"/>
      <c r="CG646" s="1502"/>
      <c r="CH646" s="1502">
        <f t="shared" si="34"/>
        <v>0</v>
      </c>
      <c r="CI646" s="1502"/>
      <c r="CJ646" s="1502"/>
      <c r="CK646" s="1502"/>
      <c r="CL646" s="1502"/>
      <c r="CM646" s="1502">
        <f t="shared" si="35"/>
        <v>0</v>
      </c>
      <c r="CN646" s="1502"/>
      <c r="CO646" s="1502"/>
      <c r="CP646" s="1502"/>
      <c r="CQ646" s="1502"/>
      <c r="CR646" s="6"/>
      <c r="CS646" s="1497">
        <f t="shared" si="36"/>
        <v>0</v>
      </c>
      <c r="CT646" s="1498"/>
      <c r="CU646" s="1498"/>
      <c r="CV646" s="1498"/>
      <c r="CW646" s="1499"/>
      <c r="CX646" s="1497">
        <f t="shared" si="37"/>
        <v>0</v>
      </c>
      <c r="CY646" s="1498"/>
      <c r="CZ646" s="1498"/>
      <c r="DA646" s="1498"/>
      <c r="DB646" s="1499"/>
      <c r="DC646" s="1497">
        <f t="shared" si="38"/>
        <v>0</v>
      </c>
      <c r="DD646" s="1498"/>
      <c r="DE646" s="1498"/>
      <c r="DF646" s="1498"/>
      <c r="DG646" s="1499"/>
      <c r="DH646" s="1497">
        <f t="shared" si="39"/>
        <v>0</v>
      </c>
      <c r="DI646" s="1498"/>
      <c r="DJ646" s="1498"/>
      <c r="DK646" s="1498"/>
      <c r="DL646" s="1499"/>
      <c r="DM646" s="1497">
        <f t="shared" si="40"/>
        <v>0</v>
      </c>
      <c r="DN646" s="1498"/>
      <c r="DO646" s="1498"/>
      <c r="DP646" s="1498"/>
      <c r="DQ646" s="1499"/>
      <c r="DR646" s="1497">
        <f t="shared" si="41"/>
        <v>0</v>
      </c>
      <c r="DS646" s="1498"/>
      <c r="DT646" s="1498"/>
      <c r="DU646" s="1498"/>
      <c r="DV646" s="1499"/>
      <c r="DX646" s="1496" t="e">
        <f t="shared" si="29"/>
        <v>#VALUE!</v>
      </c>
      <c r="DY646" s="1496"/>
      <c r="DZ646" s="1496"/>
      <c r="EA646" s="1496"/>
      <c r="EB646" s="1496"/>
      <c r="EC646" s="1496" t="e">
        <f t="shared" si="24"/>
        <v>#VALUE!</v>
      </c>
      <c r="ED646" s="1496"/>
      <c r="EE646" s="1496"/>
      <c r="EF646" s="1496"/>
      <c r="EG646" s="1496"/>
      <c r="EH646" s="1496" t="e">
        <f t="shared" si="25"/>
        <v>#VALUE!</v>
      </c>
      <c r="EI646" s="1496"/>
      <c r="EJ646" s="1496"/>
      <c r="EK646" s="1496"/>
      <c r="EL646" s="1496"/>
      <c r="EM646" s="1496" t="e">
        <f t="shared" si="26"/>
        <v>#VALUE!</v>
      </c>
      <c r="EN646" s="1496"/>
      <c r="EO646" s="1496"/>
      <c r="EP646" s="1496"/>
      <c r="EQ646" s="1496"/>
      <c r="ER646" s="1496" t="e">
        <f t="shared" si="27"/>
        <v>#VALUE!</v>
      </c>
      <c r="ES646" s="1496"/>
      <c r="ET646" s="1496"/>
      <c r="EU646" s="1496"/>
      <c r="EV646" s="1496"/>
      <c r="EW646" s="1496" t="e">
        <f t="shared" si="28"/>
        <v>#VALUE!</v>
      </c>
      <c r="EX646" s="1496"/>
      <c r="EY646" s="1496"/>
      <c r="EZ646" s="1496"/>
      <c r="FA646" s="1496"/>
    </row>
    <row r="647" spans="1:157" ht="12.95" customHeight="1">
      <c r="A647" s="22"/>
      <c r="B647" t="s">
        <v>317</v>
      </c>
      <c r="G647" s="1372" t="s">
        <v>2738</v>
      </c>
      <c r="H647" s="1372"/>
      <c r="I647" s="1372"/>
      <c r="J647" s="1372"/>
      <c r="K647" s="1372"/>
      <c r="L647" s="1372"/>
      <c r="O647" s="33" t="s">
        <v>207</v>
      </c>
      <c r="P647" s="1594" t="s">
        <v>599</v>
      </c>
      <c r="Q647" s="1450"/>
      <c r="R647" s="1450"/>
      <c r="S647" s="10"/>
      <c r="T647" s="22"/>
      <c r="U647" t="s">
        <v>317</v>
      </c>
      <c r="Z647" s="1379" t="s">
        <v>2767</v>
      </c>
      <c r="AA647" s="1379"/>
      <c r="AB647" s="1379"/>
      <c r="AC647" s="1379"/>
      <c r="AD647" s="1379"/>
      <c r="AE647" s="1379"/>
      <c r="AH647" s="33" t="s">
        <v>207</v>
      </c>
      <c r="AI647" s="1594" t="s">
        <v>599</v>
      </c>
      <c r="AJ647" s="1450"/>
      <c r="AK647" s="1450"/>
      <c r="AZ647" s="34"/>
      <c r="BA647" s="34"/>
      <c r="BB647" s="34"/>
      <c r="BC647" s="34"/>
      <c r="BD647" s="34"/>
      <c r="BE647" s="34"/>
      <c r="BF647" s="34"/>
      <c r="BG647" s="34"/>
      <c r="BH647" s="34"/>
      <c r="BI647" s="34"/>
      <c r="BJ647" s="34"/>
      <c r="BK647" s="34"/>
      <c r="BL647" s="34"/>
      <c r="BM647" s="34"/>
      <c r="BN647" s="1497">
        <f t="shared" si="30"/>
        <v>0</v>
      </c>
      <c r="BO647" s="1498"/>
      <c r="BP647" s="1498"/>
      <c r="BQ647" s="1498"/>
      <c r="BR647" s="1499"/>
      <c r="BS647" s="1502">
        <f t="shared" si="31"/>
        <v>0</v>
      </c>
      <c r="BT647" s="1502"/>
      <c r="BU647" s="1502"/>
      <c r="BV647" s="1502"/>
      <c r="BW647" s="1502"/>
      <c r="BX647" s="1502">
        <f t="shared" si="32"/>
        <v>0</v>
      </c>
      <c r="BY647" s="1502"/>
      <c r="BZ647" s="1502"/>
      <c r="CA647" s="1502"/>
      <c r="CB647" s="1502"/>
      <c r="CC647" s="1502">
        <f t="shared" si="33"/>
        <v>0</v>
      </c>
      <c r="CD647" s="1502"/>
      <c r="CE647" s="1502"/>
      <c r="CF647" s="1502"/>
      <c r="CG647" s="1502"/>
      <c r="CH647" s="1502">
        <f t="shared" si="34"/>
        <v>0</v>
      </c>
      <c r="CI647" s="1502"/>
      <c r="CJ647" s="1502"/>
      <c r="CK647" s="1502"/>
      <c r="CL647" s="1502"/>
      <c r="CM647" s="1502">
        <f t="shared" si="35"/>
        <v>0</v>
      </c>
      <c r="CN647" s="1502"/>
      <c r="CO647" s="1502"/>
      <c r="CP647" s="1502"/>
      <c r="CQ647" s="1502"/>
      <c r="CR647" s="6"/>
      <c r="CS647" s="1497">
        <f t="shared" si="36"/>
        <v>0</v>
      </c>
      <c r="CT647" s="1498"/>
      <c r="CU647" s="1498"/>
      <c r="CV647" s="1498"/>
      <c r="CW647" s="1499"/>
      <c r="CX647" s="1497">
        <f t="shared" si="37"/>
        <v>0</v>
      </c>
      <c r="CY647" s="1498"/>
      <c r="CZ647" s="1498"/>
      <c r="DA647" s="1498"/>
      <c r="DB647" s="1499"/>
      <c r="DC647" s="1497">
        <f t="shared" si="38"/>
        <v>0</v>
      </c>
      <c r="DD647" s="1498"/>
      <c r="DE647" s="1498"/>
      <c r="DF647" s="1498"/>
      <c r="DG647" s="1499"/>
      <c r="DH647" s="1497">
        <f t="shared" si="39"/>
        <v>0</v>
      </c>
      <c r="DI647" s="1498"/>
      <c r="DJ647" s="1498"/>
      <c r="DK647" s="1498"/>
      <c r="DL647" s="1499"/>
      <c r="DM647" s="1497">
        <f t="shared" si="40"/>
        <v>0</v>
      </c>
      <c r="DN647" s="1498"/>
      <c r="DO647" s="1498"/>
      <c r="DP647" s="1498"/>
      <c r="DQ647" s="1499"/>
      <c r="DR647" s="1497">
        <f t="shared" si="41"/>
        <v>0</v>
      </c>
      <c r="DS647" s="1498"/>
      <c r="DT647" s="1498"/>
      <c r="DU647" s="1498"/>
      <c r="DV647" s="1499"/>
      <c r="DX647" s="1496" t="e">
        <f t="shared" si="29"/>
        <v>#VALUE!</v>
      </c>
      <c r="DY647" s="1496"/>
      <c r="DZ647" s="1496"/>
      <c r="EA647" s="1496"/>
      <c r="EB647" s="1496"/>
      <c r="EC647" s="1496" t="e">
        <f t="shared" si="24"/>
        <v>#VALUE!</v>
      </c>
      <c r="ED647" s="1496"/>
      <c r="EE647" s="1496"/>
      <c r="EF647" s="1496"/>
      <c r="EG647" s="1496"/>
      <c r="EH647" s="1496" t="e">
        <f t="shared" si="25"/>
        <v>#VALUE!</v>
      </c>
      <c r="EI647" s="1496"/>
      <c r="EJ647" s="1496"/>
      <c r="EK647" s="1496"/>
      <c r="EL647" s="1496"/>
      <c r="EM647" s="1496" t="e">
        <f t="shared" si="26"/>
        <v>#VALUE!</v>
      </c>
      <c r="EN647" s="1496"/>
      <c r="EO647" s="1496"/>
      <c r="EP647" s="1496"/>
      <c r="EQ647" s="1496"/>
      <c r="ER647" s="1496" t="e">
        <f t="shared" si="27"/>
        <v>#VALUE!</v>
      </c>
      <c r="ES647" s="1496"/>
      <c r="ET647" s="1496"/>
      <c r="EU647" s="1496"/>
      <c r="EV647" s="1496"/>
      <c r="EW647" s="1496" t="e">
        <f t="shared" si="28"/>
        <v>#VALUE!</v>
      </c>
      <c r="EX647" s="1496"/>
      <c r="EY647" s="1496"/>
      <c r="EZ647" s="1496"/>
      <c r="FA647" s="1496"/>
    </row>
    <row r="648" spans="1:157" ht="12.95" customHeight="1">
      <c r="A648" s="22"/>
      <c r="B648" t="s">
        <v>18</v>
      </c>
      <c r="H648" s="1374" t="s">
        <v>21</v>
      </c>
      <c r="I648" s="1374"/>
      <c r="J648" s="1374"/>
      <c r="K648" s="1374"/>
      <c r="L648" s="1374"/>
      <c r="M648" s="1374"/>
      <c r="N648" s="1374"/>
      <c r="O648" s="1374"/>
      <c r="P648" s="1374"/>
      <c r="Q648" s="1374"/>
      <c r="R648" s="1374"/>
      <c r="S648" s="8"/>
      <c r="T648" s="22"/>
      <c r="U648" t="s">
        <v>18</v>
      </c>
      <c r="AA648" s="1373" t="s">
        <v>21</v>
      </c>
      <c r="AB648" s="1374"/>
      <c r="AC648" s="1374"/>
      <c r="AD648" s="1374"/>
      <c r="AE648" s="1374"/>
      <c r="AF648" s="1374"/>
      <c r="AG648" s="1374"/>
      <c r="AH648" s="1374"/>
      <c r="AI648" s="1374"/>
      <c r="AJ648" s="1374"/>
      <c r="AK648" s="1374"/>
      <c r="AZ648" s="34"/>
      <c r="BA648" s="34"/>
      <c r="BB648" s="34"/>
      <c r="BC648" s="34"/>
      <c r="BD648" s="34"/>
      <c r="BE648" s="34"/>
      <c r="BF648" s="34"/>
      <c r="BG648" s="34"/>
      <c r="BH648" s="34"/>
      <c r="BI648" s="34"/>
      <c r="BJ648" s="34"/>
      <c r="BK648" s="34"/>
      <c r="BL648" s="34"/>
      <c r="BM648" s="34"/>
      <c r="BN648" s="1497">
        <f t="shared" si="30"/>
        <v>0</v>
      </c>
      <c r="BO648" s="1498"/>
      <c r="BP648" s="1498"/>
      <c r="BQ648" s="1498"/>
      <c r="BR648" s="1499"/>
      <c r="BS648" s="1502">
        <f t="shared" si="31"/>
        <v>0</v>
      </c>
      <c r="BT648" s="1502"/>
      <c r="BU648" s="1502"/>
      <c r="BV648" s="1502"/>
      <c r="BW648" s="1502"/>
      <c r="BX648" s="1502">
        <f t="shared" si="32"/>
        <v>0</v>
      </c>
      <c r="BY648" s="1502"/>
      <c r="BZ648" s="1502"/>
      <c r="CA648" s="1502"/>
      <c r="CB648" s="1502"/>
      <c r="CC648" s="1502">
        <f t="shared" si="33"/>
        <v>0</v>
      </c>
      <c r="CD648" s="1502"/>
      <c r="CE648" s="1502"/>
      <c r="CF648" s="1502"/>
      <c r="CG648" s="1502"/>
      <c r="CH648" s="1502">
        <f t="shared" si="34"/>
        <v>0</v>
      </c>
      <c r="CI648" s="1502"/>
      <c r="CJ648" s="1502"/>
      <c r="CK648" s="1502"/>
      <c r="CL648" s="1502"/>
      <c r="CM648" s="1502">
        <f t="shared" si="35"/>
        <v>0</v>
      </c>
      <c r="CN648" s="1502"/>
      <c r="CO648" s="1502"/>
      <c r="CP648" s="1502"/>
      <c r="CQ648" s="1502"/>
      <c r="CR648" s="6"/>
      <c r="CS648" s="1497">
        <f t="shared" si="36"/>
        <v>0</v>
      </c>
      <c r="CT648" s="1498"/>
      <c r="CU648" s="1498"/>
      <c r="CV648" s="1498"/>
      <c r="CW648" s="1499"/>
      <c r="CX648" s="1497">
        <f t="shared" si="37"/>
        <v>0</v>
      </c>
      <c r="CY648" s="1498"/>
      <c r="CZ648" s="1498"/>
      <c r="DA648" s="1498"/>
      <c r="DB648" s="1499"/>
      <c r="DC648" s="1497">
        <f t="shared" si="38"/>
        <v>0</v>
      </c>
      <c r="DD648" s="1498"/>
      <c r="DE648" s="1498"/>
      <c r="DF648" s="1498"/>
      <c r="DG648" s="1499"/>
      <c r="DH648" s="1497">
        <f t="shared" si="39"/>
        <v>0</v>
      </c>
      <c r="DI648" s="1498"/>
      <c r="DJ648" s="1498"/>
      <c r="DK648" s="1498"/>
      <c r="DL648" s="1499"/>
      <c r="DM648" s="1497">
        <f t="shared" si="40"/>
        <v>0</v>
      </c>
      <c r="DN648" s="1498"/>
      <c r="DO648" s="1498"/>
      <c r="DP648" s="1498"/>
      <c r="DQ648" s="1499"/>
      <c r="DR648" s="1497">
        <f t="shared" si="41"/>
        <v>0</v>
      </c>
      <c r="DS648" s="1498"/>
      <c r="DT648" s="1498"/>
      <c r="DU648" s="1498"/>
      <c r="DV648" s="1499"/>
      <c r="DX648" s="1496" t="e">
        <f t="shared" si="29"/>
        <v>#VALUE!</v>
      </c>
      <c r="DY648" s="1496"/>
      <c r="DZ648" s="1496"/>
      <c r="EA648" s="1496"/>
      <c r="EB648" s="1496"/>
      <c r="EC648" s="1496" t="e">
        <f t="shared" si="24"/>
        <v>#VALUE!</v>
      </c>
      <c r="ED648" s="1496"/>
      <c r="EE648" s="1496"/>
      <c r="EF648" s="1496"/>
      <c r="EG648" s="1496"/>
      <c r="EH648" s="1496" t="e">
        <f t="shared" si="25"/>
        <v>#VALUE!</v>
      </c>
      <c r="EI648" s="1496"/>
      <c r="EJ648" s="1496"/>
      <c r="EK648" s="1496"/>
      <c r="EL648" s="1496"/>
      <c r="EM648" s="1496" t="e">
        <f t="shared" si="26"/>
        <v>#VALUE!</v>
      </c>
      <c r="EN648" s="1496"/>
      <c r="EO648" s="1496"/>
      <c r="EP648" s="1496"/>
      <c r="EQ648" s="1496"/>
      <c r="ER648" s="1496" t="e">
        <f t="shared" si="27"/>
        <v>#VALUE!</v>
      </c>
      <c r="ES648" s="1496"/>
      <c r="ET648" s="1496"/>
      <c r="EU648" s="1496"/>
      <c r="EV648" s="1496"/>
      <c r="EW648" s="1496" t="e">
        <f t="shared" si="28"/>
        <v>#VALUE!</v>
      </c>
      <c r="EX648" s="1496"/>
      <c r="EY648" s="1496"/>
      <c r="EZ648" s="1496"/>
      <c r="FA648" s="1496"/>
    </row>
    <row r="649" spans="1:157" ht="12.95" customHeight="1">
      <c r="A649" s="22"/>
      <c r="B649" t="s">
        <v>20</v>
      </c>
      <c r="N649" s="1355" t="s">
        <v>553</v>
      </c>
      <c r="O649" s="1355"/>
      <c r="T649" s="22"/>
      <c r="U649" t="s">
        <v>20</v>
      </c>
      <c r="AG649" s="1355" t="s">
        <v>553</v>
      </c>
      <c r="AH649" s="1355"/>
      <c r="AZ649" s="34"/>
      <c r="BA649" s="34"/>
      <c r="BB649" s="34"/>
      <c r="BC649" s="34"/>
      <c r="BD649" s="34"/>
      <c r="BE649" s="34"/>
      <c r="BF649" s="34"/>
      <c r="BG649" s="34"/>
      <c r="BH649" s="34"/>
      <c r="BI649" s="34"/>
      <c r="BJ649" s="34"/>
      <c r="BK649" s="34"/>
      <c r="BL649" s="34"/>
      <c r="BM649" s="34"/>
      <c r="BN649" s="1497">
        <f t="shared" si="30"/>
        <v>0</v>
      </c>
      <c r="BO649" s="1498"/>
      <c r="BP649" s="1498"/>
      <c r="BQ649" s="1498"/>
      <c r="BR649" s="1499"/>
      <c r="BS649" s="1502">
        <f t="shared" si="31"/>
        <v>0</v>
      </c>
      <c r="BT649" s="1502"/>
      <c r="BU649" s="1502"/>
      <c r="BV649" s="1502"/>
      <c r="BW649" s="1502"/>
      <c r="BX649" s="1502">
        <f t="shared" si="32"/>
        <v>0</v>
      </c>
      <c r="BY649" s="1502"/>
      <c r="BZ649" s="1502"/>
      <c r="CA649" s="1502"/>
      <c r="CB649" s="1502"/>
      <c r="CC649" s="1502">
        <f t="shared" si="33"/>
        <v>0</v>
      </c>
      <c r="CD649" s="1502"/>
      <c r="CE649" s="1502"/>
      <c r="CF649" s="1502"/>
      <c r="CG649" s="1502"/>
      <c r="CH649" s="1502">
        <f t="shared" si="34"/>
        <v>0</v>
      </c>
      <c r="CI649" s="1502"/>
      <c r="CJ649" s="1502"/>
      <c r="CK649" s="1502"/>
      <c r="CL649" s="1502"/>
      <c r="CM649" s="1502">
        <f t="shared" si="35"/>
        <v>0</v>
      </c>
      <c r="CN649" s="1502"/>
      <c r="CO649" s="1502"/>
      <c r="CP649" s="1502"/>
      <c r="CQ649" s="1502"/>
      <c r="CR649" s="6"/>
      <c r="CS649" s="1497">
        <f t="shared" si="36"/>
        <v>0</v>
      </c>
      <c r="CT649" s="1498"/>
      <c r="CU649" s="1498"/>
      <c r="CV649" s="1498"/>
      <c r="CW649" s="1499"/>
      <c r="CX649" s="1497">
        <f t="shared" si="37"/>
        <v>0</v>
      </c>
      <c r="CY649" s="1498"/>
      <c r="CZ649" s="1498"/>
      <c r="DA649" s="1498"/>
      <c r="DB649" s="1499"/>
      <c r="DC649" s="1497">
        <f t="shared" si="38"/>
        <v>0</v>
      </c>
      <c r="DD649" s="1498"/>
      <c r="DE649" s="1498"/>
      <c r="DF649" s="1498"/>
      <c r="DG649" s="1499"/>
      <c r="DH649" s="1497">
        <f t="shared" si="39"/>
        <v>0</v>
      </c>
      <c r="DI649" s="1498"/>
      <c r="DJ649" s="1498"/>
      <c r="DK649" s="1498"/>
      <c r="DL649" s="1499"/>
      <c r="DM649" s="1497">
        <f t="shared" si="40"/>
        <v>0</v>
      </c>
      <c r="DN649" s="1498"/>
      <c r="DO649" s="1498"/>
      <c r="DP649" s="1498"/>
      <c r="DQ649" s="1499"/>
      <c r="DR649" s="1497">
        <f t="shared" si="41"/>
        <v>0</v>
      </c>
      <c r="DS649" s="1498"/>
      <c r="DT649" s="1498"/>
      <c r="DU649" s="1498"/>
      <c r="DV649" s="1499"/>
      <c r="DX649" s="1496" t="e">
        <f t="shared" si="29"/>
        <v>#VALUE!</v>
      </c>
      <c r="DY649" s="1496"/>
      <c r="DZ649" s="1496"/>
      <c r="EA649" s="1496"/>
      <c r="EB649" s="1496"/>
      <c r="EC649" s="1496" t="e">
        <f t="shared" si="24"/>
        <v>#VALUE!</v>
      </c>
      <c r="ED649" s="1496"/>
      <c r="EE649" s="1496"/>
      <c r="EF649" s="1496"/>
      <c r="EG649" s="1496"/>
      <c r="EH649" s="1496" t="e">
        <f t="shared" si="25"/>
        <v>#VALUE!</v>
      </c>
      <c r="EI649" s="1496"/>
      <c r="EJ649" s="1496"/>
      <c r="EK649" s="1496"/>
      <c r="EL649" s="1496"/>
      <c r="EM649" s="1496" t="e">
        <f t="shared" si="26"/>
        <v>#VALUE!</v>
      </c>
      <c r="EN649" s="1496"/>
      <c r="EO649" s="1496"/>
      <c r="EP649" s="1496"/>
      <c r="EQ649" s="1496"/>
      <c r="ER649" s="1496" t="e">
        <f t="shared" si="27"/>
        <v>#VALUE!</v>
      </c>
      <c r="ES649" s="1496"/>
      <c r="ET649" s="1496"/>
      <c r="EU649" s="1496"/>
      <c r="EV649" s="1496"/>
      <c r="EW649" s="1496" t="e">
        <f t="shared" si="28"/>
        <v>#VALUE!</v>
      </c>
      <c r="EX649" s="1496"/>
      <c r="EY649" s="1496"/>
      <c r="EZ649" s="1496"/>
      <c r="FA649" s="1496"/>
    </row>
    <row r="650" spans="1:157" ht="12.95" customHeight="1">
      <c r="A650" s="22"/>
      <c r="T650" s="22"/>
      <c r="AZ650" s="34"/>
      <c r="BA650" s="34"/>
      <c r="BB650" s="34"/>
      <c r="BC650" s="34"/>
      <c r="BD650" s="34"/>
      <c r="BE650" s="34"/>
      <c r="BF650" s="34"/>
      <c r="BG650" s="34"/>
      <c r="BH650" s="34"/>
      <c r="BI650" s="34"/>
      <c r="BJ650" s="34"/>
      <c r="BK650" s="34"/>
      <c r="BL650" s="34"/>
      <c r="BM650" s="34"/>
      <c r="BN650" s="1497">
        <f t="shared" si="30"/>
        <v>0</v>
      </c>
      <c r="BO650" s="1498"/>
      <c r="BP650" s="1498"/>
      <c r="BQ650" s="1498"/>
      <c r="BR650" s="1499"/>
      <c r="BS650" s="1502">
        <f t="shared" si="31"/>
        <v>0</v>
      </c>
      <c r="BT650" s="1502"/>
      <c r="BU650" s="1502"/>
      <c r="BV650" s="1502"/>
      <c r="BW650" s="1502"/>
      <c r="BX650" s="1502">
        <f t="shared" si="32"/>
        <v>0</v>
      </c>
      <c r="BY650" s="1502"/>
      <c r="BZ650" s="1502"/>
      <c r="CA650" s="1502"/>
      <c r="CB650" s="1502"/>
      <c r="CC650" s="1502">
        <f t="shared" si="33"/>
        <v>0</v>
      </c>
      <c r="CD650" s="1502"/>
      <c r="CE650" s="1502"/>
      <c r="CF650" s="1502"/>
      <c r="CG650" s="1502"/>
      <c r="CH650" s="1502">
        <f t="shared" si="34"/>
        <v>0</v>
      </c>
      <c r="CI650" s="1502"/>
      <c r="CJ650" s="1502"/>
      <c r="CK650" s="1502"/>
      <c r="CL650" s="1502"/>
      <c r="CM650" s="1502">
        <f t="shared" si="35"/>
        <v>0</v>
      </c>
      <c r="CN650" s="1502"/>
      <c r="CO650" s="1502"/>
      <c r="CP650" s="1502"/>
      <c r="CQ650" s="1502"/>
      <c r="CR650" s="6"/>
      <c r="CS650" s="1497">
        <f t="shared" si="36"/>
        <v>0</v>
      </c>
      <c r="CT650" s="1498"/>
      <c r="CU650" s="1498"/>
      <c r="CV650" s="1498"/>
      <c r="CW650" s="1499"/>
      <c r="CX650" s="1497">
        <f t="shared" si="37"/>
        <v>0</v>
      </c>
      <c r="CY650" s="1498"/>
      <c r="CZ650" s="1498"/>
      <c r="DA650" s="1498"/>
      <c r="DB650" s="1499"/>
      <c r="DC650" s="1497">
        <f t="shared" si="38"/>
        <v>0</v>
      </c>
      <c r="DD650" s="1498"/>
      <c r="DE650" s="1498"/>
      <c r="DF650" s="1498"/>
      <c r="DG650" s="1499"/>
      <c r="DH650" s="1497">
        <f t="shared" si="39"/>
        <v>0</v>
      </c>
      <c r="DI650" s="1498"/>
      <c r="DJ650" s="1498"/>
      <c r="DK650" s="1498"/>
      <c r="DL650" s="1499"/>
      <c r="DM650" s="1497">
        <f t="shared" si="40"/>
        <v>0</v>
      </c>
      <c r="DN650" s="1498"/>
      <c r="DO650" s="1498"/>
      <c r="DP650" s="1498"/>
      <c r="DQ650" s="1499"/>
      <c r="DR650" s="1497">
        <f t="shared" si="41"/>
        <v>0</v>
      </c>
      <c r="DS650" s="1498"/>
      <c r="DT650" s="1498"/>
      <c r="DU650" s="1498"/>
      <c r="DV650" s="1499"/>
      <c r="DX650" s="1496" t="e">
        <f t="shared" si="29"/>
        <v>#VALUE!</v>
      </c>
      <c r="DY650" s="1496"/>
      <c r="DZ650" s="1496"/>
      <c r="EA650" s="1496"/>
      <c r="EB650" s="1496"/>
      <c r="EC650" s="1496" t="e">
        <f t="shared" si="24"/>
        <v>#VALUE!</v>
      </c>
      <c r="ED650" s="1496"/>
      <c r="EE650" s="1496"/>
      <c r="EF650" s="1496"/>
      <c r="EG650" s="1496"/>
      <c r="EH650" s="1496" t="e">
        <f t="shared" si="25"/>
        <v>#VALUE!</v>
      </c>
      <c r="EI650" s="1496"/>
      <c r="EJ650" s="1496"/>
      <c r="EK650" s="1496"/>
      <c r="EL650" s="1496"/>
      <c r="EM650" s="1496" t="e">
        <f t="shared" si="26"/>
        <v>#VALUE!</v>
      </c>
      <c r="EN650" s="1496"/>
      <c r="EO650" s="1496"/>
      <c r="EP650" s="1496"/>
      <c r="EQ650" s="1496"/>
      <c r="ER650" s="1496" t="e">
        <f t="shared" si="27"/>
        <v>#VALUE!</v>
      </c>
      <c r="ES650" s="1496"/>
      <c r="ET650" s="1496"/>
      <c r="EU650" s="1496"/>
      <c r="EV650" s="1496"/>
      <c r="EW650" s="1496" t="e">
        <f t="shared" si="28"/>
        <v>#VALUE!</v>
      </c>
      <c r="EX650" s="1496"/>
      <c r="EY650" s="1496"/>
      <c r="EZ650" s="1496"/>
      <c r="FA650" s="1496"/>
    </row>
    <row r="651" spans="1:157" ht="12.95" customHeight="1">
      <c r="A651" s="55" t="s">
        <v>119</v>
      </c>
      <c r="B651" t="s">
        <v>471</v>
      </c>
      <c r="G651" s="1417" t="str">
        <f>C629</f>
        <v>Affirmed Housing Group, Inc.</v>
      </c>
      <c r="H651" s="1417"/>
      <c r="I651" s="1417"/>
      <c r="J651" s="1417"/>
      <c r="K651" s="1417"/>
      <c r="L651" s="1417"/>
      <c r="M651" s="1417"/>
      <c r="N651" s="1417"/>
      <c r="O651" s="1417"/>
      <c r="P651" s="1417"/>
      <c r="Q651" s="1417"/>
      <c r="R651" s="1417"/>
      <c r="T651" s="55" t="s">
        <v>589</v>
      </c>
      <c r="U651" t="s">
        <v>471</v>
      </c>
      <c r="Z651" s="1417">
        <f>C630</f>
        <v>0</v>
      </c>
      <c r="AA651" s="1417"/>
      <c r="AB651" s="1417"/>
      <c r="AC651" s="1417"/>
      <c r="AD651" s="1417"/>
      <c r="AE651" s="1417"/>
      <c r="AF651" s="1417"/>
      <c r="AG651" s="1417"/>
      <c r="AH651" s="1417"/>
      <c r="AI651" s="1417"/>
      <c r="AJ651" s="1417"/>
      <c r="AK651" s="1417"/>
      <c r="AZ651" s="34"/>
      <c r="BA651" s="34"/>
      <c r="BB651" s="34"/>
      <c r="BC651" s="34"/>
      <c r="BD651" s="34"/>
      <c r="BE651" s="34"/>
      <c r="BF651" s="34"/>
      <c r="BG651" s="34"/>
      <c r="BH651" s="34"/>
      <c r="BI651" s="34"/>
      <c r="BJ651" s="34"/>
      <c r="BK651" s="34"/>
      <c r="BL651" s="34"/>
      <c r="BM651" s="34"/>
      <c r="BN651" s="1497">
        <f t="shared" si="30"/>
        <v>0</v>
      </c>
      <c r="BO651" s="1498"/>
      <c r="BP651" s="1498"/>
      <c r="BQ651" s="1498"/>
      <c r="BR651" s="1499"/>
      <c r="BS651" s="1502">
        <f t="shared" si="31"/>
        <v>0</v>
      </c>
      <c r="BT651" s="1502"/>
      <c r="BU651" s="1502"/>
      <c r="BV651" s="1502"/>
      <c r="BW651" s="1502"/>
      <c r="BX651" s="1502">
        <f t="shared" si="32"/>
        <v>0</v>
      </c>
      <c r="BY651" s="1502"/>
      <c r="BZ651" s="1502"/>
      <c r="CA651" s="1502"/>
      <c r="CB651" s="1502"/>
      <c r="CC651" s="1502">
        <f t="shared" si="33"/>
        <v>0</v>
      </c>
      <c r="CD651" s="1502"/>
      <c r="CE651" s="1502"/>
      <c r="CF651" s="1502"/>
      <c r="CG651" s="1502"/>
      <c r="CH651" s="1502">
        <f t="shared" si="34"/>
        <v>0</v>
      </c>
      <c r="CI651" s="1502"/>
      <c r="CJ651" s="1502"/>
      <c r="CK651" s="1502"/>
      <c r="CL651" s="1502"/>
      <c r="CM651" s="1502">
        <f t="shared" si="35"/>
        <v>0</v>
      </c>
      <c r="CN651" s="1502"/>
      <c r="CO651" s="1502"/>
      <c r="CP651" s="1502"/>
      <c r="CQ651" s="1502"/>
      <c r="CR651" s="6"/>
      <c r="CS651" s="1497">
        <f t="shared" si="36"/>
        <v>0</v>
      </c>
      <c r="CT651" s="1498"/>
      <c r="CU651" s="1498"/>
      <c r="CV651" s="1498"/>
      <c r="CW651" s="1499"/>
      <c r="CX651" s="1497">
        <f t="shared" si="37"/>
        <v>0</v>
      </c>
      <c r="CY651" s="1498"/>
      <c r="CZ651" s="1498"/>
      <c r="DA651" s="1498"/>
      <c r="DB651" s="1499"/>
      <c r="DC651" s="1497">
        <f t="shared" si="38"/>
        <v>0</v>
      </c>
      <c r="DD651" s="1498"/>
      <c r="DE651" s="1498"/>
      <c r="DF651" s="1498"/>
      <c r="DG651" s="1499"/>
      <c r="DH651" s="1497">
        <f t="shared" si="39"/>
        <v>0</v>
      </c>
      <c r="DI651" s="1498"/>
      <c r="DJ651" s="1498"/>
      <c r="DK651" s="1498"/>
      <c r="DL651" s="1499"/>
      <c r="DM651" s="1497">
        <f t="shared" si="40"/>
        <v>0</v>
      </c>
      <c r="DN651" s="1498"/>
      <c r="DO651" s="1498"/>
      <c r="DP651" s="1498"/>
      <c r="DQ651" s="1499"/>
      <c r="DR651" s="1497">
        <f t="shared" si="41"/>
        <v>0</v>
      </c>
      <c r="DS651" s="1498"/>
      <c r="DT651" s="1498"/>
      <c r="DU651" s="1498"/>
      <c r="DV651" s="1499"/>
      <c r="DX651" s="1496" t="e">
        <f t="shared" si="29"/>
        <v>#VALUE!</v>
      </c>
      <c r="DY651" s="1496"/>
      <c r="DZ651" s="1496"/>
      <c r="EA651" s="1496"/>
      <c r="EB651" s="1496"/>
      <c r="EC651" s="1496" t="e">
        <f t="shared" si="24"/>
        <v>#VALUE!</v>
      </c>
      <c r="ED651" s="1496"/>
      <c r="EE651" s="1496"/>
      <c r="EF651" s="1496"/>
      <c r="EG651" s="1496"/>
      <c r="EH651" s="1496" t="e">
        <f t="shared" si="25"/>
        <v>#VALUE!</v>
      </c>
      <c r="EI651" s="1496"/>
      <c r="EJ651" s="1496"/>
      <c r="EK651" s="1496"/>
      <c r="EL651" s="1496"/>
      <c r="EM651" s="1496" t="e">
        <f t="shared" si="26"/>
        <v>#VALUE!</v>
      </c>
      <c r="EN651" s="1496"/>
      <c r="EO651" s="1496"/>
      <c r="EP651" s="1496"/>
      <c r="EQ651" s="1496"/>
      <c r="ER651" s="1496" t="e">
        <f t="shared" si="27"/>
        <v>#VALUE!</v>
      </c>
      <c r="ES651" s="1496"/>
      <c r="ET651" s="1496"/>
      <c r="EU651" s="1496"/>
      <c r="EV651" s="1496"/>
      <c r="EW651" s="1496" t="e">
        <f t="shared" si="28"/>
        <v>#VALUE!</v>
      </c>
      <c r="EX651" s="1496"/>
      <c r="EY651" s="1496"/>
      <c r="EZ651" s="1496"/>
      <c r="FA651" s="1496"/>
    </row>
    <row r="652" spans="1:157" ht="12.95" customHeight="1">
      <c r="A652" s="22"/>
      <c r="B652" t="s">
        <v>85</v>
      </c>
      <c r="G652" s="1374" t="s">
        <v>2671</v>
      </c>
      <c r="H652" s="1374"/>
      <c r="I652" s="1374"/>
      <c r="J652" s="1374"/>
      <c r="K652" s="1374"/>
      <c r="L652" s="1374"/>
      <c r="M652" s="1374"/>
      <c r="N652" s="1374"/>
      <c r="O652" s="1374"/>
      <c r="P652" s="1374"/>
      <c r="Q652" s="1374"/>
      <c r="R652" s="1374"/>
      <c r="T652" s="22"/>
      <c r="U652" t="s">
        <v>85</v>
      </c>
      <c r="Z652" s="1374"/>
      <c r="AA652" s="1374"/>
      <c r="AB652" s="1374"/>
      <c r="AC652" s="1374"/>
      <c r="AD652" s="1374"/>
      <c r="AE652" s="1374"/>
      <c r="AF652" s="1374"/>
      <c r="AG652" s="1374"/>
      <c r="AH652" s="1374"/>
      <c r="AI652" s="1374"/>
      <c r="AJ652" s="1374"/>
      <c r="AK652" s="1374"/>
      <c r="AZ652" s="34"/>
      <c r="BA652" s="34"/>
      <c r="BB652" s="34"/>
      <c r="BC652" s="34"/>
      <c r="BD652" s="34"/>
      <c r="BE652" s="34"/>
      <c r="BF652" s="34"/>
      <c r="BG652" s="34"/>
      <c r="BH652" s="34"/>
      <c r="BI652" s="34"/>
      <c r="BJ652" s="34"/>
      <c r="BK652" s="34"/>
      <c r="BL652" s="34"/>
      <c r="BM652" s="34"/>
      <c r="BN652" s="1497">
        <f t="shared" si="30"/>
        <v>0</v>
      </c>
      <c r="BO652" s="1498"/>
      <c r="BP652" s="1498"/>
      <c r="BQ652" s="1498"/>
      <c r="BR652" s="1499"/>
      <c r="BS652" s="1502">
        <f t="shared" si="31"/>
        <v>0</v>
      </c>
      <c r="BT652" s="1502"/>
      <c r="BU652" s="1502"/>
      <c r="BV652" s="1502"/>
      <c r="BW652" s="1502"/>
      <c r="BX652" s="1502">
        <f t="shared" si="32"/>
        <v>0</v>
      </c>
      <c r="BY652" s="1502"/>
      <c r="BZ652" s="1502"/>
      <c r="CA652" s="1502"/>
      <c r="CB652" s="1502"/>
      <c r="CC652" s="1502">
        <f t="shared" si="33"/>
        <v>0</v>
      </c>
      <c r="CD652" s="1502"/>
      <c r="CE652" s="1502"/>
      <c r="CF652" s="1502"/>
      <c r="CG652" s="1502"/>
      <c r="CH652" s="1502">
        <f t="shared" si="34"/>
        <v>0</v>
      </c>
      <c r="CI652" s="1502"/>
      <c r="CJ652" s="1502"/>
      <c r="CK652" s="1502"/>
      <c r="CL652" s="1502"/>
      <c r="CM652" s="1502">
        <f t="shared" si="35"/>
        <v>0</v>
      </c>
      <c r="CN652" s="1502"/>
      <c r="CO652" s="1502"/>
      <c r="CP652" s="1502"/>
      <c r="CQ652" s="1502"/>
      <c r="CR652" s="6"/>
      <c r="CS652" s="1497">
        <f t="shared" si="36"/>
        <v>0</v>
      </c>
      <c r="CT652" s="1498"/>
      <c r="CU652" s="1498"/>
      <c r="CV652" s="1498"/>
      <c r="CW652" s="1499"/>
      <c r="CX652" s="1497">
        <f t="shared" si="37"/>
        <v>0</v>
      </c>
      <c r="CY652" s="1498"/>
      <c r="CZ652" s="1498"/>
      <c r="DA652" s="1498"/>
      <c r="DB652" s="1499"/>
      <c r="DC652" s="1497">
        <f t="shared" si="38"/>
        <v>0</v>
      </c>
      <c r="DD652" s="1498"/>
      <c r="DE652" s="1498"/>
      <c r="DF652" s="1498"/>
      <c r="DG652" s="1499"/>
      <c r="DH652" s="1497">
        <f t="shared" si="39"/>
        <v>0</v>
      </c>
      <c r="DI652" s="1498"/>
      <c r="DJ652" s="1498"/>
      <c r="DK652" s="1498"/>
      <c r="DL652" s="1499"/>
      <c r="DM652" s="1497">
        <f t="shared" si="40"/>
        <v>0</v>
      </c>
      <c r="DN652" s="1498"/>
      <c r="DO652" s="1498"/>
      <c r="DP652" s="1498"/>
      <c r="DQ652" s="1499"/>
      <c r="DR652" s="1497">
        <f t="shared" si="41"/>
        <v>0</v>
      </c>
      <c r="DS652" s="1498"/>
      <c r="DT652" s="1498"/>
      <c r="DU652" s="1498"/>
      <c r="DV652" s="1499"/>
      <c r="DX652" s="1496" t="e">
        <f t="shared" si="29"/>
        <v>#VALUE!</v>
      </c>
      <c r="DY652" s="1496"/>
      <c r="DZ652" s="1496"/>
      <c r="EA652" s="1496"/>
      <c r="EB652" s="1496"/>
      <c r="EC652" s="1496" t="e">
        <f t="shared" si="24"/>
        <v>#VALUE!</v>
      </c>
      <c r="ED652" s="1496"/>
      <c r="EE652" s="1496"/>
      <c r="EF652" s="1496"/>
      <c r="EG652" s="1496"/>
      <c r="EH652" s="1496" t="e">
        <f t="shared" si="25"/>
        <v>#VALUE!</v>
      </c>
      <c r="EI652" s="1496"/>
      <c r="EJ652" s="1496"/>
      <c r="EK652" s="1496"/>
      <c r="EL652" s="1496"/>
      <c r="EM652" s="1496" t="e">
        <f t="shared" si="26"/>
        <v>#VALUE!</v>
      </c>
      <c r="EN652" s="1496"/>
      <c r="EO652" s="1496"/>
      <c r="EP652" s="1496"/>
      <c r="EQ652" s="1496"/>
      <c r="ER652" s="1496" t="e">
        <f t="shared" si="27"/>
        <v>#VALUE!</v>
      </c>
      <c r="ES652" s="1496"/>
      <c r="ET652" s="1496"/>
      <c r="EU652" s="1496"/>
      <c r="EV652" s="1496"/>
      <c r="EW652" s="1496" t="e">
        <f t="shared" si="28"/>
        <v>#VALUE!</v>
      </c>
      <c r="EX652" s="1496"/>
      <c r="EY652" s="1496"/>
      <c r="EZ652" s="1496"/>
      <c r="FA652" s="1496"/>
    </row>
    <row r="653" spans="1:157" ht="12.95" customHeight="1">
      <c r="A653" s="22"/>
      <c r="B653" t="s">
        <v>588</v>
      </c>
      <c r="G653" s="1380" t="s">
        <v>738</v>
      </c>
      <c r="H653" s="1380"/>
      <c r="I653" s="1380"/>
      <c r="J653" s="1380"/>
      <c r="K653" s="1380"/>
      <c r="L653" s="1380"/>
      <c r="M653" s="1380"/>
      <c r="N653" s="1380"/>
      <c r="O653" s="1380"/>
      <c r="P653" s="1380"/>
      <c r="Q653" s="1380"/>
      <c r="R653" s="1380"/>
      <c r="T653" s="22"/>
      <c r="U653" t="s">
        <v>588</v>
      </c>
      <c r="Z653" s="1380"/>
      <c r="AA653" s="1380"/>
      <c r="AB653" s="1380"/>
      <c r="AC653" s="1380"/>
      <c r="AD653" s="1380"/>
      <c r="AE653" s="1380"/>
      <c r="AF653" s="1380"/>
      <c r="AG653" s="1380"/>
      <c r="AH653" s="1380"/>
      <c r="AI653" s="1380"/>
      <c r="AJ653" s="1380"/>
      <c r="AK653" s="1380"/>
      <c r="AZ653" s="34"/>
      <c r="BA653" s="34"/>
      <c r="BB653" s="34"/>
      <c r="BC653" s="34"/>
      <c r="BD653" s="34"/>
      <c r="BE653" s="34"/>
      <c r="BF653" s="34"/>
      <c r="BG653" s="34"/>
      <c r="BH653" s="34"/>
      <c r="BI653" s="34"/>
      <c r="BJ653" s="34"/>
      <c r="BK653" s="34"/>
      <c r="BL653" s="34"/>
      <c r="BM653" s="34"/>
      <c r="BN653" s="1497">
        <f t="shared" si="30"/>
        <v>0</v>
      </c>
      <c r="BO653" s="1498"/>
      <c r="BP653" s="1498"/>
      <c r="BQ653" s="1498"/>
      <c r="BR653" s="1499"/>
      <c r="BS653" s="1502">
        <f t="shared" si="31"/>
        <v>0</v>
      </c>
      <c r="BT653" s="1502"/>
      <c r="BU653" s="1502"/>
      <c r="BV653" s="1502"/>
      <c r="BW653" s="1502"/>
      <c r="BX653" s="1502">
        <f t="shared" si="32"/>
        <v>0</v>
      </c>
      <c r="BY653" s="1502"/>
      <c r="BZ653" s="1502"/>
      <c r="CA653" s="1502"/>
      <c r="CB653" s="1502"/>
      <c r="CC653" s="1502">
        <f t="shared" si="33"/>
        <v>0</v>
      </c>
      <c r="CD653" s="1502"/>
      <c r="CE653" s="1502"/>
      <c r="CF653" s="1502"/>
      <c r="CG653" s="1502"/>
      <c r="CH653" s="1502">
        <f t="shared" si="34"/>
        <v>0</v>
      </c>
      <c r="CI653" s="1502"/>
      <c r="CJ653" s="1502"/>
      <c r="CK653" s="1502"/>
      <c r="CL653" s="1502"/>
      <c r="CM653" s="1502">
        <f t="shared" si="35"/>
        <v>0</v>
      </c>
      <c r="CN653" s="1502"/>
      <c r="CO653" s="1502"/>
      <c r="CP653" s="1502"/>
      <c r="CQ653" s="1502"/>
      <c r="CR653" s="6"/>
      <c r="CS653" s="1497">
        <f t="shared" si="36"/>
        <v>0</v>
      </c>
      <c r="CT653" s="1498"/>
      <c r="CU653" s="1498"/>
      <c r="CV653" s="1498"/>
      <c r="CW653" s="1499"/>
      <c r="CX653" s="1497">
        <f t="shared" si="37"/>
        <v>0</v>
      </c>
      <c r="CY653" s="1498"/>
      <c r="CZ653" s="1498"/>
      <c r="DA653" s="1498"/>
      <c r="DB653" s="1499"/>
      <c r="DC653" s="1497">
        <f t="shared" si="38"/>
        <v>0</v>
      </c>
      <c r="DD653" s="1498"/>
      <c r="DE653" s="1498"/>
      <c r="DF653" s="1498"/>
      <c r="DG653" s="1499"/>
      <c r="DH653" s="1497">
        <f t="shared" si="39"/>
        <v>0</v>
      </c>
      <c r="DI653" s="1498"/>
      <c r="DJ653" s="1498"/>
      <c r="DK653" s="1498"/>
      <c r="DL653" s="1499"/>
      <c r="DM653" s="1497">
        <f t="shared" si="40"/>
        <v>0</v>
      </c>
      <c r="DN653" s="1498"/>
      <c r="DO653" s="1498"/>
      <c r="DP653" s="1498"/>
      <c r="DQ653" s="1499"/>
      <c r="DR653" s="1497">
        <f t="shared" si="41"/>
        <v>0</v>
      </c>
      <c r="DS653" s="1498"/>
      <c r="DT653" s="1498"/>
      <c r="DU653" s="1498"/>
      <c r="DV653" s="1499"/>
      <c r="DX653" s="1496" t="e">
        <f t="shared" si="29"/>
        <v>#VALUE!</v>
      </c>
      <c r="DY653" s="1496"/>
      <c r="DZ653" s="1496"/>
      <c r="EA653" s="1496"/>
      <c r="EB653" s="1496"/>
      <c r="EC653" s="1496" t="e">
        <f t="shared" si="24"/>
        <v>#VALUE!</v>
      </c>
      <c r="ED653" s="1496"/>
      <c r="EE653" s="1496"/>
      <c r="EF653" s="1496"/>
      <c r="EG653" s="1496"/>
      <c r="EH653" s="1496" t="e">
        <f t="shared" si="25"/>
        <v>#VALUE!</v>
      </c>
      <c r="EI653" s="1496"/>
      <c r="EJ653" s="1496"/>
      <c r="EK653" s="1496"/>
      <c r="EL653" s="1496"/>
      <c r="EM653" s="1496" t="e">
        <f t="shared" si="26"/>
        <v>#VALUE!</v>
      </c>
      <c r="EN653" s="1496"/>
      <c r="EO653" s="1496"/>
      <c r="EP653" s="1496"/>
      <c r="EQ653" s="1496"/>
      <c r="ER653" s="1496" t="e">
        <f t="shared" si="27"/>
        <v>#VALUE!</v>
      </c>
      <c r="ES653" s="1496"/>
      <c r="ET653" s="1496"/>
      <c r="EU653" s="1496"/>
      <c r="EV653" s="1496"/>
      <c r="EW653" s="1496" t="e">
        <f t="shared" si="28"/>
        <v>#VALUE!</v>
      </c>
      <c r="EX653" s="1496"/>
      <c r="EY653" s="1496"/>
      <c r="EZ653" s="1496"/>
      <c r="FA653" s="1496"/>
    </row>
    <row r="654" spans="1:157" ht="12.95" customHeight="1">
      <c r="A654" s="22"/>
      <c r="B654" t="s">
        <v>17</v>
      </c>
      <c r="G654" s="1380" t="s">
        <v>2677</v>
      </c>
      <c r="H654" s="1380"/>
      <c r="I654" s="1380"/>
      <c r="J654" s="1380"/>
      <c r="K654" s="1380"/>
      <c r="L654" s="1380"/>
      <c r="M654" s="1380"/>
      <c r="N654" s="1380"/>
      <c r="O654" s="1380"/>
      <c r="P654" s="1380"/>
      <c r="Q654" s="1380"/>
      <c r="R654" s="1380"/>
      <c r="T654" s="22"/>
      <c r="U654" t="s">
        <v>17</v>
      </c>
      <c r="Z654" s="1380"/>
      <c r="AA654" s="1380"/>
      <c r="AB654" s="1380"/>
      <c r="AC654" s="1380"/>
      <c r="AD654" s="1380"/>
      <c r="AE654" s="1380"/>
      <c r="AF654" s="1380"/>
      <c r="AG654" s="1380"/>
      <c r="AH654" s="1380"/>
      <c r="AI654" s="1380"/>
      <c r="AJ654" s="1380"/>
      <c r="AK654" s="1380"/>
      <c r="AZ654" s="34"/>
      <c r="BA654" s="34"/>
      <c r="BB654" s="34"/>
      <c r="BC654" s="34"/>
      <c r="BD654" s="34"/>
      <c r="BE654" s="34"/>
      <c r="BF654" s="34"/>
      <c r="BG654" s="34"/>
      <c r="BH654" s="34"/>
      <c r="BI654" s="34"/>
      <c r="BJ654" s="34"/>
      <c r="BK654" s="34"/>
      <c r="BL654" s="34"/>
      <c r="BM654" s="34"/>
      <c r="BN654" s="1497">
        <f t="shared" si="30"/>
        <v>0</v>
      </c>
      <c r="BO654" s="1498"/>
      <c r="BP654" s="1498"/>
      <c r="BQ654" s="1498"/>
      <c r="BR654" s="1499"/>
      <c r="BS654" s="1502">
        <f t="shared" si="31"/>
        <v>0</v>
      </c>
      <c r="BT654" s="1502"/>
      <c r="BU654" s="1502"/>
      <c r="BV654" s="1502"/>
      <c r="BW654" s="1502"/>
      <c r="BX654" s="1502">
        <f t="shared" si="32"/>
        <v>0</v>
      </c>
      <c r="BY654" s="1502"/>
      <c r="BZ654" s="1502"/>
      <c r="CA654" s="1502"/>
      <c r="CB654" s="1502"/>
      <c r="CC654" s="1502">
        <f t="shared" si="33"/>
        <v>0</v>
      </c>
      <c r="CD654" s="1502"/>
      <c r="CE654" s="1502"/>
      <c r="CF654" s="1502"/>
      <c r="CG654" s="1502"/>
      <c r="CH654" s="1502">
        <f t="shared" si="34"/>
        <v>0</v>
      </c>
      <c r="CI654" s="1502"/>
      <c r="CJ654" s="1502"/>
      <c r="CK654" s="1502"/>
      <c r="CL654" s="1502"/>
      <c r="CM654" s="1502">
        <f t="shared" si="35"/>
        <v>0</v>
      </c>
      <c r="CN654" s="1502"/>
      <c r="CO654" s="1502"/>
      <c r="CP654" s="1502"/>
      <c r="CQ654" s="1502"/>
      <c r="CR654" s="6"/>
      <c r="CS654" s="1497">
        <f t="shared" si="36"/>
        <v>0</v>
      </c>
      <c r="CT654" s="1498"/>
      <c r="CU654" s="1498"/>
      <c r="CV654" s="1498"/>
      <c r="CW654" s="1499"/>
      <c r="CX654" s="1497">
        <f t="shared" si="37"/>
        <v>0</v>
      </c>
      <c r="CY654" s="1498"/>
      <c r="CZ654" s="1498"/>
      <c r="DA654" s="1498"/>
      <c r="DB654" s="1499"/>
      <c r="DC654" s="1497">
        <f t="shared" si="38"/>
        <v>0</v>
      </c>
      <c r="DD654" s="1498"/>
      <c r="DE654" s="1498"/>
      <c r="DF654" s="1498"/>
      <c r="DG654" s="1499"/>
      <c r="DH654" s="1497">
        <f t="shared" si="39"/>
        <v>0</v>
      </c>
      <c r="DI654" s="1498"/>
      <c r="DJ654" s="1498"/>
      <c r="DK654" s="1498"/>
      <c r="DL654" s="1499"/>
      <c r="DM654" s="1497">
        <f t="shared" si="40"/>
        <v>0</v>
      </c>
      <c r="DN654" s="1498"/>
      <c r="DO654" s="1498"/>
      <c r="DP654" s="1498"/>
      <c r="DQ654" s="1499"/>
      <c r="DR654" s="1497">
        <f t="shared" si="41"/>
        <v>0</v>
      </c>
      <c r="DS654" s="1498"/>
      <c r="DT654" s="1498"/>
      <c r="DU654" s="1498"/>
      <c r="DV654" s="1499"/>
      <c r="DX654" s="1496" t="e">
        <f t="shared" si="29"/>
        <v>#VALUE!</v>
      </c>
      <c r="DY654" s="1496"/>
      <c r="DZ654" s="1496"/>
      <c r="EA654" s="1496"/>
      <c r="EB654" s="1496"/>
      <c r="EC654" s="1496" t="e">
        <f t="shared" si="24"/>
        <v>#VALUE!</v>
      </c>
      <c r="ED654" s="1496"/>
      <c r="EE654" s="1496"/>
      <c r="EF654" s="1496"/>
      <c r="EG654" s="1496"/>
      <c r="EH654" s="1496" t="e">
        <f t="shared" si="25"/>
        <v>#VALUE!</v>
      </c>
      <c r="EI654" s="1496"/>
      <c r="EJ654" s="1496"/>
      <c r="EK654" s="1496"/>
      <c r="EL654" s="1496"/>
      <c r="EM654" s="1496" t="e">
        <f t="shared" si="26"/>
        <v>#VALUE!</v>
      </c>
      <c r="EN654" s="1496"/>
      <c r="EO654" s="1496"/>
      <c r="EP654" s="1496"/>
      <c r="EQ654" s="1496"/>
      <c r="ER654" s="1496" t="e">
        <f t="shared" si="27"/>
        <v>#VALUE!</v>
      </c>
      <c r="ES654" s="1496"/>
      <c r="ET654" s="1496"/>
      <c r="EU654" s="1496"/>
      <c r="EV654" s="1496"/>
      <c r="EW654" s="1496" t="e">
        <f t="shared" si="28"/>
        <v>#VALUE!</v>
      </c>
      <c r="EX654" s="1496"/>
      <c r="EY654" s="1496"/>
      <c r="EZ654" s="1496"/>
      <c r="FA654" s="1496"/>
    </row>
    <row r="655" spans="1:157" ht="12.95" customHeight="1">
      <c r="A655" s="22"/>
      <c r="B655" t="s">
        <v>317</v>
      </c>
      <c r="G655" s="1371" t="s">
        <v>2673</v>
      </c>
      <c r="H655" s="1372"/>
      <c r="I655" s="1372"/>
      <c r="J655" s="1372"/>
      <c r="K655" s="1372"/>
      <c r="L655" s="1372"/>
      <c r="O655" s="33" t="s">
        <v>207</v>
      </c>
      <c r="P655" s="1594" t="s">
        <v>599</v>
      </c>
      <c r="Q655" s="1450"/>
      <c r="R655" s="1450"/>
      <c r="T655" s="22"/>
      <c r="U655" t="s">
        <v>317</v>
      </c>
      <c r="Z655" s="1372"/>
      <c r="AA655" s="1372"/>
      <c r="AB655" s="1372"/>
      <c r="AC655" s="1372"/>
      <c r="AD655" s="1372"/>
      <c r="AE655" s="1372"/>
      <c r="AH655" s="33" t="s">
        <v>207</v>
      </c>
      <c r="AI655" s="1450"/>
      <c r="AJ655" s="1450"/>
      <c r="AK655" s="1450"/>
      <c r="AZ655" s="34"/>
      <c r="BA655" s="34"/>
      <c r="BB655" s="34"/>
      <c r="BC655" s="34"/>
      <c r="BD655" s="34"/>
      <c r="BE655" s="34"/>
      <c r="BF655" s="34"/>
      <c r="BG655" s="34"/>
      <c r="BH655" s="34"/>
      <c r="BI655" s="34"/>
      <c r="BJ655" s="34"/>
      <c r="BK655" s="34"/>
      <c r="BL655" s="34"/>
      <c r="BM655" s="34"/>
      <c r="BN655" s="1509">
        <f>SUM(BN645:BR654)</f>
        <v>0</v>
      </c>
      <c r="BO655" s="1510"/>
      <c r="BP655" s="1510"/>
      <c r="BQ655" s="1510"/>
      <c r="BR655" s="1511"/>
      <c r="BS655" s="1503">
        <f>SUM(BS645:BW654)</f>
        <v>0</v>
      </c>
      <c r="BT655" s="1504"/>
      <c r="BU655" s="1504"/>
      <c r="BV655" s="1504"/>
      <c r="BW655" s="1505"/>
      <c r="BX655" s="1503">
        <f>SUM(BX645:CB654)</f>
        <v>0</v>
      </c>
      <c r="BY655" s="1504"/>
      <c r="BZ655" s="1504"/>
      <c r="CA655" s="1504"/>
      <c r="CB655" s="1505"/>
      <c r="CC655" s="1503">
        <f>SUM(CC645:CG654)</f>
        <v>0</v>
      </c>
      <c r="CD655" s="1504"/>
      <c r="CE655" s="1504"/>
      <c r="CF655" s="1504"/>
      <c r="CG655" s="1505"/>
      <c r="CH655" s="1503">
        <f>SUM(CH645:CL654)</f>
        <v>0</v>
      </c>
      <c r="CI655" s="1504"/>
      <c r="CJ655" s="1504"/>
      <c r="CK655" s="1504"/>
      <c r="CL655" s="1505"/>
      <c r="CM655" s="1503">
        <f>SUM(CM645:CQ654)</f>
        <v>0</v>
      </c>
      <c r="CN655" s="1504"/>
      <c r="CO655" s="1504"/>
      <c r="CP655" s="1504"/>
      <c r="CQ655" s="1505"/>
      <c r="CR655" s="1047"/>
      <c r="CS655" s="1506">
        <f>SUM(CS645:CW654)</f>
        <v>0</v>
      </c>
      <c r="CT655" s="1506"/>
      <c r="CU655" s="1506"/>
      <c r="CV655" s="1506"/>
      <c r="CW655" s="1506"/>
      <c r="CX655" s="1506">
        <f>SUM(CX645:DB654)</f>
        <v>0</v>
      </c>
      <c r="CY655" s="1506"/>
      <c r="CZ655" s="1506"/>
      <c r="DA655" s="1506"/>
      <c r="DB655" s="1506"/>
      <c r="DC655" s="1506">
        <f>SUM(DC645:DG654)</f>
        <v>0</v>
      </c>
      <c r="DD655" s="1506"/>
      <c r="DE655" s="1506"/>
      <c r="DF655" s="1506"/>
      <c r="DG655" s="1506"/>
      <c r="DH655" s="1506">
        <f>SUM(DH645:DL654)</f>
        <v>0</v>
      </c>
      <c r="DI655" s="1506"/>
      <c r="DJ655" s="1506"/>
      <c r="DK655" s="1506"/>
      <c r="DL655" s="1506"/>
      <c r="DM655" s="1506">
        <f>SUM(DM645:DQ654)</f>
        <v>0</v>
      </c>
      <c r="DN655" s="1506"/>
      <c r="DO655" s="1506"/>
      <c r="DP655" s="1506"/>
      <c r="DQ655" s="1506"/>
      <c r="DR655" s="1506">
        <f>SUM(DR645:DV654)</f>
        <v>0</v>
      </c>
      <c r="DS655" s="1506"/>
      <c r="DT655" s="1506"/>
      <c r="DU655" s="1506"/>
      <c r="DV655" s="1506"/>
      <c r="DX655" s="1496" t="e">
        <f t="shared" si="29"/>
        <v>#VALUE!</v>
      </c>
      <c r="DY655" s="1496"/>
      <c r="DZ655" s="1496"/>
      <c r="EA655" s="1496"/>
      <c r="EB655" s="1496"/>
      <c r="EC655" s="1496" t="e">
        <f t="shared" si="24"/>
        <v>#VALUE!</v>
      </c>
      <c r="ED655" s="1496"/>
      <c r="EE655" s="1496"/>
      <c r="EF655" s="1496"/>
      <c r="EG655" s="1496"/>
      <c r="EH655" s="1496" t="e">
        <f t="shared" si="25"/>
        <v>#VALUE!</v>
      </c>
      <c r="EI655" s="1496"/>
      <c r="EJ655" s="1496"/>
      <c r="EK655" s="1496"/>
      <c r="EL655" s="1496"/>
      <c r="EM655" s="1496" t="e">
        <f t="shared" si="26"/>
        <v>#VALUE!</v>
      </c>
      <c r="EN655" s="1496"/>
      <c r="EO655" s="1496"/>
      <c r="EP655" s="1496"/>
      <c r="EQ655" s="1496"/>
      <c r="ER655" s="1496" t="e">
        <f t="shared" si="27"/>
        <v>#VALUE!</v>
      </c>
      <c r="ES655" s="1496"/>
      <c r="ET655" s="1496"/>
      <c r="EU655" s="1496"/>
      <c r="EV655" s="1496"/>
      <c r="EW655" s="1496" t="e">
        <f t="shared" si="28"/>
        <v>#VALUE!</v>
      </c>
      <c r="EX655" s="1496"/>
      <c r="EY655" s="1496"/>
      <c r="EZ655" s="1496"/>
      <c r="FA655" s="1496"/>
    </row>
    <row r="656" spans="1:157" ht="12.95" customHeight="1">
      <c r="A656" s="22"/>
      <c r="B656" t="s">
        <v>18</v>
      </c>
      <c r="H656" s="1373" t="s">
        <v>1849</v>
      </c>
      <c r="I656" s="1374"/>
      <c r="J656" s="1374"/>
      <c r="K656" s="1374"/>
      <c r="L656" s="1374"/>
      <c r="M656" s="1374"/>
      <c r="N656" s="1374"/>
      <c r="O656" s="1374"/>
      <c r="P656" s="1374"/>
      <c r="Q656" s="1374"/>
      <c r="R656" s="1374"/>
      <c r="T656" s="22"/>
      <c r="U656" t="s">
        <v>18</v>
      </c>
      <c r="AA656" s="1374"/>
      <c r="AB656" s="1374"/>
      <c r="AC656" s="1374"/>
      <c r="AD656" s="1374"/>
      <c r="AE656" s="1374"/>
      <c r="AF656" s="1374"/>
      <c r="AG656" s="1374"/>
      <c r="AH656" s="1374"/>
      <c r="AI656" s="1374"/>
      <c r="AJ656" s="1374"/>
      <c r="AK656" s="137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6" t="e">
        <f t="shared" si="29"/>
        <v>#VALUE!</v>
      </c>
      <c r="DY656" s="1496"/>
      <c r="DZ656" s="1496"/>
      <c r="EA656" s="1496"/>
      <c r="EB656" s="1496"/>
      <c r="EC656" s="1496" t="e">
        <f t="shared" si="24"/>
        <v>#VALUE!</v>
      </c>
      <c r="ED656" s="1496"/>
      <c r="EE656" s="1496"/>
      <c r="EF656" s="1496"/>
      <c r="EG656" s="1496"/>
      <c r="EH656" s="1496" t="e">
        <f t="shared" si="25"/>
        <v>#VALUE!</v>
      </c>
      <c r="EI656" s="1496"/>
      <c r="EJ656" s="1496"/>
      <c r="EK656" s="1496"/>
      <c r="EL656" s="1496"/>
      <c r="EM656" s="1496" t="e">
        <f t="shared" si="26"/>
        <v>#VALUE!</v>
      </c>
      <c r="EN656" s="1496"/>
      <c r="EO656" s="1496"/>
      <c r="EP656" s="1496"/>
      <c r="EQ656" s="1496"/>
      <c r="ER656" s="1496" t="e">
        <f t="shared" si="27"/>
        <v>#VALUE!</v>
      </c>
      <c r="ES656" s="1496"/>
      <c r="ET656" s="1496"/>
      <c r="EU656" s="1496"/>
      <c r="EV656" s="1496"/>
      <c r="EW656" s="1496" t="e">
        <f t="shared" si="28"/>
        <v>#VALUE!</v>
      </c>
      <c r="EX656" s="1496"/>
      <c r="EY656" s="1496"/>
      <c r="EZ656" s="1496"/>
      <c r="FA656" s="1496"/>
    </row>
    <row r="657" spans="1:157" ht="12.95" customHeight="1">
      <c r="A657" s="22"/>
      <c r="B657" t="s">
        <v>20</v>
      </c>
      <c r="N657" s="1355" t="s">
        <v>553</v>
      </c>
      <c r="O657" s="1355"/>
      <c r="T657" s="22"/>
      <c r="U657" t="s">
        <v>20</v>
      </c>
      <c r="AG657" s="1355" t="s">
        <v>677</v>
      </c>
      <c r="AH657" s="1355"/>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96">
        <f>SUM(CS655:DV655)</f>
        <v>0</v>
      </c>
      <c r="DS657" s="1496"/>
      <c r="DT657" s="1496"/>
      <c r="DU657" s="1496"/>
      <c r="DV657" s="1496"/>
      <c r="DX657" s="1496" t="e">
        <f t="shared" si="29"/>
        <v>#VALUE!</v>
      </c>
      <c r="DY657" s="1496"/>
      <c r="DZ657" s="1496"/>
      <c r="EA657" s="1496"/>
      <c r="EB657" s="1496"/>
      <c r="EC657" s="1496" t="e">
        <f t="shared" si="24"/>
        <v>#VALUE!</v>
      </c>
      <c r="ED657" s="1496"/>
      <c r="EE657" s="1496"/>
      <c r="EF657" s="1496"/>
      <c r="EG657" s="1496"/>
      <c r="EH657" s="1496" t="e">
        <f t="shared" si="25"/>
        <v>#VALUE!</v>
      </c>
      <c r="EI657" s="1496"/>
      <c r="EJ657" s="1496"/>
      <c r="EK657" s="1496"/>
      <c r="EL657" s="1496"/>
      <c r="EM657" s="1496" t="e">
        <f t="shared" si="26"/>
        <v>#VALUE!</v>
      </c>
      <c r="EN657" s="1496"/>
      <c r="EO657" s="1496"/>
      <c r="EP657" s="1496"/>
      <c r="EQ657" s="1496"/>
      <c r="ER657" s="1496" t="e">
        <f t="shared" si="27"/>
        <v>#VALUE!</v>
      </c>
      <c r="ES657" s="1496"/>
      <c r="ET657" s="1496"/>
      <c r="EU657" s="1496"/>
      <c r="EV657" s="1496"/>
      <c r="EW657" s="1496" t="e">
        <f t="shared" si="28"/>
        <v>#VALUE!</v>
      </c>
      <c r="EX657" s="1496"/>
      <c r="EY657" s="1496"/>
      <c r="EZ657" s="1496"/>
      <c r="FA657" s="149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96" t="e">
        <f t="shared" ref="DX658:DX667" si="42">DX620*(BN620/$BN$632)</f>
        <v>#VALUE!</v>
      </c>
      <c r="DY658" s="1496"/>
      <c r="DZ658" s="1496"/>
      <c r="EA658" s="1496"/>
      <c r="EB658" s="1496"/>
      <c r="EC658" s="1496" t="e">
        <f t="shared" ref="EC658:EC667" si="43">EC620*(BS620/$BS$632)</f>
        <v>#VALUE!</v>
      </c>
      <c r="ED658" s="1496"/>
      <c r="EE658" s="1496"/>
      <c r="EF658" s="1496"/>
      <c r="EG658" s="1496"/>
      <c r="EH658" s="1496" t="e">
        <f t="shared" ref="EH658:EH667" si="44">EH620*(BX620/$BX$632)</f>
        <v>#VALUE!</v>
      </c>
      <c r="EI658" s="1496"/>
      <c r="EJ658" s="1496"/>
      <c r="EK658" s="1496"/>
      <c r="EL658" s="1496"/>
      <c r="EM658" s="1496" t="e">
        <f t="shared" ref="EM658:EM667" si="45">EM620*(CC620/$CC$632)</f>
        <v>#VALUE!</v>
      </c>
      <c r="EN658" s="1496"/>
      <c r="EO658" s="1496"/>
      <c r="EP658" s="1496"/>
      <c r="EQ658" s="1496"/>
      <c r="ER658" s="1496" t="e">
        <f t="shared" ref="ER658:ER667" si="46">ER620*(CH620/$CH$632)</f>
        <v>#VALUE!</v>
      </c>
      <c r="ES658" s="1496"/>
      <c r="ET658" s="1496"/>
      <c r="EU658" s="1496"/>
      <c r="EV658" s="1496"/>
      <c r="EW658" s="1496" t="e">
        <f t="shared" ref="EW658:EW667" si="47">EW620*(CM620/$CM$632)</f>
        <v>#VALUE!</v>
      </c>
      <c r="EX658" s="1496"/>
      <c r="EY658" s="1496"/>
      <c r="EZ658" s="1496"/>
      <c r="FA658" s="1496"/>
    </row>
    <row r="659" spans="1:157" ht="12.95" customHeight="1">
      <c r="A659" s="55" t="s">
        <v>772</v>
      </c>
      <c r="B659" t="s">
        <v>471</v>
      </c>
      <c r="G659" s="1417">
        <f>C631</f>
        <v>0</v>
      </c>
      <c r="H659" s="1417"/>
      <c r="I659" s="1417"/>
      <c r="J659" s="1417"/>
      <c r="K659" s="1417"/>
      <c r="L659" s="1417"/>
      <c r="M659" s="1417"/>
      <c r="N659" s="1417"/>
      <c r="O659" s="1417"/>
      <c r="P659" s="1417"/>
      <c r="Q659" s="1417"/>
      <c r="R659" s="1417"/>
      <c r="T659" s="55" t="s">
        <v>592</v>
      </c>
      <c r="U659" t="s">
        <v>471</v>
      </c>
      <c r="Z659" s="1417">
        <f>C632</f>
        <v>0</v>
      </c>
      <c r="AA659" s="1417"/>
      <c r="AB659" s="1417"/>
      <c r="AC659" s="1417"/>
      <c r="AD659" s="1417"/>
      <c r="AE659" s="1417"/>
      <c r="AF659" s="1417"/>
      <c r="AG659" s="1417"/>
      <c r="AH659" s="1417"/>
      <c r="AI659" s="1417"/>
      <c r="AJ659" s="1417"/>
      <c r="AK659" s="141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6" t="e">
        <f t="shared" si="42"/>
        <v>#VALUE!</v>
      </c>
      <c r="DY659" s="1496"/>
      <c r="DZ659" s="1496"/>
      <c r="EA659" s="1496"/>
      <c r="EB659" s="1496"/>
      <c r="EC659" s="1496" t="e">
        <f t="shared" si="43"/>
        <v>#VALUE!</v>
      </c>
      <c r="ED659" s="1496"/>
      <c r="EE659" s="1496"/>
      <c r="EF659" s="1496"/>
      <c r="EG659" s="1496"/>
      <c r="EH659" s="1496" t="e">
        <f t="shared" si="44"/>
        <v>#VALUE!</v>
      </c>
      <c r="EI659" s="1496"/>
      <c r="EJ659" s="1496"/>
      <c r="EK659" s="1496"/>
      <c r="EL659" s="1496"/>
      <c r="EM659" s="1496" t="e">
        <f t="shared" si="45"/>
        <v>#VALUE!</v>
      </c>
      <c r="EN659" s="1496"/>
      <c r="EO659" s="1496"/>
      <c r="EP659" s="1496"/>
      <c r="EQ659" s="1496"/>
      <c r="ER659" s="1496" t="e">
        <f t="shared" si="46"/>
        <v>#VALUE!</v>
      </c>
      <c r="ES659" s="1496"/>
      <c r="ET659" s="1496"/>
      <c r="EU659" s="1496"/>
      <c r="EV659" s="1496"/>
      <c r="EW659" s="1496" t="e">
        <f t="shared" si="47"/>
        <v>#VALUE!</v>
      </c>
      <c r="EX659" s="1496"/>
      <c r="EY659" s="1496"/>
      <c r="EZ659" s="1496"/>
      <c r="FA659" s="1496"/>
    </row>
    <row r="660" spans="1:157" ht="12.95" customHeight="1">
      <c r="A660" s="22"/>
      <c r="B660" t="s">
        <v>85</v>
      </c>
      <c r="G660" s="1374"/>
      <c r="H660" s="1374"/>
      <c r="I660" s="1374"/>
      <c r="J660" s="1374"/>
      <c r="K660" s="1374"/>
      <c r="L660" s="1374"/>
      <c r="M660" s="1374"/>
      <c r="N660" s="1374"/>
      <c r="O660" s="1374"/>
      <c r="P660" s="1374"/>
      <c r="Q660" s="1374"/>
      <c r="R660" s="1374"/>
      <c r="T660" s="22"/>
      <c r="U660" t="s">
        <v>85</v>
      </c>
      <c r="Z660" s="1374"/>
      <c r="AA660" s="1374"/>
      <c r="AB660" s="1374"/>
      <c r="AC660" s="1374"/>
      <c r="AD660" s="1374"/>
      <c r="AE660" s="1374"/>
      <c r="AF660" s="1374"/>
      <c r="AG660" s="1374"/>
      <c r="AH660" s="1374"/>
      <c r="AI660" s="1374"/>
      <c r="AJ660" s="1374"/>
      <c r="AK660" s="1374"/>
      <c r="AZ660" s="34"/>
      <c r="BA660" s="34"/>
      <c r="BB660" s="34"/>
      <c r="BC660" s="34"/>
      <c r="BD660" s="34"/>
      <c r="BE660" s="34"/>
      <c r="BF660" s="34"/>
      <c r="BG660" s="34"/>
      <c r="BH660" s="34"/>
      <c r="BI660" s="34"/>
      <c r="BJ660" s="34"/>
      <c r="BK660" s="34"/>
      <c r="BL660" s="34"/>
      <c r="BM660" s="34"/>
      <c r="BN660" s="1503">
        <f>BN632+BN641+BN655</f>
        <v>0</v>
      </c>
      <c r="BO660" s="1504"/>
      <c r="BP660" s="1504"/>
      <c r="BQ660" s="1504"/>
      <c r="BR660" s="1505"/>
      <c r="BS660" s="1503">
        <f>BS632+BS641+BS655</f>
        <v>62</v>
      </c>
      <c r="BT660" s="1504"/>
      <c r="BU660" s="1504"/>
      <c r="BV660" s="1504"/>
      <c r="BW660" s="1505"/>
      <c r="BX660" s="1503">
        <f>BX632+BX641+BX655</f>
        <v>32</v>
      </c>
      <c r="BY660" s="1504"/>
      <c r="BZ660" s="1504"/>
      <c r="CA660" s="1504"/>
      <c r="CB660" s="1505"/>
      <c r="CC660" s="1503">
        <f>CC632+CC641+CC655</f>
        <v>34</v>
      </c>
      <c r="CD660" s="1504"/>
      <c r="CE660" s="1504"/>
      <c r="CF660" s="1504"/>
      <c r="CG660" s="1505"/>
      <c r="CH660" s="1503">
        <f>CH632+CH641+CH655</f>
        <v>0</v>
      </c>
      <c r="CI660" s="1504"/>
      <c r="CJ660" s="1504"/>
      <c r="CK660" s="1504"/>
      <c r="CL660" s="1505"/>
      <c r="CM660" s="1484">
        <f>CM655+CM641+CM632</f>
        <v>0</v>
      </c>
      <c r="CN660" s="1485"/>
      <c r="CO660" s="1485"/>
      <c r="CP660" s="1485"/>
      <c r="CQ660" s="1486"/>
      <c r="CR660" s="3"/>
      <c r="CS660" s="895">
        <f>CS634+CS658</f>
        <v>225</v>
      </c>
      <c r="CT660" s="57" t="s">
        <v>2053</v>
      </c>
      <c r="CU660" s="3"/>
      <c r="CV660" s="3"/>
      <c r="CW660" s="3"/>
      <c r="CX660" s="3"/>
      <c r="CY660" s="3"/>
      <c r="CZ660" s="3"/>
      <c r="DA660" s="3"/>
      <c r="DB660" s="3"/>
      <c r="DC660" s="3"/>
      <c r="DD660" s="3"/>
      <c r="DE660" s="3"/>
      <c r="DF660" s="3"/>
      <c r="DX660" s="1496" t="e">
        <f t="shared" si="42"/>
        <v>#VALUE!</v>
      </c>
      <c r="DY660" s="1496"/>
      <c r="DZ660" s="1496"/>
      <c r="EA660" s="1496"/>
      <c r="EB660" s="1496"/>
      <c r="EC660" s="1496" t="e">
        <f t="shared" si="43"/>
        <v>#VALUE!</v>
      </c>
      <c r="ED660" s="1496"/>
      <c r="EE660" s="1496"/>
      <c r="EF660" s="1496"/>
      <c r="EG660" s="1496"/>
      <c r="EH660" s="1496" t="e">
        <f t="shared" si="44"/>
        <v>#VALUE!</v>
      </c>
      <c r="EI660" s="1496"/>
      <c r="EJ660" s="1496"/>
      <c r="EK660" s="1496"/>
      <c r="EL660" s="1496"/>
      <c r="EM660" s="1496" t="e">
        <f t="shared" si="45"/>
        <v>#VALUE!</v>
      </c>
      <c r="EN660" s="1496"/>
      <c r="EO660" s="1496"/>
      <c r="EP660" s="1496"/>
      <c r="EQ660" s="1496"/>
      <c r="ER660" s="1496" t="e">
        <f t="shared" si="46"/>
        <v>#VALUE!</v>
      </c>
      <c r="ES660" s="1496"/>
      <c r="ET660" s="1496"/>
      <c r="EU660" s="1496"/>
      <c r="EV660" s="1496"/>
      <c r="EW660" s="1496" t="e">
        <f t="shared" si="47"/>
        <v>#VALUE!</v>
      </c>
      <c r="EX660" s="1496"/>
      <c r="EY660" s="1496"/>
      <c r="EZ660" s="1496"/>
      <c r="FA660" s="1496"/>
    </row>
    <row r="661" spans="1:157" ht="12.95" customHeight="1">
      <c r="A661" s="22"/>
      <c r="B661" t="s">
        <v>588</v>
      </c>
      <c r="G661" s="1374"/>
      <c r="H661" s="1374"/>
      <c r="I661" s="1374"/>
      <c r="J661" s="1374"/>
      <c r="K661" s="1374"/>
      <c r="L661" s="1374"/>
      <c r="M661" s="1374"/>
      <c r="N661" s="1374"/>
      <c r="O661" s="1374"/>
      <c r="P661" s="1374"/>
      <c r="Q661" s="1374"/>
      <c r="R661" s="1374"/>
      <c r="T661" s="22"/>
      <c r="U661" t="s">
        <v>588</v>
      </c>
      <c r="Z661" s="1380"/>
      <c r="AA661" s="1380"/>
      <c r="AB661" s="1380"/>
      <c r="AC661" s="1380"/>
      <c r="AD661" s="1380"/>
      <c r="AE661" s="1380"/>
      <c r="AF661" s="1380"/>
      <c r="AG661" s="1380"/>
      <c r="AH661" s="1380"/>
      <c r="AI661" s="1380"/>
      <c r="AJ661" s="1380"/>
      <c r="AK661" s="138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6" t="e">
        <f t="shared" si="42"/>
        <v>#VALUE!</v>
      </c>
      <c r="DY661" s="1496"/>
      <c r="DZ661" s="1496"/>
      <c r="EA661" s="1496"/>
      <c r="EB661" s="1496"/>
      <c r="EC661" s="1496" t="e">
        <f t="shared" si="43"/>
        <v>#VALUE!</v>
      </c>
      <c r="ED661" s="1496"/>
      <c r="EE661" s="1496"/>
      <c r="EF661" s="1496"/>
      <c r="EG661" s="1496"/>
      <c r="EH661" s="1496" t="e">
        <f t="shared" si="44"/>
        <v>#VALUE!</v>
      </c>
      <c r="EI661" s="1496"/>
      <c r="EJ661" s="1496"/>
      <c r="EK661" s="1496"/>
      <c r="EL661" s="1496"/>
      <c r="EM661" s="1496" t="e">
        <f t="shared" si="45"/>
        <v>#VALUE!</v>
      </c>
      <c r="EN661" s="1496"/>
      <c r="EO661" s="1496"/>
      <c r="EP661" s="1496"/>
      <c r="EQ661" s="1496"/>
      <c r="ER661" s="1496" t="e">
        <f t="shared" si="46"/>
        <v>#VALUE!</v>
      </c>
      <c r="ES661" s="1496"/>
      <c r="ET661" s="1496"/>
      <c r="EU661" s="1496"/>
      <c r="EV661" s="1496"/>
      <c r="EW661" s="1496" t="e">
        <f t="shared" si="47"/>
        <v>#VALUE!</v>
      </c>
      <c r="EX661" s="1496"/>
      <c r="EY661" s="1496"/>
      <c r="EZ661" s="1496"/>
      <c r="FA661" s="1496"/>
    </row>
    <row r="662" spans="1:157" ht="12.95" customHeight="1">
      <c r="A662" s="22"/>
      <c r="B662" t="s">
        <v>17</v>
      </c>
      <c r="G662" s="1374"/>
      <c r="H662" s="1374"/>
      <c r="I662" s="1374"/>
      <c r="J662" s="1374"/>
      <c r="K662" s="1374"/>
      <c r="L662" s="1374"/>
      <c r="M662" s="1374"/>
      <c r="N662" s="1374"/>
      <c r="O662" s="1374"/>
      <c r="P662" s="1374"/>
      <c r="Q662" s="1374"/>
      <c r="R662" s="1374"/>
      <c r="T662" s="22"/>
      <c r="U662" t="s">
        <v>17</v>
      </c>
      <c r="Z662" s="1380"/>
      <c r="AA662" s="1380"/>
      <c r="AB662" s="1380"/>
      <c r="AC662" s="1380"/>
      <c r="AD662" s="1380"/>
      <c r="AE662" s="1380"/>
      <c r="AF662" s="1380"/>
      <c r="AG662" s="1380"/>
      <c r="AH662" s="1380"/>
      <c r="AI662" s="1380"/>
      <c r="AJ662" s="1380"/>
      <c r="AK662" s="138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6" t="e">
        <f t="shared" si="42"/>
        <v>#VALUE!</v>
      </c>
      <c r="DY662" s="1496"/>
      <c r="DZ662" s="1496"/>
      <c r="EA662" s="1496"/>
      <c r="EB662" s="1496"/>
      <c r="EC662" s="1496" t="e">
        <f t="shared" si="43"/>
        <v>#VALUE!</v>
      </c>
      <c r="ED662" s="1496"/>
      <c r="EE662" s="1496"/>
      <c r="EF662" s="1496"/>
      <c r="EG662" s="1496"/>
      <c r="EH662" s="1496" t="e">
        <f t="shared" si="44"/>
        <v>#VALUE!</v>
      </c>
      <c r="EI662" s="1496"/>
      <c r="EJ662" s="1496"/>
      <c r="EK662" s="1496"/>
      <c r="EL662" s="1496"/>
      <c r="EM662" s="1496" t="e">
        <f t="shared" si="45"/>
        <v>#VALUE!</v>
      </c>
      <c r="EN662" s="1496"/>
      <c r="EO662" s="1496"/>
      <c r="EP662" s="1496"/>
      <c r="EQ662" s="1496"/>
      <c r="ER662" s="1496" t="e">
        <f t="shared" si="46"/>
        <v>#VALUE!</v>
      </c>
      <c r="ES662" s="1496"/>
      <c r="ET662" s="1496"/>
      <c r="EU662" s="1496"/>
      <c r="EV662" s="1496"/>
      <c r="EW662" s="1496" t="e">
        <f t="shared" si="47"/>
        <v>#VALUE!</v>
      </c>
      <c r="EX662" s="1496"/>
      <c r="EY662" s="1496"/>
      <c r="EZ662" s="1496"/>
      <c r="FA662" s="1496"/>
    </row>
    <row r="663" spans="1:157" ht="12.95" customHeight="1">
      <c r="A663" s="22"/>
      <c r="B663" t="s">
        <v>317</v>
      </c>
      <c r="G663" s="1372"/>
      <c r="H663" s="1372"/>
      <c r="I663" s="1372"/>
      <c r="J663" s="1372"/>
      <c r="K663" s="1372"/>
      <c r="L663" s="1372"/>
      <c r="O663" s="33" t="s">
        <v>207</v>
      </c>
      <c r="P663" s="1450"/>
      <c r="Q663" s="1450"/>
      <c r="R663" s="1450"/>
      <c r="T663" s="22"/>
      <c r="U663" t="s">
        <v>317</v>
      </c>
      <c r="Z663" s="1372"/>
      <c r="AA663" s="1372"/>
      <c r="AB663" s="1372"/>
      <c r="AC663" s="1372"/>
      <c r="AD663" s="1372"/>
      <c r="AE663" s="1372"/>
      <c r="AH663" s="33" t="s">
        <v>207</v>
      </c>
      <c r="AI663" s="1450"/>
      <c r="AJ663" s="1450"/>
      <c r="AK663" s="145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6" t="e">
        <f t="shared" si="42"/>
        <v>#VALUE!</v>
      </c>
      <c r="DY663" s="1496"/>
      <c r="DZ663" s="1496"/>
      <c r="EA663" s="1496"/>
      <c r="EB663" s="1496"/>
      <c r="EC663" s="1496" t="e">
        <f t="shared" si="43"/>
        <v>#VALUE!</v>
      </c>
      <c r="ED663" s="1496"/>
      <c r="EE663" s="1496"/>
      <c r="EF663" s="1496"/>
      <c r="EG663" s="1496"/>
      <c r="EH663" s="1496" t="e">
        <f t="shared" si="44"/>
        <v>#VALUE!</v>
      </c>
      <c r="EI663" s="1496"/>
      <c r="EJ663" s="1496"/>
      <c r="EK663" s="1496"/>
      <c r="EL663" s="1496"/>
      <c r="EM663" s="1496" t="e">
        <f t="shared" si="45"/>
        <v>#VALUE!</v>
      </c>
      <c r="EN663" s="1496"/>
      <c r="EO663" s="1496"/>
      <c r="EP663" s="1496"/>
      <c r="EQ663" s="1496"/>
      <c r="ER663" s="1496" t="e">
        <f t="shared" si="46"/>
        <v>#VALUE!</v>
      </c>
      <c r="ES663" s="1496"/>
      <c r="ET663" s="1496"/>
      <c r="EU663" s="1496"/>
      <c r="EV663" s="1496"/>
      <c r="EW663" s="1496" t="e">
        <f t="shared" si="47"/>
        <v>#VALUE!</v>
      </c>
      <c r="EX663" s="1496"/>
      <c r="EY663" s="1496"/>
      <c r="EZ663" s="1496"/>
      <c r="FA663" s="1496"/>
    </row>
    <row r="664" spans="1:157" ht="12.95" customHeight="1">
      <c r="A664" s="22"/>
      <c r="B664" t="s">
        <v>18</v>
      </c>
      <c r="H664" s="1374"/>
      <c r="I664" s="1374"/>
      <c r="J664" s="1374"/>
      <c r="K664" s="1374"/>
      <c r="L664" s="1374"/>
      <c r="M664" s="1374"/>
      <c r="N664" s="1374"/>
      <c r="O664" s="1374"/>
      <c r="P664" s="1374"/>
      <c r="Q664" s="1374"/>
      <c r="R664" s="1374"/>
      <c r="T664" s="22"/>
      <c r="U664" t="s">
        <v>18</v>
      </c>
      <c r="AA664" s="1374"/>
      <c r="AB664" s="1374"/>
      <c r="AC664" s="1374"/>
      <c r="AD664" s="1374"/>
      <c r="AE664" s="1374"/>
      <c r="AF664" s="1374"/>
      <c r="AG664" s="1374"/>
      <c r="AH664" s="1374"/>
      <c r="AI664" s="1374"/>
      <c r="AJ664" s="1374"/>
      <c r="AK664" s="137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6" t="e">
        <f t="shared" si="42"/>
        <v>#VALUE!</v>
      </c>
      <c r="DY664" s="1496"/>
      <c r="DZ664" s="1496"/>
      <c r="EA664" s="1496"/>
      <c r="EB664" s="1496"/>
      <c r="EC664" s="1496" t="e">
        <f t="shared" si="43"/>
        <v>#VALUE!</v>
      </c>
      <c r="ED664" s="1496"/>
      <c r="EE664" s="1496"/>
      <c r="EF664" s="1496"/>
      <c r="EG664" s="1496"/>
      <c r="EH664" s="1496" t="e">
        <f t="shared" si="44"/>
        <v>#VALUE!</v>
      </c>
      <c r="EI664" s="1496"/>
      <c r="EJ664" s="1496"/>
      <c r="EK664" s="1496"/>
      <c r="EL664" s="1496"/>
      <c r="EM664" s="1496" t="e">
        <f t="shared" si="45"/>
        <v>#VALUE!</v>
      </c>
      <c r="EN664" s="1496"/>
      <c r="EO664" s="1496"/>
      <c r="EP664" s="1496"/>
      <c r="EQ664" s="1496"/>
      <c r="ER664" s="1496" t="e">
        <f t="shared" si="46"/>
        <v>#VALUE!</v>
      </c>
      <c r="ES664" s="1496"/>
      <c r="ET664" s="1496"/>
      <c r="EU664" s="1496"/>
      <c r="EV664" s="1496"/>
      <c r="EW664" s="1496" t="e">
        <f t="shared" si="47"/>
        <v>#VALUE!</v>
      </c>
      <c r="EX664" s="1496"/>
      <c r="EY664" s="1496"/>
      <c r="EZ664" s="1496"/>
      <c r="FA664" s="1496"/>
    </row>
    <row r="665" spans="1:157" ht="12.95" customHeight="1">
      <c r="A665" s="22"/>
      <c r="B665" t="s">
        <v>20</v>
      </c>
      <c r="N665" s="1355" t="s">
        <v>677</v>
      </c>
      <c r="O665" s="1355"/>
      <c r="T665" s="22"/>
      <c r="U665" t="s">
        <v>20</v>
      </c>
      <c r="AG665" s="1355" t="s">
        <v>677</v>
      </c>
      <c r="AH665" s="135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6" t="e">
        <f t="shared" si="42"/>
        <v>#VALUE!</v>
      </c>
      <c r="DY665" s="1496"/>
      <c r="DZ665" s="1496"/>
      <c r="EA665" s="1496"/>
      <c r="EB665" s="1496"/>
      <c r="EC665" s="1496" t="e">
        <f t="shared" si="43"/>
        <v>#VALUE!</v>
      </c>
      <c r="ED665" s="1496"/>
      <c r="EE665" s="1496"/>
      <c r="EF665" s="1496"/>
      <c r="EG665" s="1496"/>
      <c r="EH665" s="1496" t="e">
        <f t="shared" si="44"/>
        <v>#VALUE!</v>
      </c>
      <c r="EI665" s="1496"/>
      <c r="EJ665" s="1496"/>
      <c r="EK665" s="1496"/>
      <c r="EL665" s="1496"/>
      <c r="EM665" s="1496" t="e">
        <f t="shared" si="45"/>
        <v>#VALUE!</v>
      </c>
      <c r="EN665" s="1496"/>
      <c r="EO665" s="1496"/>
      <c r="EP665" s="1496"/>
      <c r="EQ665" s="1496"/>
      <c r="ER665" s="1496" t="e">
        <f t="shared" si="46"/>
        <v>#VALUE!</v>
      </c>
      <c r="ES665" s="1496"/>
      <c r="ET665" s="1496"/>
      <c r="EU665" s="1496"/>
      <c r="EV665" s="1496"/>
      <c r="EW665" s="1496" t="e">
        <f t="shared" si="47"/>
        <v>#VALUE!</v>
      </c>
      <c r="EX665" s="1496"/>
      <c r="EY665" s="1496"/>
      <c r="EZ665" s="1496"/>
      <c r="FA665" s="149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6" t="e">
        <f t="shared" si="42"/>
        <v>#VALUE!</v>
      </c>
      <c r="DY666" s="1496"/>
      <c r="DZ666" s="1496"/>
      <c r="EA666" s="1496"/>
      <c r="EB666" s="1496"/>
      <c r="EC666" s="1496" t="e">
        <f t="shared" si="43"/>
        <v>#VALUE!</v>
      </c>
      <c r="ED666" s="1496"/>
      <c r="EE666" s="1496"/>
      <c r="EF666" s="1496"/>
      <c r="EG666" s="1496"/>
      <c r="EH666" s="1496" t="e">
        <f t="shared" si="44"/>
        <v>#VALUE!</v>
      </c>
      <c r="EI666" s="1496"/>
      <c r="EJ666" s="1496"/>
      <c r="EK666" s="1496"/>
      <c r="EL666" s="1496"/>
      <c r="EM666" s="1496" t="e">
        <f t="shared" si="45"/>
        <v>#VALUE!</v>
      </c>
      <c r="EN666" s="1496"/>
      <c r="EO666" s="1496"/>
      <c r="EP666" s="1496"/>
      <c r="EQ666" s="1496"/>
      <c r="ER666" s="1496" t="e">
        <f t="shared" si="46"/>
        <v>#VALUE!</v>
      </c>
      <c r="ES666" s="1496"/>
      <c r="ET666" s="1496"/>
      <c r="EU666" s="1496"/>
      <c r="EV666" s="1496"/>
      <c r="EW666" s="1496" t="e">
        <f t="shared" si="47"/>
        <v>#VALUE!</v>
      </c>
      <c r="EX666" s="1496"/>
      <c r="EY666" s="1496"/>
      <c r="EZ666" s="1496"/>
      <c r="FA666" s="1496"/>
    </row>
    <row r="667" spans="1:157" ht="12.95" customHeight="1">
      <c r="A667" s="55" t="s">
        <v>463</v>
      </c>
      <c r="B667" t="s">
        <v>471</v>
      </c>
      <c r="G667" s="1417">
        <f>C633</f>
        <v>0</v>
      </c>
      <c r="H667" s="1417"/>
      <c r="I667" s="1417"/>
      <c r="J667" s="1417"/>
      <c r="K667" s="1417"/>
      <c r="L667" s="1417"/>
      <c r="M667" s="1417"/>
      <c r="N667" s="1417"/>
      <c r="O667" s="1417"/>
      <c r="P667" s="1417"/>
      <c r="Q667" s="1417"/>
      <c r="R667" s="1417"/>
      <c r="T667" s="55" t="s">
        <v>464</v>
      </c>
      <c r="U667" t="s">
        <v>471</v>
      </c>
      <c r="Z667" s="1417">
        <f>C634</f>
        <v>0</v>
      </c>
      <c r="AA667" s="1417"/>
      <c r="AB667" s="1417"/>
      <c r="AC667" s="1417"/>
      <c r="AD667" s="1417"/>
      <c r="AE667" s="1417"/>
      <c r="AF667" s="1417"/>
      <c r="AG667" s="1417"/>
      <c r="AH667" s="1417"/>
      <c r="AI667" s="1417"/>
      <c r="AJ667" s="1417"/>
      <c r="AK667" s="1417"/>
      <c r="AZ667" s="3"/>
      <c r="BA667" s="118">
        <f t="shared" ref="BA667:BA699" si="48">IF($G718=0,"N/A",VLOOKUP($T$189,TC_Rent,(MATCH($B718,bedrooms,FALSE))))</f>
        <v>2210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6" t="e">
        <f t="shared" si="42"/>
        <v>#VALUE!</v>
      </c>
      <c r="DY667" s="1496"/>
      <c r="DZ667" s="1496"/>
      <c r="EA667" s="1496"/>
      <c r="EB667" s="1496"/>
      <c r="EC667" s="1496" t="e">
        <f t="shared" si="43"/>
        <v>#VALUE!</v>
      </c>
      <c r="ED667" s="1496"/>
      <c r="EE667" s="1496"/>
      <c r="EF667" s="1496"/>
      <c r="EG667" s="1496"/>
      <c r="EH667" s="1496" t="e">
        <f t="shared" si="44"/>
        <v>#VALUE!</v>
      </c>
      <c r="EI667" s="1496"/>
      <c r="EJ667" s="1496"/>
      <c r="EK667" s="1496"/>
      <c r="EL667" s="1496"/>
      <c r="EM667" s="1496" t="e">
        <f t="shared" si="45"/>
        <v>#VALUE!</v>
      </c>
      <c r="EN667" s="1496"/>
      <c r="EO667" s="1496"/>
      <c r="EP667" s="1496"/>
      <c r="EQ667" s="1496"/>
      <c r="ER667" s="1496" t="e">
        <f t="shared" si="46"/>
        <v>#VALUE!</v>
      </c>
      <c r="ES667" s="1496"/>
      <c r="ET667" s="1496"/>
      <c r="EU667" s="1496"/>
      <c r="EV667" s="1496"/>
      <c r="EW667" s="1496" t="e">
        <f t="shared" si="47"/>
        <v>#VALUE!</v>
      </c>
      <c r="EX667" s="1496"/>
      <c r="EY667" s="1496"/>
      <c r="EZ667" s="1496"/>
      <c r="FA667" s="1496"/>
    </row>
    <row r="668" spans="1:157" ht="12.95" customHeight="1">
      <c r="A668" s="22"/>
      <c r="B668" t="s">
        <v>85</v>
      </c>
      <c r="G668" s="1374"/>
      <c r="H668" s="1374"/>
      <c r="I668" s="1374"/>
      <c r="J668" s="1374"/>
      <c r="K668" s="1374"/>
      <c r="L668" s="1374"/>
      <c r="M668" s="1374"/>
      <c r="N668" s="1374"/>
      <c r="O668" s="1374"/>
      <c r="P668" s="1374"/>
      <c r="Q668" s="1374"/>
      <c r="R668" s="1374"/>
      <c r="T668" s="22"/>
      <c r="U668" t="s">
        <v>85</v>
      </c>
      <c r="Z668" s="1374"/>
      <c r="AA668" s="1374"/>
      <c r="AB668" s="1374"/>
      <c r="AC668" s="1374"/>
      <c r="AD668" s="1374"/>
      <c r="AE668" s="1374"/>
      <c r="AF668" s="1374"/>
      <c r="AG668" s="1374"/>
      <c r="AH668" s="1374"/>
      <c r="AI668" s="1374"/>
      <c r="AJ668" s="1374"/>
      <c r="AK668" s="1374"/>
      <c r="AZ668" s="3"/>
      <c r="BA668" s="118">
        <f t="shared" si="48"/>
        <v>2210</v>
      </c>
      <c r="BB668" s="3"/>
      <c r="BC668" s="3"/>
      <c r="BD668" s="3"/>
      <c r="BE668" s="3"/>
      <c r="BF668" s="218"/>
      <c r="BG668" s="315">
        <f t="shared" ref="BG668:BG700" si="49">G718</f>
        <v>18</v>
      </c>
      <c r="BH668" s="319">
        <f t="shared" ref="BH668:BH702" si="50">IF($BG$703=0,0,BG668/$BG$703)</f>
        <v>0.14173228346456693</v>
      </c>
      <c r="BI668" s="320">
        <f t="shared" ref="BI668:BI691" si="51">IF(BH668=0,"",BH668*AC718)</f>
        <v>4.2519685039370078E-2</v>
      </c>
      <c r="BJ668" s="3"/>
      <c r="BK668" s="3"/>
      <c r="BL668" s="3"/>
      <c r="BM668" s="3"/>
      <c r="BN668" s="3"/>
      <c r="BO668" s="3"/>
      <c r="BT668" s="315">
        <f t="shared" ref="BT668:BT700" si="52">G718</f>
        <v>18</v>
      </c>
      <c r="BU668" s="319">
        <f t="shared" ref="BU668:BU702" si="53">IF($BT$703=0,0,BT668/$BT$703)</f>
        <v>0.14173228346456693</v>
      </c>
      <c r="BV668" s="320">
        <f t="shared" ref="BV668:BV700" si="54">IF(BU668=0,"",BU668*AH718)</f>
        <v>4.2519685039370078E-2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6" t="e">
        <f>DX630*(BN630/$BN$632)</f>
        <v>#VALUE!</v>
      </c>
      <c r="DY668" s="1496"/>
      <c r="DZ668" s="1496"/>
      <c r="EA668" s="1496"/>
      <c r="EB668" s="1496"/>
      <c r="EC668" s="1496" t="e">
        <f>EC630*(BS630/$BS$632)</f>
        <v>#VALUE!</v>
      </c>
      <c r="ED668" s="1496"/>
      <c r="EE668" s="1496"/>
      <c r="EF668" s="1496"/>
      <c r="EG668" s="1496"/>
      <c r="EH668" s="1496" t="e">
        <f>EH630*(BX630/$BX$632)</f>
        <v>#VALUE!</v>
      </c>
      <c r="EI668" s="1496"/>
      <c r="EJ668" s="1496"/>
      <c r="EK668" s="1496"/>
      <c r="EL668" s="1496"/>
      <c r="EM668" s="1496" t="e">
        <f>EM630*(CC630/$CC$632)</f>
        <v>#VALUE!</v>
      </c>
      <c r="EN668" s="1496"/>
      <c r="EO668" s="1496"/>
      <c r="EP668" s="1496"/>
      <c r="EQ668" s="1496"/>
      <c r="ER668" s="1496" t="e">
        <f>ER630*(CH630/$CH$632)</f>
        <v>#VALUE!</v>
      </c>
      <c r="ES668" s="1496"/>
      <c r="ET668" s="1496"/>
      <c r="EU668" s="1496"/>
      <c r="EV668" s="1496"/>
      <c r="EW668" s="1496" t="e">
        <f>EW630*(CM630/$CM$632)</f>
        <v>#VALUE!</v>
      </c>
      <c r="EX668" s="1496"/>
      <c r="EY668" s="1496"/>
      <c r="EZ668" s="1496"/>
      <c r="FA668" s="1496"/>
    </row>
    <row r="669" spans="1:157" ht="12.95" customHeight="1">
      <c r="A669" s="22"/>
      <c r="B669" t="s">
        <v>588</v>
      </c>
      <c r="G669" s="1374"/>
      <c r="H669" s="1374"/>
      <c r="I669" s="1374"/>
      <c r="J669" s="1374"/>
      <c r="K669" s="1374"/>
      <c r="L669" s="1374"/>
      <c r="M669" s="1374"/>
      <c r="N669" s="1374"/>
      <c r="O669" s="1374"/>
      <c r="P669" s="1374"/>
      <c r="Q669" s="1374"/>
      <c r="R669" s="1374"/>
      <c r="T669" s="22"/>
      <c r="U669" t="s">
        <v>588</v>
      </c>
      <c r="Z669" s="1380"/>
      <c r="AA669" s="1380"/>
      <c r="AB669" s="1380"/>
      <c r="AC669" s="1380"/>
      <c r="AD669" s="1380"/>
      <c r="AE669" s="1380"/>
      <c r="AF669" s="1380"/>
      <c r="AG669" s="1380"/>
      <c r="AH669" s="1380"/>
      <c r="AI669" s="1380"/>
      <c r="AJ669" s="1380"/>
      <c r="AK669" s="1380"/>
      <c r="AZ669" s="3"/>
      <c r="BA669" s="118">
        <f t="shared" si="48"/>
        <v>2210</v>
      </c>
      <c r="BB669" s="3"/>
      <c r="BC669" s="3"/>
      <c r="BD669" s="3"/>
      <c r="BE669" s="3"/>
      <c r="BF669" s="218"/>
      <c r="BG669" s="316">
        <f t="shared" si="49"/>
        <v>23</v>
      </c>
      <c r="BH669" s="319">
        <f t="shared" si="50"/>
        <v>0.18110236220472442</v>
      </c>
      <c r="BI669" s="320">
        <f t="shared" si="51"/>
        <v>9.055118110236221E-2</v>
      </c>
      <c r="BJ669" s="3"/>
      <c r="BK669" s="3"/>
      <c r="BL669" s="3"/>
      <c r="BM669" s="3"/>
      <c r="BN669" s="3"/>
      <c r="BO669" s="3"/>
      <c r="BT669" s="316">
        <f t="shared" si="52"/>
        <v>23</v>
      </c>
      <c r="BU669" s="319">
        <f t="shared" si="53"/>
        <v>0.18110236220472442</v>
      </c>
      <c r="BV669" s="320">
        <f t="shared" si="54"/>
        <v>9.055118110236221E-2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6" t="e">
        <f>DX631*(BN631/$BN$632)</f>
        <v>#VALUE!</v>
      </c>
      <c r="DY669" s="1496"/>
      <c r="DZ669" s="1496"/>
      <c r="EA669" s="1496"/>
      <c r="EB669" s="1496"/>
      <c r="EC669" s="1496" t="e">
        <f>EC631*(BS631/$BS$632)</f>
        <v>#VALUE!</v>
      </c>
      <c r="ED669" s="1496"/>
      <c r="EE669" s="1496"/>
      <c r="EF669" s="1496"/>
      <c r="EG669" s="1496"/>
      <c r="EH669" s="1496" t="e">
        <f>EH631*(BX631/$BX$632)</f>
        <v>#VALUE!</v>
      </c>
      <c r="EI669" s="1496"/>
      <c r="EJ669" s="1496"/>
      <c r="EK669" s="1496"/>
      <c r="EL669" s="1496"/>
      <c r="EM669" s="1496" t="e">
        <f>EM631*(CC631/$CC$632)</f>
        <v>#VALUE!</v>
      </c>
      <c r="EN669" s="1496"/>
      <c r="EO669" s="1496"/>
      <c r="EP669" s="1496"/>
      <c r="EQ669" s="1496"/>
      <c r="ER669" s="1496" t="e">
        <f>ER631*(CH631/$CH$632)</f>
        <v>#VALUE!</v>
      </c>
      <c r="ES669" s="1496"/>
      <c r="ET669" s="1496"/>
      <c r="EU669" s="1496"/>
      <c r="EV669" s="1496"/>
      <c r="EW669" s="1496" t="e">
        <f>EW631*(CM631/$CM$632)</f>
        <v>#VALUE!</v>
      </c>
      <c r="EX669" s="1496"/>
      <c r="EY669" s="1496"/>
      <c r="EZ669" s="1496"/>
      <c r="FA669" s="1496"/>
    </row>
    <row r="670" spans="1:157" ht="12.95" customHeight="1">
      <c r="A670" s="22"/>
      <c r="B670" t="s">
        <v>17</v>
      </c>
      <c r="G670" s="1374"/>
      <c r="H670" s="1374"/>
      <c r="I670" s="1374"/>
      <c r="J670" s="1374"/>
      <c r="K670" s="1374"/>
      <c r="L670" s="1374"/>
      <c r="M670" s="1374"/>
      <c r="N670" s="1374"/>
      <c r="O670" s="1374"/>
      <c r="P670" s="1374"/>
      <c r="Q670" s="1374"/>
      <c r="R670" s="1374"/>
      <c r="T670" s="22"/>
      <c r="U670" t="s">
        <v>17</v>
      </c>
      <c r="Z670" s="1380"/>
      <c r="AA670" s="1380"/>
      <c r="AB670" s="1380"/>
      <c r="AC670" s="1380"/>
      <c r="AD670" s="1380"/>
      <c r="AE670" s="1380"/>
      <c r="AF670" s="1380"/>
      <c r="AG670" s="1380"/>
      <c r="AH670" s="1380"/>
      <c r="AI670" s="1380"/>
      <c r="AJ670" s="1380"/>
      <c r="AK670" s="1380"/>
      <c r="AZ670" s="3"/>
      <c r="BA670" s="118">
        <f t="shared" si="48"/>
        <v>2652</v>
      </c>
      <c r="BB670" s="3"/>
      <c r="BC670" s="3"/>
      <c r="BD670" s="3"/>
      <c r="BE670" s="3"/>
      <c r="BF670" s="218"/>
      <c r="BG670" s="316">
        <f t="shared" si="49"/>
        <v>21</v>
      </c>
      <c r="BH670" s="319">
        <f t="shared" si="50"/>
        <v>0.16535433070866143</v>
      </c>
      <c r="BI670" s="320">
        <f t="shared" si="51"/>
        <v>9.0944881889763796E-2</v>
      </c>
      <c r="BJ670" s="3"/>
      <c r="BK670" s="3"/>
      <c r="BL670" s="3"/>
      <c r="BM670" s="3"/>
      <c r="BN670" s="3"/>
      <c r="BO670" s="3"/>
      <c r="BT670" s="316">
        <f t="shared" si="52"/>
        <v>21</v>
      </c>
      <c r="BU670" s="319">
        <f t="shared" si="53"/>
        <v>0.16535433070866143</v>
      </c>
      <c r="BV670" s="320">
        <f t="shared" si="54"/>
        <v>9.0982292371824577E-2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6">
        <f>SUMIF(DX635:EB669,"&gt;0")</f>
        <v>0</v>
      </c>
      <c r="DY670" s="1496"/>
      <c r="DZ670" s="1496"/>
      <c r="EA670" s="1496"/>
      <c r="EB670" s="1496"/>
      <c r="EC670" s="1496">
        <f>SUMIF(EC635:EG669,"&gt;0")</f>
        <v>864.27419354838707</v>
      </c>
      <c r="ED670" s="1496"/>
      <c r="EE670" s="1496"/>
      <c r="EF670" s="1496"/>
      <c r="EG670" s="1496"/>
      <c r="EH670" s="1496">
        <f>SUMIF(EH635:EL669,"&gt;0")</f>
        <v>1144.46875</v>
      </c>
      <c r="EI670" s="1496"/>
      <c r="EJ670" s="1496"/>
      <c r="EK670" s="1496"/>
      <c r="EL670" s="1496"/>
      <c r="EM670" s="1496">
        <f>SUMIF(EM635:EQ669,"&gt;0")</f>
        <v>1319.787878787879</v>
      </c>
      <c r="EN670" s="1496"/>
      <c r="EO670" s="1496"/>
      <c r="EP670" s="1496"/>
      <c r="EQ670" s="1496"/>
      <c r="ER670" s="1496">
        <f>SUMIF(ER635:EV669,"&gt;0")</f>
        <v>0</v>
      </c>
      <c r="ES670" s="1496"/>
      <c r="ET670" s="1496"/>
      <c r="EU670" s="1496"/>
      <c r="EV670" s="1496"/>
      <c r="EW670" s="1496">
        <f>SUMIF(EW635:FA669,"&gt;0")</f>
        <v>0</v>
      </c>
      <c r="EX670" s="1496"/>
      <c r="EY670" s="1496"/>
      <c r="EZ670" s="1496"/>
      <c r="FA670" s="1496"/>
    </row>
    <row r="671" spans="1:157" ht="12.95" customHeight="1">
      <c r="A671" s="22"/>
      <c r="B671" t="s">
        <v>317</v>
      </c>
      <c r="G671" s="1372"/>
      <c r="H671" s="1372"/>
      <c r="I671" s="1372"/>
      <c r="J671" s="1372"/>
      <c r="K671" s="1372"/>
      <c r="L671" s="1372"/>
      <c r="O671" s="33" t="s">
        <v>207</v>
      </c>
      <c r="P671" s="1450"/>
      <c r="Q671" s="1450"/>
      <c r="R671" s="1450"/>
      <c r="T671" s="22"/>
      <c r="U671" t="s">
        <v>317</v>
      </c>
      <c r="Z671" s="1372"/>
      <c r="AA671" s="1372"/>
      <c r="AB671" s="1372"/>
      <c r="AC671" s="1372"/>
      <c r="AD671" s="1372"/>
      <c r="AE671" s="1372"/>
      <c r="AH671" s="33" t="s">
        <v>207</v>
      </c>
      <c r="AI671" s="1450"/>
      <c r="AJ671" s="1450"/>
      <c r="AK671" s="1450"/>
      <c r="AZ671" s="3"/>
      <c r="BA671" s="118">
        <f t="shared" si="48"/>
        <v>2652</v>
      </c>
      <c r="BB671" s="3"/>
      <c r="BC671" s="3"/>
      <c r="BD671" s="3"/>
      <c r="BE671" s="3"/>
      <c r="BF671" s="218"/>
      <c r="BG671" s="316">
        <f t="shared" si="49"/>
        <v>3</v>
      </c>
      <c r="BH671" s="319">
        <f t="shared" si="50"/>
        <v>2.3622047244094488E-2</v>
      </c>
      <c r="BI671" s="320">
        <f t="shared" si="51"/>
        <v>7.0866141732283464E-3</v>
      </c>
      <c r="BJ671" s="3"/>
      <c r="BK671" s="3"/>
      <c r="BL671" s="3"/>
      <c r="BM671" s="3"/>
      <c r="BN671" s="3"/>
      <c r="BO671" s="3"/>
      <c r="BT671" s="316">
        <f t="shared" si="52"/>
        <v>3</v>
      </c>
      <c r="BU671" s="319">
        <f t="shared" si="53"/>
        <v>2.3622047244094488E-2</v>
      </c>
      <c r="BV671" s="320">
        <f t="shared" si="54"/>
        <v>7.0812698186482345E-3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4"/>
      <c r="I672" s="1374"/>
      <c r="J672" s="1374"/>
      <c r="K672" s="1374"/>
      <c r="L672" s="1374"/>
      <c r="M672" s="1374"/>
      <c r="N672" s="1374"/>
      <c r="O672" s="1374"/>
      <c r="P672" s="1374"/>
      <c r="Q672" s="1374"/>
      <c r="R672" s="1374"/>
      <c r="T672" s="22"/>
      <c r="U672" t="s">
        <v>18</v>
      </c>
      <c r="AA672" s="1374"/>
      <c r="AB672" s="1374"/>
      <c r="AC672" s="1374"/>
      <c r="AD672" s="1374"/>
      <c r="AE672" s="1374"/>
      <c r="AF672" s="1374"/>
      <c r="AG672" s="1374"/>
      <c r="AH672" s="1374"/>
      <c r="AI672" s="1374"/>
      <c r="AJ672" s="1374"/>
      <c r="AK672" s="1374"/>
      <c r="AZ672" s="3"/>
      <c r="BA672" s="118">
        <f t="shared" si="48"/>
        <v>2652</v>
      </c>
      <c r="BB672" s="3"/>
      <c r="BC672" s="3"/>
      <c r="BD672" s="3"/>
      <c r="BE672" s="3"/>
      <c r="BF672" s="218"/>
      <c r="BG672" s="316">
        <f t="shared" si="49"/>
        <v>11</v>
      </c>
      <c r="BH672" s="319">
        <f t="shared" si="50"/>
        <v>8.6614173228346455E-2</v>
      </c>
      <c r="BI672" s="320">
        <f t="shared" si="51"/>
        <v>4.3307086614173228E-2</v>
      </c>
      <c r="BJ672" s="3"/>
      <c r="BK672" s="3"/>
      <c r="BL672" s="3"/>
      <c r="BM672" s="3"/>
      <c r="BN672" s="3"/>
      <c r="BO672" s="3"/>
      <c r="BT672" s="316">
        <f t="shared" si="52"/>
        <v>11</v>
      </c>
      <c r="BU672" s="319">
        <f t="shared" si="53"/>
        <v>8.6614173228346455E-2</v>
      </c>
      <c r="BV672" s="320">
        <f t="shared" si="54"/>
        <v>4.3307086614173228E-2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55" t="s">
        <v>677</v>
      </c>
      <c r="O673" s="1355"/>
      <c r="T673" s="22"/>
      <c r="U673" t="s">
        <v>20</v>
      </c>
      <c r="AG673" s="1355" t="s">
        <v>677</v>
      </c>
      <c r="AH673" s="1355"/>
      <c r="AZ673" s="3"/>
      <c r="BA673" s="118">
        <f t="shared" si="48"/>
        <v>3064</v>
      </c>
      <c r="BB673" s="3"/>
      <c r="BC673" s="3"/>
      <c r="BD673" s="3"/>
      <c r="BE673" s="3"/>
      <c r="BF673" s="218"/>
      <c r="BG673" s="316">
        <f t="shared" si="49"/>
        <v>18</v>
      </c>
      <c r="BH673" s="319">
        <f t="shared" si="50"/>
        <v>0.14173228346456693</v>
      </c>
      <c r="BI673" s="320">
        <f t="shared" si="51"/>
        <v>7.7952755905511817E-2</v>
      </c>
      <c r="BJ673" s="3"/>
      <c r="BK673" s="3"/>
      <c r="BL673" s="3"/>
      <c r="BM673" s="3"/>
      <c r="BN673" s="3"/>
      <c r="BO673" s="3"/>
      <c r="BT673" s="316">
        <f t="shared" si="52"/>
        <v>18</v>
      </c>
      <c r="BU673" s="319">
        <f t="shared" si="53"/>
        <v>0.14173228346456693</v>
      </c>
      <c r="BV673" s="320">
        <f t="shared" si="54"/>
        <v>7.7920689778031141E-2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3064</v>
      </c>
      <c r="BB674" s="3"/>
      <c r="BC674" s="3"/>
      <c r="BD674" s="3"/>
      <c r="BE674" s="3"/>
      <c r="BF674" s="218"/>
      <c r="BG674" s="316">
        <f t="shared" si="49"/>
        <v>4</v>
      </c>
      <c r="BH674" s="319">
        <f t="shared" si="50"/>
        <v>3.1496062992125984E-2</v>
      </c>
      <c r="BI674" s="320">
        <f t="shared" si="51"/>
        <v>9.4488188976377951E-3</v>
      </c>
      <c r="BJ674" s="3"/>
      <c r="BK674" s="3"/>
      <c r="BL674" s="3"/>
      <c r="BM674" s="3"/>
      <c r="BN674" s="3"/>
      <c r="BO674" s="3"/>
      <c r="BT674" s="316">
        <f t="shared" si="52"/>
        <v>4</v>
      </c>
      <c r="BU674" s="319">
        <f t="shared" si="53"/>
        <v>3.1496062992125984E-2</v>
      </c>
      <c r="BV674" s="320">
        <f t="shared" si="54"/>
        <v>9.4467630188524079E-3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17">
        <f>C635</f>
        <v>0</v>
      </c>
      <c r="H675" s="1417"/>
      <c r="I675" s="1417"/>
      <c r="J675" s="1417"/>
      <c r="K675" s="1417"/>
      <c r="L675" s="1417"/>
      <c r="M675" s="1417"/>
      <c r="N675" s="1417"/>
      <c r="O675" s="1417"/>
      <c r="P675" s="1417"/>
      <c r="Q675" s="1417"/>
      <c r="R675" s="1417"/>
      <c r="T675" s="55" t="s">
        <v>654</v>
      </c>
      <c r="U675" t="s">
        <v>471</v>
      </c>
      <c r="Z675" s="1417">
        <f>C636</f>
        <v>0</v>
      </c>
      <c r="AA675" s="1417"/>
      <c r="AB675" s="1417"/>
      <c r="AC675" s="1417"/>
      <c r="AD675" s="1417"/>
      <c r="AE675" s="1417"/>
      <c r="AF675" s="1417"/>
      <c r="AG675" s="1417"/>
      <c r="AH675" s="1417"/>
      <c r="AI675" s="1417"/>
      <c r="AJ675" s="1417"/>
      <c r="AK675" s="1417"/>
      <c r="AZ675" s="3"/>
      <c r="BA675" s="118">
        <f t="shared" si="48"/>
        <v>3064</v>
      </c>
      <c r="BB675" s="3"/>
      <c r="BC675" s="3"/>
      <c r="BD675" s="3"/>
      <c r="BE675" s="3"/>
      <c r="BF675" s="218"/>
      <c r="BG675" s="316">
        <f t="shared" si="49"/>
        <v>10</v>
      </c>
      <c r="BH675" s="319">
        <f t="shared" si="50"/>
        <v>7.874015748031496E-2</v>
      </c>
      <c r="BI675" s="320">
        <f t="shared" si="51"/>
        <v>3.937007874015748E-2</v>
      </c>
      <c r="BJ675" s="3"/>
      <c r="BK675" s="3"/>
      <c r="BL675" s="3"/>
      <c r="BM675" s="3"/>
      <c r="BN675" s="3"/>
      <c r="BO675" s="3"/>
      <c r="BT675" s="316">
        <f t="shared" si="52"/>
        <v>10</v>
      </c>
      <c r="BU675" s="319">
        <f t="shared" si="53"/>
        <v>7.874015748031496E-2</v>
      </c>
      <c r="BV675" s="320">
        <f t="shared" si="54"/>
        <v>3.937007874015748E-2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4"/>
      <c r="H676" s="1374"/>
      <c r="I676" s="1374"/>
      <c r="J676" s="1374"/>
      <c r="K676" s="1374"/>
      <c r="L676" s="1374"/>
      <c r="M676" s="1374"/>
      <c r="N676" s="1374"/>
      <c r="O676" s="1374"/>
      <c r="P676" s="1374"/>
      <c r="Q676" s="1374"/>
      <c r="R676" s="1374"/>
      <c r="T676" s="22"/>
      <c r="U676" t="s">
        <v>85</v>
      </c>
      <c r="Z676" s="1374"/>
      <c r="AA676" s="1374"/>
      <c r="AB676" s="1374"/>
      <c r="AC676" s="1374"/>
      <c r="AD676" s="1374"/>
      <c r="AE676" s="1374"/>
      <c r="AF676" s="1374"/>
      <c r="AG676" s="1374"/>
      <c r="AH676" s="1374"/>
      <c r="AI676" s="1374"/>
      <c r="AJ676" s="1374"/>
      <c r="AK676" s="1374"/>
      <c r="AZ676" s="3"/>
      <c r="BA676" s="118" t="str">
        <f t="shared" si="48"/>
        <v>N/A</v>
      </c>
      <c r="BB676" s="3"/>
      <c r="BC676" s="3"/>
      <c r="BD676" s="3"/>
      <c r="BE676" s="3"/>
      <c r="BF676" s="218"/>
      <c r="BG676" s="316">
        <f t="shared" si="49"/>
        <v>19</v>
      </c>
      <c r="BH676" s="319">
        <f t="shared" si="50"/>
        <v>0.14960629921259844</v>
      </c>
      <c r="BI676" s="320">
        <f t="shared" si="51"/>
        <v>8.2283464566929143E-2</v>
      </c>
      <c r="BJ676" s="3"/>
      <c r="BK676" s="3"/>
      <c r="BL676" s="3"/>
      <c r="BM676" s="3"/>
      <c r="BN676" s="3"/>
      <c r="BO676" s="3"/>
      <c r="BT676" s="316">
        <f t="shared" si="52"/>
        <v>19</v>
      </c>
      <c r="BU676" s="319">
        <f t="shared" si="53"/>
        <v>0.14960629921259844</v>
      </c>
      <c r="BV676" s="320">
        <f t="shared" si="54"/>
        <v>8.2273699142698553E-2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74"/>
      <c r="H677" s="1374"/>
      <c r="I677" s="1374"/>
      <c r="J677" s="1374"/>
      <c r="K677" s="1374"/>
      <c r="L677" s="1374"/>
      <c r="M677" s="1374"/>
      <c r="N677" s="1374"/>
      <c r="O677" s="1374"/>
      <c r="P677" s="1374"/>
      <c r="Q677" s="1374"/>
      <c r="R677" s="1374"/>
      <c r="T677" s="22"/>
      <c r="U677" t="s">
        <v>588</v>
      </c>
      <c r="Z677" s="1380"/>
      <c r="AA677" s="1380"/>
      <c r="AB677" s="1380"/>
      <c r="AC677" s="1380"/>
      <c r="AD677" s="1380"/>
      <c r="AE677" s="1380"/>
      <c r="AF677" s="1380"/>
      <c r="AG677" s="1380"/>
      <c r="AH677" s="1380"/>
      <c r="AI677" s="1380"/>
      <c r="AJ677" s="1380"/>
      <c r="AK677" s="138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4"/>
      <c r="H678" s="1374"/>
      <c r="I678" s="1374"/>
      <c r="J678" s="1374"/>
      <c r="K678" s="1374"/>
      <c r="L678" s="1374"/>
      <c r="M678" s="1374"/>
      <c r="N678" s="1374"/>
      <c r="O678" s="1374"/>
      <c r="P678" s="1374"/>
      <c r="Q678" s="1374"/>
      <c r="R678" s="1374"/>
      <c r="T678" s="22"/>
      <c r="U678" t="s">
        <v>17</v>
      </c>
      <c r="Z678" s="1380"/>
      <c r="AA678" s="1380"/>
      <c r="AB678" s="1380"/>
      <c r="AC678" s="1380"/>
      <c r="AD678" s="1380"/>
      <c r="AE678" s="1380"/>
      <c r="AF678" s="1380"/>
      <c r="AG678" s="1380"/>
      <c r="AH678" s="1380"/>
      <c r="AI678" s="1380"/>
      <c r="AJ678" s="1380"/>
      <c r="AK678" s="138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72"/>
      <c r="H679" s="1372"/>
      <c r="I679" s="1372"/>
      <c r="J679" s="1372"/>
      <c r="K679" s="1372"/>
      <c r="L679" s="1372"/>
      <c r="O679" s="33" t="s">
        <v>207</v>
      </c>
      <c r="P679" s="1450"/>
      <c r="Q679" s="1450"/>
      <c r="R679" s="1450"/>
      <c r="T679" s="22"/>
      <c r="U679" t="s">
        <v>317</v>
      </c>
      <c r="Z679" s="1372"/>
      <c r="AA679" s="1372"/>
      <c r="AB679" s="1372"/>
      <c r="AC679" s="1372"/>
      <c r="AD679" s="1372"/>
      <c r="AE679" s="1372"/>
      <c r="AH679" s="33" t="s">
        <v>207</v>
      </c>
      <c r="AI679" s="1450"/>
      <c r="AJ679" s="1450"/>
      <c r="AK679" s="1450"/>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4"/>
      <c r="I680" s="1374"/>
      <c r="J680" s="1374"/>
      <c r="K680" s="1374"/>
      <c r="L680" s="1374"/>
      <c r="M680" s="1374"/>
      <c r="N680" s="1374"/>
      <c r="O680" s="1374"/>
      <c r="P680" s="1374"/>
      <c r="Q680" s="1374"/>
      <c r="R680" s="1374"/>
      <c r="T680" s="22"/>
      <c r="U680" t="s">
        <v>18</v>
      </c>
      <c r="AA680" s="1374"/>
      <c r="AB680" s="1374"/>
      <c r="AC680" s="1374"/>
      <c r="AD680" s="1374"/>
      <c r="AE680" s="1374"/>
      <c r="AF680" s="1374"/>
      <c r="AG680" s="1374"/>
      <c r="AH680" s="1374"/>
      <c r="AI680" s="1374"/>
      <c r="AJ680" s="1374"/>
      <c r="AK680" s="137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55" t="s">
        <v>677</v>
      </c>
      <c r="O681" s="1355"/>
      <c r="T681" s="22"/>
      <c r="U681" t="s">
        <v>20</v>
      </c>
      <c r="AG681" s="1355" t="s">
        <v>677</v>
      </c>
      <c r="AH681" s="135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17">
        <f>C637</f>
        <v>0</v>
      </c>
      <c r="H683" s="1417"/>
      <c r="I683" s="1417"/>
      <c r="J683" s="1417"/>
      <c r="K683" s="1417"/>
      <c r="L683" s="1417"/>
      <c r="M683" s="1417"/>
      <c r="N683" s="1417"/>
      <c r="O683" s="1417"/>
      <c r="P683" s="1417"/>
      <c r="Q683" s="1417"/>
      <c r="R683" s="1417"/>
      <c r="T683" s="55" t="s">
        <v>364</v>
      </c>
      <c r="U683" t="s">
        <v>471</v>
      </c>
      <c r="Z683" s="1417">
        <f>C638</f>
        <v>0</v>
      </c>
      <c r="AA683" s="1417"/>
      <c r="AB683" s="1417"/>
      <c r="AC683" s="1417"/>
      <c r="AD683" s="1417"/>
      <c r="AE683" s="1417"/>
      <c r="AF683" s="1417"/>
      <c r="AG683" s="1417"/>
      <c r="AH683" s="1417"/>
      <c r="AI683" s="1417"/>
      <c r="AJ683" s="1417"/>
      <c r="AK683" s="141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4"/>
      <c r="H684" s="1374"/>
      <c r="I684" s="1374"/>
      <c r="J684" s="1374"/>
      <c r="K684" s="1374"/>
      <c r="L684" s="1374"/>
      <c r="M684" s="1374"/>
      <c r="N684" s="1374"/>
      <c r="O684" s="1374"/>
      <c r="P684" s="1374"/>
      <c r="Q684" s="1374"/>
      <c r="R684" s="1374"/>
      <c r="T684" s="22"/>
      <c r="U684" t="s">
        <v>85</v>
      </c>
      <c r="Z684" s="1374"/>
      <c r="AA684" s="1374"/>
      <c r="AB684" s="1374"/>
      <c r="AC684" s="1374"/>
      <c r="AD684" s="1374"/>
      <c r="AE684" s="1374"/>
      <c r="AF684" s="1374"/>
      <c r="AG684" s="1374"/>
      <c r="AH684" s="1374"/>
      <c r="AI684" s="1374"/>
      <c r="AJ684" s="1374"/>
      <c r="AK684" s="137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74"/>
      <c r="H685" s="1374"/>
      <c r="I685" s="1374"/>
      <c r="J685" s="1374"/>
      <c r="K685" s="1374"/>
      <c r="L685" s="1374"/>
      <c r="M685" s="1374"/>
      <c r="N685" s="1374"/>
      <c r="O685" s="1374"/>
      <c r="P685" s="1374"/>
      <c r="Q685" s="1374"/>
      <c r="R685" s="1374"/>
      <c r="U685" t="s">
        <v>588</v>
      </c>
      <c r="Z685" s="1380"/>
      <c r="AA685" s="1380"/>
      <c r="AB685" s="1380"/>
      <c r="AC685" s="1380"/>
      <c r="AD685" s="1380"/>
      <c r="AE685" s="1380"/>
      <c r="AF685" s="1380"/>
      <c r="AG685" s="1380"/>
      <c r="AH685" s="1380"/>
      <c r="AI685" s="1380"/>
      <c r="AJ685" s="1380"/>
      <c r="AK685" s="138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4"/>
      <c r="H686" s="1374"/>
      <c r="I686" s="1374"/>
      <c r="J686" s="1374"/>
      <c r="K686" s="1374"/>
      <c r="L686" s="1374"/>
      <c r="M686" s="1374"/>
      <c r="N686" s="1374"/>
      <c r="O686" s="1374"/>
      <c r="P686" s="1374"/>
      <c r="Q686" s="1374"/>
      <c r="R686" s="1374"/>
      <c r="U686" t="s">
        <v>17</v>
      </c>
      <c r="Z686" s="1380"/>
      <c r="AA686" s="1380"/>
      <c r="AB686" s="1380"/>
      <c r="AC686" s="1380"/>
      <c r="AD686" s="1380"/>
      <c r="AE686" s="1380"/>
      <c r="AF686" s="1380"/>
      <c r="AG686" s="1380"/>
      <c r="AH686" s="1380"/>
      <c r="AI686" s="1380"/>
      <c r="AJ686" s="1380"/>
      <c r="AK686" s="138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72"/>
      <c r="H687" s="1372"/>
      <c r="I687" s="1372"/>
      <c r="J687" s="1372"/>
      <c r="K687" s="1372"/>
      <c r="L687" s="1372"/>
      <c r="O687" s="33" t="s">
        <v>207</v>
      </c>
      <c r="P687" s="1450"/>
      <c r="Q687" s="1450"/>
      <c r="R687" s="1450"/>
      <c r="U687" t="s">
        <v>317</v>
      </c>
      <c r="Z687" s="1372"/>
      <c r="AA687" s="1372"/>
      <c r="AB687" s="1372"/>
      <c r="AC687" s="1372"/>
      <c r="AD687" s="1372"/>
      <c r="AE687" s="1372"/>
      <c r="AH687" s="33" t="s">
        <v>207</v>
      </c>
      <c r="AI687" s="1450"/>
      <c r="AJ687" s="1450"/>
      <c r="AK687" s="145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4"/>
      <c r="I688" s="1374"/>
      <c r="J688" s="1374"/>
      <c r="K688" s="1374"/>
      <c r="L688" s="1374"/>
      <c r="M688" s="1374"/>
      <c r="N688" s="1374"/>
      <c r="O688" s="1374"/>
      <c r="P688" s="1374"/>
      <c r="Q688" s="1374"/>
      <c r="R688" s="1374"/>
      <c r="U688" t="s">
        <v>18</v>
      </c>
      <c r="AA688" s="1374"/>
      <c r="AB688" s="1374"/>
      <c r="AC688" s="1374"/>
      <c r="AD688" s="1374"/>
      <c r="AE688" s="1374"/>
      <c r="AF688" s="1374"/>
      <c r="AG688" s="1374"/>
      <c r="AH688" s="1374"/>
      <c r="AI688" s="1374"/>
      <c r="AJ688" s="1374"/>
      <c r="AK688" s="137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55" t="s">
        <v>677</v>
      </c>
      <c r="O689" s="1355"/>
      <c r="U689" t="s">
        <v>20</v>
      </c>
      <c r="AG689" s="1355" t="s">
        <v>677</v>
      </c>
      <c r="AH689" s="135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55" t="s">
        <v>553</v>
      </c>
      <c r="AF693" s="135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55" t="s">
        <v>677</v>
      </c>
      <c r="AF694" s="135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01">
        <v>45531</v>
      </c>
      <c r="AF695" s="1501"/>
      <c r="AG695" s="1501"/>
      <c r="AH695" s="1501"/>
      <c r="AI695" s="150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9">
        <v>45637</v>
      </c>
      <c r="AF696" s="1779"/>
      <c r="AG696" s="1779"/>
      <c r="AH696" s="1779"/>
      <c r="AI696" s="17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01">
        <v>45792</v>
      </c>
      <c r="AF698" s="1501"/>
      <c r="AG698" s="1501"/>
      <c r="AH698" s="1501"/>
      <c r="AI698" s="150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7">
        <v>0.51459999999999995</v>
      </c>
      <c r="AF699" s="1777"/>
      <c r="AG699" s="1777"/>
      <c r="AH699" s="1777"/>
      <c r="AI699" s="177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17" t="str">
        <f>H335</f>
        <v>California Municipal Finance Agency</v>
      </c>
      <c r="X700" s="1417"/>
      <c r="Y700" s="1417"/>
      <c r="Z700" s="1417"/>
      <c r="AA700" s="1417"/>
      <c r="AB700" s="1417"/>
      <c r="AC700" s="1417"/>
      <c r="AD700" s="1417"/>
      <c r="AE700" s="1417"/>
      <c r="AF700" s="1417"/>
      <c r="AG700" s="1417"/>
      <c r="AH700" s="1417"/>
      <c r="AI700" s="1417"/>
      <c r="AJ700" s="1417"/>
      <c r="AK700" s="141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55" t="s">
        <v>677</v>
      </c>
      <c r="AF702" s="135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73" t="s">
        <v>599</v>
      </c>
      <c r="X703" s="1374"/>
      <c r="Y703" s="1374"/>
      <c r="Z703" s="1374"/>
      <c r="AA703" s="1374"/>
      <c r="AB703" s="1374"/>
      <c r="AC703" s="1374"/>
      <c r="AD703" s="1374"/>
      <c r="AE703" s="1374"/>
      <c r="AF703" s="1374"/>
      <c r="AG703" s="1374"/>
      <c r="AH703" s="1374"/>
      <c r="AI703" s="1374"/>
      <c r="AJ703" s="1374"/>
      <c r="AK703" s="1374"/>
      <c r="AZ703" s="34"/>
      <c r="BA703" s="34"/>
      <c r="BB703" s="34"/>
      <c r="BC703" s="34"/>
      <c r="BD703" s="34"/>
      <c r="BE703" s="3"/>
      <c r="BF703" s="312" t="s">
        <v>914</v>
      </c>
      <c r="BG703" s="321">
        <f>SUM(BG668:BG702)</f>
        <v>127</v>
      </c>
      <c r="BH703" s="322">
        <f>SUM(BH668:BH702)</f>
        <v>1</v>
      </c>
      <c r="BI703" s="322">
        <f>SUM(BI668:BI702)</f>
        <v>0.48346456692913392</v>
      </c>
      <c r="BN703" s="3"/>
      <c r="BO703" s="3"/>
      <c r="BT703" s="893">
        <f>SUM(BT668:BT702)</f>
        <v>127</v>
      </c>
      <c r="BU703" s="322">
        <f>SUM(BU668:BU702)</f>
        <v>1</v>
      </c>
      <c r="BV703" s="322">
        <f>SUM(BV668:BV702)</f>
        <v>0.4834527456261179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4" t="s">
        <v>599</v>
      </c>
      <c r="K704" s="1374"/>
      <c r="L704" s="1374"/>
      <c r="M704" s="1374"/>
      <c r="N704" s="1374"/>
      <c r="O704" s="1374"/>
      <c r="P704" s="1374"/>
      <c r="Q704" s="1374"/>
      <c r="R704" s="1374"/>
      <c r="S704" s="1374"/>
      <c r="T704" s="1374"/>
      <c r="U704" s="1374"/>
      <c r="V704" s="1374"/>
      <c r="W704" s="1374"/>
      <c r="X704" s="137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72" t="s">
        <v>599</v>
      </c>
      <c r="K705" s="1372"/>
      <c r="L705" s="1372"/>
      <c r="M705" s="1372"/>
      <c r="N705" s="1372"/>
      <c r="O705" s="1372"/>
      <c r="P705" s="4" t="s">
        <v>207</v>
      </c>
      <c r="Q705" s="4"/>
      <c r="R705" s="1450"/>
      <c r="S705" s="1450"/>
      <c r="T705" s="145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74" t="s">
        <v>308</v>
      </c>
      <c r="X706" s="1374"/>
      <c r="Y706" s="1374"/>
      <c r="Z706" s="1374"/>
      <c r="AA706" s="1374"/>
      <c r="AB706" s="1374"/>
      <c r="AC706" s="1374"/>
      <c r="AD706" s="1374"/>
      <c r="AE706" s="1374"/>
      <c r="AF706" s="1374"/>
      <c r="AG706" s="1374"/>
      <c r="AH706" s="1374"/>
      <c r="AI706" s="1374"/>
      <c r="AJ706" s="1374"/>
      <c r="AK706" s="137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4" t="s">
        <v>335</v>
      </c>
      <c r="F707" s="1374"/>
      <c r="G707" s="1374"/>
      <c r="H707" s="1374"/>
      <c r="I707" s="1374"/>
      <c r="J707" s="1374"/>
      <c r="K707" s="1374"/>
      <c r="L707" s="1374"/>
      <c r="M707" s="1374"/>
      <c r="N707" s="1374"/>
      <c r="O707" s="1374"/>
      <c r="P707" s="1374"/>
      <c r="Q707" s="1374"/>
      <c r="R707" s="1374"/>
      <c r="S707" s="1374"/>
      <c r="T707" s="1374"/>
      <c r="U707" s="1374"/>
      <c r="V707" s="1374"/>
      <c r="W707" s="1374"/>
      <c r="X707" s="1374"/>
      <c r="Y707" s="1374"/>
      <c r="Z707" s="1374"/>
      <c r="AA707" s="1374"/>
      <c r="AB707" s="1374"/>
      <c r="AC707" s="1374"/>
      <c r="AD707" s="1374"/>
      <c r="AE707" s="1374"/>
      <c r="AF707" s="1374"/>
      <c r="AG707" s="1374"/>
      <c r="AH707" s="1374"/>
      <c r="AI707" s="1374"/>
      <c r="AJ707" s="1374"/>
      <c r="AK707" s="137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487" t="s">
        <v>390</v>
      </c>
      <c r="C714" s="1488"/>
      <c r="D714" s="1488"/>
      <c r="E714" s="1488"/>
      <c r="F714" s="1489"/>
      <c r="G714" s="1487" t="s">
        <v>286</v>
      </c>
      <c r="H714" s="1488"/>
      <c r="I714" s="1488"/>
      <c r="J714" s="1489"/>
      <c r="K714" s="1766" t="s">
        <v>1866</v>
      </c>
      <c r="L714" s="1767"/>
      <c r="M714" s="1767"/>
      <c r="N714" s="1768"/>
      <c r="O714" s="1487" t="s">
        <v>455</v>
      </c>
      <c r="P714" s="1488"/>
      <c r="Q714" s="1488"/>
      <c r="R714" s="1488"/>
      <c r="S714" s="1489"/>
      <c r="T714" s="1500" t="s">
        <v>2250</v>
      </c>
      <c r="U714" s="1488"/>
      <c r="V714" s="1488"/>
      <c r="W714" s="1489"/>
      <c r="X714" s="1500" t="s">
        <v>2252</v>
      </c>
      <c r="Y714" s="1488"/>
      <c r="Z714" s="1488"/>
      <c r="AA714" s="1488"/>
      <c r="AB714" s="1489"/>
      <c r="AC714" s="1500" t="s">
        <v>2251</v>
      </c>
      <c r="AD714" s="1488"/>
      <c r="AE714" s="1488"/>
      <c r="AF714" s="1488"/>
      <c r="AG714" s="1489"/>
      <c r="AH714" s="1500" t="s">
        <v>2253</v>
      </c>
      <c r="AI714" s="1488"/>
      <c r="AJ714" s="1489"/>
      <c r="AK714" s="1500" t="s">
        <v>2287</v>
      </c>
      <c r="AL714" s="1488"/>
      <c r="AM714" s="1488"/>
      <c r="AN714" s="1488"/>
      <c r="AO714" s="148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490"/>
      <c r="C715" s="1491"/>
      <c r="D715" s="1491"/>
      <c r="E715" s="1491"/>
      <c r="F715" s="1492"/>
      <c r="G715" s="1490"/>
      <c r="H715" s="1491"/>
      <c r="I715" s="1491"/>
      <c r="J715" s="1492"/>
      <c r="K715" s="1769"/>
      <c r="L715" s="1770"/>
      <c r="M715" s="1770"/>
      <c r="N715" s="1771"/>
      <c r="O715" s="1490"/>
      <c r="P715" s="1491"/>
      <c r="Q715" s="1491"/>
      <c r="R715" s="1491"/>
      <c r="S715" s="1492"/>
      <c r="T715" s="1490"/>
      <c r="U715" s="1491"/>
      <c r="V715" s="1491"/>
      <c r="W715" s="1492"/>
      <c r="X715" s="1490"/>
      <c r="Y715" s="1491"/>
      <c r="Z715" s="1491"/>
      <c r="AA715" s="1491"/>
      <c r="AB715" s="1492"/>
      <c r="AC715" s="1490"/>
      <c r="AD715" s="1491"/>
      <c r="AE715" s="1491"/>
      <c r="AF715" s="1491"/>
      <c r="AG715" s="1492"/>
      <c r="AH715" s="1490"/>
      <c r="AI715" s="1491"/>
      <c r="AJ715" s="1492"/>
      <c r="AK715" s="1490"/>
      <c r="AL715" s="1491"/>
      <c r="AM715" s="1491"/>
      <c r="AN715" s="1491"/>
      <c r="AO715" s="149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490"/>
      <c r="C716" s="1491"/>
      <c r="D716" s="1491"/>
      <c r="E716" s="1491"/>
      <c r="F716" s="1492"/>
      <c r="G716" s="1490"/>
      <c r="H716" s="1491"/>
      <c r="I716" s="1491"/>
      <c r="J716" s="1492"/>
      <c r="K716" s="1769"/>
      <c r="L716" s="1770"/>
      <c r="M716" s="1770"/>
      <c r="N716" s="1771"/>
      <c r="O716" s="1490"/>
      <c r="P716" s="1491"/>
      <c r="Q716" s="1491"/>
      <c r="R716" s="1491"/>
      <c r="S716" s="1492"/>
      <c r="T716" s="1490"/>
      <c r="U716" s="1491"/>
      <c r="V716" s="1491"/>
      <c r="W716" s="1492"/>
      <c r="X716" s="1490"/>
      <c r="Y716" s="1491"/>
      <c r="Z716" s="1491"/>
      <c r="AA716" s="1491"/>
      <c r="AB716" s="1492"/>
      <c r="AC716" s="1490"/>
      <c r="AD716" s="1491"/>
      <c r="AE716" s="1491"/>
      <c r="AF716" s="1491"/>
      <c r="AG716" s="1492"/>
      <c r="AH716" s="1490"/>
      <c r="AI716" s="1491"/>
      <c r="AJ716" s="1492"/>
      <c r="AK716" s="1490"/>
      <c r="AL716" s="1491"/>
      <c r="AM716" s="1491"/>
      <c r="AN716" s="1491"/>
      <c r="AO716" s="149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93"/>
      <c r="C717" s="1494"/>
      <c r="D717" s="1494"/>
      <c r="E717" s="1494"/>
      <c r="F717" s="1495"/>
      <c r="G717" s="1493"/>
      <c r="H717" s="1494"/>
      <c r="I717" s="1494"/>
      <c r="J717" s="1495"/>
      <c r="K717" s="1769"/>
      <c r="L717" s="1770"/>
      <c r="M717" s="1770"/>
      <c r="N717" s="1771"/>
      <c r="O717" s="1493"/>
      <c r="P717" s="1494"/>
      <c r="Q717" s="1494"/>
      <c r="R717" s="1494"/>
      <c r="S717" s="1495"/>
      <c r="T717" s="1493"/>
      <c r="U717" s="1494"/>
      <c r="V717" s="1494"/>
      <c r="W717" s="1495"/>
      <c r="X717" s="1493"/>
      <c r="Y717" s="1494"/>
      <c r="Z717" s="1494"/>
      <c r="AA717" s="1494"/>
      <c r="AB717" s="1495"/>
      <c r="AC717" s="1493"/>
      <c r="AD717" s="1494"/>
      <c r="AE717" s="1494"/>
      <c r="AF717" s="1494"/>
      <c r="AG717" s="1495"/>
      <c r="AH717" s="1493"/>
      <c r="AI717" s="1494"/>
      <c r="AJ717" s="1495"/>
      <c r="AK717" s="1493"/>
      <c r="AL717" s="1494"/>
      <c r="AM717" s="1494"/>
      <c r="AN717" s="1494"/>
      <c r="AO717" s="149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6" t="s">
        <v>326</v>
      </c>
      <c r="C718" s="1357"/>
      <c r="D718" s="1357"/>
      <c r="E718" s="1357"/>
      <c r="F718" s="1358"/>
      <c r="G718" s="1362">
        <v>18</v>
      </c>
      <c r="H718" s="1363"/>
      <c r="I718" s="1363"/>
      <c r="J718" s="1364"/>
      <c r="K718" s="1365">
        <v>700</v>
      </c>
      <c r="L718" s="1366"/>
      <c r="M718" s="1366"/>
      <c r="N718" s="1367"/>
      <c r="O718" s="1368">
        <v>513</v>
      </c>
      <c r="P718" s="1369"/>
      <c r="Q718" s="1369"/>
      <c r="R718" s="1369"/>
      <c r="S718" s="1370"/>
      <c r="T718" s="1368">
        <v>150</v>
      </c>
      <c r="U718" s="1369"/>
      <c r="V718" s="1369"/>
      <c r="W718" s="1370"/>
      <c r="X718" s="1359">
        <f t="shared" ref="X718:X741" si="59">O718+T718</f>
        <v>663</v>
      </c>
      <c r="Y718" s="1360"/>
      <c r="Z718" s="1360"/>
      <c r="AA718" s="1360"/>
      <c r="AB718" s="1361"/>
      <c r="AC718" s="1384">
        <v>0.3</v>
      </c>
      <c r="AD718" s="1385"/>
      <c r="AE718" s="1385"/>
      <c r="AF718" s="1385"/>
      <c r="AG718" s="1386"/>
      <c r="AH718" s="1381">
        <f t="shared" ref="AH718:AH751" si="60">IF($AC718&gt;0,($X718/$BA667), "")</f>
        <v>0.3</v>
      </c>
      <c r="AI718" s="1382"/>
      <c r="AJ718" s="1383"/>
      <c r="AK718" s="1356" t="s">
        <v>599</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6" t="s">
        <v>326</v>
      </c>
      <c r="C719" s="1357"/>
      <c r="D719" s="1357"/>
      <c r="E719" s="1357"/>
      <c r="F719" s="1358"/>
      <c r="G719" s="1362">
        <v>23</v>
      </c>
      <c r="H719" s="1363"/>
      <c r="I719" s="1363"/>
      <c r="J719" s="1364"/>
      <c r="K719" s="1365">
        <v>700</v>
      </c>
      <c r="L719" s="1366"/>
      <c r="M719" s="1366"/>
      <c r="N719" s="1367"/>
      <c r="O719" s="1368">
        <v>955</v>
      </c>
      <c r="P719" s="1369"/>
      <c r="Q719" s="1369"/>
      <c r="R719" s="1369"/>
      <c r="S719" s="1370"/>
      <c r="T719" s="1368">
        <v>150</v>
      </c>
      <c r="U719" s="1369"/>
      <c r="V719" s="1369"/>
      <c r="W719" s="1370"/>
      <c r="X719" s="1359">
        <f t="shared" si="59"/>
        <v>1105</v>
      </c>
      <c r="Y719" s="1360"/>
      <c r="Z719" s="1360"/>
      <c r="AA719" s="1360"/>
      <c r="AB719" s="1361"/>
      <c r="AC719" s="1384">
        <v>0.5</v>
      </c>
      <c r="AD719" s="1385"/>
      <c r="AE719" s="1385"/>
      <c r="AF719" s="1385"/>
      <c r="AG719" s="1386"/>
      <c r="AH719" s="1381">
        <f t="shared" si="60"/>
        <v>0.5</v>
      </c>
      <c r="AI719" s="1382"/>
      <c r="AJ719" s="1383"/>
      <c r="AK719" s="1356" t="s">
        <v>599</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6" t="s">
        <v>326</v>
      </c>
      <c r="C720" s="1357"/>
      <c r="D720" s="1357"/>
      <c r="E720" s="1357"/>
      <c r="F720" s="1358"/>
      <c r="G720" s="1362">
        <v>21</v>
      </c>
      <c r="H720" s="1363"/>
      <c r="I720" s="1363"/>
      <c r="J720" s="1364"/>
      <c r="K720" s="1365">
        <v>700</v>
      </c>
      <c r="L720" s="1366"/>
      <c r="M720" s="1366"/>
      <c r="N720" s="1367"/>
      <c r="O720" s="1368">
        <v>1066</v>
      </c>
      <c r="P720" s="1369"/>
      <c r="Q720" s="1369"/>
      <c r="R720" s="1369"/>
      <c r="S720" s="1370"/>
      <c r="T720" s="1368">
        <v>150</v>
      </c>
      <c r="U720" s="1369"/>
      <c r="V720" s="1369"/>
      <c r="W720" s="1370"/>
      <c r="X720" s="1359">
        <f t="shared" si="59"/>
        <v>1216</v>
      </c>
      <c r="Y720" s="1360"/>
      <c r="Z720" s="1360"/>
      <c r="AA720" s="1360"/>
      <c r="AB720" s="1361"/>
      <c r="AC720" s="1384">
        <v>0.55000000000000004</v>
      </c>
      <c r="AD720" s="1385"/>
      <c r="AE720" s="1385"/>
      <c r="AF720" s="1385"/>
      <c r="AG720" s="1386"/>
      <c r="AH720" s="1381">
        <f t="shared" si="60"/>
        <v>0.55022624434389145</v>
      </c>
      <c r="AI720" s="1382"/>
      <c r="AJ720" s="1383"/>
      <c r="AK720" s="1356" t="s">
        <v>599</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6" t="s">
        <v>163</v>
      </c>
      <c r="C721" s="1357"/>
      <c r="D721" s="1357"/>
      <c r="E721" s="1357"/>
      <c r="F721" s="1358"/>
      <c r="G721" s="1362">
        <v>3</v>
      </c>
      <c r="H721" s="1363"/>
      <c r="I721" s="1363"/>
      <c r="J721" s="1364"/>
      <c r="K721" s="1365">
        <v>994</v>
      </c>
      <c r="L721" s="1366"/>
      <c r="M721" s="1366"/>
      <c r="N721" s="1367"/>
      <c r="O721" s="1368">
        <v>589</v>
      </c>
      <c r="P721" s="1369"/>
      <c r="Q721" s="1369"/>
      <c r="R721" s="1369"/>
      <c r="S721" s="1370"/>
      <c r="T721" s="1368">
        <v>206</v>
      </c>
      <c r="U721" s="1369"/>
      <c r="V721" s="1369"/>
      <c r="W721" s="1370"/>
      <c r="X721" s="1359">
        <f t="shared" si="59"/>
        <v>795</v>
      </c>
      <c r="Y721" s="1360"/>
      <c r="Z721" s="1360"/>
      <c r="AA721" s="1360"/>
      <c r="AB721" s="1361"/>
      <c r="AC721" s="1384">
        <v>0.3</v>
      </c>
      <c r="AD721" s="1385"/>
      <c r="AE721" s="1385"/>
      <c r="AF721" s="1385"/>
      <c r="AG721" s="1386"/>
      <c r="AH721" s="1381">
        <f t="shared" si="60"/>
        <v>0.29977375565610859</v>
      </c>
      <c r="AI721" s="1382"/>
      <c r="AJ721" s="1383"/>
      <c r="AK721" s="1356" t="s">
        <v>599</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6" t="s">
        <v>163</v>
      </c>
      <c r="C722" s="1357"/>
      <c r="D722" s="1357"/>
      <c r="E722" s="1357"/>
      <c r="F722" s="1358"/>
      <c r="G722" s="1362">
        <v>11</v>
      </c>
      <c r="H722" s="1363"/>
      <c r="I722" s="1363"/>
      <c r="J722" s="1364"/>
      <c r="K722" s="1365">
        <v>994</v>
      </c>
      <c r="L722" s="1366"/>
      <c r="M722" s="1366"/>
      <c r="N722" s="1367"/>
      <c r="O722" s="1368">
        <v>1120</v>
      </c>
      <c r="P722" s="1369"/>
      <c r="Q722" s="1369"/>
      <c r="R722" s="1369"/>
      <c r="S722" s="1370"/>
      <c r="T722" s="1368">
        <v>206</v>
      </c>
      <c r="U722" s="1369"/>
      <c r="V722" s="1369"/>
      <c r="W722" s="1370"/>
      <c r="X722" s="1359">
        <f t="shared" si="59"/>
        <v>1326</v>
      </c>
      <c r="Y722" s="1360"/>
      <c r="Z722" s="1360"/>
      <c r="AA722" s="1360"/>
      <c r="AB722" s="1361"/>
      <c r="AC722" s="1384">
        <v>0.5</v>
      </c>
      <c r="AD722" s="1385"/>
      <c r="AE722" s="1385"/>
      <c r="AF722" s="1385"/>
      <c r="AG722" s="1386"/>
      <c r="AH722" s="1381">
        <f t="shared" si="60"/>
        <v>0.5</v>
      </c>
      <c r="AI722" s="1382"/>
      <c r="AJ722" s="1383"/>
      <c r="AK722" s="1356" t="s">
        <v>599</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6" t="s">
        <v>163</v>
      </c>
      <c r="C723" s="1357"/>
      <c r="D723" s="1357"/>
      <c r="E723" s="1357"/>
      <c r="F723" s="1358"/>
      <c r="G723" s="1362">
        <v>18</v>
      </c>
      <c r="H723" s="1363"/>
      <c r="I723" s="1363"/>
      <c r="J723" s="1364"/>
      <c r="K723" s="1365">
        <v>994</v>
      </c>
      <c r="L723" s="1366"/>
      <c r="M723" s="1366"/>
      <c r="N723" s="1367"/>
      <c r="O723" s="1368">
        <v>1252</v>
      </c>
      <c r="P723" s="1369"/>
      <c r="Q723" s="1369"/>
      <c r="R723" s="1369"/>
      <c r="S723" s="1370"/>
      <c r="T723" s="1368">
        <v>206</v>
      </c>
      <c r="U723" s="1369"/>
      <c r="V723" s="1369"/>
      <c r="W723" s="1370"/>
      <c r="X723" s="1359">
        <f t="shared" si="59"/>
        <v>1458</v>
      </c>
      <c r="Y723" s="1360"/>
      <c r="Z723" s="1360"/>
      <c r="AA723" s="1360"/>
      <c r="AB723" s="1361"/>
      <c r="AC723" s="1384">
        <v>0.55000000000000004</v>
      </c>
      <c r="AD723" s="1385"/>
      <c r="AE723" s="1385"/>
      <c r="AF723" s="1385"/>
      <c r="AG723" s="1386"/>
      <c r="AH723" s="1381">
        <f t="shared" si="60"/>
        <v>0.54977375565610864</v>
      </c>
      <c r="AI723" s="1382"/>
      <c r="AJ723" s="1383"/>
      <c r="AK723" s="1356" t="s">
        <v>599</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6" t="s">
        <v>164</v>
      </c>
      <c r="C724" s="1357"/>
      <c r="D724" s="1357"/>
      <c r="E724" s="1357"/>
      <c r="F724" s="1358"/>
      <c r="G724" s="1362">
        <v>4</v>
      </c>
      <c r="H724" s="1363"/>
      <c r="I724" s="1363"/>
      <c r="J724" s="1364"/>
      <c r="K724" s="1365">
        <v>1218</v>
      </c>
      <c r="L724" s="1366"/>
      <c r="M724" s="1366"/>
      <c r="N724" s="1367"/>
      <c r="O724" s="1368">
        <v>693</v>
      </c>
      <c r="P724" s="1369"/>
      <c r="Q724" s="1369"/>
      <c r="R724" s="1369"/>
      <c r="S724" s="1370"/>
      <c r="T724" s="1368">
        <v>226</v>
      </c>
      <c r="U724" s="1369"/>
      <c r="V724" s="1369"/>
      <c r="W724" s="1370"/>
      <c r="X724" s="1359">
        <f t="shared" si="59"/>
        <v>919</v>
      </c>
      <c r="Y724" s="1360"/>
      <c r="Z724" s="1360"/>
      <c r="AA724" s="1360"/>
      <c r="AB724" s="1361"/>
      <c r="AC724" s="1384">
        <v>0.3</v>
      </c>
      <c r="AD724" s="1385"/>
      <c r="AE724" s="1385"/>
      <c r="AF724" s="1385"/>
      <c r="AG724" s="1386"/>
      <c r="AH724" s="1381">
        <f t="shared" si="60"/>
        <v>0.29993472584856395</v>
      </c>
      <c r="AI724" s="1382"/>
      <c r="AJ724" s="1383"/>
      <c r="AK724" s="1356" t="s">
        <v>599</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6" t="s">
        <v>164</v>
      </c>
      <c r="C725" s="1357"/>
      <c r="D725" s="1357"/>
      <c r="E725" s="1357"/>
      <c r="F725" s="1358"/>
      <c r="G725" s="1362">
        <v>10</v>
      </c>
      <c r="H725" s="1363"/>
      <c r="I725" s="1363"/>
      <c r="J725" s="1364"/>
      <c r="K725" s="1365">
        <v>1218</v>
      </c>
      <c r="L725" s="1366"/>
      <c r="M725" s="1366"/>
      <c r="N725" s="1367"/>
      <c r="O725" s="1368">
        <v>1306</v>
      </c>
      <c r="P725" s="1369"/>
      <c r="Q725" s="1369"/>
      <c r="R725" s="1369"/>
      <c r="S725" s="1370"/>
      <c r="T725" s="1368">
        <v>226</v>
      </c>
      <c r="U725" s="1369"/>
      <c r="V725" s="1369"/>
      <c r="W725" s="1370"/>
      <c r="X725" s="1359">
        <f t="shared" si="59"/>
        <v>1532</v>
      </c>
      <c r="Y725" s="1360"/>
      <c r="Z725" s="1360"/>
      <c r="AA725" s="1360"/>
      <c r="AB725" s="1361"/>
      <c r="AC725" s="1384">
        <v>0.5</v>
      </c>
      <c r="AD725" s="1385"/>
      <c r="AE725" s="1385"/>
      <c r="AF725" s="1385"/>
      <c r="AG725" s="1386"/>
      <c r="AH725" s="1381">
        <f t="shared" si="60"/>
        <v>0.5</v>
      </c>
      <c r="AI725" s="1382"/>
      <c r="AJ725" s="1383"/>
      <c r="AK725" s="1356" t="s">
        <v>599</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6" t="s">
        <v>164</v>
      </c>
      <c r="C726" s="1357"/>
      <c r="D726" s="1357"/>
      <c r="E726" s="1357"/>
      <c r="F726" s="1358"/>
      <c r="G726" s="1362">
        <v>19</v>
      </c>
      <c r="H726" s="1363"/>
      <c r="I726" s="1363"/>
      <c r="J726" s="1364"/>
      <c r="K726" s="1365">
        <v>1218</v>
      </c>
      <c r="L726" s="1366"/>
      <c r="M726" s="1366"/>
      <c r="N726" s="1367"/>
      <c r="O726" s="1368">
        <v>1459</v>
      </c>
      <c r="P726" s="1369"/>
      <c r="Q726" s="1369"/>
      <c r="R726" s="1369"/>
      <c r="S726" s="1370"/>
      <c r="T726" s="1368">
        <v>226</v>
      </c>
      <c r="U726" s="1369"/>
      <c r="V726" s="1369"/>
      <c r="W726" s="1370"/>
      <c r="X726" s="1359">
        <f t="shared" si="59"/>
        <v>1685</v>
      </c>
      <c r="Y726" s="1360"/>
      <c r="Z726" s="1360"/>
      <c r="AA726" s="1360"/>
      <c r="AB726" s="1361"/>
      <c r="AC726" s="1384">
        <v>0.55000000000000004</v>
      </c>
      <c r="AD726" s="1385"/>
      <c r="AE726" s="1385"/>
      <c r="AF726" s="1385"/>
      <c r="AG726" s="1386"/>
      <c r="AH726" s="1381">
        <f t="shared" si="60"/>
        <v>0.54993472584856395</v>
      </c>
      <c r="AI726" s="1382"/>
      <c r="AJ726" s="1383"/>
      <c r="AK726" s="1356" t="s">
        <v>599</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6"/>
      <c r="C727" s="1357"/>
      <c r="D727" s="1357"/>
      <c r="E727" s="1357"/>
      <c r="F727" s="1358"/>
      <c r="G727" s="1362"/>
      <c r="H727" s="1363"/>
      <c r="I727" s="1363"/>
      <c r="J727" s="1364"/>
      <c r="K727" s="1365"/>
      <c r="L727" s="1366"/>
      <c r="M727" s="1366"/>
      <c r="N727" s="1367"/>
      <c r="O727" s="1368"/>
      <c r="P727" s="1369"/>
      <c r="Q727" s="1369"/>
      <c r="R727" s="1369"/>
      <c r="S727" s="1370"/>
      <c r="T727" s="1368"/>
      <c r="U727" s="1369"/>
      <c r="V727" s="1369"/>
      <c r="W727" s="1370"/>
      <c r="X727" s="1359">
        <f t="shared" si="59"/>
        <v>0</v>
      </c>
      <c r="Y727" s="1360"/>
      <c r="Z727" s="1360"/>
      <c r="AA727" s="1360"/>
      <c r="AB727" s="1361"/>
      <c r="AC727" s="1384"/>
      <c r="AD727" s="1385"/>
      <c r="AE727" s="1385"/>
      <c r="AF727" s="1385"/>
      <c r="AG727" s="1386"/>
      <c r="AH727" s="1381" t="str">
        <f t="shared" si="60"/>
        <v/>
      </c>
      <c r="AI727" s="1382"/>
      <c r="AJ727" s="1383"/>
      <c r="AK727" s="1356" t="s">
        <v>599</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6"/>
      <c r="C728" s="1357"/>
      <c r="D728" s="1357"/>
      <c r="E728" s="1357"/>
      <c r="F728" s="1358"/>
      <c r="G728" s="1362"/>
      <c r="H728" s="1363"/>
      <c r="I728" s="1363"/>
      <c r="J728" s="1364"/>
      <c r="K728" s="1365"/>
      <c r="L728" s="1366"/>
      <c r="M728" s="1366"/>
      <c r="N728" s="1367"/>
      <c r="O728" s="1368"/>
      <c r="P728" s="1369"/>
      <c r="Q728" s="1369"/>
      <c r="R728" s="1369"/>
      <c r="S728" s="1370"/>
      <c r="T728" s="1368"/>
      <c r="U728" s="1369"/>
      <c r="V728" s="1369"/>
      <c r="W728" s="1370"/>
      <c r="X728" s="1359">
        <f t="shared" si="59"/>
        <v>0</v>
      </c>
      <c r="Y728" s="1360"/>
      <c r="Z728" s="1360"/>
      <c r="AA728" s="1360"/>
      <c r="AB728" s="1361"/>
      <c r="AC728" s="1384"/>
      <c r="AD728" s="1385"/>
      <c r="AE728" s="1385"/>
      <c r="AF728" s="1385"/>
      <c r="AG728" s="1386"/>
      <c r="AH728" s="1381" t="str">
        <f t="shared" si="60"/>
        <v/>
      </c>
      <c r="AI728" s="1382"/>
      <c r="AJ728" s="1383"/>
      <c r="AK728" s="1356" t="s">
        <v>599</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6"/>
      <c r="C729" s="1357"/>
      <c r="D729" s="1357"/>
      <c r="E729" s="1357"/>
      <c r="F729" s="1358"/>
      <c r="G729" s="1362"/>
      <c r="H729" s="1363"/>
      <c r="I729" s="1363"/>
      <c r="J729" s="1364"/>
      <c r="K729" s="1365"/>
      <c r="L729" s="1366"/>
      <c r="M729" s="1366"/>
      <c r="N729" s="1367"/>
      <c r="O729" s="1368"/>
      <c r="P729" s="1369"/>
      <c r="Q729" s="1369"/>
      <c r="R729" s="1369"/>
      <c r="S729" s="1370"/>
      <c r="T729" s="1368"/>
      <c r="U729" s="1369"/>
      <c r="V729" s="1369"/>
      <c r="W729" s="1370"/>
      <c r="X729" s="1359">
        <f t="shared" si="59"/>
        <v>0</v>
      </c>
      <c r="Y729" s="1360"/>
      <c r="Z729" s="1360"/>
      <c r="AA729" s="1360"/>
      <c r="AB729" s="1361"/>
      <c r="AC729" s="1384"/>
      <c r="AD729" s="1385"/>
      <c r="AE729" s="1385"/>
      <c r="AF729" s="1385"/>
      <c r="AG729" s="1386"/>
      <c r="AH729" s="1381" t="str">
        <f t="shared" si="60"/>
        <v/>
      </c>
      <c r="AI729" s="1382"/>
      <c r="AJ729" s="1383"/>
      <c r="AK729" s="1356" t="s">
        <v>599</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6"/>
      <c r="C730" s="1357"/>
      <c r="D730" s="1357"/>
      <c r="E730" s="1357"/>
      <c r="F730" s="1358"/>
      <c r="G730" s="1362"/>
      <c r="H730" s="1363"/>
      <c r="I730" s="1363"/>
      <c r="J730" s="1364"/>
      <c r="K730" s="1365"/>
      <c r="L730" s="1366"/>
      <c r="M730" s="1366"/>
      <c r="N730" s="1367"/>
      <c r="O730" s="1368"/>
      <c r="P730" s="1369"/>
      <c r="Q730" s="1369"/>
      <c r="R730" s="1369"/>
      <c r="S730" s="1370"/>
      <c r="T730" s="1368"/>
      <c r="U730" s="1369"/>
      <c r="V730" s="1369"/>
      <c r="W730" s="1370"/>
      <c r="X730" s="1359">
        <f t="shared" si="59"/>
        <v>0</v>
      </c>
      <c r="Y730" s="1360"/>
      <c r="Z730" s="1360"/>
      <c r="AA730" s="1360"/>
      <c r="AB730" s="1361"/>
      <c r="AC730" s="1384"/>
      <c r="AD730" s="1385"/>
      <c r="AE730" s="1385"/>
      <c r="AF730" s="1385"/>
      <c r="AG730" s="1386"/>
      <c r="AH730" s="1381" t="str">
        <f t="shared" si="60"/>
        <v/>
      </c>
      <c r="AI730" s="1382"/>
      <c r="AJ730" s="1383"/>
      <c r="AK730" s="1356" t="s">
        <v>599</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6"/>
      <c r="C731" s="1357"/>
      <c r="D731" s="1357"/>
      <c r="E731" s="1357"/>
      <c r="F731" s="1358"/>
      <c r="G731" s="1362"/>
      <c r="H731" s="1363"/>
      <c r="I731" s="1363"/>
      <c r="J731" s="1364"/>
      <c r="K731" s="1365"/>
      <c r="L731" s="1366"/>
      <c r="M731" s="1366"/>
      <c r="N731" s="1367"/>
      <c r="O731" s="1368"/>
      <c r="P731" s="1369"/>
      <c r="Q731" s="1369"/>
      <c r="R731" s="1369"/>
      <c r="S731" s="1370"/>
      <c r="T731" s="1368"/>
      <c r="U731" s="1369"/>
      <c r="V731" s="1369"/>
      <c r="W731" s="1370"/>
      <c r="X731" s="1359">
        <f t="shared" si="59"/>
        <v>0</v>
      </c>
      <c r="Y731" s="1360"/>
      <c r="Z731" s="1360"/>
      <c r="AA731" s="1360"/>
      <c r="AB731" s="1361"/>
      <c r="AC731" s="1384"/>
      <c r="AD731" s="1385"/>
      <c r="AE731" s="1385"/>
      <c r="AF731" s="1385"/>
      <c r="AG731" s="1386"/>
      <c r="AH731" s="1381" t="str">
        <f t="shared" si="60"/>
        <v/>
      </c>
      <c r="AI731" s="1382"/>
      <c r="AJ731" s="1383"/>
      <c r="AK731" s="1356" t="s">
        <v>599</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6"/>
      <c r="C732" s="1357"/>
      <c r="D732" s="1357"/>
      <c r="E732" s="1357"/>
      <c r="F732" s="1358"/>
      <c r="G732" s="1362"/>
      <c r="H732" s="1363"/>
      <c r="I732" s="1363"/>
      <c r="J732" s="1364"/>
      <c r="K732" s="1365"/>
      <c r="L732" s="1366"/>
      <c r="M732" s="1366"/>
      <c r="N732" s="1367"/>
      <c r="O732" s="1368"/>
      <c r="P732" s="1369"/>
      <c r="Q732" s="1369"/>
      <c r="R732" s="1369"/>
      <c r="S732" s="1370"/>
      <c r="T732" s="1368"/>
      <c r="U732" s="1369"/>
      <c r="V732" s="1369"/>
      <c r="W732" s="1370"/>
      <c r="X732" s="1359">
        <f t="shared" si="59"/>
        <v>0</v>
      </c>
      <c r="Y732" s="1360"/>
      <c r="Z732" s="1360"/>
      <c r="AA732" s="1360"/>
      <c r="AB732" s="1361"/>
      <c r="AC732" s="1384"/>
      <c r="AD732" s="1385"/>
      <c r="AE732" s="1385"/>
      <c r="AF732" s="1385"/>
      <c r="AG732" s="1386"/>
      <c r="AH732" s="1381" t="str">
        <f t="shared" si="60"/>
        <v/>
      </c>
      <c r="AI732" s="1382"/>
      <c r="AJ732" s="1383"/>
      <c r="AK732" s="1356" t="s">
        <v>599</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6"/>
      <c r="C733" s="1357"/>
      <c r="D733" s="1357"/>
      <c r="E733" s="1357"/>
      <c r="F733" s="1358"/>
      <c r="G733" s="1362"/>
      <c r="H733" s="1363"/>
      <c r="I733" s="1363"/>
      <c r="J733" s="1364"/>
      <c r="K733" s="1365"/>
      <c r="L733" s="1366"/>
      <c r="M733" s="1366"/>
      <c r="N733" s="1367"/>
      <c r="O733" s="1368"/>
      <c r="P733" s="1369"/>
      <c r="Q733" s="1369"/>
      <c r="R733" s="1369"/>
      <c r="S733" s="1370"/>
      <c r="T733" s="1368"/>
      <c r="U733" s="1369"/>
      <c r="V733" s="1369"/>
      <c r="W733" s="1370"/>
      <c r="X733" s="1359">
        <f t="shared" si="59"/>
        <v>0</v>
      </c>
      <c r="Y733" s="1360"/>
      <c r="Z733" s="1360"/>
      <c r="AA733" s="1360"/>
      <c r="AB733" s="1361"/>
      <c r="AC733" s="1384"/>
      <c r="AD733" s="1385"/>
      <c r="AE733" s="1385"/>
      <c r="AF733" s="1385"/>
      <c r="AG733" s="1386"/>
      <c r="AH733" s="1381" t="str">
        <f t="shared" si="60"/>
        <v/>
      </c>
      <c r="AI733" s="1382"/>
      <c r="AJ733" s="1383"/>
      <c r="AK733" s="1356" t="s">
        <v>599</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6"/>
      <c r="C734" s="1357"/>
      <c r="D734" s="1357"/>
      <c r="E734" s="1357"/>
      <c r="F734" s="1358"/>
      <c r="G734" s="1362"/>
      <c r="H734" s="1363"/>
      <c r="I734" s="1363"/>
      <c r="J734" s="1364"/>
      <c r="K734" s="1365"/>
      <c r="L734" s="1366"/>
      <c r="M734" s="1366"/>
      <c r="N734" s="1367"/>
      <c r="O734" s="1368"/>
      <c r="P734" s="1369"/>
      <c r="Q734" s="1369"/>
      <c r="R734" s="1369"/>
      <c r="S734" s="1370"/>
      <c r="T734" s="1368"/>
      <c r="U734" s="1369"/>
      <c r="V734" s="1369"/>
      <c r="W734" s="1370"/>
      <c r="X734" s="1359">
        <f t="shared" si="59"/>
        <v>0</v>
      </c>
      <c r="Y734" s="1360"/>
      <c r="Z734" s="1360"/>
      <c r="AA734" s="1360"/>
      <c r="AB734" s="1361"/>
      <c r="AC734" s="1384"/>
      <c r="AD734" s="1385"/>
      <c r="AE734" s="1385"/>
      <c r="AF734" s="1385"/>
      <c r="AG734" s="1386"/>
      <c r="AH734" s="1381" t="str">
        <f t="shared" si="60"/>
        <v/>
      </c>
      <c r="AI734" s="1382"/>
      <c r="AJ734" s="1383"/>
      <c r="AK734" s="1356" t="s">
        <v>599</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6"/>
      <c r="C735" s="1357"/>
      <c r="D735" s="1357"/>
      <c r="E735" s="1357"/>
      <c r="F735" s="1358"/>
      <c r="G735" s="1362"/>
      <c r="H735" s="1363"/>
      <c r="I735" s="1363"/>
      <c r="J735" s="1364"/>
      <c r="K735" s="1365"/>
      <c r="L735" s="1366"/>
      <c r="M735" s="1366"/>
      <c r="N735" s="1367"/>
      <c r="O735" s="1368"/>
      <c r="P735" s="1369"/>
      <c r="Q735" s="1369"/>
      <c r="R735" s="1369"/>
      <c r="S735" s="1370"/>
      <c r="T735" s="1368"/>
      <c r="U735" s="1369"/>
      <c r="V735" s="1369"/>
      <c r="W735" s="1370"/>
      <c r="X735" s="1359">
        <f t="shared" si="59"/>
        <v>0</v>
      </c>
      <c r="Y735" s="1360"/>
      <c r="Z735" s="1360"/>
      <c r="AA735" s="1360"/>
      <c r="AB735" s="1361"/>
      <c r="AC735" s="1384"/>
      <c r="AD735" s="1385"/>
      <c r="AE735" s="1385"/>
      <c r="AF735" s="1385"/>
      <c r="AG735" s="1386"/>
      <c r="AH735" s="1381" t="str">
        <f t="shared" si="60"/>
        <v/>
      </c>
      <c r="AI735" s="1382"/>
      <c r="AJ735" s="1383"/>
      <c r="AK735" s="1356" t="s">
        <v>599</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6"/>
      <c r="C736" s="1357"/>
      <c r="D736" s="1357"/>
      <c r="E736" s="1357"/>
      <c r="F736" s="1358"/>
      <c r="G736" s="1362"/>
      <c r="H736" s="1363"/>
      <c r="I736" s="1363"/>
      <c r="J736" s="1364"/>
      <c r="K736" s="1365"/>
      <c r="L736" s="1366"/>
      <c r="M736" s="1366"/>
      <c r="N736" s="1367"/>
      <c r="O736" s="1368"/>
      <c r="P736" s="1369"/>
      <c r="Q736" s="1369"/>
      <c r="R736" s="1369"/>
      <c r="S736" s="1370"/>
      <c r="T736" s="1368"/>
      <c r="U736" s="1369"/>
      <c r="V736" s="1369"/>
      <c r="W736" s="1370"/>
      <c r="X736" s="1359">
        <f t="shared" si="59"/>
        <v>0</v>
      </c>
      <c r="Y736" s="1360"/>
      <c r="Z736" s="1360"/>
      <c r="AA736" s="1360"/>
      <c r="AB736" s="1361"/>
      <c r="AC736" s="1384"/>
      <c r="AD736" s="1385"/>
      <c r="AE736" s="1385"/>
      <c r="AF736" s="1385"/>
      <c r="AG736" s="1386"/>
      <c r="AH736" s="1381" t="str">
        <f t="shared" si="60"/>
        <v/>
      </c>
      <c r="AI736" s="1382"/>
      <c r="AJ736" s="1383"/>
      <c r="AK736" s="1356" t="s">
        <v>599</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6"/>
      <c r="C737" s="1357"/>
      <c r="D737" s="1357"/>
      <c r="E737" s="1357"/>
      <c r="F737" s="1358"/>
      <c r="G737" s="1362"/>
      <c r="H737" s="1363"/>
      <c r="I737" s="1363"/>
      <c r="J737" s="1364"/>
      <c r="K737" s="1365"/>
      <c r="L737" s="1366"/>
      <c r="M737" s="1366"/>
      <c r="N737" s="1367"/>
      <c r="O737" s="1368"/>
      <c r="P737" s="1369"/>
      <c r="Q737" s="1369"/>
      <c r="R737" s="1369"/>
      <c r="S737" s="1370"/>
      <c r="T737" s="1368"/>
      <c r="U737" s="1369"/>
      <c r="V737" s="1369"/>
      <c r="W737" s="1370"/>
      <c r="X737" s="1359">
        <f t="shared" si="59"/>
        <v>0</v>
      </c>
      <c r="Y737" s="1360"/>
      <c r="Z737" s="1360"/>
      <c r="AA737" s="1360"/>
      <c r="AB737" s="1361"/>
      <c r="AC737" s="1384"/>
      <c r="AD737" s="1385"/>
      <c r="AE737" s="1385"/>
      <c r="AF737" s="1385"/>
      <c r="AG737" s="1386"/>
      <c r="AH737" s="1381" t="str">
        <f t="shared" si="60"/>
        <v/>
      </c>
      <c r="AI737" s="1382"/>
      <c r="AJ737" s="1383"/>
      <c r="AK737" s="1356" t="s">
        <v>599</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6"/>
      <c r="C738" s="1357"/>
      <c r="D738" s="1357"/>
      <c r="E738" s="1357"/>
      <c r="F738" s="1358"/>
      <c r="G738" s="1362"/>
      <c r="H738" s="1363"/>
      <c r="I738" s="1363"/>
      <c r="J738" s="1364"/>
      <c r="K738" s="1365"/>
      <c r="L738" s="1366"/>
      <c r="M738" s="1366"/>
      <c r="N738" s="1367"/>
      <c r="O738" s="1368"/>
      <c r="P738" s="1369"/>
      <c r="Q738" s="1369"/>
      <c r="R738" s="1369"/>
      <c r="S738" s="1370"/>
      <c r="T738" s="1368"/>
      <c r="U738" s="1369"/>
      <c r="V738" s="1369"/>
      <c r="W738" s="1370"/>
      <c r="X738" s="1359">
        <f t="shared" si="59"/>
        <v>0</v>
      </c>
      <c r="Y738" s="1360"/>
      <c r="Z738" s="1360"/>
      <c r="AA738" s="1360"/>
      <c r="AB738" s="1361"/>
      <c r="AC738" s="1384"/>
      <c r="AD738" s="1385"/>
      <c r="AE738" s="1385"/>
      <c r="AF738" s="1385"/>
      <c r="AG738" s="1386"/>
      <c r="AH738" s="1381" t="str">
        <f t="shared" si="60"/>
        <v/>
      </c>
      <c r="AI738" s="1382"/>
      <c r="AJ738" s="1383"/>
      <c r="AK738" s="1356" t="s">
        <v>599</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6"/>
      <c r="C739" s="1357"/>
      <c r="D739" s="1357"/>
      <c r="E739" s="1357"/>
      <c r="F739" s="1358"/>
      <c r="G739" s="1362"/>
      <c r="H739" s="1363"/>
      <c r="I739" s="1363"/>
      <c r="J739" s="1364"/>
      <c r="K739" s="1365"/>
      <c r="L739" s="1366"/>
      <c r="M739" s="1366"/>
      <c r="N739" s="1367"/>
      <c r="O739" s="1368"/>
      <c r="P739" s="1369"/>
      <c r="Q739" s="1369"/>
      <c r="R739" s="1369"/>
      <c r="S739" s="1370"/>
      <c r="T739" s="1368"/>
      <c r="U739" s="1369"/>
      <c r="V739" s="1369"/>
      <c r="W739" s="1370"/>
      <c r="X739" s="1359">
        <f t="shared" si="59"/>
        <v>0</v>
      </c>
      <c r="Y739" s="1360"/>
      <c r="Z739" s="1360"/>
      <c r="AA739" s="1360"/>
      <c r="AB739" s="1361"/>
      <c r="AC739" s="1384"/>
      <c r="AD739" s="1385"/>
      <c r="AE739" s="1385"/>
      <c r="AF739" s="1385"/>
      <c r="AG739" s="1386"/>
      <c r="AH739" s="1381" t="str">
        <f t="shared" si="60"/>
        <v/>
      </c>
      <c r="AI739" s="1382"/>
      <c r="AJ739" s="1383"/>
      <c r="AK739" s="1356" t="s">
        <v>599</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6"/>
      <c r="C740" s="1357"/>
      <c r="D740" s="1357"/>
      <c r="E740" s="1357"/>
      <c r="F740" s="1358"/>
      <c r="G740" s="1362"/>
      <c r="H740" s="1363"/>
      <c r="I740" s="1363"/>
      <c r="J740" s="1364"/>
      <c r="K740" s="1365"/>
      <c r="L740" s="1366"/>
      <c r="M740" s="1366"/>
      <c r="N740" s="1367"/>
      <c r="O740" s="1368"/>
      <c r="P740" s="1369"/>
      <c r="Q740" s="1369"/>
      <c r="R740" s="1369"/>
      <c r="S740" s="1370"/>
      <c r="T740" s="1368"/>
      <c r="U740" s="1369"/>
      <c r="V740" s="1369"/>
      <c r="W740" s="1370"/>
      <c r="X740" s="1359">
        <f t="shared" si="59"/>
        <v>0</v>
      </c>
      <c r="Y740" s="1360"/>
      <c r="Z740" s="1360"/>
      <c r="AA740" s="1360"/>
      <c r="AB740" s="1361"/>
      <c r="AC740" s="1384"/>
      <c r="AD740" s="1385"/>
      <c r="AE740" s="1385"/>
      <c r="AF740" s="1385"/>
      <c r="AG740" s="1386"/>
      <c r="AH740" s="1381" t="str">
        <f t="shared" si="60"/>
        <v/>
      </c>
      <c r="AI740" s="1382"/>
      <c r="AJ740" s="1383"/>
      <c r="AK740" s="1356" t="s">
        <v>599</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6"/>
      <c r="C741" s="1357"/>
      <c r="D741" s="1357"/>
      <c r="E741" s="1357"/>
      <c r="F741" s="1358"/>
      <c r="G741" s="1362"/>
      <c r="H741" s="1363"/>
      <c r="I741" s="1363"/>
      <c r="J741" s="1364"/>
      <c r="K741" s="1365"/>
      <c r="L741" s="1366"/>
      <c r="M741" s="1366"/>
      <c r="N741" s="1367"/>
      <c r="O741" s="1368"/>
      <c r="P741" s="1369"/>
      <c r="Q741" s="1369"/>
      <c r="R741" s="1369"/>
      <c r="S741" s="1370"/>
      <c r="T741" s="1368"/>
      <c r="U741" s="1369"/>
      <c r="V741" s="1369"/>
      <c r="W741" s="1370"/>
      <c r="X741" s="1359">
        <f t="shared" si="59"/>
        <v>0</v>
      </c>
      <c r="Y741" s="1360"/>
      <c r="Z741" s="1360"/>
      <c r="AA741" s="1360"/>
      <c r="AB741" s="1361"/>
      <c r="AC741" s="1384"/>
      <c r="AD741" s="1385"/>
      <c r="AE741" s="1385"/>
      <c r="AF741" s="1385"/>
      <c r="AG741" s="1386"/>
      <c r="AH741" s="1381" t="str">
        <f t="shared" si="60"/>
        <v/>
      </c>
      <c r="AI741" s="1382"/>
      <c r="AJ741" s="1383"/>
      <c r="AK741" s="1356" t="s">
        <v>599</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6"/>
      <c r="C742" s="1357"/>
      <c r="D742" s="1357"/>
      <c r="E742" s="1357"/>
      <c r="F742" s="1358"/>
      <c r="G742" s="1362"/>
      <c r="H742" s="1363"/>
      <c r="I742" s="1363"/>
      <c r="J742" s="1364"/>
      <c r="K742" s="1365"/>
      <c r="L742" s="1366"/>
      <c r="M742" s="1366"/>
      <c r="N742" s="1367"/>
      <c r="O742" s="1368"/>
      <c r="P742" s="1369"/>
      <c r="Q742" s="1369"/>
      <c r="R742" s="1369"/>
      <c r="S742" s="1370"/>
      <c r="T742" s="1368"/>
      <c r="U742" s="1369"/>
      <c r="V742" s="1369"/>
      <c r="W742" s="1370"/>
      <c r="X742" s="1359">
        <f t="shared" ref="X742:X751" si="61">O742+T742</f>
        <v>0</v>
      </c>
      <c r="Y742" s="1360"/>
      <c r="Z742" s="1360"/>
      <c r="AA742" s="1360"/>
      <c r="AB742" s="1361"/>
      <c r="AC742" s="1384"/>
      <c r="AD742" s="1385"/>
      <c r="AE742" s="1385"/>
      <c r="AF742" s="1385"/>
      <c r="AG742" s="1386"/>
      <c r="AH742" s="1381" t="str">
        <f t="shared" si="60"/>
        <v/>
      </c>
      <c r="AI742" s="1382"/>
      <c r="AJ742" s="1383"/>
      <c r="AK742" s="1356" t="s">
        <v>599</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6"/>
      <c r="C743" s="1357"/>
      <c r="D743" s="1357"/>
      <c r="E743" s="1357"/>
      <c r="F743" s="1358"/>
      <c r="G743" s="1362"/>
      <c r="H743" s="1363"/>
      <c r="I743" s="1363"/>
      <c r="J743" s="1364"/>
      <c r="K743" s="1365"/>
      <c r="L743" s="1366"/>
      <c r="M743" s="1366"/>
      <c r="N743" s="1367"/>
      <c r="O743" s="1368"/>
      <c r="P743" s="1369"/>
      <c r="Q743" s="1369"/>
      <c r="R743" s="1369"/>
      <c r="S743" s="1370"/>
      <c r="T743" s="1368"/>
      <c r="U743" s="1369"/>
      <c r="V743" s="1369"/>
      <c r="W743" s="1370"/>
      <c r="X743" s="1359">
        <f t="shared" si="61"/>
        <v>0</v>
      </c>
      <c r="Y743" s="1360"/>
      <c r="Z743" s="1360"/>
      <c r="AA743" s="1360"/>
      <c r="AB743" s="1361"/>
      <c r="AC743" s="1384"/>
      <c r="AD743" s="1385"/>
      <c r="AE743" s="1385"/>
      <c r="AF743" s="1385"/>
      <c r="AG743" s="1386"/>
      <c r="AH743" s="1381" t="str">
        <f t="shared" si="60"/>
        <v/>
      </c>
      <c r="AI743" s="1382"/>
      <c r="AJ743" s="1383"/>
      <c r="AK743" s="1356" t="s">
        <v>599</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6"/>
      <c r="C744" s="1357"/>
      <c r="D744" s="1357"/>
      <c r="E744" s="1357"/>
      <c r="F744" s="1358"/>
      <c r="G744" s="1362"/>
      <c r="H744" s="1363"/>
      <c r="I744" s="1363"/>
      <c r="J744" s="1364"/>
      <c r="K744" s="1365"/>
      <c r="L744" s="1366"/>
      <c r="M744" s="1366"/>
      <c r="N744" s="1367"/>
      <c r="O744" s="1368"/>
      <c r="P744" s="1369"/>
      <c r="Q744" s="1369"/>
      <c r="R744" s="1369"/>
      <c r="S744" s="1370"/>
      <c r="T744" s="1368"/>
      <c r="U744" s="1369"/>
      <c r="V744" s="1369"/>
      <c r="W744" s="1370"/>
      <c r="X744" s="1359">
        <f t="shared" si="61"/>
        <v>0</v>
      </c>
      <c r="Y744" s="1360"/>
      <c r="Z744" s="1360"/>
      <c r="AA744" s="1360"/>
      <c r="AB744" s="1361"/>
      <c r="AC744" s="1384"/>
      <c r="AD744" s="1385"/>
      <c r="AE744" s="1385"/>
      <c r="AF744" s="1385"/>
      <c r="AG744" s="1386"/>
      <c r="AH744" s="1381" t="str">
        <f t="shared" si="60"/>
        <v/>
      </c>
      <c r="AI744" s="1382"/>
      <c r="AJ744" s="1383"/>
      <c r="AK744" s="1356" t="s">
        <v>599</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6"/>
      <c r="C745" s="1357"/>
      <c r="D745" s="1357"/>
      <c r="E745" s="1357"/>
      <c r="F745" s="1358"/>
      <c r="G745" s="1362"/>
      <c r="H745" s="1363"/>
      <c r="I745" s="1363"/>
      <c r="J745" s="1364"/>
      <c r="K745" s="1365"/>
      <c r="L745" s="1366"/>
      <c r="M745" s="1366"/>
      <c r="N745" s="1367"/>
      <c r="O745" s="1368"/>
      <c r="P745" s="1369"/>
      <c r="Q745" s="1369"/>
      <c r="R745" s="1369"/>
      <c r="S745" s="1370"/>
      <c r="T745" s="1368"/>
      <c r="U745" s="1369"/>
      <c r="V745" s="1369"/>
      <c r="W745" s="1370"/>
      <c r="X745" s="1359">
        <f t="shared" si="61"/>
        <v>0</v>
      </c>
      <c r="Y745" s="1360"/>
      <c r="Z745" s="1360"/>
      <c r="AA745" s="1360"/>
      <c r="AB745" s="1361"/>
      <c r="AC745" s="1384"/>
      <c r="AD745" s="1385"/>
      <c r="AE745" s="1385"/>
      <c r="AF745" s="1385"/>
      <c r="AG745" s="1386"/>
      <c r="AH745" s="1381" t="str">
        <f t="shared" si="60"/>
        <v/>
      </c>
      <c r="AI745" s="1382"/>
      <c r="AJ745" s="1383"/>
      <c r="AK745" s="1356" t="s">
        <v>599</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6"/>
      <c r="C746" s="1357"/>
      <c r="D746" s="1357"/>
      <c r="E746" s="1357"/>
      <c r="F746" s="1358"/>
      <c r="G746" s="1362"/>
      <c r="H746" s="1363"/>
      <c r="I746" s="1363"/>
      <c r="J746" s="1364"/>
      <c r="K746" s="1365"/>
      <c r="L746" s="1366"/>
      <c r="M746" s="1366"/>
      <c r="N746" s="1367"/>
      <c r="O746" s="1368"/>
      <c r="P746" s="1369"/>
      <c r="Q746" s="1369"/>
      <c r="R746" s="1369"/>
      <c r="S746" s="1370"/>
      <c r="T746" s="1368"/>
      <c r="U746" s="1369"/>
      <c r="V746" s="1369"/>
      <c r="W746" s="1370"/>
      <c r="X746" s="1359">
        <f t="shared" si="61"/>
        <v>0</v>
      </c>
      <c r="Y746" s="1360"/>
      <c r="Z746" s="1360"/>
      <c r="AA746" s="1360"/>
      <c r="AB746" s="1361"/>
      <c r="AC746" s="1384"/>
      <c r="AD746" s="1385"/>
      <c r="AE746" s="1385"/>
      <c r="AF746" s="1385"/>
      <c r="AG746" s="1386"/>
      <c r="AH746" s="1381" t="str">
        <f t="shared" si="60"/>
        <v/>
      </c>
      <c r="AI746" s="1382"/>
      <c r="AJ746" s="1383"/>
      <c r="AK746" s="1356" t="s">
        <v>599</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6"/>
      <c r="C747" s="1357"/>
      <c r="D747" s="1357"/>
      <c r="E747" s="1357"/>
      <c r="F747" s="1358"/>
      <c r="G747" s="1362"/>
      <c r="H747" s="1363"/>
      <c r="I747" s="1363"/>
      <c r="J747" s="1364"/>
      <c r="K747" s="1365"/>
      <c r="L747" s="1366"/>
      <c r="M747" s="1366"/>
      <c r="N747" s="1367"/>
      <c r="O747" s="1368"/>
      <c r="P747" s="1369"/>
      <c r="Q747" s="1369"/>
      <c r="R747" s="1369"/>
      <c r="S747" s="1370"/>
      <c r="T747" s="1368"/>
      <c r="U747" s="1369"/>
      <c r="V747" s="1369"/>
      <c r="W747" s="1370"/>
      <c r="X747" s="1359">
        <f t="shared" si="61"/>
        <v>0</v>
      </c>
      <c r="Y747" s="1360"/>
      <c r="Z747" s="1360"/>
      <c r="AA747" s="1360"/>
      <c r="AB747" s="1361"/>
      <c r="AC747" s="1384"/>
      <c r="AD747" s="1385"/>
      <c r="AE747" s="1385"/>
      <c r="AF747" s="1385"/>
      <c r="AG747" s="1386"/>
      <c r="AH747" s="1381" t="str">
        <f t="shared" si="60"/>
        <v/>
      </c>
      <c r="AI747" s="1382"/>
      <c r="AJ747" s="1383"/>
      <c r="AK747" s="1356" t="s">
        <v>599</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6"/>
      <c r="C748" s="1357"/>
      <c r="D748" s="1357"/>
      <c r="E748" s="1357"/>
      <c r="F748" s="1358"/>
      <c r="G748" s="1362"/>
      <c r="H748" s="1363"/>
      <c r="I748" s="1363"/>
      <c r="J748" s="1364"/>
      <c r="K748" s="1365"/>
      <c r="L748" s="1366"/>
      <c r="M748" s="1366"/>
      <c r="N748" s="1367"/>
      <c r="O748" s="1368"/>
      <c r="P748" s="1369"/>
      <c r="Q748" s="1369"/>
      <c r="R748" s="1369"/>
      <c r="S748" s="1370"/>
      <c r="T748" s="1368"/>
      <c r="U748" s="1369"/>
      <c r="V748" s="1369"/>
      <c r="W748" s="1370"/>
      <c r="X748" s="1359">
        <f t="shared" si="61"/>
        <v>0</v>
      </c>
      <c r="Y748" s="1360"/>
      <c r="Z748" s="1360"/>
      <c r="AA748" s="1360"/>
      <c r="AB748" s="1361"/>
      <c r="AC748" s="1384"/>
      <c r="AD748" s="1385"/>
      <c r="AE748" s="1385"/>
      <c r="AF748" s="1385"/>
      <c r="AG748" s="1386"/>
      <c r="AH748" s="1381" t="str">
        <f t="shared" si="60"/>
        <v/>
      </c>
      <c r="AI748" s="1382"/>
      <c r="AJ748" s="1383"/>
      <c r="AK748" s="1356" t="s">
        <v>599</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6"/>
      <c r="C749" s="1357"/>
      <c r="D749" s="1357"/>
      <c r="E749" s="1357"/>
      <c r="F749" s="1358"/>
      <c r="G749" s="1362"/>
      <c r="H749" s="1363"/>
      <c r="I749" s="1363"/>
      <c r="J749" s="1364"/>
      <c r="K749" s="1365"/>
      <c r="L749" s="1366"/>
      <c r="M749" s="1366"/>
      <c r="N749" s="1367"/>
      <c r="O749" s="1368"/>
      <c r="P749" s="1369"/>
      <c r="Q749" s="1369"/>
      <c r="R749" s="1369"/>
      <c r="S749" s="1370"/>
      <c r="T749" s="1368"/>
      <c r="U749" s="1369"/>
      <c r="V749" s="1369"/>
      <c r="W749" s="1370"/>
      <c r="X749" s="1359">
        <f t="shared" si="61"/>
        <v>0</v>
      </c>
      <c r="Y749" s="1360"/>
      <c r="Z749" s="1360"/>
      <c r="AA749" s="1360"/>
      <c r="AB749" s="1361"/>
      <c r="AC749" s="1384"/>
      <c r="AD749" s="1385"/>
      <c r="AE749" s="1385"/>
      <c r="AF749" s="1385"/>
      <c r="AG749" s="1386"/>
      <c r="AH749" s="1381" t="str">
        <f t="shared" si="60"/>
        <v/>
      </c>
      <c r="AI749" s="1382"/>
      <c r="AJ749" s="1383"/>
      <c r="AK749" s="1356" t="s">
        <v>599</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6"/>
      <c r="C750" s="1357"/>
      <c r="D750" s="1357"/>
      <c r="E750" s="1357"/>
      <c r="F750" s="1358"/>
      <c r="G750" s="1362"/>
      <c r="H750" s="1363"/>
      <c r="I750" s="1363"/>
      <c r="J750" s="1364"/>
      <c r="K750" s="1365"/>
      <c r="L750" s="1366"/>
      <c r="M750" s="1366"/>
      <c r="N750" s="1367"/>
      <c r="O750" s="1368"/>
      <c r="P750" s="1369"/>
      <c r="Q750" s="1369"/>
      <c r="R750" s="1369"/>
      <c r="S750" s="1370"/>
      <c r="T750" s="1368"/>
      <c r="U750" s="1369"/>
      <c r="V750" s="1369"/>
      <c r="W750" s="1370"/>
      <c r="X750" s="1359">
        <f t="shared" si="61"/>
        <v>0</v>
      </c>
      <c r="Y750" s="1360"/>
      <c r="Z750" s="1360"/>
      <c r="AA750" s="1360"/>
      <c r="AB750" s="1361"/>
      <c r="AC750" s="1384"/>
      <c r="AD750" s="1385"/>
      <c r="AE750" s="1385"/>
      <c r="AF750" s="1385"/>
      <c r="AG750" s="1386"/>
      <c r="AH750" s="1381" t="str">
        <f t="shared" si="60"/>
        <v/>
      </c>
      <c r="AI750" s="1382"/>
      <c r="AJ750" s="1383"/>
      <c r="AK750" s="1356" t="s">
        <v>599</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6"/>
      <c r="C751" s="1357"/>
      <c r="D751" s="1357"/>
      <c r="E751" s="1357"/>
      <c r="F751" s="1358"/>
      <c r="G751" s="1362"/>
      <c r="H751" s="1363"/>
      <c r="I751" s="1363"/>
      <c r="J751" s="1364"/>
      <c r="K751" s="1365"/>
      <c r="L751" s="1366"/>
      <c r="M751" s="1366"/>
      <c r="N751" s="1367"/>
      <c r="O751" s="1368"/>
      <c r="P751" s="1369"/>
      <c r="Q751" s="1369"/>
      <c r="R751" s="1369"/>
      <c r="S751" s="1370"/>
      <c r="T751" s="1368"/>
      <c r="U751" s="1369"/>
      <c r="V751" s="1369"/>
      <c r="W751" s="1370"/>
      <c r="X751" s="1359">
        <f t="shared" si="61"/>
        <v>0</v>
      </c>
      <c r="Y751" s="1360"/>
      <c r="Z751" s="1360"/>
      <c r="AA751" s="1360"/>
      <c r="AB751" s="1361"/>
      <c r="AC751" s="1384"/>
      <c r="AD751" s="1385"/>
      <c r="AE751" s="1385"/>
      <c r="AF751" s="1385"/>
      <c r="AG751" s="1386"/>
      <c r="AH751" s="1381" t="str">
        <f t="shared" si="60"/>
        <v/>
      </c>
      <c r="AI751" s="1382"/>
      <c r="AJ751" s="1383"/>
      <c r="AK751" s="1356" t="s">
        <v>599</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6"/>
      <c r="C752" s="1357"/>
      <c r="D752" s="1357"/>
      <c r="E752" s="1357"/>
      <c r="F752" s="1358"/>
      <c r="G752" s="1362"/>
      <c r="H752" s="1363"/>
      <c r="I752" s="1363"/>
      <c r="J752" s="1364"/>
      <c r="K752" s="1365"/>
      <c r="L752" s="1366"/>
      <c r="M752" s="1366"/>
      <c r="N752" s="1367"/>
      <c r="O752" s="1368"/>
      <c r="P752" s="1369"/>
      <c r="Q752" s="1369"/>
      <c r="R752" s="1369"/>
      <c r="S752" s="1370"/>
      <c r="T752" s="1368"/>
      <c r="U752" s="1369"/>
      <c r="V752" s="1369"/>
      <c r="W752" s="1370"/>
      <c r="X752" s="1359">
        <f>O752+T752</f>
        <v>0</v>
      </c>
      <c r="Y752" s="1360"/>
      <c r="Z752" s="1360"/>
      <c r="AA752" s="1360"/>
      <c r="AB752" s="1361"/>
      <c r="AC752" s="1384"/>
      <c r="AD752" s="1385"/>
      <c r="AE752" s="1385"/>
      <c r="AF752" s="1385"/>
      <c r="AG752" s="1386"/>
      <c r="AH752" s="1381" t="str">
        <f>IF($AC752&gt;0,($X752/$BA701), "")</f>
        <v/>
      </c>
      <c r="AI752" s="1382"/>
      <c r="AJ752" s="1383"/>
      <c r="AK752" s="1356" t="s">
        <v>599</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11" t="s">
        <v>125</v>
      </c>
      <c r="C753" s="1412"/>
      <c r="D753" s="1412"/>
      <c r="E753" s="1412"/>
      <c r="F753" s="1413"/>
      <c r="G753" s="1637">
        <f>SUM(G718:G752)</f>
        <v>127</v>
      </c>
      <c r="H753" s="1638"/>
      <c r="I753" s="1638"/>
      <c r="J753" s="1639"/>
      <c r="K753" s="937" t="s">
        <v>124</v>
      </c>
      <c r="L753" s="5"/>
      <c r="M753" s="5"/>
      <c r="N753" s="46"/>
      <c r="O753" s="1359">
        <f>SUMPRODUCT(G718:G752,O718:O752)</f>
        <v>133761</v>
      </c>
      <c r="P753" s="1360"/>
      <c r="Q753" s="1360"/>
      <c r="R753" s="1360"/>
      <c r="S753" s="1361"/>
      <c r="T753"/>
      <c r="U753"/>
      <c r="V753"/>
      <c r="W753"/>
      <c r="X753" s="939" t="s">
        <v>915</v>
      </c>
      <c r="Y753" s="938"/>
      <c r="Z753" s="938"/>
      <c r="AA753" s="938"/>
      <c r="AB753" s="940"/>
      <c r="AC753" s="1652">
        <f>BI703</f>
        <v>0.48346456692913392</v>
      </c>
      <c r="AD753" s="1653"/>
      <c r="AE753" s="1653"/>
      <c r="AF753" s="1653"/>
      <c r="AG753" s="1654"/>
      <c r="AH753" s="1652">
        <f>IFERROR(BV703,"")</f>
        <v>0.4834527456261179</v>
      </c>
      <c r="AI753" s="1653"/>
      <c r="AJ753" s="165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407" t="s">
        <v>2181</v>
      </c>
      <c r="C754" s="1407"/>
      <c r="D754" s="1407"/>
      <c r="E754" s="1407"/>
      <c r="F754" s="1407"/>
      <c r="G754" s="1407"/>
      <c r="H754" s="1407"/>
      <c r="I754" s="1407"/>
      <c r="J754" s="1407"/>
      <c r="K754" s="1407"/>
      <c r="L754" s="1407"/>
      <c r="M754" s="1407"/>
      <c r="N754" s="1407"/>
      <c r="O754" s="1407"/>
      <c r="P754" s="1407"/>
      <c r="Q754" s="1407"/>
      <c r="R754" s="1407"/>
      <c r="S754" s="1407"/>
      <c r="T754" s="1407"/>
      <c r="U754" s="1407"/>
      <c r="V754" s="1407"/>
      <c r="W754" s="1407"/>
      <c r="X754" s="1407"/>
      <c r="Y754" s="1407"/>
      <c r="Z754" s="1407"/>
      <c r="AA754" s="1407"/>
      <c r="AB754" s="1407"/>
      <c r="AC754" s="1407"/>
      <c r="AD754" s="1407"/>
      <c r="AE754" s="1407"/>
      <c r="AF754" s="1407"/>
      <c r="AG754" s="1407"/>
      <c r="AH754" s="140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407"/>
      <c r="C755" s="1407"/>
      <c r="D755" s="1407"/>
      <c r="E755" s="1407"/>
      <c r="F755" s="1407"/>
      <c r="G755" s="1407"/>
      <c r="H755" s="1407"/>
      <c r="I755" s="1407"/>
      <c r="J755" s="1407"/>
      <c r="K755" s="1407"/>
      <c r="L755" s="1407"/>
      <c r="M755" s="1407"/>
      <c r="N755" s="1407"/>
      <c r="O755" s="1407"/>
      <c r="P755" s="1407"/>
      <c r="Q755" s="1407"/>
      <c r="R755" s="1407"/>
      <c r="S755" s="1407"/>
      <c r="T755" s="1407"/>
      <c r="U755" s="1407"/>
      <c r="V755" s="1407"/>
      <c r="W755" s="1407"/>
      <c r="X755" s="1407"/>
      <c r="Y755" s="1407"/>
      <c r="Z755" s="1407"/>
      <c r="AA755" s="1407"/>
      <c r="AB755" s="1407"/>
      <c r="AC755" s="1407"/>
      <c r="AD755" s="1407"/>
      <c r="AE755" s="1407"/>
      <c r="AF755" s="1407"/>
      <c r="AG755" s="1407"/>
      <c r="AH755" s="140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07">
        <f>CS634</f>
        <v>225</v>
      </c>
      <c r="P756" s="1507"/>
      <c r="Q756" s="1507"/>
      <c r="R756" s="1507"/>
      <c r="S756" s="1004"/>
      <c r="T756" s="1004"/>
      <c r="U756" s="118" t="s">
        <v>2180</v>
      </c>
      <c r="V756" s="1067"/>
      <c r="W756" s="1067"/>
      <c r="X756" s="1067"/>
      <c r="Y756" s="1068"/>
      <c r="Z756" s="1068"/>
      <c r="AA756" s="1068"/>
      <c r="AB756" s="1068"/>
      <c r="AC756" s="1067"/>
      <c r="AD756" s="1067"/>
      <c r="AE756" s="1067"/>
      <c r="AF756" s="1067"/>
      <c r="AG756" s="1651"/>
      <c r="AH756" s="1651"/>
      <c r="AI756" s="1651"/>
      <c r="AJ756" s="165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30" t="str">
        <f>IF(G753&lt;&gt;AG440,"! Total Low-Income Units in the Unit Mix Table above does not match the number of Total Low-Income Units on row #"&amp;TEXT(ROW(D440),"#"),"")</f>
        <v/>
      </c>
      <c r="D757" s="1430"/>
      <c r="E757" s="1430"/>
      <c r="F757" s="1430"/>
      <c r="G757" s="1430"/>
      <c r="H757" s="1430"/>
      <c r="I757" s="1430"/>
      <c r="J757" s="1430"/>
      <c r="K757" s="1430"/>
      <c r="L757" s="1430"/>
      <c r="M757" s="1430"/>
      <c r="N757" s="1430"/>
      <c r="O757" s="1430"/>
      <c r="P757" s="1430"/>
      <c r="Q757" s="1430"/>
      <c r="R757" s="1430"/>
      <c r="S757" s="1430"/>
      <c r="T757" s="1430"/>
      <c r="U757" s="1430"/>
      <c r="V757" s="1430"/>
      <c r="W757" s="1430"/>
      <c r="X757" s="1430"/>
      <c r="Y757" s="1430"/>
      <c r="Z757" s="1430"/>
      <c r="AA757" s="1430"/>
      <c r="AB757" s="1430"/>
      <c r="AC757" s="1430"/>
      <c r="AD757" s="1430"/>
      <c r="AE757" s="1430"/>
      <c r="AF757" s="1430"/>
      <c r="AG757" s="1430"/>
      <c r="AH757" s="1430"/>
      <c r="AI757" s="1430"/>
      <c r="AJ757" s="1430"/>
      <c r="AK757" s="1430"/>
      <c r="AL757" s="1430"/>
      <c r="AM757" s="143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30"/>
      <c r="D758" s="1430"/>
      <c r="E758" s="1430"/>
      <c r="F758" s="1430"/>
      <c r="G758" s="1430"/>
      <c r="H758" s="1430"/>
      <c r="I758" s="1430"/>
      <c r="J758" s="1430"/>
      <c r="K758" s="1430"/>
      <c r="L758" s="1430"/>
      <c r="M758" s="1430"/>
      <c r="N758" s="1430"/>
      <c r="O758" s="1430"/>
      <c r="P758" s="1430"/>
      <c r="Q758" s="1430"/>
      <c r="R758" s="1430"/>
      <c r="S758" s="1430"/>
      <c r="T758" s="1430"/>
      <c r="U758" s="1430"/>
      <c r="V758" s="1430"/>
      <c r="W758" s="1430"/>
      <c r="X758" s="1430"/>
      <c r="Y758" s="1430"/>
      <c r="Z758" s="1430"/>
      <c r="AA758" s="1430"/>
      <c r="AB758" s="1430"/>
      <c r="AC758" s="1430"/>
      <c r="AD758" s="1430"/>
      <c r="AE758" s="1430"/>
      <c r="AF758" s="1430"/>
      <c r="AG758" s="1430"/>
      <c r="AH758" s="1430"/>
      <c r="AI758" s="1430"/>
      <c r="AJ758" s="1430"/>
      <c r="AK758" s="1430"/>
      <c r="AL758" s="1430"/>
      <c r="AM758" s="143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8" t="s">
        <v>599</v>
      </c>
      <c r="AE759" s="1648"/>
      <c r="AF759" s="164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487" t="s">
        <v>390</v>
      </c>
      <c r="K769" s="1488"/>
      <c r="L769" s="1488"/>
      <c r="M769" s="1488"/>
      <c r="N769" s="1489"/>
      <c r="O769" s="1406" t="s">
        <v>286</v>
      </c>
      <c r="P769" s="1406"/>
      <c r="Q769" s="1406"/>
      <c r="R769" s="1406"/>
      <c r="S769" s="1406"/>
      <c r="T769" s="1766" t="s">
        <v>1866</v>
      </c>
      <c r="U769" s="1767"/>
      <c r="V769" s="1767"/>
      <c r="W769" s="1768"/>
      <c r="X769" s="1487" t="s">
        <v>455</v>
      </c>
      <c r="Y769" s="1488"/>
      <c r="Z769" s="1488"/>
      <c r="AA769" s="1488"/>
      <c r="AB769" s="1489"/>
      <c r="AC769" s="1487" t="s">
        <v>287</v>
      </c>
      <c r="AD769" s="1488"/>
      <c r="AE769" s="1488"/>
      <c r="AF769" s="1488"/>
      <c r="AG769" s="148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490"/>
      <c r="K770" s="1491"/>
      <c r="L770" s="1491"/>
      <c r="M770" s="1491"/>
      <c r="N770" s="1492"/>
      <c r="O770" s="1406"/>
      <c r="P770" s="1406"/>
      <c r="Q770" s="1406"/>
      <c r="R770" s="1406"/>
      <c r="S770" s="1406"/>
      <c r="T770" s="1769"/>
      <c r="U770" s="1770"/>
      <c r="V770" s="1770"/>
      <c r="W770" s="1771"/>
      <c r="X770" s="1490"/>
      <c r="Y770" s="1491"/>
      <c r="Z770" s="1491"/>
      <c r="AA770" s="1491"/>
      <c r="AB770" s="1492"/>
      <c r="AC770" s="1490"/>
      <c r="AD770" s="1491"/>
      <c r="AE770" s="1491"/>
      <c r="AF770" s="1491"/>
      <c r="AG770" s="149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490"/>
      <c r="K771" s="1491"/>
      <c r="L771" s="1491"/>
      <c r="M771" s="1491"/>
      <c r="N771" s="1492"/>
      <c r="O771" s="1406"/>
      <c r="P771" s="1406"/>
      <c r="Q771" s="1406"/>
      <c r="R771" s="1406"/>
      <c r="S771" s="1406"/>
      <c r="T771" s="1769"/>
      <c r="U771" s="1770"/>
      <c r="V771" s="1770"/>
      <c r="W771" s="1771"/>
      <c r="X771" s="1490"/>
      <c r="Y771" s="1491"/>
      <c r="Z771" s="1491"/>
      <c r="AA771" s="1491"/>
      <c r="AB771" s="1492"/>
      <c r="AC771" s="1490"/>
      <c r="AD771" s="1491"/>
      <c r="AE771" s="1491"/>
      <c r="AF771" s="1491"/>
      <c r="AG771" s="149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93"/>
      <c r="K772" s="1494"/>
      <c r="L772" s="1494"/>
      <c r="M772" s="1494"/>
      <c r="N772" s="1495"/>
      <c r="O772" s="1406"/>
      <c r="P772" s="1406"/>
      <c r="Q772" s="1406"/>
      <c r="R772" s="1406"/>
      <c r="S772" s="1406"/>
      <c r="T772" s="1772"/>
      <c r="U772" s="1773"/>
      <c r="V772" s="1773"/>
      <c r="W772" s="1774"/>
      <c r="X772" s="1493"/>
      <c r="Y772" s="1494"/>
      <c r="Z772" s="1494"/>
      <c r="AA772" s="1494"/>
      <c r="AB772" s="1495"/>
      <c r="AC772" s="1493"/>
      <c r="AD772" s="1494"/>
      <c r="AE772" s="1494"/>
      <c r="AF772" s="1494"/>
      <c r="AG772" s="149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6" t="s">
        <v>164</v>
      </c>
      <c r="K773" s="1357"/>
      <c r="L773" s="1357"/>
      <c r="M773" s="1357"/>
      <c r="N773" s="1358"/>
      <c r="O773" s="1378">
        <v>1</v>
      </c>
      <c r="P773" s="1378"/>
      <c r="Q773" s="1378"/>
      <c r="R773" s="1378"/>
      <c r="S773" s="1378"/>
      <c r="T773" s="1365">
        <v>1218</v>
      </c>
      <c r="U773" s="1366"/>
      <c r="V773" s="1366"/>
      <c r="W773" s="1367"/>
      <c r="X773" s="1368">
        <v>0</v>
      </c>
      <c r="Y773" s="1369"/>
      <c r="Z773" s="1369"/>
      <c r="AA773" s="1369"/>
      <c r="AB773" s="1370"/>
      <c r="AC773" s="1359">
        <f>X773*O773</f>
        <v>0</v>
      </c>
      <c r="AD773" s="1360"/>
      <c r="AE773" s="1360"/>
      <c r="AF773" s="1360"/>
      <c r="AG773" s="136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6"/>
      <c r="K774" s="1357"/>
      <c r="L774" s="1357"/>
      <c r="M774" s="1357"/>
      <c r="N774" s="1358"/>
      <c r="O774" s="1378"/>
      <c r="P774" s="1378"/>
      <c r="Q774" s="1378"/>
      <c r="R774" s="1378"/>
      <c r="S774" s="1378"/>
      <c r="T774" s="1365"/>
      <c r="U774" s="1366"/>
      <c r="V774" s="1366"/>
      <c r="W774" s="1367"/>
      <c r="X774" s="1368"/>
      <c r="Y774" s="1369"/>
      <c r="Z774" s="1369"/>
      <c r="AA774" s="1369"/>
      <c r="AB774" s="1370"/>
      <c r="AC774" s="1359">
        <f>X774*O774</f>
        <v>0</v>
      </c>
      <c r="AD774" s="1360"/>
      <c r="AE774" s="1360"/>
      <c r="AF774" s="1360"/>
      <c r="AG774" s="136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6"/>
      <c r="K775" s="1357"/>
      <c r="L775" s="1357"/>
      <c r="M775" s="1357"/>
      <c r="N775" s="1358"/>
      <c r="O775" s="1378"/>
      <c r="P775" s="1378"/>
      <c r="Q775" s="1378"/>
      <c r="R775" s="1378"/>
      <c r="S775" s="1378"/>
      <c r="T775" s="1365"/>
      <c r="U775" s="1366"/>
      <c r="V775" s="1366"/>
      <c r="W775" s="1367"/>
      <c r="X775" s="1368"/>
      <c r="Y775" s="1369"/>
      <c r="Z775" s="1369"/>
      <c r="AA775" s="1369"/>
      <c r="AB775" s="1370"/>
      <c r="AC775" s="1359">
        <f>X775*O775</f>
        <v>0</v>
      </c>
      <c r="AD775" s="1360"/>
      <c r="AE775" s="1360"/>
      <c r="AF775" s="1360"/>
      <c r="AG775" s="136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6"/>
      <c r="K776" s="1357"/>
      <c r="L776" s="1357"/>
      <c r="M776" s="1357"/>
      <c r="N776" s="1358"/>
      <c r="O776" s="1378"/>
      <c r="P776" s="1378"/>
      <c r="Q776" s="1378"/>
      <c r="R776" s="1378"/>
      <c r="S776" s="1378"/>
      <c r="T776" s="1365"/>
      <c r="U776" s="1366"/>
      <c r="V776" s="1366"/>
      <c r="W776" s="1367"/>
      <c r="X776" s="1368"/>
      <c r="Y776" s="1369"/>
      <c r="Z776" s="1369"/>
      <c r="AA776" s="1369"/>
      <c r="AB776" s="1370"/>
      <c r="AC776" s="1359">
        <f>X776*O776</f>
        <v>0</v>
      </c>
      <c r="AD776" s="1360"/>
      <c r="AE776" s="1360"/>
      <c r="AF776" s="1360"/>
      <c r="AG776" s="136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11" t="s">
        <v>125</v>
      </c>
      <c r="K777" s="1412"/>
      <c r="L777" s="1412"/>
      <c r="M777" s="1412"/>
      <c r="N777" s="1413"/>
      <c r="O777" s="1509">
        <f>SUM(O773:S776)</f>
        <v>1</v>
      </c>
      <c r="P777" s="1510"/>
      <c r="Q777" s="1510"/>
      <c r="R777" s="1510"/>
      <c r="S777" s="1511"/>
      <c r="X777" s="1411" t="s">
        <v>124</v>
      </c>
      <c r="Y777" s="1412"/>
      <c r="Z777" s="1412"/>
      <c r="AA777" s="1412"/>
      <c r="AB777" s="1413"/>
      <c r="AC777" s="1359">
        <f>SUM(AC773:AG776)</f>
        <v>0</v>
      </c>
      <c r="AD777" s="1360"/>
      <c r="AE777" s="1360"/>
      <c r="AF777" s="1360"/>
      <c r="AG777" s="136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9" t="s">
        <v>677</v>
      </c>
      <c r="K779" s="1649"/>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487" t="s">
        <v>390</v>
      </c>
      <c r="K783" s="1488"/>
      <c r="L783" s="1488"/>
      <c r="M783" s="1488"/>
      <c r="N783" s="1489"/>
      <c r="O783" s="1406" t="s">
        <v>286</v>
      </c>
      <c r="P783" s="1406"/>
      <c r="Q783" s="1406"/>
      <c r="R783" s="1406"/>
      <c r="S783" s="1406"/>
      <c r="T783" s="1766" t="s">
        <v>1866</v>
      </c>
      <c r="U783" s="1767"/>
      <c r="V783" s="1767"/>
      <c r="W783" s="1768"/>
      <c r="X783" s="1487" t="s">
        <v>455</v>
      </c>
      <c r="Y783" s="1488"/>
      <c r="Z783" s="1488"/>
      <c r="AA783" s="1488"/>
      <c r="AB783" s="1489"/>
      <c r="AC783" s="1487" t="s">
        <v>287</v>
      </c>
      <c r="AD783" s="1488"/>
      <c r="AE783" s="1488"/>
      <c r="AF783" s="1488"/>
      <c r="AG783" s="148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490"/>
      <c r="K784" s="1491"/>
      <c r="L784" s="1491"/>
      <c r="M784" s="1491"/>
      <c r="N784" s="1492"/>
      <c r="O784" s="1406"/>
      <c r="P784" s="1406"/>
      <c r="Q784" s="1406"/>
      <c r="R784" s="1406"/>
      <c r="S784" s="1406"/>
      <c r="T784" s="1769"/>
      <c r="U784" s="1770"/>
      <c r="V784" s="1770"/>
      <c r="W784" s="1771"/>
      <c r="X784" s="1490"/>
      <c r="Y784" s="1491"/>
      <c r="Z784" s="1491"/>
      <c r="AA784" s="1491"/>
      <c r="AB784" s="1492"/>
      <c r="AC784" s="1490"/>
      <c r="AD784" s="1491"/>
      <c r="AE784" s="1491"/>
      <c r="AF784" s="1491"/>
      <c r="AG784" s="149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490"/>
      <c r="K785" s="1491"/>
      <c r="L785" s="1491"/>
      <c r="M785" s="1491"/>
      <c r="N785" s="1492"/>
      <c r="O785" s="1406"/>
      <c r="P785" s="1406"/>
      <c r="Q785" s="1406"/>
      <c r="R785" s="1406"/>
      <c r="S785" s="1406"/>
      <c r="T785" s="1769"/>
      <c r="U785" s="1770"/>
      <c r="V785" s="1770"/>
      <c r="W785" s="1771"/>
      <c r="X785" s="1490"/>
      <c r="Y785" s="1491"/>
      <c r="Z785" s="1491"/>
      <c r="AA785" s="1491"/>
      <c r="AB785" s="1492"/>
      <c r="AC785" s="1490"/>
      <c r="AD785" s="1491"/>
      <c r="AE785" s="1491"/>
      <c r="AF785" s="1491"/>
      <c r="AG785" s="149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93"/>
      <c r="K786" s="1494"/>
      <c r="L786" s="1494"/>
      <c r="M786" s="1494"/>
      <c r="N786" s="1495"/>
      <c r="O786" s="1406"/>
      <c r="P786" s="1406"/>
      <c r="Q786" s="1406"/>
      <c r="R786" s="1406"/>
      <c r="S786" s="1406"/>
      <c r="T786" s="1772"/>
      <c r="U786" s="1773"/>
      <c r="V786" s="1773"/>
      <c r="W786" s="1774"/>
      <c r="X786" s="1493"/>
      <c r="Y786" s="1494"/>
      <c r="Z786" s="1494"/>
      <c r="AA786" s="1494"/>
      <c r="AB786" s="1495"/>
      <c r="AC786" s="1493"/>
      <c r="AD786" s="1494"/>
      <c r="AE786" s="1494"/>
      <c r="AF786" s="1494"/>
      <c r="AG786" s="149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6"/>
      <c r="K787" s="1357"/>
      <c r="L787" s="1357"/>
      <c r="M787" s="1357"/>
      <c r="N787" s="1358"/>
      <c r="O787" s="1378"/>
      <c r="P787" s="1378"/>
      <c r="Q787" s="1378"/>
      <c r="R787" s="1378"/>
      <c r="S787" s="1378"/>
      <c r="T787" s="1365"/>
      <c r="U787" s="1366"/>
      <c r="V787" s="1366"/>
      <c r="W787" s="1367"/>
      <c r="X787" s="1368"/>
      <c r="Y787" s="1369"/>
      <c r="Z787" s="1369"/>
      <c r="AA787" s="1369"/>
      <c r="AB787" s="1370"/>
      <c r="AC787" s="1359">
        <f t="shared" ref="AC787:AC796" si="62">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6"/>
      <c r="K788" s="1357"/>
      <c r="L788" s="1357"/>
      <c r="M788" s="1357"/>
      <c r="N788" s="1358"/>
      <c r="O788" s="1378"/>
      <c r="P788" s="1378"/>
      <c r="Q788" s="1378"/>
      <c r="R788" s="1378"/>
      <c r="S788" s="1378"/>
      <c r="T788" s="1365"/>
      <c r="U788" s="1366"/>
      <c r="V788" s="1366"/>
      <c r="W788" s="1367"/>
      <c r="X788" s="1368"/>
      <c r="Y788" s="1369"/>
      <c r="Z788" s="1369"/>
      <c r="AA788" s="1369"/>
      <c r="AB788" s="1370"/>
      <c r="AC788" s="1359">
        <f t="shared" si="62"/>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6"/>
      <c r="K789" s="1357"/>
      <c r="L789" s="1357"/>
      <c r="M789" s="1357"/>
      <c r="N789" s="1358"/>
      <c r="O789" s="1378"/>
      <c r="P789" s="1378"/>
      <c r="Q789" s="1378"/>
      <c r="R789" s="1378"/>
      <c r="S789" s="1378"/>
      <c r="T789" s="1365"/>
      <c r="U789" s="1366"/>
      <c r="V789" s="1366"/>
      <c r="W789" s="1367"/>
      <c r="X789" s="1368"/>
      <c r="Y789" s="1369"/>
      <c r="Z789" s="1369"/>
      <c r="AA789" s="1369"/>
      <c r="AB789" s="1370"/>
      <c r="AC789" s="1359">
        <f t="shared" si="62"/>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6"/>
      <c r="K790" s="1357"/>
      <c r="L790" s="1357"/>
      <c r="M790" s="1357"/>
      <c r="N790" s="1358"/>
      <c r="O790" s="1378"/>
      <c r="P790" s="1378"/>
      <c r="Q790" s="1378"/>
      <c r="R790" s="1378"/>
      <c r="S790" s="1378"/>
      <c r="T790" s="1365"/>
      <c r="U790" s="1366"/>
      <c r="V790" s="1366"/>
      <c r="W790" s="1367"/>
      <c r="X790" s="1368"/>
      <c r="Y790" s="1369"/>
      <c r="Z790" s="1369"/>
      <c r="AA790" s="1369"/>
      <c r="AB790" s="1370"/>
      <c r="AC790" s="1359">
        <f t="shared" si="62"/>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6"/>
      <c r="K791" s="1357"/>
      <c r="L791" s="1357"/>
      <c r="M791" s="1357"/>
      <c r="N791" s="1358"/>
      <c r="O791" s="1378"/>
      <c r="P791" s="1378"/>
      <c r="Q791" s="1378"/>
      <c r="R791" s="1378"/>
      <c r="S791" s="1378"/>
      <c r="T791" s="1365"/>
      <c r="U791" s="1366"/>
      <c r="V791" s="1366"/>
      <c r="W791" s="1367"/>
      <c r="X791" s="1368"/>
      <c r="Y791" s="1369"/>
      <c r="Z791" s="1369"/>
      <c r="AA791" s="1369"/>
      <c r="AB791" s="1370"/>
      <c r="AC791" s="1359">
        <f t="shared" si="62"/>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6"/>
      <c r="K792" s="1357"/>
      <c r="L792" s="1357"/>
      <c r="M792" s="1357"/>
      <c r="N792" s="1358"/>
      <c r="O792" s="1378"/>
      <c r="P792" s="1378"/>
      <c r="Q792" s="1378"/>
      <c r="R792" s="1378"/>
      <c r="S792" s="1378"/>
      <c r="T792" s="1365"/>
      <c r="U792" s="1366"/>
      <c r="V792" s="1366"/>
      <c r="W792" s="1367"/>
      <c r="X792" s="1368"/>
      <c r="Y792" s="1369"/>
      <c r="Z792" s="1369"/>
      <c r="AA792" s="1369"/>
      <c r="AB792" s="1370"/>
      <c r="AC792" s="1359">
        <f t="shared" si="62"/>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6"/>
      <c r="K793" s="1357"/>
      <c r="L793" s="1357"/>
      <c r="M793" s="1357"/>
      <c r="N793" s="1358"/>
      <c r="O793" s="1378"/>
      <c r="P793" s="1378"/>
      <c r="Q793" s="1378"/>
      <c r="R793" s="1378"/>
      <c r="S793" s="1378"/>
      <c r="T793" s="1365"/>
      <c r="U793" s="1366"/>
      <c r="V793" s="1366"/>
      <c r="W793" s="1367"/>
      <c r="X793" s="1368"/>
      <c r="Y793" s="1369"/>
      <c r="Z793" s="1369"/>
      <c r="AA793" s="1369"/>
      <c r="AB793" s="1370"/>
      <c r="AC793" s="1359">
        <f t="shared" si="62"/>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6"/>
      <c r="K794" s="1357"/>
      <c r="L794" s="1357"/>
      <c r="M794" s="1357"/>
      <c r="N794" s="1358"/>
      <c r="O794" s="1378"/>
      <c r="P794" s="1378"/>
      <c r="Q794" s="1378"/>
      <c r="R794" s="1378"/>
      <c r="S794" s="1378"/>
      <c r="T794" s="1365"/>
      <c r="U794" s="1366"/>
      <c r="V794" s="1366"/>
      <c r="W794" s="1367"/>
      <c r="X794" s="1368"/>
      <c r="Y794" s="1369"/>
      <c r="Z794" s="1369"/>
      <c r="AA794" s="1369"/>
      <c r="AB794" s="1370"/>
      <c r="AC794" s="1359">
        <f t="shared" si="62"/>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6"/>
      <c r="K795" s="1357"/>
      <c r="L795" s="1357"/>
      <c r="M795" s="1357"/>
      <c r="N795" s="1358"/>
      <c r="O795" s="1378"/>
      <c r="P795" s="1378"/>
      <c r="Q795" s="1378"/>
      <c r="R795" s="1378"/>
      <c r="S795" s="1378"/>
      <c r="T795" s="1365"/>
      <c r="U795" s="1366"/>
      <c r="V795" s="1366"/>
      <c r="W795" s="1367"/>
      <c r="X795" s="1368"/>
      <c r="Y795" s="1369"/>
      <c r="Z795" s="1369"/>
      <c r="AA795" s="1369"/>
      <c r="AB795" s="1370"/>
      <c r="AC795" s="1359">
        <f t="shared" si="62"/>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6"/>
      <c r="K796" s="1357"/>
      <c r="L796" s="1357"/>
      <c r="M796" s="1357"/>
      <c r="N796" s="1358"/>
      <c r="O796" s="1378"/>
      <c r="P796" s="1378"/>
      <c r="Q796" s="1378"/>
      <c r="R796" s="1378"/>
      <c r="S796" s="1378"/>
      <c r="T796" s="1365"/>
      <c r="U796" s="1366"/>
      <c r="V796" s="1366"/>
      <c r="W796" s="1367"/>
      <c r="X796" s="1368"/>
      <c r="Y796" s="1369"/>
      <c r="Z796" s="1369"/>
      <c r="AA796" s="1369"/>
      <c r="AB796" s="1370"/>
      <c r="AC796" s="1359">
        <f t="shared" si="62"/>
        <v>0</v>
      </c>
      <c r="AD796" s="1360"/>
      <c r="AE796" s="1360"/>
      <c r="AF796" s="1360"/>
      <c r="AG796" s="136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5" t="s">
        <v>477</v>
      </c>
      <c r="BO796" s="1676"/>
      <c r="BP796" s="3"/>
      <c r="BQ796" s="3"/>
      <c r="BR796" s="3"/>
      <c r="BS796" s="14" t="s">
        <v>642</v>
      </c>
      <c r="BT796" s="14"/>
      <c r="BU796" s="14"/>
      <c r="BV796" s="14"/>
      <c r="BW796" s="14"/>
      <c r="BX796" s="14"/>
      <c r="BY796" s="14"/>
      <c r="BZ796" s="14"/>
      <c r="CA796" s="14"/>
      <c r="CB796" s="1672" t="str">
        <f>T189</f>
        <v>El Dorado</v>
      </c>
      <c r="CC796" s="1673"/>
      <c r="CD796" s="1673"/>
      <c r="CE796" s="1673"/>
      <c r="CF796" s="1673"/>
      <c r="CG796" s="1673"/>
      <c r="CH796" s="167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11" t="s">
        <v>125</v>
      </c>
      <c r="K797" s="1412"/>
      <c r="L797" s="1412"/>
      <c r="M797" s="1412"/>
      <c r="N797" s="1413"/>
      <c r="O797" s="1506">
        <f>SUM(O787:S796)</f>
        <v>0</v>
      </c>
      <c r="P797" s="1506"/>
      <c r="Q797" s="1506"/>
      <c r="R797" s="1506"/>
      <c r="S797" s="1506"/>
      <c r="T797"/>
      <c r="U797"/>
      <c r="V797"/>
      <c r="W797"/>
      <c r="X797" s="937" t="s">
        <v>124</v>
      </c>
      <c r="Y797" s="11"/>
      <c r="Z797" s="11"/>
      <c r="AA797" s="11"/>
      <c r="AB797" s="944"/>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764" t="str">
        <f>IF(O797&lt;&gt;AG438,"! Total market rate units in the Unit Mix Table above does not match the number of  market rate units on row #"&amp;TEXT(ROW(D438),"#"),"")</f>
        <v/>
      </c>
      <c r="D798" s="1764"/>
      <c r="E798" s="1764"/>
      <c r="F798" s="1764"/>
      <c r="G798" s="1764"/>
      <c r="H798" s="1764"/>
      <c r="I798" s="1764"/>
      <c r="J798" s="1764"/>
      <c r="K798" s="1764"/>
      <c r="L798" s="1764"/>
      <c r="M798" s="1764"/>
      <c r="N798" s="1764"/>
      <c r="O798" s="1764"/>
      <c r="P798" s="1764"/>
      <c r="Q798" s="1764"/>
      <c r="R798" s="1764"/>
      <c r="S798" s="1764"/>
      <c r="T798" s="1764"/>
      <c r="U798" s="1764"/>
      <c r="V798" s="1764"/>
      <c r="W798" s="1764"/>
      <c r="X798" s="1764"/>
      <c r="Y798" s="1764"/>
      <c r="Z798" s="1764"/>
      <c r="AA798" s="1764"/>
      <c r="AB798" s="1764"/>
      <c r="AC798" s="1764"/>
      <c r="AD798" s="1764"/>
      <c r="AE798" s="1764"/>
      <c r="AF798" s="1764"/>
      <c r="AG798" s="1764"/>
      <c r="AH798" s="1764"/>
      <c r="AI798" s="1764"/>
      <c r="AJ798" s="1764"/>
      <c r="AK798" s="1764"/>
      <c r="AL798" s="1764"/>
      <c r="AM798" s="1764"/>
      <c r="AN798" s="176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764"/>
      <c r="D799" s="1764"/>
      <c r="E799" s="1764"/>
      <c r="F799" s="1764"/>
      <c r="G799" s="1764"/>
      <c r="H799" s="1764"/>
      <c r="I799" s="1764"/>
      <c r="J799" s="1764"/>
      <c r="K799" s="1764"/>
      <c r="L799" s="1764"/>
      <c r="M799" s="1764"/>
      <c r="N799" s="1764"/>
      <c r="O799" s="1764"/>
      <c r="P799" s="1764"/>
      <c r="Q799" s="1764"/>
      <c r="R799" s="1764"/>
      <c r="S799" s="1764"/>
      <c r="T799" s="1764"/>
      <c r="U799" s="1764"/>
      <c r="V799" s="1764"/>
      <c r="W799" s="1764"/>
      <c r="X799" s="1764"/>
      <c r="Y799" s="1764"/>
      <c r="Z799" s="1764"/>
      <c r="AA799" s="1764"/>
      <c r="AB799" s="1764"/>
      <c r="AC799" s="1764"/>
      <c r="AD799" s="1764"/>
      <c r="AE799" s="1764"/>
      <c r="AF799" s="1764"/>
      <c r="AG799" s="1764"/>
      <c r="AH799" s="1764"/>
      <c r="AI799" s="1764"/>
      <c r="AJ799" s="1764"/>
      <c r="AK799" s="1764"/>
      <c r="AL799" s="1764"/>
      <c r="AM799" s="1764"/>
      <c r="AN799" s="176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7">
        <f>O753+AC777+AC797</f>
        <v>133761</v>
      </c>
      <c r="Z800" s="1747"/>
      <c r="AA800" s="1747"/>
      <c r="AB800" s="1747"/>
      <c r="AC800" s="174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7">
        <f>(O753+AC777+AC797)*12</f>
        <v>1605132</v>
      </c>
      <c r="Z801" s="1747"/>
      <c r="AA801" s="1747"/>
      <c r="AB801" s="1747"/>
      <c r="AC801" s="174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03">
        <v>0</v>
      </c>
      <c r="AA806" s="1404"/>
      <c r="AB806" s="1404"/>
      <c r="AC806" s="1404"/>
      <c r="AD806" s="1404"/>
      <c r="AE806" s="14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76" t="s">
        <v>599</v>
      </c>
      <c r="AA807" s="1404"/>
      <c r="AB807" s="1404"/>
      <c r="AC807" s="1404"/>
      <c r="AD807" s="1404"/>
      <c r="AE807" s="14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75" t="s">
        <v>599</v>
      </c>
      <c r="AA808" s="1585"/>
      <c r="AB808" s="1585"/>
      <c r="AC808" s="1585"/>
      <c r="AD808" s="1585"/>
      <c r="AE808" s="158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5">
        <f>'Subsidy Contract Calculation'!J40</f>
        <v>0</v>
      </c>
      <c r="AA809" s="1656"/>
      <c r="AB809" s="1656"/>
      <c r="AC809" s="1656"/>
      <c r="AD809" s="1656"/>
      <c r="AE809" s="165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1">
        <v>15240</v>
      </c>
      <c r="AA813" s="1522"/>
      <c r="AB813" s="1522"/>
      <c r="AC813" s="1522"/>
      <c r="AD813" s="1522"/>
      <c r="AE813" s="152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1">
        <v>10000</v>
      </c>
      <c r="AA814" s="1522"/>
      <c r="AB814" s="1522"/>
      <c r="AC814" s="1522"/>
      <c r="AD814" s="1522"/>
      <c r="AE814" s="152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1"/>
      <c r="AA815" s="1522"/>
      <c r="AB815" s="1522"/>
      <c r="AC815" s="1522"/>
      <c r="AD815" s="1522"/>
      <c r="AE815" s="152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75" t="s">
        <v>2722</v>
      </c>
      <c r="Q816" s="1376"/>
      <c r="R816" s="1376"/>
      <c r="S816" s="1376"/>
      <c r="T816" s="1376"/>
      <c r="U816" s="1376"/>
      <c r="V816" s="1376"/>
      <c r="W816" s="1376"/>
      <c r="X816" s="1376"/>
      <c r="Y816" s="1377"/>
      <c r="Z816" s="1521">
        <v>25000</v>
      </c>
      <c r="AA816" s="1522"/>
      <c r="AB816" s="1522"/>
      <c r="AC816" s="1522"/>
      <c r="AD816" s="1522"/>
      <c r="AE816" s="152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5">
        <f>SUM(Z813:AE816)</f>
        <v>50240</v>
      </c>
      <c r="AA817" s="1656"/>
      <c r="AB817" s="1656"/>
      <c r="AC817" s="1656"/>
      <c r="AD817" s="1656"/>
      <c r="AE817" s="165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55">
        <f>Z817+Y801+Z809</f>
        <v>1655372</v>
      </c>
      <c r="AA818" s="1656"/>
      <c r="AB818" s="1656"/>
      <c r="AC818" s="1656"/>
      <c r="AD818" s="1656"/>
      <c r="AE818" s="165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6" t="s">
        <v>126</v>
      </c>
      <c r="N823" s="1626"/>
      <c r="O823" s="1626"/>
      <c r="P823" s="1659"/>
      <c r="Q823" s="1402" t="s">
        <v>291</v>
      </c>
      <c r="R823" s="1402"/>
      <c r="S823" s="1402"/>
      <c r="T823" s="1402"/>
      <c r="U823" s="1402" t="s">
        <v>292</v>
      </c>
      <c r="V823" s="1402"/>
      <c r="W823" s="1402"/>
      <c r="X823" s="1402"/>
      <c r="Y823" s="1402" t="s">
        <v>293</v>
      </c>
      <c r="Z823" s="1402"/>
      <c r="AA823" s="1402"/>
      <c r="AB823" s="1402"/>
      <c r="AC823" s="1402" t="s">
        <v>362</v>
      </c>
      <c r="AD823" s="1402"/>
      <c r="AE823" s="1402"/>
      <c r="AF823" s="1402"/>
      <c r="AG823" s="1765" t="s">
        <v>336</v>
      </c>
      <c r="AH823" s="1765"/>
      <c r="AI823" s="1765"/>
      <c r="AJ823" s="176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60"/>
      <c r="Q824" s="1402"/>
      <c r="R824" s="1402"/>
      <c r="S824" s="1402"/>
      <c r="T824" s="1402"/>
      <c r="U824" s="1402"/>
      <c r="V824" s="1402"/>
      <c r="W824" s="1402"/>
      <c r="X824" s="1402"/>
      <c r="Y824" s="1402"/>
      <c r="Z824" s="1402"/>
      <c r="AA824" s="1402"/>
      <c r="AB824" s="1402"/>
      <c r="AC824" s="1402"/>
      <c r="AD824" s="1402"/>
      <c r="AE824" s="1402"/>
      <c r="AF824" s="1402"/>
      <c r="AG824" s="1765"/>
      <c r="AH824" s="1765"/>
      <c r="AI824" s="1765"/>
      <c r="AJ824" s="176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2" t="s">
        <v>40</v>
      </c>
      <c r="D825" s="1417"/>
      <c r="E825" s="1417"/>
      <c r="F825" s="1417"/>
      <c r="G825" s="1417"/>
      <c r="H825" s="1417"/>
      <c r="I825" s="48"/>
      <c r="J825" s="48"/>
      <c r="K825" s="48"/>
      <c r="L825" s="49"/>
      <c r="M825" s="1645"/>
      <c r="N825" s="1645"/>
      <c r="O825" s="1645"/>
      <c r="P825" s="1645"/>
      <c r="Q825" s="1645">
        <v>101</v>
      </c>
      <c r="R825" s="1645"/>
      <c r="S825" s="1645"/>
      <c r="T825" s="1645"/>
      <c r="U825" s="1645">
        <v>139</v>
      </c>
      <c r="V825" s="1645"/>
      <c r="W825" s="1645"/>
      <c r="X825" s="1645"/>
      <c r="Y825" s="1645">
        <v>145</v>
      </c>
      <c r="Z825" s="1645"/>
      <c r="AA825" s="1645"/>
      <c r="AB825" s="1645"/>
      <c r="AC825" s="1469"/>
      <c r="AD825" s="1470"/>
      <c r="AE825" s="1470"/>
      <c r="AF825" s="1471"/>
      <c r="AG825" s="1469"/>
      <c r="AH825" s="1470"/>
      <c r="AI825" s="1470"/>
      <c r="AJ825" s="147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0" t="s">
        <v>41</v>
      </c>
      <c r="D826" s="1647"/>
      <c r="E826" s="1647"/>
      <c r="F826" s="1647"/>
      <c r="G826" s="1647"/>
      <c r="H826" s="1647"/>
      <c r="I826" s="5"/>
      <c r="J826" s="5"/>
      <c r="K826" s="5"/>
      <c r="L826" s="46"/>
      <c r="M826" s="1645"/>
      <c r="N826" s="1645"/>
      <c r="O826" s="1645"/>
      <c r="P826" s="1645"/>
      <c r="Q826" s="1645"/>
      <c r="R826" s="1645"/>
      <c r="S826" s="1645"/>
      <c r="T826" s="1645"/>
      <c r="U826" s="1645"/>
      <c r="V826" s="1645"/>
      <c r="W826" s="1645"/>
      <c r="X826" s="1645"/>
      <c r="Y826" s="1645"/>
      <c r="Z826" s="1645"/>
      <c r="AA826" s="1645"/>
      <c r="AB826" s="1645"/>
      <c r="AC826" s="1469"/>
      <c r="AD826" s="1470"/>
      <c r="AE826" s="1470"/>
      <c r="AF826" s="1471"/>
      <c r="AG826" s="1469"/>
      <c r="AH826" s="1470"/>
      <c r="AI826" s="1470"/>
      <c r="AJ826" s="147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0" t="s">
        <v>42</v>
      </c>
      <c r="D827" s="1647"/>
      <c r="E827" s="1647"/>
      <c r="F827" s="1647"/>
      <c r="G827" s="1647"/>
      <c r="H827" s="1647"/>
      <c r="I827" s="60"/>
      <c r="J827" s="60"/>
      <c r="K827" s="60"/>
      <c r="L827" s="61"/>
      <c r="M827" s="1645"/>
      <c r="N827" s="1645"/>
      <c r="O827" s="1645"/>
      <c r="P827" s="1645"/>
      <c r="Q827" s="1645">
        <v>17</v>
      </c>
      <c r="R827" s="1645"/>
      <c r="S827" s="1645"/>
      <c r="T827" s="1645"/>
      <c r="U827" s="1645">
        <v>21</v>
      </c>
      <c r="V827" s="1645"/>
      <c r="W827" s="1645"/>
      <c r="X827" s="1645"/>
      <c r="Y827" s="1645">
        <v>27</v>
      </c>
      <c r="Z827" s="1645"/>
      <c r="AA827" s="1645"/>
      <c r="AB827" s="1645"/>
      <c r="AC827" s="1469"/>
      <c r="AD827" s="1470"/>
      <c r="AE827" s="1470"/>
      <c r="AF827" s="1471"/>
      <c r="AG827" s="1469"/>
      <c r="AH827" s="1470"/>
      <c r="AI827" s="1470"/>
      <c r="AJ827" s="147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0" t="s">
        <v>771</v>
      </c>
      <c r="D828" s="1647"/>
      <c r="E828" s="1647"/>
      <c r="F828" s="1647"/>
      <c r="G828" s="1647"/>
      <c r="H828" s="1647"/>
      <c r="I828" s="60"/>
      <c r="J828" s="60"/>
      <c r="K828" s="60"/>
      <c r="L828" s="61"/>
      <c r="M828" s="1645"/>
      <c r="N828" s="1645"/>
      <c r="O828" s="1645"/>
      <c r="P828" s="1645"/>
      <c r="Q828" s="1645"/>
      <c r="R828" s="1645"/>
      <c r="S828" s="1645"/>
      <c r="T828" s="1645"/>
      <c r="U828" s="1645"/>
      <c r="V828" s="1645"/>
      <c r="W828" s="1645"/>
      <c r="X828" s="1645"/>
      <c r="Y828" s="1645"/>
      <c r="Z828" s="1645"/>
      <c r="AA828" s="1645"/>
      <c r="AB828" s="1645"/>
      <c r="AC828" s="1469"/>
      <c r="AD828" s="1470"/>
      <c r="AE828" s="1470"/>
      <c r="AF828" s="1471"/>
      <c r="AG828" s="1469"/>
      <c r="AH828" s="1470"/>
      <c r="AI828" s="1470"/>
      <c r="AJ828" s="147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0" t="s">
        <v>467</v>
      </c>
      <c r="D829" s="1647"/>
      <c r="E829" s="1647"/>
      <c r="F829" s="1647"/>
      <c r="G829" s="1647"/>
      <c r="H829" s="1647"/>
      <c r="I829" s="60"/>
      <c r="J829" s="60"/>
      <c r="K829" s="60"/>
      <c r="L829" s="61"/>
      <c r="M829" s="1645"/>
      <c r="N829" s="1645"/>
      <c r="O829" s="1645"/>
      <c r="P829" s="1645"/>
      <c r="Q829" s="1645"/>
      <c r="R829" s="1645"/>
      <c r="S829" s="1645"/>
      <c r="T829" s="1645"/>
      <c r="U829" s="1645"/>
      <c r="V829" s="1645"/>
      <c r="W829" s="1645"/>
      <c r="X829" s="1645"/>
      <c r="Y829" s="1645"/>
      <c r="Z829" s="1645"/>
      <c r="AA829" s="1645"/>
      <c r="AB829" s="1645"/>
      <c r="AC829" s="1469"/>
      <c r="AD829" s="1470"/>
      <c r="AE829" s="1470"/>
      <c r="AF829" s="1471"/>
      <c r="AG829" s="1469"/>
      <c r="AH829" s="1470"/>
      <c r="AI829" s="1470"/>
      <c r="AJ829" s="147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6" t="s">
        <v>792</v>
      </c>
      <c r="D830" s="1647"/>
      <c r="E830" s="1647"/>
      <c r="F830" s="1647"/>
      <c r="G830" s="1647"/>
      <c r="H830" s="1647"/>
      <c r="I830" s="60"/>
      <c r="J830" s="60"/>
      <c r="K830" s="60"/>
      <c r="L830" s="61"/>
      <c r="M830" s="1645"/>
      <c r="N830" s="1645"/>
      <c r="O830" s="1645"/>
      <c r="P830" s="1645"/>
      <c r="Q830" s="1645"/>
      <c r="R830" s="1645"/>
      <c r="S830" s="1645"/>
      <c r="T830" s="1645"/>
      <c r="U830" s="1645"/>
      <c r="V830" s="1645"/>
      <c r="W830" s="1645"/>
      <c r="X830" s="1645"/>
      <c r="Y830" s="1645"/>
      <c r="Z830" s="1645"/>
      <c r="AA830" s="1645"/>
      <c r="AB830" s="1645"/>
      <c r="AC830" s="1469"/>
      <c r="AD830" s="1470"/>
      <c r="AE830" s="1470"/>
      <c r="AF830" s="1471"/>
      <c r="AG830" s="1469"/>
      <c r="AH830" s="1470"/>
      <c r="AI830" s="1470"/>
      <c r="AJ830" s="147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75" t="s">
        <v>2728</v>
      </c>
      <c r="G831" s="1376"/>
      <c r="H831" s="1376"/>
      <c r="I831" s="1376"/>
      <c r="J831" s="1376"/>
      <c r="K831" s="1376"/>
      <c r="L831" s="1376"/>
      <c r="M831" s="1645"/>
      <c r="N831" s="1645"/>
      <c r="O831" s="1645"/>
      <c r="P831" s="1645"/>
      <c r="Q831" s="1645">
        <v>32</v>
      </c>
      <c r="R831" s="1645"/>
      <c r="S831" s="1645"/>
      <c r="T831" s="1645"/>
      <c r="U831" s="1645">
        <v>46</v>
      </c>
      <c r="V831" s="1645"/>
      <c r="W831" s="1645"/>
      <c r="X831" s="1645"/>
      <c r="Y831" s="1645">
        <v>54</v>
      </c>
      <c r="Z831" s="1645"/>
      <c r="AA831" s="1645"/>
      <c r="AB831" s="1645"/>
      <c r="AC831" s="1469"/>
      <c r="AD831" s="1470"/>
      <c r="AE831" s="1470"/>
      <c r="AF831" s="1471"/>
      <c r="AG831" s="1469"/>
      <c r="AH831" s="1470"/>
      <c r="AI831" s="1470"/>
      <c r="AJ831" s="147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11" t="s">
        <v>124</v>
      </c>
      <c r="D832" s="1412"/>
      <c r="E832" s="1412"/>
      <c r="F832" s="1412"/>
      <c r="G832" s="1412"/>
      <c r="H832" s="1412"/>
      <c r="I832" s="1412"/>
      <c r="J832" s="1412"/>
      <c r="K832" s="1412"/>
      <c r="L832" s="1413"/>
      <c r="M832" s="1658">
        <f>SUM(M825:P831)</f>
        <v>0</v>
      </c>
      <c r="N832" s="1658"/>
      <c r="O832" s="1658"/>
      <c r="P832" s="1658"/>
      <c r="Q832" s="1658">
        <f>SUM(Q825:T831)</f>
        <v>150</v>
      </c>
      <c r="R832" s="1658"/>
      <c r="S832" s="1658"/>
      <c r="T832" s="1658"/>
      <c r="U832" s="1658">
        <f>SUM(U825:X831)</f>
        <v>206</v>
      </c>
      <c r="V832" s="1658"/>
      <c r="W832" s="1658"/>
      <c r="X832" s="1658"/>
      <c r="Y832" s="1658">
        <f>SUM(Y825:AB831)</f>
        <v>226</v>
      </c>
      <c r="Z832" s="1658"/>
      <c r="AA832" s="1658"/>
      <c r="AB832" s="1658"/>
      <c r="AC832" s="1658">
        <f>SUM(AC825:AF831)</f>
        <v>0</v>
      </c>
      <c r="AD832" s="1658"/>
      <c r="AE832" s="1658"/>
      <c r="AF832" s="1658"/>
      <c r="AG832" s="1658">
        <f>SUM(AG825:AJ831)</f>
        <v>0</v>
      </c>
      <c r="AH832" s="1658"/>
      <c r="AI832" s="1658"/>
      <c r="AJ832" s="165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8" t="s">
        <v>2723</v>
      </c>
      <c r="D837" s="1679"/>
      <c r="E837" s="1679"/>
      <c r="F837" s="1679"/>
      <c r="G837" s="1679"/>
      <c r="H837" s="1679"/>
      <c r="I837" s="1679"/>
      <c r="J837" s="1679"/>
      <c r="K837" s="1679"/>
      <c r="L837" s="1679"/>
      <c r="M837" s="1679"/>
      <c r="N837" s="1679"/>
      <c r="O837" s="1679"/>
      <c r="P837" s="1679"/>
      <c r="Q837" s="1679"/>
      <c r="R837" s="1679"/>
      <c r="S837" s="1679"/>
      <c r="T837" s="1679"/>
      <c r="U837" s="1679"/>
      <c r="V837" s="1679"/>
      <c r="W837" s="1679"/>
      <c r="X837" s="1679"/>
      <c r="Y837" s="1679"/>
      <c r="Z837" s="1679"/>
      <c r="AA837" s="1679"/>
      <c r="AB837" s="1679"/>
      <c r="AC837" s="1679"/>
      <c r="AD837" s="1679"/>
      <c r="AE837" s="1679"/>
      <c r="AF837" s="1679"/>
      <c r="AG837" s="1679"/>
      <c r="AH837" s="1679"/>
      <c r="AI837" s="1679"/>
      <c r="AJ837" s="168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f>ROUNDDOWN(BC939*2,2)</f>
        <v>0</v>
      </c>
      <c r="BJ841" s="1677"/>
      <c r="BK841" s="1677"/>
      <c r="BL841" s="167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4">
        <v>5000</v>
      </c>
      <c r="X842" s="1524"/>
      <c r="Y842" s="1524"/>
      <c r="Z842" s="1524"/>
      <c r="AA842" s="1524"/>
      <c r="AB842" s="1524"/>
      <c r="AC842" s="1524"/>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24">
        <v>7500</v>
      </c>
      <c r="X843" s="1524"/>
      <c r="Y843" s="1524"/>
      <c r="Z843" s="1524"/>
      <c r="AA843" s="1524"/>
      <c r="AB843" s="1524"/>
      <c r="AC843" s="1524"/>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4">
        <v>12000</v>
      </c>
      <c r="X844" s="1524"/>
      <c r="Y844" s="1524"/>
      <c r="Z844" s="1524"/>
      <c r="AA844" s="1524"/>
      <c r="AB844" s="1524"/>
      <c r="AC844" s="152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4">
        <v>50000</v>
      </c>
      <c r="X845" s="1524"/>
      <c r="Y845" s="1524"/>
      <c r="Z845" s="1524"/>
      <c r="AA845" s="1524"/>
      <c r="AB845" s="1524"/>
      <c r="AC845" s="152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75" t="s">
        <v>2724</v>
      </c>
      <c r="N846" s="1376"/>
      <c r="O846" s="1376"/>
      <c r="P846" s="1376"/>
      <c r="Q846" s="1376"/>
      <c r="R846" s="1376"/>
      <c r="S846" s="1376"/>
      <c r="T846" s="1376"/>
      <c r="U846" s="1376"/>
      <c r="V846" s="1377"/>
      <c r="W846" s="1524">
        <v>16000</v>
      </c>
      <c r="X846" s="1524"/>
      <c r="Y846" s="1524"/>
      <c r="Z846" s="1524"/>
      <c r="AA846" s="1524"/>
      <c r="AB846" s="1524"/>
      <c r="AC846" s="1524"/>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5">
        <f>SUM(W842:AC846)</f>
        <v>90500</v>
      </c>
      <c r="X847" s="1656"/>
      <c r="Y847" s="1656"/>
      <c r="Z847" s="1656"/>
      <c r="AA847" s="1656"/>
      <c r="AB847" s="1656"/>
      <c r="AC847" s="1657"/>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0"/>
      <c r="BH848" s="1670"/>
      <c r="BI848" s="1670"/>
      <c r="BJ848" s="1670"/>
      <c r="BK848" s="1670"/>
      <c r="BL848" s="167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11" t="s">
        <v>346</v>
      </c>
      <c r="K849" s="1412"/>
      <c r="L849" s="1412"/>
      <c r="M849" s="1412"/>
      <c r="N849" s="1412"/>
      <c r="O849" s="1412"/>
      <c r="P849" s="1412"/>
      <c r="Q849" s="1412"/>
      <c r="R849" s="1412"/>
      <c r="S849" s="1412"/>
      <c r="T849" s="1412"/>
      <c r="U849" s="1412"/>
      <c r="V849" s="1413"/>
      <c r="W849" s="1521">
        <v>78756</v>
      </c>
      <c r="X849" s="1522"/>
      <c r="Y849" s="1522"/>
      <c r="Z849" s="1522"/>
      <c r="AA849" s="1522"/>
      <c r="AB849" s="1522"/>
      <c r="AC849" s="1523"/>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64"/>
      <c r="X851" s="1664"/>
      <c r="Y851" s="1664"/>
      <c r="Z851" s="1664"/>
      <c r="AA851" s="1664"/>
      <c r="AB851" s="1664"/>
      <c r="AC851" s="1664"/>
      <c r="AZ851" s="1758">
        <f>SUM(AZ818:AZ846)</f>
        <v>0</v>
      </c>
      <c r="BA851" s="1758"/>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64"/>
      <c r="X852" s="1664"/>
      <c r="Y852" s="1664"/>
      <c r="Z852" s="1664"/>
      <c r="AA852" s="1664"/>
      <c r="AB852" s="1664"/>
      <c r="AC852" s="1664"/>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64">
        <v>65000</v>
      </c>
      <c r="X853" s="1664"/>
      <c r="Y853" s="1664"/>
      <c r="Z853" s="1664"/>
      <c r="AA853" s="1664"/>
      <c r="AB853" s="1664"/>
      <c r="AC853" s="1664"/>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64">
        <v>55000</v>
      </c>
      <c r="X854" s="1664"/>
      <c r="Y854" s="1664"/>
      <c r="Z854" s="1664"/>
      <c r="AA854" s="1664"/>
      <c r="AB854" s="1664"/>
      <c r="AC854" s="166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6">
        <f>SUM(W851:AC854)</f>
        <v>120000</v>
      </c>
      <c r="X855" s="1736"/>
      <c r="Y855" s="1736"/>
      <c r="Z855" s="1736"/>
      <c r="AA855" s="1736"/>
      <c r="AB855" s="1736"/>
      <c r="AC855" s="173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61">
        <v>85000</v>
      </c>
      <c r="X857" s="1662"/>
      <c r="Y857" s="1662"/>
      <c r="Z857" s="1662"/>
      <c r="AA857" s="1662"/>
      <c r="AB857" s="1662"/>
      <c r="AC857" s="166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59">
        <v>1</v>
      </c>
      <c r="U858" s="1722"/>
      <c r="V858" s="176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61">
        <v>45000</v>
      </c>
      <c r="X859" s="1662"/>
      <c r="Y859" s="1662"/>
      <c r="Z859" s="1662"/>
      <c r="AA859" s="1662"/>
      <c r="AB859" s="1662"/>
      <c r="AC859" s="166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59">
        <v>0</v>
      </c>
      <c r="U860" s="1722"/>
      <c r="V860" s="176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75" t="s">
        <v>2725</v>
      </c>
      <c r="N861" s="1376"/>
      <c r="O861" s="1376"/>
      <c r="P861" s="1376"/>
      <c r="Q861" s="1376"/>
      <c r="R861" s="1376"/>
      <c r="S861" s="1376"/>
      <c r="T861" s="1376"/>
      <c r="U861" s="1376"/>
      <c r="V861" s="1377"/>
      <c r="W861" s="1661">
        <v>39000</v>
      </c>
      <c r="X861" s="1662"/>
      <c r="Y861" s="1662"/>
      <c r="Z861" s="1662"/>
      <c r="AA861" s="1662"/>
      <c r="AB861" s="1662"/>
      <c r="AC861" s="166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61">
        <f>SUM(W857:AC861)</f>
        <v>169000</v>
      </c>
      <c r="X862" s="1762"/>
      <c r="Y862" s="1762"/>
      <c r="Z862" s="1762"/>
      <c r="AA862" s="1762"/>
      <c r="AB862" s="1762"/>
      <c r="AC862" s="176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1">
        <v>100000</v>
      </c>
      <c r="X863" s="1662"/>
      <c r="Y863" s="1662"/>
      <c r="Z863" s="1662"/>
      <c r="AA863" s="1662"/>
      <c r="AB863" s="1662"/>
      <c r="AC863" s="166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24">
        <v>9000</v>
      </c>
      <c r="X865" s="1524"/>
      <c r="Y865" s="1524"/>
      <c r="Z865" s="1524"/>
      <c r="AA865" s="1524"/>
      <c r="AB865" s="1524"/>
      <c r="AC865" s="152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24">
        <v>14000</v>
      </c>
      <c r="X866" s="1524"/>
      <c r="Y866" s="1524"/>
      <c r="Z866" s="1524"/>
      <c r="AA866" s="1524"/>
      <c r="AB866" s="1524"/>
      <c r="AC866" s="152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24">
        <v>20000</v>
      </c>
      <c r="X867" s="1524"/>
      <c r="Y867" s="1524"/>
      <c r="Z867" s="1524"/>
      <c r="AA867" s="1524"/>
      <c r="AB867" s="1524"/>
      <c r="AC867" s="152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24">
        <v>6000</v>
      </c>
      <c r="X868" s="1524"/>
      <c r="Y868" s="1524"/>
      <c r="Z868" s="1524"/>
      <c r="AA868" s="1524"/>
      <c r="AB868" s="1524"/>
      <c r="AC868" s="152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24">
        <v>9000</v>
      </c>
      <c r="X869" s="1524"/>
      <c r="Y869" s="1524"/>
      <c r="Z869" s="1524"/>
      <c r="AA869" s="1524"/>
      <c r="AB869" s="1524"/>
      <c r="AC869" s="152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24"/>
      <c r="X870" s="1524"/>
      <c r="Y870" s="1524"/>
      <c r="Z870" s="1524"/>
      <c r="AA870" s="1524"/>
      <c r="AB870" s="1524"/>
      <c r="AC870" s="152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75" t="s">
        <v>2726</v>
      </c>
      <c r="N871" s="1376"/>
      <c r="O871" s="1376"/>
      <c r="P871" s="1376"/>
      <c r="Q871" s="1376"/>
      <c r="R871" s="1376"/>
      <c r="S871" s="1376"/>
      <c r="T871" s="1376"/>
      <c r="U871" s="1376"/>
      <c r="V871" s="1377"/>
      <c r="W871" s="1524">
        <v>10000</v>
      </c>
      <c r="X871" s="1524"/>
      <c r="Y871" s="1524"/>
      <c r="Z871" s="1524"/>
      <c r="AA871" s="1524"/>
      <c r="AB871" s="1524"/>
      <c r="AC871" s="152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7">
        <f>SUM(W865:AC871)</f>
        <v>68000</v>
      </c>
      <c r="X872" s="1747"/>
      <c r="Y872" s="1747"/>
      <c r="Z872" s="1747"/>
      <c r="AA872" s="1747"/>
      <c r="AB872" s="1747"/>
      <c r="AC872" s="174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75" t="s">
        <v>335</v>
      </c>
      <c r="N874" s="1376"/>
      <c r="O874" s="1376"/>
      <c r="P874" s="1376"/>
      <c r="Q874" s="1376"/>
      <c r="R874" s="1376"/>
      <c r="S874" s="1376"/>
      <c r="T874" s="1376"/>
      <c r="U874" s="1376"/>
      <c r="V874" s="1377"/>
      <c r="W874" s="1521"/>
      <c r="X874" s="1522"/>
      <c r="Y874" s="1522"/>
      <c r="Z874" s="1522"/>
      <c r="AA874" s="1522"/>
      <c r="AB874" s="1522"/>
      <c r="AC874" s="152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75" t="s">
        <v>335</v>
      </c>
      <c r="N875" s="1376"/>
      <c r="O875" s="1376"/>
      <c r="P875" s="1376"/>
      <c r="Q875" s="1376"/>
      <c r="R875" s="1376"/>
      <c r="S875" s="1376"/>
      <c r="T875" s="1376"/>
      <c r="U875" s="1376"/>
      <c r="V875" s="1377"/>
      <c r="W875" s="1521"/>
      <c r="X875" s="1522"/>
      <c r="Y875" s="1522"/>
      <c r="Z875" s="1522"/>
      <c r="AA875" s="1522"/>
      <c r="AB875" s="1522"/>
      <c r="AC875" s="152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75" t="s">
        <v>335</v>
      </c>
      <c r="N876" s="1376"/>
      <c r="O876" s="1376"/>
      <c r="P876" s="1376"/>
      <c r="Q876" s="1376"/>
      <c r="R876" s="1376"/>
      <c r="S876" s="1376"/>
      <c r="T876" s="1376"/>
      <c r="U876" s="1376"/>
      <c r="V876" s="1377"/>
      <c r="W876" s="1521"/>
      <c r="X876" s="1522"/>
      <c r="Y876" s="1522"/>
      <c r="Z876" s="1522"/>
      <c r="AA876" s="1522"/>
      <c r="AB876" s="1522"/>
      <c r="AC876" s="152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75" t="s">
        <v>335</v>
      </c>
      <c r="N877" s="1376"/>
      <c r="O877" s="1376"/>
      <c r="P877" s="1376"/>
      <c r="Q877" s="1376"/>
      <c r="R877" s="1376"/>
      <c r="S877" s="1376"/>
      <c r="T877" s="1376"/>
      <c r="U877" s="1376"/>
      <c r="V877" s="1377"/>
      <c r="W877" s="1521"/>
      <c r="X877" s="1522"/>
      <c r="Y877" s="1522"/>
      <c r="Z877" s="1522"/>
      <c r="AA877" s="1522"/>
      <c r="AB877" s="1522"/>
      <c r="AC877" s="152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75" t="s">
        <v>335</v>
      </c>
      <c r="N878" s="1376"/>
      <c r="O878" s="1376"/>
      <c r="P878" s="1376"/>
      <c r="Q878" s="1376"/>
      <c r="R878" s="1376"/>
      <c r="S878" s="1376"/>
      <c r="T878" s="1376"/>
      <c r="U878" s="1376"/>
      <c r="V878" s="1377"/>
      <c r="W878" s="1521"/>
      <c r="X878" s="1522"/>
      <c r="Y878" s="1522"/>
      <c r="Z878" s="1522"/>
      <c r="AA878" s="1522"/>
      <c r="AB878" s="1522"/>
      <c r="AC878" s="152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5">
        <f>SUM(W874:AC878)</f>
        <v>0</v>
      </c>
      <c r="X879" s="1656"/>
      <c r="Y879" s="1656"/>
      <c r="Z879" s="1656"/>
      <c r="AA879" s="1656"/>
      <c r="AB879" s="1656"/>
      <c r="AC879" s="165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6">
        <f>W847+W855+W862+W863+W872+W879+W849</f>
        <v>626256</v>
      </c>
      <c r="AD883" s="1656"/>
      <c r="AE883" s="1656"/>
      <c r="AF883" s="1656"/>
      <c r="AG883" s="1656"/>
      <c r="AH883" s="165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1">
        <f>O797+O777+G753</f>
        <v>128</v>
      </c>
      <c r="AD884" s="1751"/>
      <c r="AE884" s="1751"/>
      <c r="AF884" s="1751"/>
      <c r="AG884" s="1751"/>
      <c r="AH884" s="175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68" t="s">
        <v>32</v>
      </c>
      <c r="F885" s="1668"/>
      <c r="G885" s="1668"/>
      <c r="H885" s="1668"/>
      <c r="I885" s="1668"/>
      <c r="J885" s="1668"/>
      <c r="K885" s="1668"/>
      <c r="L885" s="1668"/>
      <c r="M885" s="1668"/>
      <c r="N885" s="1668"/>
      <c r="O885" s="1668"/>
      <c r="P885" s="1668"/>
      <c r="Q885" s="1668"/>
      <c r="R885" s="1668"/>
      <c r="S885" s="1668"/>
      <c r="T885" s="1668"/>
      <c r="U885" s="1668"/>
      <c r="V885" s="1668"/>
      <c r="W885" s="1668"/>
      <c r="X885" s="1668"/>
      <c r="Y885" s="1668"/>
      <c r="Z885" s="1668"/>
      <c r="AA885" s="1668"/>
      <c r="AB885" s="1669"/>
      <c r="AC885" s="1747">
        <f>IF(ISERROR((ROUNDDOWN(AC883/AC884,0))),0,(ROUNDDOWN(AC883/AC884,0)))</f>
        <v>4892</v>
      </c>
      <c r="AD885" s="1747"/>
      <c r="AE885" s="1747"/>
      <c r="AF885" s="1747"/>
      <c r="AG885" s="1747"/>
      <c r="AH885" s="174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55">
        <v>346000</v>
      </c>
      <c r="AD886" s="1756"/>
      <c r="AE886" s="1756"/>
      <c r="AF886" s="1756"/>
      <c r="AG886" s="1756"/>
      <c r="AH886" s="175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23"/>
      <c r="AD887" s="1524"/>
      <c r="AE887" s="1524"/>
      <c r="AF887" s="1524"/>
      <c r="AG887" s="1524"/>
      <c r="AH887" s="152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22">
        <v>40000</v>
      </c>
      <c r="AD888" s="1522"/>
      <c r="AE888" s="1522"/>
      <c r="AF888" s="1522"/>
      <c r="AG888" s="1522"/>
      <c r="AH888" s="152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2">
        <v>64000</v>
      </c>
      <c r="AD889" s="1522"/>
      <c r="AE889" s="1522"/>
      <c r="AF889" s="1522"/>
      <c r="AG889" s="1522"/>
      <c r="AH889" s="152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69">
        <v>18500</v>
      </c>
      <c r="AD890" s="1470"/>
      <c r="AE890" s="1470"/>
      <c r="AF890" s="1470"/>
      <c r="AG890" s="1470"/>
      <c r="AH890" s="147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2">
        <v>4000</v>
      </c>
      <c r="AD891" s="1522"/>
      <c r="AE891" s="1522"/>
      <c r="AF891" s="1522"/>
      <c r="AG891" s="1522"/>
      <c r="AH891" s="152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22"/>
      <c r="AD892" s="1522"/>
      <c r="AE892" s="1522"/>
      <c r="AF892" s="1522"/>
      <c r="AG892" s="1522"/>
      <c r="AH892" s="152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748" t="s">
        <v>975</v>
      </c>
      <c r="D893" s="1749"/>
      <c r="E893" s="1749"/>
      <c r="F893" s="1749"/>
      <c r="G893" s="1749"/>
      <c r="H893" s="1749"/>
      <c r="I893" s="1749"/>
      <c r="J893" s="1749"/>
      <c r="K893" s="1749"/>
      <c r="L893" s="1749"/>
      <c r="M893" s="1749"/>
      <c r="N893" s="1749"/>
      <c r="O893" s="1749"/>
      <c r="P893" s="1749"/>
      <c r="Q893" s="1749"/>
      <c r="R893" s="1749"/>
      <c r="S893" s="1749"/>
      <c r="T893" s="1749"/>
      <c r="U893" s="1749"/>
      <c r="V893" s="1749"/>
      <c r="W893" s="1749"/>
      <c r="X893" s="1749"/>
      <c r="Y893" s="1749"/>
      <c r="Z893" s="1749"/>
      <c r="AA893" s="1749"/>
      <c r="AB893" s="1750"/>
      <c r="AC893" s="1524"/>
      <c r="AD893" s="1524"/>
      <c r="AE893" s="1524"/>
      <c r="AF893" s="1524"/>
      <c r="AG893" s="1524"/>
      <c r="AH893" s="152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748" t="s">
        <v>975</v>
      </c>
      <c r="D894" s="1749"/>
      <c r="E894" s="1749"/>
      <c r="F894" s="1749"/>
      <c r="G894" s="1749"/>
      <c r="H894" s="1749"/>
      <c r="I894" s="1749"/>
      <c r="J894" s="1749"/>
      <c r="K894" s="1749"/>
      <c r="L894" s="1749"/>
      <c r="M894" s="1749"/>
      <c r="N894" s="1749"/>
      <c r="O894" s="1749"/>
      <c r="P894" s="1749"/>
      <c r="Q894" s="1749"/>
      <c r="R894" s="1749"/>
      <c r="S894" s="1749"/>
      <c r="T894" s="1749"/>
      <c r="U894" s="1749"/>
      <c r="V894" s="1749"/>
      <c r="W894" s="1749"/>
      <c r="X894" s="1749"/>
      <c r="Y894" s="1749"/>
      <c r="Z894" s="1749"/>
      <c r="AA894" s="1749"/>
      <c r="AB894" s="1750"/>
      <c r="AC894" s="1524"/>
      <c r="AD894" s="1524"/>
      <c r="AE894" s="1524"/>
      <c r="AF894" s="1524"/>
      <c r="AG894" s="1524"/>
      <c r="AH894" s="152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1"/>
      <c r="AA898" s="1522"/>
      <c r="AB898" s="1522"/>
      <c r="AC898" s="1522"/>
      <c r="AD898" s="1522"/>
      <c r="AE898" s="1523"/>
      <c r="AF898" s="567"/>
      <c r="AZ898" s="34"/>
      <c r="BB898" s="30"/>
      <c r="BC898" s="850"/>
      <c r="BD898" s="1671"/>
      <c r="BE898" s="167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1"/>
      <c r="AA899" s="1522"/>
      <c r="AB899" s="1522"/>
      <c r="AC899" s="1522"/>
      <c r="AD899" s="1522"/>
      <c r="AE899" s="1523"/>
      <c r="AZ899" s="34"/>
      <c r="BB899" s="30"/>
      <c r="BC899" s="850"/>
      <c r="BD899" s="1671"/>
      <c r="BE899" s="167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1"/>
      <c r="AA900" s="1522"/>
      <c r="AB900" s="1522"/>
      <c r="AC900" s="1522"/>
      <c r="AD900" s="1522"/>
      <c r="AE900" s="1523"/>
      <c r="AZ900" s="34"/>
      <c r="BB900" s="30"/>
      <c r="BC900" s="850"/>
      <c r="BD900" s="1670"/>
      <c r="BE900" s="167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5">
        <f>Z898-(Z899+Z900)</f>
        <v>0</v>
      </c>
      <c r="AA901" s="1656"/>
      <c r="AB901" s="1656"/>
      <c r="AC901" s="1656"/>
      <c r="AD901" s="1656"/>
      <c r="AE901" s="1657"/>
      <c r="AZ901" s="34"/>
      <c r="BB901" s="30"/>
      <c r="BC901" s="850"/>
      <c r="BD901" s="1670"/>
      <c r="BE901" s="167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0"/>
      <c r="BE902" s="167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1"/>
      <c r="BE903" s="167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7"/>
      <c r="BE904" s="1757"/>
      <c r="BF904" s="175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7"/>
      <c r="BE905" s="1677"/>
      <c r="BF905" s="167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0"/>
      <c r="BE906" s="167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1"/>
      <c r="BE907" s="167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7" t="s">
        <v>96</v>
      </c>
      <c r="B909" s="1467"/>
      <c r="C909" s="1467"/>
      <c r="D909" s="1467"/>
      <c r="E909" s="1467"/>
      <c r="F909" s="1467"/>
      <c r="G909" s="1467"/>
      <c r="H909" s="1467"/>
      <c r="I909" s="1467"/>
      <c r="J909" s="1467"/>
      <c r="K909" s="1467"/>
      <c r="L909" s="1467"/>
      <c r="M909" s="1467"/>
      <c r="N909" s="1467"/>
      <c r="O909" s="1467"/>
      <c r="P909" s="1467"/>
      <c r="Q909" s="1467"/>
      <c r="R909" s="1467"/>
      <c r="S909" s="1467"/>
      <c r="T909" s="1467"/>
      <c r="U909" s="1467"/>
      <c r="V909" s="1467"/>
      <c r="W909" s="1467"/>
      <c r="X909" s="1467"/>
      <c r="Y909" s="1467"/>
      <c r="Z909" s="1467"/>
      <c r="AA909" s="1467"/>
      <c r="AB909" s="1467"/>
      <c r="AC909" s="1467"/>
      <c r="AD909" s="1467"/>
      <c r="AE909" s="1467"/>
      <c r="AF909" s="1467"/>
      <c r="AG909" s="1467"/>
      <c r="AH909" s="1467"/>
      <c r="AI909" s="1467"/>
      <c r="AJ909" s="1467"/>
      <c r="AK909" s="1467"/>
      <c r="AL909" s="1467"/>
      <c r="AM909" s="1467"/>
      <c r="AN909" s="1467"/>
      <c r="AO909" s="1467"/>
      <c r="AP909" s="1467"/>
      <c r="AQ909" s="1467"/>
      <c r="AR909" s="1467"/>
      <c r="AS909" s="1467"/>
      <c r="AT909" s="1467"/>
      <c r="AZ909" s="34"/>
      <c r="BA909" s="34"/>
      <c r="BB909" s="30"/>
      <c r="BC909" s="30"/>
      <c r="BD909" s="1671"/>
      <c r="BE909" s="167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7"/>
      <c r="B910" s="1467"/>
      <c r="C910" s="1467"/>
      <c r="D910" s="1467"/>
      <c r="E910" s="1467"/>
      <c r="F910" s="1467"/>
      <c r="G910" s="1467"/>
      <c r="H910" s="1467"/>
      <c r="I910" s="1467"/>
      <c r="J910" s="1467"/>
      <c r="K910" s="1467"/>
      <c r="L910" s="1467"/>
      <c r="M910" s="1467"/>
      <c r="N910" s="1467"/>
      <c r="O910" s="1467"/>
      <c r="P910" s="1467"/>
      <c r="Q910" s="1467"/>
      <c r="R910" s="1467"/>
      <c r="S910" s="1467"/>
      <c r="T910" s="1467"/>
      <c r="U910" s="1467"/>
      <c r="V910" s="1467"/>
      <c r="W910" s="1467"/>
      <c r="X910" s="1467"/>
      <c r="Y910" s="1467"/>
      <c r="Z910" s="1467"/>
      <c r="AA910" s="1467"/>
      <c r="AB910" s="1467"/>
      <c r="AC910" s="1467"/>
      <c r="AD910" s="1467"/>
      <c r="AE910" s="1467"/>
      <c r="AF910" s="1467"/>
      <c r="AG910" s="1467"/>
      <c r="AH910" s="1467"/>
      <c r="AI910" s="1467"/>
      <c r="AJ910" s="1467"/>
      <c r="AK910" s="1467"/>
      <c r="AL910" s="1467"/>
      <c r="AM910" s="1467"/>
      <c r="AN910" s="1467"/>
      <c r="AO910" s="1467"/>
      <c r="AP910" s="1467"/>
      <c r="AQ910" s="1467"/>
      <c r="AR910" s="1467"/>
      <c r="AS910" s="1467"/>
      <c r="AT910" s="146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1" t="s">
        <v>801</v>
      </c>
      <c r="G914" s="1562"/>
      <c r="H914" s="1562"/>
      <c r="I914" s="1562"/>
      <c r="J914" s="1562"/>
      <c r="K914" s="1562"/>
      <c r="L914" s="1562"/>
      <c r="M914" s="1562"/>
      <c r="N914" s="1562"/>
      <c r="O914" s="1562"/>
      <c r="P914" s="1562"/>
      <c r="Q914" s="1562"/>
      <c r="R914" s="1562"/>
      <c r="S914" s="1562"/>
      <c r="T914" s="1563"/>
      <c r="U914" s="1625" t="s">
        <v>31</v>
      </c>
      <c r="V914" s="1626"/>
      <c r="W914" s="1626"/>
      <c r="X914" s="1626"/>
      <c r="Y914" s="1626"/>
      <c r="Z914" s="162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7" t="s">
        <v>827</v>
      </c>
      <c r="G915" s="1628"/>
      <c r="H915" s="1628"/>
      <c r="I915" s="1628"/>
      <c r="J915" s="1628"/>
      <c r="K915" s="1628"/>
      <c r="L915" s="1628"/>
      <c r="M915" s="1628"/>
      <c r="N915" s="1628"/>
      <c r="O915" s="1628"/>
      <c r="P915" s="1628"/>
      <c r="Q915" s="1628"/>
      <c r="R915" s="1628"/>
      <c r="S915" s="1628"/>
      <c r="T915" s="1740"/>
      <c r="U915" s="1627"/>
      <c r="V915" s="1628"/>
      <c r="W915" s="1628"/>
      <c r="X915" s="1628"/>
      <c r="Y915" s="1628"/>
      <c r="Z915" s="162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9"/>
      <c r="G916" s="1630"/>
      <c r="H916" s="1630"/>
      <c r="I916" s="1630"/>
      <c r="J916" s="1630"/>
      <c r="K916" s="1630"/>
      <c r="L916" s="1630"/>
      <c r="M916" s="1630"/>
      <c r="N916" s="1630"/>
      <c r="O916" s="1630"/>
      <c r="P916" s="1630"/>
      <c r="Q916" s="1630"/>
      <c r="R916" s="1630"/>
      <c r="S916" s="1630"/>
      <c r="T916" s="1660"/>
      <c r="U916" s="1629"/>
      <c r="V916" s="1630"/>
      <c r="W916" s="1630"/>
      <c r="X916" s="1630"/>
      <c r="Y916" s="1630"/>
      <c r="Z916" s="1630"/>
      <c r="AA916" s="108"/>
      <c r="AB916" s="1753" t="s">
        <v>392</v>
      </c>
      <c r="AC916" s="1753"/>
      <c r="AD916" s="1753"/>
      <c r="AE916" s="175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396" t="s">
        <v>553</v>
      </c>
      <c r="V917" s="1397"/>
      <c r="W917" s="1397"/>
      <c r="X917" s="1397"/>
      <c r="Y917" s="1397"/>
      <c r="Z917" s="1398"/>
      <c r="AA917" s="1399">
        <v>36966268</v>
      </c>
      <c r="AB917" s="1400"/>
      <c r="AC917" s="1400"/>
      <c r="AD917" s="1400"/>
      <c r="AE917" s="1400"/>
      <c r="AF917" s="140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396" t="s">
        <v>553</v>
      </c>
      <c r="V918" s="1397"/>
      <c r="W918" s="1397"/>
      <c r="X918" s="1397"/>
      <c r="Y918" s="1397"/>
      <c r="Z918" s="1398"/>
      <c r="AA918" s="1399">
        <v>18501016</v>
      </c>
      <c r="AB918" s="1400"/>
      <c r="AC918" s="1400"/>
      <c r="AD918" s="1400"/>
      <c r="AE918" s="1400"/>
      <c r="AF918" s="140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396" t="s">
        <v>599</v>
      </c>
      <c r="V919" s="1397"/>
      <c r="W919" s="1397"/>
      <c r="X919" s="1397"/>
      <c r="Y919" s="1397"/>
      <c r="Z919" s="1398"/>
      <c r="AA919" s="1399"/>
      <c r="AB919" s="1400"/>
      <c r="AC919" s="1400"/>
      <c r="AD919" s="1400"/>
      <c r="AE919" s="1400"/>
      <c r="AF919" s="140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396" t="s">
        <v>599</v>
      </c>
      <c r="V920" s="1397"/>
      <c r="W920" s="1397"/>
      <c r="X920" s="1397"/>
      <c r="Y920" s="1397"/>
      <c r="Z920" s="1398"/>
      <c r="AA920" s="1399"/>
      <c r="AB920" s="1400"/>
      <c r="AC920" s="1400"/>
      <c r="AD920" s="1400"/>
      <c r="AE920" s="1400"/>
      <c r="AF920" s="140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396" t="s">
        <v>599</v>
      </c>
      <c r="V921" s="1397"/>
      <c r="W921" s="1397"/>
      <c r="X921" s="1397"/>
      <c r="Y921" s="1397"/>
      <c r="Z921" s="1398"/>
      <c r="AA921" s="1399"/>
      <c r="AB921" s="1400"/>
      <c r="AC921" s="1400"/>
      <c r="AD921" s="1400"/>
      <c r="AE921" s="1400"/>
      <c r="AF921" s="140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396" t="s">
        <v>599</v>
      </c>
      <c r="V922" s="1397"/>
      <c r="W922" s="1397"/>
      <c r="X922" s="1397"/>
      <c r="Y922" s="1397"/>
      <c r="Z922" s="1398"/>
      <c r="AA922" s="1399"/>
      <c r="AB922" s="1400"/>
      <c r="AC922" s="1400"/>
      <c r="AD922" s="1400"/>
      <c r="AE922" s="1400"/>
      <c r="AF922" s="140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396" t="s">
        <v>599</v>
      </c>
      <c r="V923" s="1397"/>
      <c r="W923" s="1397"/>
      <c r="X923" s="1397"/>
      <c r="Y923" s="1397"/>
      <c r="Z923" s="1398"/>
      <c r="AA923" s="1399"/>
      <c r="AB923" s="1400"/>
      <c r="AC923" s="1400"/>
      <c r="AD923" s="1400"/>
      <c r="AE923" s="1400"/>
      <c r="AF923" s="140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396" t="s">
        <v>599</v>
      </c>
      <c r="V924" s="1397"/>
      <c r="W924" s="1397"/>
      <c r="X924" s="1397"/>
      <c r="Y924" s="1397"/>
      <c r="Z924" s="1398"/>
      <c r="AA924" s="1399"/>
      <c r="AB924" s="1400"/>
      <c r="AC924" s="1400"/>
      <c r="AD924" s="1400"/>
      <c r="AE924" s="1400"/>
      <c r="AF924" s="140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41" t="s">
        <v>2553</v>
      </c>
      <c r="G925" s="1742"/>
      <c r="H925" s="1742"/>
      <c r="I925" s="1742"/>
      <c r="J925" s="1742"/>
      <c r="K925" s="1742"/>
      <c r="L925" s="1742"/>
      <c r="M925" s="1742"/>
      <c r="N925" s="1742"/>
      <c r="O925" s="1742"/>
      <c r="P925" s="1742"/>
      <c r="Q925" s="1742"/>
      <c r="R925" s="1742"/>
      <c r="S925" s="1742"/>
      <c r="T925" s="1743"/>
      <c r="U925" s="1396" t="s">
        <v>599</v>
      </c>
      <c r="V925" s="1397"/>
      <c r="W925" s="1397"/>
      <c r="X925" s="1397"/>
      <c r="Y925" s="1397"/>
      <c r="Z925" s="1398"/>
      <c r="AA925" s="1399"/>
      <c r="AB925" s="1400"/>
      <c r="AC925" s="1400"/>
      <c r="AD925" s="1400"/>
      <c r="AE925" s="1400"/>
      <c r="AF925" s="140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41" t="s">
        <v>687</v>
      </c>
      <c r="G926" s="1742"/>
      <c r="H926" s="1742"/>
      <c r="I926" s="1742"/>
      <c r="J926" s="1742"/>
      <c r="K926" s="1742"/>
      <c r="L926" s="1742"/>
      <c r="M926" s="1742"/>
      <c r="N926" s="1742"/>
      <c r="O926" s="1742"/>
      <c r="P926" s="1742"/>
      <c r="Q926" s="1742"/>
      <c r="R926" s="1742"/>
      <c r="S926" s="1742"/>
      <c r="T926" s="1743"/>
      <c r="U926" s="1396" t="s">
        <v>599</v>
      </c>
      <c r="V926" s="1397"/>
      <c r="W926" s="1397"/>
      <c r="X926" s="1397"/>
      <c r="Y926" s="1397"/>
      <c r="Z926" s="1398"/>
      <c r="AA926" s="1399"/>
      <c r="AB926" s="1400"/>
      <c r="AC926" s="1400"/>
      <c r="AD926" s="1400"/>
      <c r="AE926" s="1400"/>
      <c r="AF926" s="140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41" t="s">
        <v>2554</v>
      </c>
      <c r="G927" s="1742"/>
      <c r="H927" s="1742"/>
      <c r="I927" s="1742"/>
      <c r="J927" s="1742"/>
      <c r="K927" s="1742"/>
      <c r="L927" s="1742"/>
      <c r="M927" s="1742"/>
      <c r="N927" s="1742"/>
      <c r="O927" s="1742"/>
      <c r="P927" s="1742"/>
      <c r="Q927" s="1742"/>
      <c r="R927" s="1742"/>
      <c r="S927" s="1742"/>
      <c r="T927" s="1743"/>
      <c r="U927" s="1396" t="s">
        <v>599</v>
      </c>
      <c r="V927" s="1397"/>
      <c r="W927" s="1397"/>
      <c r="X927" s="1397"/>
      <c r="Y927" s="1397"/>
      <c r="Z927" s="1398"/>
      <c r="AA927" s="1399"/>
      <c r="AB927" s="1400"/>
      <c r="AC927" s="1400"/>
      <c r="AD927" s="1400"/>
      <c r="AE927" s="1400"/>
      <c r="AF927" s="140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41" t="s">
        <v>2555</v>
      </c>
      <c r="G928" s="1742"/>
      <c r="H928" s="1742"/>
      <c r="I928" s="1742"/>
      <c r="J928" s="1742"/>
      <c r="K928" s="1742"/>
      <c r="L928" s="1742"/>
      <c r="M928" s="1742"/>
      <c r="N928" s="1742"/>
      <c r="O928" s="1742"/>
      <c r="P928" s="1742"/>
      <c r="Q928" s="1742"/>
      <c r="R928" s="1742"/>
      <c r="S928" s="1742"/>
      <c r="T928" s="1743"/>
      <c r="U928" s="1396" t="s">
        <v>599</v>
      </c>
      <c r="V928" s="1397"/>
      <c r="W928" s="1397"/>
      <c r="X928" s="1397"/>
      <c r="Y928" s="1397"/>
      <c r="Z928" s="1398"/>
      <c r="AA928" s="1399"/>
      <c r="AB928" s="1400"/>
      <c r="AC928" s="1400"/>
      <c r="AD928" s="1400"/>
      <c r="AE928" s="1400"/>
      <c r="AF928" s="140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41" t="s">
        <v>2556</v>
      </c>
      <c r="G929" s="1742"/>
      <c r="H929" s="1742"/>
      <c r="I929" s="1742"/>
      <c r="J929" s="1742"/>
      <c r="K929" s="1742"/>
      <c r="L929" s="1742"/>
      <c r="M929" s="1742"/>
      <c r="N929" s="1742"/>
      <c r="O929" s="1742"/>
      <c r="P929" s="1742"/>
      <c r="Q929" s="1742"/>
      <c r="R929" s="1742"/>
      <c r="S929" s="1742"/>
      <c r="T929" s="1743"/>
      <c r="U929" s="1396" t="s">
        <v>599</v>
      </c>
      <c r="V929" s="1397"/>
      <c r="W929" s="1397"/>
      <c r="X929" s="1397"/>
      <c r="Y929" s="1397"/>
      <c r="Z929" s="1398"/>
      <c r="AA929" s="1399"/>
      <c r="AB929" s="1400"/>
      <c r="AC929" s="1400"/>
      <c r="AD929" s="1400"/>
      <c r="AE929" s="1400"/>
      <c r="AF929" s="140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41" t="s">
        <v>2557</v>
      </c>
      <c r="G930" s="1742"/>
      <c r="H930" s="1742"/>
      <c r="I930" s="1742"/>
      <c r="J930" s="1742"/>
      <c r="K930" s="1742"/>
      <c r="L930" s="1742"/>
      <c r="M930" s="1742"/>
      <c r="N930" s="1742"/>
      <c r="O930" s="1742"/>
      <c r="P930" s="1742"/>
      <c r="Q930" s="1742"/>
      <c r="R930" s="1742"/>
      <c r="S930" s="1742"/>
      <c r="T930" s="1743"/>
      <c r="U930" s="1396" t="s">
        <v>599</v>
      </c>
      <c r="V930" s="1397"/>
      <c r="W930" s="1397"/>
      <c r="X930" s="1397"/>
      <c r="Y930" s="1397"/>
      <c r="Z930" s="1398"/>
      <c r="AA930" s="1399"/>
      <c r="AB930" s="1400"/>
      <c r="AC930" s="1400"/>
      <c r="AD930" s="1400"/>
      <c r="AE930" s="1400"/>
      <c r="AF930" s="140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41" t="s">
        <v>2558</v>
      </c>
      <c r="G931" s="1742"/>
      <c r="H931" s="1742"/>
      <c r="I931" s="1742"/>
      <c r="J931" s="1742"/>
      <c r="K931" s="1742"/>
      <c r="L931" s="1742"/>
      <c r="M931" s="1742"/>
      <c r="N931" s="1742"/>
      <c r="O931" s="1742"/>
      <c r="P931" s="1742"/>
      <c r="Q931" s="1742"/>
      <c r="R931" s="1742"/>
      <c r="S931" s="1742"/>
      <c r="T931" s="1743"/>
      <c r="U931" s="1396" t="s">
        <v>599</v>
      </c>
      <c r="V931" s="1397"/>
      <c r="W931" s="1397"/>
      <c r="X931" s="1397"/>
      <c r="Y931" s="1397"/>
      <c r="Z931" s="1398"/>
      <c r="AA931" s="1399"/>
      <c r="AB931" s="1400"/>
      <c r="AC931" s="1400"/>
      <c r="AD931" s="1400"/>
      <c r="AE931" s="1400"/>
      <c r="AF931" s="140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396" t="s">
        <v>599</v>
      </c>
      <c r="V932" s="1397"/>
      <c r="W932" s="1397"/>
      <c r="X932" s="1397"/>
      <c r="Y932" s="1397"/>
      <c r="Z932" s="1398"/>
      <c r="AA932" s="1399"/>
      <c r="AB932" s="1400"/>
      <c r="AC932" s="1400"/>
      <c r="AD932" s="1400"/>
      <c r="AE932" s="1400"/>
      <c r="AF932" s="140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396" t="s">
        <v>599</v>
      </c>
      <c r="V933" s="1397"/>
      <c r="W933" s="1397"/>
      <c r="X933" s="1397"/>
      <c r="Y933" s="1397"/>
      <c r="Z933" s="1398"/>
      <c r="AA933" s="1399"/>
      <c r="AB933" s="1400"/>
      <c r="AC933" s="1400"/>
      <c r="AD933" s="1400"/>
      <c r="AE933" s="1400"/>
      <c r="AF933" s="140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396" t="s">
        <v>599</v>
      </c>
      <c r="V934" s="1397"/>
      <c r="W934" s="1397"/>
      <c r="X934" s="1397"/>
      <c r="Y934" s="1397"/>
      <c r="Z934" s="1398"/>
      <c r="AA934" s="1399"/>
      <c r="AB934" s="1400"/>
      <c r="AC934" s="1400"/>
      <c r="AD934" s="1400"/>
      <c r="AE934" s="1400"/>
      <c r="AF934" s="140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4" t="s">
        <v>2562</v>
      </c>
      <c r="G935" s="1745"/>
      <c r="H935" s="1745"/>
      <c r="I935" s="1745"/>
      <c r="J935" s="1745"/>
      <c r="K935" s="1745"/>
      <c r="L935" s="1745"/>
      <c r="M935" s="1745"/>
      <c r="N935" s="1745"/>
      <c r="O935" s="1745"/>
      <c r="P935" s="1745"/>
      <c r="Q935" s="1745"/>
      <c r="R935" s="1745"/>
      <c r="S935" s="1745"/>
      <c r="T935" s="1746"/>
      <c r="U935" s="1396" t="s">
        <v>599</v>
      </c>
      <c r="V935" s="1397"/>
      <c r="W935" s="1397"/>
      <c r="X935" s="1397"/>
      <c r="Y935" s="1397"/>
      <c r="Z935" s="1398"/>
      <c r="AA935" s="1399"/>
      <c r="AB935" s="1400"/>
      <c r="AC935" s="1400"/>
      <c r="AD935" s="1400"/>
      <c r="AE935" s="1400"/>
      <c r="AF935" s="140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4" t="s">
        <v>2563</v>
      </c>
      <c r="G936" s="1745"/>
      <c r="H936" s="1745"/>
      <c r="I936" s="1745"/>
      <c r="J936" s="1745"/>
      <c r="K936" s="1745"/>
      <c r="L936" s="1745"/>
      <c r="M936" s="1745"/>
      <c r="N936" s="1745"/>
      <c r="O936" s="1745"/>
      <c r="P936" s="1745"/>
      <c r="Q936" s="1745"/>
      <c r="R936" s="1745"/>
      <c r="S936" s="1745"/>
      <c r="T936" s="1746"/>
      <c r="U936" s="1396" t="s">
        <v>599</v>
      </c>
      <c r="V936" s="1397"/>
      <c r="W936" s="1397"/>
      <c r="X936" s="1397"/>
      <c r="Y936" s="1397"/>
      <c r="Z936" s="1398"/>
      <c r="AA936" s="1399"/>
      <c r="AB936" s="1400"/>
      <c r="AC936" s="1400"/>
      <c r="AD936" s="1400"/>
      <c r="AE936" s="1400"/>
      <c r="AF936" s="140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41" t="s">
        <v>2559</v>
      </c>
      <c r="G937" s="1742"/>
      <c r="H937" s="1742"/>
      <c r="I937" s="1742"/>
      <c r="J937" s="1742"/>
      <c r="K937" s="1742"/>
      <c r="L937" s="1742"/>
      <c r="M937" s="1742"/>
      <c r="N937" s="1742"/>
      <c r="O937" s="1742"/>
      <c r="P937" s="1742"/>
      <c r="Q937" s="1742"/>
      <c r="R937" s="1742"/>
      <c r="S937" s="1742"/>
      <c r="T937" s="1743"/>
      <c r="U937" s="1396" t="s">
        <v>599</v>
      </c>
      <c r="V937" s="1397"/>
      <c r="W937" s="1397"/>
      <c r="X937" s="1397"/>
      <c r="Y937" s="1397"/>
      <c r="Z937" s="1398"/>
      <c r="AA937" s="1399"/>
      <c r="AB937" s="1400"/>
      <c r="AC937" s="1400"/>
      <c r="AD937" s="1400"/>
      <c r="AE937" s="1400"/>
      <c r="AF937" s="140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41" t="s">
        <v>2560</v>
      </c>
      <c r="G938" s="1742"/>
      <c r="H938" s="1742"/>
      <c r="I938" s="1742"/>
      <c r="J938" s="1742"/>
      <c r="K938" s="1742"/>
      <c r="L938" s="1742"/>
      <c r="M938" s="1742"/>
      <c r="N938" s="1742"/>
      <c r="O938" s="1742"/>
      <c r="P938" s="1742"/>
      <c r="Q938" s="1742"/>
      <c r="R938" s="1742"/>
      <c r="S938" s="1742"/>
      <c r="T938" s="1743"/>
      <c r="U938" s="1396" t="s">
        <v>599</v>
      </c>
      <c r="V938" s="1397"/>
      <c r="W938" s="1397"/>
      <c r="X938" s="1397"/>
      <c r="Y938" s="1397"/>
      <c r="Z938" s="1398"/>
      <c r="AA938" s="1399"/>
      <c r="AB938" s="1400"/>
      <c r="AC938" s="1400"/>
      <c r="AD938" s="1400"/>
      <c r="AE938" s="1400"/>
      <c r="AF938" s="140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41" t="s">
        <v>2561</v>
      </c>
      <c r="G939" s="1742"/>
      <c r="H939" s="1742"/>
      <c r="I939" s="1742"/>
      <c r="J939" s="1742"/>
      <c r="K939" s="1742"/>
      <c r="L939" s="1742"/>
      <c r="M939" s="1742"/>
      <c r="N939" s="1742"/>
      <c r="O939" s="1742"/>
      <c r="P939" s="1742"/>
      <c r="Q939" s="1742"/>
      <c r="R939" s="1742"/>
      <c r="S939" s="1742"/>
      <c r="T939" s="1743"/>
      <c r="U939" s="1396" t="s">
        <v>599</v>
      </c>
      <c r="V939" s="1397"/>
      <c r="W939" s="1397"/>
      <c r="X939" s="1397"/>
      <c r="Y939" s="1397"/>
      <c r="Z939" s="1398"/>
      <c r="AA939" s="1399"/>
      <c r="AB939" s="1400"/>
      <c r="AC939" s="1400"/>
      <c r="AD939" s="1400"/>
      <c r="AE939" s="1400"/>
      <c r="AF939" s="140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396" t="s">
        <v>599</v>
      </c>
      <c r="V940" s="1397"/>
      <c r="W940" s="1397"/>
      <c r="X940" s="1397"/>
      <c r="Y940" s="1397"/>
      <c r="Z940" s="1398"/>
      <c r="AA940" s="1399"/>
      <c r="AB940" s="1400"/>
      <c r="AC940" s="1400"/>
      <c r="AD940" s="1400"/>
      <c r="AE940" s="1400"/>
      <c r="AF940" s="140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4" t="s">
        <v>2564</v>
      </c>
      <c r="G941" s="1745"/>
      <c r="H941" s="1745"/>
      <c r="I941" s="1745"/>
      <c r="J941" s="1745"/>
      <c r="K941" s="1745"/>
      <c r="L941" s="1745"/>
      <c r="M941" s="1745"/>
      <c r="N941" s="1745"/>
      <c r="O941" s="1745"/>
      <c r="P941" s="1745"/>
      <c r="Q941" s="1745"/>
      <c r="R941" s="1745"/>
      <c r="S941" s="1745"/>
      <c r="T941" s="1746"/>
      <c r="U941" s="1396" t="s">
        <v>599</v>
      </c>
      <c r="V941" s="1397"/>
      <c r="W941" s="1397"/>
      <c r="X941" s="1397"/>
      <c r="Y941" s="1397"/>
      <c r="Z941" s="1398"/>
      <c r="AA941" s="1399"/>
      <c r="AB941" s="1400"/>
      <c r="AC941" s="1400"/>
      <c r="AD941" s="1400"/>
      <c r="AE941" s="1400"/>
      <c r="AF941" s="140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396" t="s">
        <v>599</v>
      </c>
      <c r="V942" s="1397"/>
      <c r="W942" s="1397"/>
      <c r="X942" s="1397"/>
      <c r="Y942" s="1397"/>
      <c r="Z942" s="1398"/>
      <c r="AA942" s="1399"/>
      <c r="AB942" s="1400"/>
      <c r="AC942" s="1400"/>
      <c r="AD942" s="1400"/>
      <c r="AE942" s="1400"/>
      <c r="AF942" s="140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4" t="s">
        <v>2565</v>
      </c>
      <c r="G943" s="1745"/>
      <c r="H943" s="1745"/>
      <c r="I943" s="1745"/>
      <c r="J943" s="1745"/>
      <c r="K943" s="1745"/>
      <c r="L943" s="1745"/>
      <c r="M943" s="1745"/>
      <c r="N943" s="1745"/>
      <c r="O943" s="1745"/>
      <c r="P943" s="1745"/>
      <c r="Q943" s="1745"/>
      <c r="R943" s="1745"/>
      <c r="S943" s="1745"/>
      <c r="T943" s="1746"/>
      <c r="U943" s="1396" t="s">
        <v>599</v>
      </c>
      <c r="V943" s="1397"/>
      <c r="W943" s="1397"/>
      <c r="X943" s="1397"/>
      <c r="Y943" s="1397"/>
      <c r="Z943" s="1398"/>
      <c r="AA943" s="1399"/>
      <c r="AB943" s="1400"/>
      <c r="AC943" s="1400"/>
      <c r="AD943" s="1400"/>
      <c r="AE943" s="1400"/>
      <c r="AF943" s="140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396" t="s">
        <v>677</v>
      </c>
      <c r="Q944" s="1397"/>
      <c r="R944" s="1397"/>
      <c r="S944" s="1397"/>
      <c r="T944" s="1398"/>
      <c r="U944" s="1396" t="s">
        <v>599</v>
      </c>
      <c r="V944" s="1397"/>
      <c r="W944" s="1397"/>
      <c r="X944" s="1397"/>
      <c r="Y944" s="1397"/>
      <c r="Z944" s="1398"/>
      <c r="AA944" s="1399"/>
      <c r="AB944" s="1400"/>
      <c r="AC944" s="1400"/>
      <c r="AD944" s="1400"/>
      <c r="AE944" s="1400"/>
      <c r="AF944" s="140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41" t="s">
        <v>2552</v>
      </c>
      <c r="G945" s="1742"/>
      <c r="H945" s="1743"/>
      <c r="I945" s="1375" t="s">
        <v>335</v>
      </c>
      <c r="J945" s="1376"/>
      <c r="K945" s="1376"/>
      <c r="L945" s="1376"/>
      <c r="M945" s="1376"/>
      <c r="N945" s="1376"/>
      <c r="O945" s="1376"/>
      <c r="P945" s="1376"/>
      <c r="Q945" s="1376"/>
      <c r="R945" s="1376"/>
      <c r="S945" s="1376"/>
      <c r="T945" s="1377"/>
      <c r="U945" s="1396" t="s">
        <v>599</v>
      </c>
      <c r="V945" s="1397"/>
      <c r="W945" s="1397"/>
      <c r="X945" s="1397"/>
      <c r="Y945" s="1397"/>
      <c r="Z945" s="1398"/>
      <c r="AA945" s="1399"/>
      <c r="AB945" s="1400"/>
      <c r="AC945" s="1400"/>
      <c r="AD945" s="1400"/>
      <c r="AE945" s="1400"/>
      <c r="AF945" s="140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75" t="s">
        <v>2727</v>
      </c>
      <c r="J946" s="1376"/>
      <c r="K946" s="1376"/>
      <c r="L946" s="1376"/>
      <c r="M946" s="1376"/>
      <c r="N946" s="1376"/>
      <c r="O946" s="1376"/>
      <c r="P946" s="1376"/>
      <c r="Q946" s="1376"/>
      <c r="R946" s="1376"/>
      <c r="S946" s="1376"/>
      <c r="T946" s="1377"/>
      <c r="U946" s="1396" t="s">
        <v>553</v>
      </c>
      <c r="V946" s="1397"/>
      <c r="W946" s="1397"/>
      <c r="X946" s="1397"/>
      <c r="Y946" s="1397"/>
      <c r="Z946" s="1398"/>
      <c r="AA946" s="1399">
        <v>6277300</v>
      </c>
      <c r="AB946" s="1400"/>
      <c r="AC946" s="1400"/>
      <c r="AD946" s="1400"/>
      <c r="AE946" s="1400"/>
      <c r="AF946" s="140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64" t="s">
        <v>335</v>
      </c>
      <c r="J947" s="1565"/>
      <c r="K947" s="1565"/>
      <c r="L947" s="1565"/>
      <c r="M947" s="1565"/>
      <c r="N947" s="1565"/>
      <c r="O947" s="1565"/>
      <c r="P947" s="1565"/>
      <c r="Q947" s="1565"/>
      <c r="R947" s="1565"/>
      <c r="S947" s="1565"/>
      <c r="T947" s="1566"/>
      <c r="U947" s="1396" t="s">
        <v>599</v>
      </c>
      <c r="V947" s="1397"/>
      <c r="W947" s="1397"/>
      <c r="X947" s="1397"/>
      <c r="Y947" s="1397"/>
      <c r="Z947" s="1398"/>
      <c r="AA947" s="1399"/>
      <c r="AB947" s="1400"/>
      <c r="AC947" s="1400"/>
      <c r="AD947" s="1400"/>
      <c r="AE947" s="1400"/>
      <c r="AF947" s="140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64" t="s">
        <v>335</v>
      </c>
      <c r="J948" s="1565"/>
      <c r="K948" s="1565"/>
      <c r="L948" s="1565"/>
      <c r="M948" s="1565"/>
      <c r="N948" s="1565"/>
      <c r="O948" s="1565"/>
      <c r="P948" s="1565"/>
      <c r="Q948" s="1565"/>
      <c r="R948" s="1565"/>
      <c r="S948" s="1565"/>
      <c r="T948" s="1566"/>
      <c r="U948" s="1396" t="s">
        <v>599</v>
      </c>
      <c r="V948" s="1397"/>
      <c r="W948" s="1397"/>
      <c r="X948" s="1397"/>
      <c r="Y948" s="1397"/>
      <c r="Z948" s="1398"/>
      <c r="AA948" s="1399"/>
      <c r="AB948" s="1400"/>
      <c r="AC948" s="1400"/>
      <c r="AD948" s="1400"/>
      <c r="AE948" s="1400"/>
      <c r="AF948" s="140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64" t="s">
        <v>335</v>
      </c>
      <c r="J949" s="1565"/>
      <c r="K949" s="1565"/>
      <c r="L949" s="1565"/>
      <c r="M949" s="1565"/>
      <c r="N949" s="1565"/>
      <c r="O949" s="1565"/>
      <c r="P949" s="1565"/>
      <c r="Q949" s="1565"/>
      <c r="R949" s="1565"/>
      <c r="S949" s="1565"/>
      <c r="T949" s="1566"/>
      <c r="U949" s="1396" t="s">
        <v>599</v>
      </c>
      <c r="V949" s="1397"/>
      <c r="W949" s="1397"/>
      <c r="X949" s="1397"/>
      <c r="Y949" s="1397"/>
      <c r="Z949" s="1398"/>
      <c r="AA949" s="1399"/>
      <c r="AB949" s="1400"/>
      <c r="AC949" s="1400"/>
      <c r="AD949" s="1400"/>
      <c r="AE949" s="1400"/>
      <c r="AF949" s="140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4"/>
      <c r="N954" s="1585"/>
      <c r="O954" s="1585"/>
      <c r="P954" s="1585"/>
      <c r="Q954" s="1585"/>
      <c r="R954" s="1585"/>
      <c r="S954" s="1586"/>
      <c r="U954" s="66" t="s">
        <v>11</v>
      </c>
      <c r="V954" s="5"/>
      <c r="W954" s="5"/>
      <c r="X954" s="5"/>
      <c r="Y954" s="5"/>
      <c r="Z954" s="5"/>
      <c r="AA954" s="5"/>
      <c r="AB954" s="5"/>
      <c r="AC954" s="5"/>
      <c r="AD954" s="46"/>
      <c r="AE954" s="1584"/>
      <c r="AF954" s="1585"/>
      <c r="AG954" s="1585"/>
      <c r="AH954" s="1585"/>
      <c r="AI954" s="1585"/>
      <c r="AJ954" s="1585"/>
      <c r="AK954" s="158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3"/>
      <c r="N955" s="1594"/>
      <c r="O955" s="1594"/>
      <c r="P955" s="1594"/>
      <c r="Q955" s="1594"/>
      <c r="R955" s="1594"/>
      <c r="S955" s="1595"/>
      <c r="U955" s="66" t="s">
        <v>12</v>
      </c>
      <c r="V955" s="5"/>
      <c r="W955" s="5"/>
      <c r="X955" s="5"/>
      <c r="Y955" s="5"/>
      <c r="Z955" s="5"/>
      <c r="AA955" s="5"/>
      <c r="AB955" s="5"/>
      <c r="AC955" s="5"/>
      <c r="AD955" s="46"/>
      <c r="AE955" s="1593"/>
      <c r="AF955" s="1594"/>
      <c r="AG955" s="1594"/>
      <c r="AH955" s="1594"/>
      <c r="AI955" s="1594"/>
      <c r="AJ955" s="1594"/>
      <c r="AK955" s="159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6" t="s">
        <v>308</v>
      </c>
      <c r="K956" s="1597"/>
      <c r="L956" s="1597"/>
      <c r="M956" s="1597"/>
      <c r="N956" s="1597"/>
      <c r="O956" s="1597"/>
      <c r="P956" s="1597"/>
      <c r="Q956" s="1597"/>
      <c r="R956" s="1597"/>
      <c r="S956" s="1598"/>
      <c r="U956" s="66" t="s">
        <v>892</v>
      </c>
      <c r="V956" s="5"/>
      <c r="W956" s="5"/>
      <c r="AB956" s="1596" t="s">
        <v>308</v>
      </c>
      <c r="AC956" s="1597"/>
      <c r="AD956" s="1597"/>
      <c r="AE956" s="1597"/>
      <c r="AF956" s="1597"/>
      <c r="AG956" s="1597"/>
      <c r="AH956" s="1597"/>
      <c r="AI956" s="1597"/>
      <c r="AJ956" s="1597"/>
      <c r="AK956" s="15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54"/>
      <c r="N957" s="1738"/>
      <c r="O957" s="1738"/>
      <c r="P957" s="1738"/>
      <c r="Q957" s="1738"/>
      <c r="R957" s="1738"/>
      <c r="S957" s="1739"/>
      <c r="U957" s="66" t="s">
        <v>13</v>
      </c>
      <c r="V957" s="5"/>
      <c r="W957" s="5"/>
      <c r="X957" s="5"/>
      <c r="Y957" s="5"/>
      <c r="Z957" s="5"/>
      <c r="AA957" s="5"/>
      <c r="AB957" s="5"/>
      <c r="AC957" s="5"/>
      <c r="AD957" s="46"/>
      <c r="AE957" s="1737"/>
      <c r="AF957" s="1738"/>
      <c r="AG957" s="1738"/>
      <c r="AH957" s="1738"/>
      <c r="AI957" s="1738"/>
      <c r="AJ957" s="1738"/>
      <c r="AK957" s="173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403"/>
      <c r="N958" s="1404"/>
      <c r="O958" s="1404"/>
      <c r="P958" s="1404"/>
      <c r="Q958" s="1404"/>
      <c r="R958" s="1404"/>
      <c r="S958" s="1405"/>
      <c r="U958" s="66" t="s">
        <v>14</v>
      </c>
      <c r="V958" s="5"/>
      <c r="W958" s="5"/>
      <c r="X958" s="5"/>
      <c r="Y958" s="5"/>
      <c r="Z958" s="5"/>
      <c r="AA958" s="5"/>
      <c r="AB958" s="5"/>
      <c r="AC958" s="5"/>
      <c r="AD958" s="46"/>
      <c r="AE958" s="1403"/>
      <c r="AF958" s="1404"/>
      <c r="AG958" s="1404"/>
      <c r="AH958" s="1404"/>
      <c r="AI958" s="1404"/>
      <c r="AJ958" s="1404"/>
      <c r="AK958" s="14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399"/>
      <c r="N959" s="1400"/>
      <c r="O959" s="1400"/>
      <c r="P959" s="1400"/>
      <c r="Q959" s="1400"/>
      <c r="R959" s="1400"/>
      <c r="S959" s="1401"/>
      <c r="U959" s="66" t="s">
        <v>15</v>
      </c>
      <c r="V959" s="5"/>
      <c r="W959" s="5"/>
      <c r="X959" s="5"/>
      <c r="Y959" s="5"/>
      <c r="Z959" s="5"/>
      <c r="AA959" s="5"/>
      <c r="AB959" s="5"/>
      <c r="AC959" s="5"/>
      <c r="AD959" s="46"/>
      <c r="AE959" s="1399"/>
      <c r="AF959" s="1400"/>
      <c r="AG959" s="1400"/>
      <c r="AH959" s="1400"/>
      <c r="AI959" s="1400"/>
      <c r="AJ959" s="1400"/>
      <c r="AK959" s="140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399"/>
      <c r="N960" s="1400"/>
      <c r="O960" s="1400"/>
      <c r="P960" s="1400"/>
      <c r="Q960" s="1400"/>
      <c r="R960" s="1400"/>
      <c r="S960" s="1401"/>
      <c r="U960" s="66" t="s">
        <v>16</v>
      </c>
      <c r="V960" s="5"/>
      <c r="W960" s="5"/>
      <c r="X960" s="5"/>
      <c r="Y960" s="5"/>
      <c r="Z960" s="5"/>
      <c r="AA960" s="5"/>
      <c r="AB960" s="5"/>
      <c r="AC960" s="5"/>
      <c r="AD960" s="46"/>
      <c r="AE960" s="1399"/>
      <c r="AF960" s="1400"/>
      <c r="AG960" s="1400"/>
      <c r="AH960" s="1400"/>
      <c r="AI960" s="1400"/>
      <c r="AJ960" s="1400"/>
      <c r="AK960" s="140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03"/>
      <c r="N961" s="1604"/>
      <c r="O961" s="1604"/>
      <c r="P961" s="1604"/>
      <c r="Q961" s="1604"/>
      <c r="R961" s="1604"/>
      <c r="S961" s="1605"/>
      <c r="U961" s="121" t="s">
        <v>1773</v>
      </c>
      <c r="V961" s="5"/>
      <c r="W961" s="5"/>
      <c r="X961" s="5"/>
      <c r="Y961" s="5"/>
      <c r="Z961" s="5"/>
      <c r="AA961" s="5"/>
      <c r="AB961" s="5"/>
      <c r="AC961" s="5"/>
      <c r="AD961" s="46"/>
      <c r="AE961" s="1603"/>
      <c r="AF961" s="1604"/>
      <c r="AG961" s="1604"/>
      <c r="AH961" s="1604"/>
      <c r="AI961" s="1604"/>
      <c r="AJ961" s="1604"/>
      <c r="AK961" s="160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58"/>
      <c r="N966" s="1559"/>
      <c r="O966" s="1559"/>
      <c r="P966" s="1559"/>
      <c r="Q966" s="1559"/>
      <c r="R966" s="1559"/>
      <c r="S966" s="1560"/>
      <c r="T966" s="66" t="s">
        <v>799</v>
      </c>
      <c r="U966" s="5"/>
      <c r="V966" s="5"/>
      <c r="W966" s="5"/>
      <c r="X966" s="5"/>
      <c r="Y966" s="5"/>
      <c r="Z966" s="46"/>
      <c r="AA966" s="1558"/>
      <c r="AB966" s="1559"/>
      <c r="AC966" s="1559"/>
      <c r="AD966" s="1559"/>
      <c r="AE966" s="1559"/>
      <c r="AF966" s="1559"/>
      <c r="AG966" s="156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58"/>
      <c r="N967" s="1559"/>
      <c r="O967" s="1559"/>
      <c r="P967" s="1559"/>
      <c r="Q967" s="1559"/>
      <c r="R967" s="1559"/>
      <c r="S967" s="1560"/>
      <c r="T967" s="66" t="s">
        <v>798</v>
      </c>
      <c r="U967" s="5"/>
      <c r="V967" s="5"/>
      <c r="W967" s="5"/>
      <c r="X967" s="5"/>
      <c r="Y967" s="5"/>
      <c r="Z967" s="46"/>
      <c r="AA967" s="1558"/>
      <c r="AB967" s="1559"/>
      <c r="AC967" s="1559"/>
      <c r="AD967" s="1559"/>
      <c r="AE967" s="1559"/>
      <c r="AF967" s="1559"/>
      <c r="AG967" s="156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33" t="s">
        <v>599</v>
      </c>
      <c r="N968" s="1734"/>
      <c r="O968" s="1734"/>
      <c r="P968" s="1734"/>
      <c r="Q968" s="1734"/>
      <c r="R968" s="1734"/>
      <c r="S968" s="1735"/>
      <c r="T968" s="45" t="s">
        <v>338</v>
      </c>
      <c r="U968" s="5"/>
      <c r="V968" s="5"/>
      <c r="W968" s="5"/>
      <c r="X968" s="5"/>
      <c r="Y968" s="5"/>
      <c r="Z968" s="46"/>
      <c r="AA968" s="1558"/>
      <c r="AB968" s="1559"/>
      <c r="AC968" s="1559"/>
      <c r="AD968" s="1559"/>
      <c r="AE968" s="1559"/>
      <c r="AF968" s="1559"/>
      <c r="AG968" s="15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58"/>
      <c r="N969" s="1559"/>
      <c r="O969" s="1559"/>
      <c r="P969" s="1559"/>
      <c r="Q969" s="1559"/>
      <c r="R969" s="1559"/>
      <c r="S969" s="1560"/>
      <c r="T969" s="45" t="s">
        <v>339</v>
      </c>
      <c r="U969" s="5"/>
      <c r="V969" s="5"/>
      <c r="W969" s="5"/>
      <c r="X969" s="5"/>
      <c r="Y969" s="5"/>
      <c r="Z969" s="46"/>
      <c r="AA969" s="1558"/>
      <c r="AB969" s="1559"/>
      <c r="AC969" s="1559"/>
      <c r="AD969" s="1559"/>
      <c r="AE969" s="1559"/>
      <c r="AF969" s="1559"/>
      <c r="AG969" s="15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58"/>
      <c r="N970" s="1559"/>
      <c r="O970" s="1559"/>
      <c r="P970" s="1559"/>
      <c r="Q970" s="1559"/>
      <c r="R970" s="1559"/>
      <c r="S970" s="1560"/>
      <c r="T970" s="45" t="s">
        <v>377</v>
      </c>
      <c r="U970" s="5"/>
      <c r="V970" s="5"/>
      <c r="W970" s="5"/>
      <c r="X970" s="5"/>
      <c r="Y970" s="5"/>
      <c r="Z970" s="46"/>
      <c r="AA970" s="1558"/>
      <c r="AB970" s="1559"/>
      <c r="AC970" s="1559"/>
      <c r="AD970" s="1559"/>
      <c r="AE970" s="1559"/>
      <c r="AF970" s="1559"/>
      <c r="AG970" s="15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6" t="s">
        <v>308</v>
      </c>
      <c r="N971" s="1597"/>
      <c r="O971" s="1597"/>
      <c r="P971" s="1597"/>
      <c r="Q971" s="1597"/>
      <c r="R971" s="1597"/>
      <c r="S971" s="1598"/>
      <c r="T971" s="1634"/>
      <c r="U971" s="1635"/>
      <c r="V971" s="1635"/>
      <c r="W971" s="1635"/>
      <c r="X971" s="1635"/>
      <c r="Y971" s="1635"/>
      <c r="Z971" s="1636"/>
      <c r="AA971" s="1558"/>
      <c r="AB971" s="1559"/>
      <c r="AC971" s="1559"/>
      <c r="AD971" s="1559"/>
      <c r="AE971" s="1559"/>
      <c r="AF971" s="1559"/>
      <c r="AG971" s="156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58"/>
      <c r="N972" s="1559"/>
      <c r="O972" s="1559"/>
      <c r="P972" s="1559"/>
      <c r="Q972" s="1559"/>
      <c r="R972" s="1559"/>
      <c r="S972" s="1560"/>
      <c r="T972" s="1634"/>
      <c r="U972" s="1635"/>
      <c r="V972" s="1635"/>
      <c r="W972" s="1635"/>
      <c r="X972" s="1635"/>
      <c r="Y972" s="1635"/>
      <c r="Z972" s="1636"/>
      <c r="AA972" s="1558"/>
      <c r="AB972" s="1559"/>
      <c r="AC972" s="1559"/>
      <c r="AD972" s="1559"/>
      <c r="AE972" s="1559"/>
      <c r="AF972" s="1559"/>
      <c r="AG972" s="15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2" t="s">
        <v>677</v>
      </c>
      <c r="P973" s="1703"/>
      <c r="Q973" s="92"/>
      <c r="R973" s="92"/>
      <c r="S973" s="93"/>
      <c r="T973" s="41" t="s">
        <v>170</v>
      </c>
      <c r="U973" s="42"/>
      <c r="V973" s="42"/>
      <c r="W973" s="1665" t="s">
        <v>335</v>
      </c>
      <c r="X973" s="1666"/>
      <c r="Y973" s="1666"/>
      <c r="Z973" s="1666"/>
      <c r="AA973" s="1666"/>
      <c r="AB973" s="1666"/>
      <c r="AC973" s="1666"/>
      <c r="AD973" s="1666"/>
      <c r="AE973" s="1666"/>
      <c r="AF973" s="1666"/>
      <c r="AG973" s="166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2" t="s">
        <v>33</v>
      </c>
      <c r="G974" s="1417"/>
      <c r="H974" s="1417"/>
      <c r="I974" s="1417"/>
      <c r="J974" s="1417"/>
      <c r="K974" s="1417"/>
      <c r="L974" s="1417"/>
      <c r="M974" s="1558"/>
      <c r="N974" s="1559"/>
      <c r="O974" s="1559"/>
      <c r="P974" s="1559"/>
      <c r="Q974" s="1559"/>
      <c r="R974" s="1559"/>
      <c r="S974" s="1560"/>
      <c r="T974" s="47"/>
      <c r="U974" s="48"/>
      <c r="V974" s="48"/>
      <c r="W974" s="48"/>
      <c r="X974" s="48"/>
      <c r="Y974" s="48"/>
      <c r="Z974" s="124" t="s">
        <v>134</v>
      </c>
      <c r="AA974" s="1631"/>
      <c r="AB974" s="1632"/>
      <c r="AC974" s="1632"/>
      <c r="AD974" s="1632"/>
      <c r="AE974" s="1632"/>
      <c r="AF974" s="1632"/>
      <c r="AG974" s="163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0"/>
      <c r="BH975" s="1670"/>
      <c r="BI975" s="1670"/>
      <c r="BJ975" s="1670"/>
      <c r="BK975" s="1670"/>
      <c r="BL975" s="167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7" t="s">
        <v>556</v>
      </c>
      <c r="B978" s="1467"/>
      <c r="C978" s="1467"/>
      <c r="D978" s="1467"/>
      <c r="E978" s="1467"/>
      <c r="F978" s="1467"/>
      <c r="G978" s="1467"/>
      <c r="H978" s="1467"/>
      <c r="I978" s="1467"/>
      <c r="J978" s="1467"/>
      <c r="K978" s="1467"/>
      <c r="L978" s="1467"/>
      <c r="M978" s="1467"/>
      <c r="N978" s="1467"/>
      <c r="O978" s="1467"/>
      <c r="P978" s="1467"/>
      <c r="Q978" s="1467"/>
      <c r="R978" s="1467"/>
      <c r="S978" s="1467"/>
      <c r="T978" s="1467"/>
      <c r="U978" s="1467"/>
      <c r="V978" s="1467"/>
      <c r="W978" s="1467"/>
      <c r="X978" s="1467"/>
      <c r="Y978" s="1467"/>
      <c r="Z978" s="1467"/>
      <c r="AA978" s="1467"/>
      <c r="AB978" s="1467"/>
      <c r="AC978" s="1467"/>
      <c r="AD978" s="1467"/>
      <c r="AE978" s="1467"/>
      <c r="AF978" s="1467"/>
      <c r="AG978" s="1467"/>
      <c r="AH978" s="1467"/>
      <c r="AI978" s="1467"/>
      <c r="AJ978" s="1467"/>
      <c r="AK978" s="1467"/>
      <c r="AL978" s="1467"/>
      <c r="AM978" s="1467"/>
      <c r="AN978" s="1467"/>
      <c r="AO978" s="1467"/>
      <c r="AP978" s="1467"/>
      <c r="AQ978" s="1467"/>
      <c r="AR978" s="1467"/>
      <c r="AS978" s="1467"/>
      <c r="AT978" s="146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7"/>
      <c r="B979" s="1467"/>
      <c r="C979" s="1467"/>
      <c r="D979" s="1467"/>
      <c r="E979" s="1467"/>
      <c r="F979" s="1467"/>
      <c r="G979" s="1467"/>
      <c r="H979" s="1467"/>
      <c r="I979" s="1467"/>
      <c r="J979" s="1467"/>
      <c r="K979" s="1467"/>
      <c r="L979" s="1467"/>
      <c r="M979" s="1467"/>
      <c r="N979" s="1467"/>
      <c r="O979" s="1467"/>
      <c r="P979" s="1467"/>
      <c r="Q979" s="1467"/>
      <c r="R979" s="1467"/>
      <c r="S979" s="1467"/>
      <c r="T979" s="1467"/>
      <c r="U979" s="1467"/>
      <c r="V979" s="1467"/>
      <c r="W979" s="1467"/>
      <c r="X979" s="1467"/>
      <c r="Y979" s="1467"/>
      <c r="Z979" s="1467"/>
      <c r="AA979" s="1467"/>
      <c r="AB979" s="1467"/>
      <c r="AC979" s="1467"/>
      <c r="AD979" s="1467"/>
      <c r="AE979" s="1467"/>
      <c r="AF979" s="1467"/>
      <c r="AG979" s="1467"/>
      <c r="AH979" s="1467"/>
      <c r="AI979" s="1467"/>
      <c r="AJ979" s="1467"/>
      <c r="AK979" s="1467"/>
      <c r="AL979" s="1467"/>
      <c r="AM979" s="1467"/>
      <c r="AN979" s="1467"/>
      <c r="AO979" s="1467"/>
      <c r="AP979" s="1467"/>
      <c r="AQ979" s="1467"/>
      <c r="AR979" s="1467"/>
      <c r="AS979" s="1467"/>
      <c r="AT979" s="146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7"/>
      <c r="B980" s="1467"/>
      <c r="C980" s="1467"/>
      <c r="D980" s="1467"/>
      <c r="E980" s="1467"/>
      <c r="F980" s="1467"/>
      <c r="G980" s="1467"/>
      <c r="H980" s="1467"/>
      <c r="I980" s="1467"/>
      <c r="J980" s="1467"/>
      <c r="K980" s="1467"/>
      <c r="L980" s="1467"/>
      <c r="M980" s="1467"/>
      <c r="N980" s="1467"/>
      <c r="O980" s="1467"/>
      <c r="P980" s="1467"/>
      <c r="Q980" s="1467"/>
      <c r="R980" s="1467"/>
      <c r="S980" s="1467"/>
      <c r="T980" s="1467"/>
      <c r="U980" s="1467"/>
      <c r="V980" s="1467"/>
      <c r="W980" s="1467"/>
      <c r="X980" s="1467"/>
      <c r="Y980" s="1467"/>
      <c r="Z980" s="1467"/>
      <c r="AA980" s="1467"/>
      <c r="AB980" s="1467"/>
      <c r="AC980" s="1467"/>
      <c r="AD980" s="1467"/>
      <c r="AE980" s="1467"/>
      <c r="AF980" s="1467"/>
      <c r="AG980" s="1467"/>
      <c r="AH980" s="1467"/>
      <c r="AI980" s="1467"/>
      <c r="AJ980" s="1467"/>
      <c r="AK980" s="1467"/>
      <c r="AL980" s="1467"/>
      <c r="AM980" s="1467"/>
      <c r="AN980" s="1467"/>
      <c r="AO980" s="1467"/>
      <c r="AP980" s="1467"/>
      <c r="AQ980" s="1467"/>
      <c r="AR980" s="1467"/>
      <c r="AS980" s="1467"/>
      <c r="AT980" s="146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7" t="s">
        <v>646</v>
      </c>
      <c r="E984" s="1568"/>
      <c r="F984" s="1568"/>
      <c r="G984" s="1568"/>
      <c r="H984" s="1568"/>
      <c r="I984" s="1568"/>
      <c r="J984" s="1568"/>
      <c r="K984" s="1568"/>
      <c r="L984" s="1568"/>
      <c r="M984" s="1568"/>
      <c r="N984" s="1568"/>
      <c r="O984" s="1568"/>
      <c r="P984" s="1568"/>
      <c r="Q984" s="1569"/>
      <c r="R984" s="1567" t="s">
        <v>647</v>
      </c>
      <c r="S984" s="1568"/>
      <c r="T984" s="1568"/>
      <c r="U984" s="1568"/>
      <c r="V984" s="1568"/>
      <c r="W984" s="1568"/>
      <c r="X984" s="1568"/>
      <c r="Y984" s="1568"/>
      <c r="Z984" s="1568"/>
      <c r="AA984" s="1569"/>
      <c r="AB984" s="1567" t="s">
        <v>648</v>
      </c>
      <c r="AC984" s="1568"/>
      <c r="AD984" s="1568"/>
      <c r="AE984" s="1568"/>
      <c r="AF984" s="1568"/>
      <c r="AG984" s="1568"/>
      <c r="AH984" s="1568"/>
      <c r="AI984" s="1569"/>
      <c r="AJ984" s="1567" t="s">
        <v>649</v>
      </c>
      <c r="AK984" s="1568"/>
      <c r="AL984" s="1568"/>
      <c r="AM984" s="1568"/>
      <c r="AN984" s="1568"/>
      <c r="AO984" s="1568"/>
      <c r="AP984" s="1568"/>
      <c r="AQ984" s="156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31" t="s">
        <v>641</v>
      </c>
      <c r="E985" s="1432"/>
      <c r="F985" s="1432"/>
      <c r="G985" s="1432"/>
      <c r="H985" s="1432"/>
      <c r="I985" s="1432"/>
      <c r="J985" s="1432"/>
      <c r="K985" s="1432"/>
      <c r="L985" s="1432"/>
      <c r="M985" s="1432"/>
      <c r="N985" s="1432"/>
      <c r="O985" s="1432"/>
      <c r="P985" s="1432"/>
      <c r="Q985" s="1433"/>
      <c r="R985" s="1602">
        <f>IF(ISNA(IF($BN$796="4%",(INDEX($BP$806:$BT$863,MATCH($CB$796,$BO$806:$BO$863,0),MATCH(D985,$BP$805:$BT$805,0))),(INDEX($BW$806:$CA$863,MATCH($CB$796,$BV$806:$BV$863,0),MATCH(D985,$BW$805:$CA$805,0))))),0,IF($BN$796="4%",(INDEX($BP$806:$BT$863,MATCH($CB$796,$BO$806:$BO$863,0),MATCH(D985,$BP$805:$BT$805,0))),(INDEX($BW$806:$CA$863,MATCH($CB$796,$BV$806:$BV$863,0),MATCH(D985,$BW$805:$CA$805,0)))))</f>
        <v>331890</v>
      </c>
      <c r="S985" s="1602"/>
      <c r="T985" s="1602"/>
      <c r="U985" s="1602"/>
      <c r="V985" s="1602"/>
      <c r="W985" s="1602"/>
      <c r="X985" s="1602"/>
      <c r="Y985" s="1602"/>
      <c r="Z985" s="1602"/>
      <c r="AA985" s="1602"/>
      <c r="AB985" s="1434">
        <f>BN660</f>
        <v>0</v>
      </c>
      <c r="AC985" s="1435"/>
      <c r="AD985" s="1435"/>
      <c r="AE985" s="1435"/>
      <c r="AF985" s="1435"/>
      <c r="AG985" s="1435"/>
      <c r="AH985" s="1435"/>
      <c r="AI985" s="1436"/>
      <c r="AJ985" s="1532">
        <f>IF(ISERROR((R985*AB985)),0,(R985*AB985))</f>
        <v>0</v>
      </c>
      <c r="AK985" s="1533"/>
      <c r="AL985" s="1533"/>
      <c r="AM985" s="1533"/>
      <c r="AN985" s="1533"/>
      <c r="AO985" s="1533"/>
      <c r="AP985" s="1533"/>
      <c r="AQ985" s="153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31" t="s">
        <v>326</v>
      </c>
      <c r="E986" s="1432"/>
      <c r="F986" s="1432"/>
      <c r="G986" s="1432"/>
      <c r="H986" s="1432"/>
      <c r="I986" s="1432"/>
      <c r="J986" s="1432"/>
      <c r="K986" s="1432"/>
      <c r="L986" s="1432"/>
      <c r="M986" s="1432"/>
      <c r="N986" s="1432"/>
      <c r="O986" s="1432"/>
      <c r="P986" s="1432"/>
      <c r="Q986" s="1433"/>
      <c r="R986" s="1602">
        <f>IF(ISNA(IF($BN$796="4%",(INDEX($BP$806:$BT$863,MATCH($CB$796,$BO$806:$BO$863,0),MATCH(D986,$BP$805:$BT$805,0))),(INDEX($BW$806:$CA$863,MATCH($CB$796,$BV$806:$BV$863,0),MATCH(D986,$BW$805:$CA$805,0))))),0,IF($BN$796="4%",(INDEX($BP$806:$BT$863,MATCH($CB$796,$BO$806:$BO$863,0),MATCH(D986,$BP$805:$BT$805,0))),(INDEX($BW$806:$CA$863,MATCH($CB$796,$BV$806:$BV$863,0),MATCH(D986,$BW$805:$CA$805,0)))))</f>
        <v>382666</v>
      </c>
      <c r="S986" s="1602"/>
      <c r="T986" s="1602"/>
      <c r="U986" s="1602"/>
      <c r="V986" s="1602"/>
      <c r="W986" s="1602"/>
      <c r="X986" s="1602"/>
      <c r="Y986" s="1602"/>
      <c r="Z986" s="1602"/>
      <c r="AA986" s="1602"/>
      <c r="AB986" s="1434">
        <f>BS660</f>
        <v>62</v>
      </c>
      <c r="AC986" s="1435"/>
      <c r="AD986" s="1435"/>
      <c r="AE986" s="1435"/>
      <c r="AF986" s="1435"/>
      <c r="AG986" s="1435"/>
      <c r="AH986" s="1435"/>
      <c r="AI986" s="1436"/>
      <c r="AJ986" s="1532">
        <f>IF(ISERROR((R986*AB986)),0,(R986*AB986))</f>
        <v>23725292</v>
      </c>
      <c r="AK986" s="1533"/>
      <c r="AL986" s="1533"/>
      <c r="AM986" s="1533"/>
      <c r="AN986" s="1533"/>
      <c r="AO986" s="1533"/>
      <c r="AP986" s="1533"/>
      <c r="AQ986" s="153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31" t="s">
        <v>163</v>
      </c>
      <c r="E987" s="1432"/>
      <c r="F987" s="1432"/>
      <c r="G987" s="1432"/>
      <c r="H987" s="1432"/>
      <c r="I987" s="1432"/>
      <c r="J987" s="1432"/>
      <c r="K987" s="1432"/>
      <c r="L987" s="1432"/>
      <c r="M987" s="1432"/>
      <c r="N987" s="1432"/>
      <c r="O987" s="1432"/>
      <c r="P987" s="1432"/>
      <c r="Q987" s="1433"/>
      <c r="R987" s="1602">
        <f>IF(ISNA(IF($BN$796="4%",(INDEX($BP$806:$BT$863,MATCH($CB$796,$BO$806:$BO$863,0),MATCH(D987,$BP$805:$BT$805,0))),(INDEX($BW$806:$CA$863,MATCH($CB$796,$BV$806:$BV$863,0),MATCH(D987,$BW$805:$CA$805,0))))),0,IF($BN$796="4%",(INDEX($BP$806:$BT$863,MATCH($CB$796,$BO$806:$BO$863,0),MATCH(D987,$BP$805:$BT$805,0))),(INDEX($BW$806:$CA$863,MATCH($CB$796,$BV$806:$BV$863,0),MATCH(D987,$BW$805:$CA$805,0)))))</f>
        <v>461600</v>
      </c>
      <c r="S987" s="1602"/>
      <c r="T987" s="1602"/>
      <c r="U987" s="1602"/>
      <c r="V987" s="1602"/>
      <c r="W987" s="1602"/>
      <c r="X987" s="1602"/>
      <c r="Y987" s="1602"/>
      <c r="Z987" s="1602"/>
      <c r="AA987" s="1602"/>
      <c r="AB987" s="1434">
        <f>BX660</f>
        <v>32</v>
      </c>
      <c r="AC987" s="1435"/>
      <c r="AD987" s="1435"/>
      <c r="AE987" s="1435"/>
      <c r="AF987" s="1435"/>
      <c r="AG987" s="1435"/>
      <c r="AH987" s="1435"/>
      <c r="AI987" s="1436"/>
      <c r="AJ987" s="1532">
        <f>IF(ISERROR((R987*AB987)),0,(R987*AB987))</f>
        <v>14771200</v>
      </c>
      <c r="AK987" s="1533"/>
      <c r="AL987" s="1533"/>
      <c r="AM987" s="1533"/>
      <c r="AN987" s="1533"/>
      <c r="AO987" s="1533"/>
      <c r="AP987" s="1533"/>
      <c r="AQ987" s="153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31" t="s">
        <v>164</v>
      </c>
      <c r="E988" s="1432"/>
      <c r="F988" s="1432"/>
      <c r="G988" s="1432"/>
      <c r="H988" s="1432"/>
      <c r="I988" s="1432"/>
      <c r="J988" s="1432"/>
      <c r="K988" s="1432"/>
      <c r="L988" s="1432"/>
      <c r="M988" s="1432"/>
      <c r="N988" s="1432"/>
      <c r="O988" s="1432"/>
      <c r="P988" s="1432"/>
      <c r="Q988" s="1433"/>
      <c r="R988" s="1602">
        <f>IF(ISNA(IF($BN$796="4%",(INDEX($BP$806:$BT$863,MATCH($CB$796,$BO$806:$BO$863,0),MATCH(D988,$BP$805:$BT$805,0))),(INDEX($BW$806:$CA$863,MATCH($CB$796,$BV$806:$BV$863,0),MATCH(D988,$BW$805:$CA$805,0))))),0,IF($BN$796="4%",(INDEX($BP$806:$BT$863,MATCH($CB$796,$BO$806:$BO$863,0),MATCH(D988,$BP$805:$BT$805,0))),(INDEX($BW$806:$CA$863,MATCH($CB$796,$BV$806:$BV$863,0),MATCH(D988,$BW$805:$CA$805,0)))))</f>
        <v>590848</v>
      </c>
      <c r="S988" s="1602"/>
      <c r="T988" s="1602"/>
      <c r="U988" s="1602"/>
      <c r="V988" s="1602"/>
      <c r="W988" s="1602"/>
      <c r="X988" s="1602"/>
      <c r="Y988" s="1602"/>
      <c r="Z988" s="1602"/>
      <c r="AA988" s="1602"/>
      <c r="AB988" s="1434">
        <f>CC660</f>
        <v>34</v>
      </c>
      <c r="AC988" s="1435"/>
      <c r="AD988" s="1435"/>
      <c r="AE988" s="1435"/>
      <c r="AF988" s="1435"/>
      <c r="AG988" s="1435"/>
      <c r="AH988" s="1435"/>
      <c r="AI988" s="1436"/>
      <c r="AJ988" s="1532">
        <f>IF(ISERROR((R988*AB988)),0,(R988*AB988))</f>
        <v>20088832</v>
      </c>
      <c r="AK988" s="1533"/>
      <c r="AL988" s="1533"/>
      <c r="AM988" s="1533"/>
      <c r="AN988" s="1533"/>
      <c r="AO988" s="1533"/>
      <c r="AP988" s="1533"/>
      <c r="AQ988" s="153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31" t="s">
        <v>468</v>
      </c>
      <c r="E989" s="1432"/>
      <c r="F989" s="1432"/>
      <c r="G989" s="1432"/>
      <c r="H989" s="1432"/>
      <c r="I989" s="1432"/>
      <c r="J989" s="1432"/>
      <c r="K989" s="1432"/>
      <c r="L989" s="1432"/>
      <c r="M989" s="1432"/>
      <c r="N989" s="1432"/>
      <c r="O989" s="1432"/>
      <c r="P989" s="1432"/>
      <c r="Q989" s="1433"/>
      <c r="R989" s="1602">
        <f>IF(ISNA(IF($BN$796="4%",(INDEX($BP$806:$BT$863,MATCH($CB$796,$BO$806:$BO$863,0),MATCH(D989,$BP$805:$BT$805,0))),(INDEX($BW$806:$CA$863,MATCH($CB$796,$BV$806:$BV$863,0),MATCH(D989,$BW$805:$CA$805,0))))),0,IF($BN$796="4%",(INDEX($BP$806:$BT$863,MATCH($CB$796,$BO$806:$BO$863,0),MATCH(D989,$BP$805:$BT$805,0))),(INDEX($BW$806:$CA$863,MATCH($CB$796,$BV$806:$BV$863,0),MATCH(D989,$BW$805:$CA$805,0)))))</f>
        <v>658242</v>
      </c>
      <c r="S989" s="1602"/>
      <c r="T989" s="1602"/>
      <c r="U989" s="1602"/>
      <c r="V989" s="1602"/>
      <c r="W989" s="1602"/>
      <c r="X989" s="1602"/>
      <c r="Y989" s="1602"/>
      <c r="Z989" s="1602"/>
      <c r="AA989" s="1602"/>
      <c r="AB989" s="1434">
        <f>CM660+CH660</f>
        <v>0</v>
      </c>
      <c r="AC989" s="1435"/>
      <c r="AD989" s="1435"/>
      <c r="AE989" s="1435"/>
      <c r="AF989" s="1435"/>
      <c r="AG989" s="1435"/>
      <c r="AH989" s="1435"/>
      <c r="AI989" s="1436"/>
      <c r="AJ989" s="1532">
        <f>IF(ISERROR((R989*AB989)),0,(R989*AB989))</f>
        <v>0</v>
      </c>
      <c r="AK989" s="1533"/>
      <c r="AL989" s="1533"/>
      <c r="AM989" s="1533"/>
      <c r="AN989" s="1533"/>
      <c r="AO989" s="1533"/>
      <c r="AP989" s="1533"/>
      <c r="AQ989" s="153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1" t="s">
        <v>800</v>
      </c>
      <c r="C990" s="1612"/>
      <c r="D990" s="1612"/>
      <c r="E990" s="1612"/>
      <c r="F990" s="1612"/>
      <c r="G990" s="1612"/>
      <c r="H990" s="1612"/>
      <c r="I990" s="1612"/>
      <c r="J990" s="1612"/>
      <c r="K990" s="1612"/>
      <c r="L990" s="1612"/>
      <c r="M990" s="1612"/>
      <c r="N990" s="1612"/>
      <c r="O990" s="1612"/>
      <c r="P990" s="1612"/>
      <c r="Q990" s="1612"/>
      <c r="R990" s="1612"/>
      <c r="S990" s="1612"/>
      <c r="T990" s="1612"/>
      <c r="U990" s="1612"/>
      <c r="V990" s="1612"/>
      <c r="W990" s="1612"/>
      <c r="X990" s="1612"/>
      <c r="Y990" s="1612"/>
      <c r="Z990" s="1612"/>
      <c r="AA990" s="1613"/>
      <c r="AB990" s="1434">
        <f>SUM(AB985:AI989)</f>
        <v>128</v>
      </c>
      <c r="AC990" s="1435"/>
      <c r="AD990" s="1435"/>
      <c r="AE990" s="1435"/>
      <c r="AF990" s="1435"/>
      <c r="AG990" s="1435"/>
      <c r="AH990" s="1435"/>
      <c r="AI990" s="1436"/>
      <c r="AJ990" s="1532"/>
      <c r="AK990" s="1533"/>
      <c r="AL990" s="1533"/>
      <c r="AM990" s="1533"/>
      <c r="AN990" s="1533"/>
      <c r="AO990" s="1533"/>
      <c r="AP990" s="1533"/>
      <c r="AQ990" s="153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9" t="s">
        <v>520</v>
      </c>
      <c r="C991" s="1600"/>
      <c r="D991" s="1600"/>
      <c r="E991" s="1600"/>
      <c r="F991" s="1600"/>
      <c r="G991" s="1600"/>
      <c r="H991" s="1600"/>
      <c r="I991" s="1600"/>
      <c r="J991" s="1600"/>
      <c r="K991" s="1600"/>
      <c r="L991" s="1600"/>
      <c r="M991" s="1600"/>
      <c r="N991" s="1600"/>
      <c r="O991" s="1600"/>
      <c r="P991" s="1600"/>
      <c r="Q991" s="1600"/>
      <c r="R991" s="1600"/>
      <c r="S991" s="1600"/>
      <c r="T991" s="1600"/>
      <c r="U991" s="1600"/>
      <c r="V991" s="1600"/>
      <c r="W991" s="1600"/>
      <c r="X991" s="1600"/>
      <c r="Y991" s="1600"/>
      <c r="Z991" s="1600"/>
      <c r="AA991" s="1600"/>
      <c r="AB991" s="1600"/>
      <c r="AC991" s="1600"/>
      <c r="AD991" s="1600"/>
      <c r="AE991" s="1600"/>
      <c r="AF991" s="1600"/>
      <c r="AG991" s="1600"/>
      <c r="AH991" s="1600"/>
      <c r="AI991" s="1601"/>
      <c r="AJ991" s="1532">
        <f>SUM(AJ985:AQ989)</f>
        <v>58585324</v>
      </c>
      <c r="AK991" s="1533"/>
      <c r="AL991" s="1533"/>
      <c r="AM991" s="1533"/>
      <c r="AN991" s="1533"/>
      <c r="AO991" s="1533"/>
      <c r="AP991" s="1533"/>
      <c r="AQ991" s="153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5"/>
      <c r="C992" s="1536"/>
      <c r="D992" s="1536"/>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1541" t="s">
        <v>674</v>
      </c>
      <c r="AG992" s="1542"/>
      <c r="AH992" s="1542"/>
      <c r="AI992" s="1543"/>
      <c r="AJ992" s="1535"/>
      <c r="AK992" s="1536"/>
      <c r="AL992" s="1536"/>
      <c r="AM992" s="1536"/>
      <c r="AN992" s="1536"/>
      <c r="AO992" s="1536"/>
      <c r="AP992" s="1536"/>
      <c r="AQ992" s="153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48" t="s">
        <v>1326</v>
      </c>
      <c r="E993" s="1549"/>
      <c r="F993" s="1549"/>
      <c r="G993" s="1549"/>
      <c r="H993" s="1549"/>
      <c r="I993" s="1549"/>
      <c r="J993" s="1549"/>
      <c r="K993" s="1549"/>
      <c r="L993" s="1549"/>
      <c r="M993" s="1549"/>
      <c r="N993" s="1549"/>
      <c r="O993" s="1549"/>
      <c r="P993" s="1549"/>
      <c r="Q993" s="1549"/>
      <c r="R993" s="1549"/>
      <c r="S993" s="1549"/>
      <c r="T993" s="1549"/>
      <c r="U993" s="1549"/>
      <c r="V993" s="1549"/>
      <c r="W993" s="1549"/>
      <c r="X993" s="1549"/>
      <c r="Y993" s="1549"/>
      <c r="Z993" s="1549"/>
      <c r="AA993" s="1549"/>
      <c r="AB993" s="1549"/>
      <c r="AC993" s="1549"/>
      <c r="AD993" s="1549"/>
      <c r="AE993" s="1550"/>
      <c r="AF993" s="79"/>
      <c r="AG993" s="1544" t="s">
        <v>553</v>
      </c>
      <c r="AH993" s="1545"/>
      <c r="AI993" s="87"/>
      <c r="AJ993" s="1387">
        <f>ROUND(IF(AND(AG993="yes",D999&gt;0),AJ991*0.2,0),0)</f>
        <v>11717065</v>
      </c>
      <c r="AK993" s="1388"/>
      <c r="AL993" s="1388"/>
      <c r="AM993" s="1388"/>
      <c r="AN993" s="1388"/>
      <c r="AO993" s="1388"/>
      <c r="AP993" s="1388"/>
      <c r="AQ993" s="138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7" t="s">
        <v>2566</v>
      </c>
      <c r="E994" s="1588"/>
      <c r="F994" s="1588"/>
      <c r="G994" s="1588"/>
      <c r="H994" s="1588"/>
      <c r="I994" s="1588"/>
      <c r="J994" s="1588"/>
      <c r="K994" s="1588"/>
      <c r="L994" s="1588"/>
      <c r="M994" s="1588"/>
      <c r="N994" s="1588"/>
      <c r="O994" s="1588"/>
      <c r="P994" s="1588"/>
      <c r="Q994" s="1588"/>
      <c r="R994" s="1588"/>
      <c r="S994" s="1588"/>
      <c r="T994" s="1588"/>
      <c r="U994" s="1588"/>
      <c r="V994" s="1588"/>
      <c r="W994" s="1588"/>
      <c r="X994" s="1588"/>
      <c r="Y994" s="1588"/>
      <c r="Z994" s="1588"/>
      <c r="AA994" s="1588"/>
      <c r="AB994" s="1588"/>
      <c r="AC994" s="1588"/>
      <c r="AD994" s="1588"/>
      <c r="AE994" s="1589"/>
      <c r="AF994" s="73"/>
      <c r="AG994" s="14"/>
      <c r="AH994" s="14"/>
      <c r="AI994" s="83"/>
      <c r="AJ994" s="1390"/>
      <c r="AK994" s="1391"/>
      <c r="AL994" s="1391"/>
      <c r="AM994" s="1391"/>
      <c r="AN994" s="1391"/>
      <c r="AO994" s="1391"/>
      <c r="AP994" s="1391"/>
      <c r="AQ994" s="139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7"/>
      <c r="E995" s="1588"/>
      <c r="F995" s="1588"/>
      <c r="G995" s="1588"/>
      <c r="H995" s="1588"/>
      <c r="I995" s="1588"/>
      <c r="J995" s="1588"/>
      <c r="K995" s="1588"/>
      <c r="L995" s="1588"/>
      <c r="M995" s="1588"/>
      <c r="N995" s="1588"/>
      <c r="O995" s="1588"/>
      <c r="P995" s="1588"/>
      <c r="Q995" s="1588"/>
      <c r="R995" s="1588"/>
      <c r="S995" s="1588"/>
      <c r="T995" s="1588"/>
      <c r="U995" s="1588"/>
      <c r="V995" s="1588"/>
      <c r="W995" s="1588"/>
      <c r="X995" s="1588"/>
      <c r="Y995" s="1588"/>
      <c r="Z995" s="1588"/>
      <c r="AA995" s="1588"/>
      <c r="AB995" s="1588"/>
      <c r="AC995" s="1588"/>
      <c r="AD995" s="1588"/>
      <c r="AE995" s="1589"/>
      <c r="AF995" s="73"/>
      <c r="AG995" s="14"/>
      <c r="AH995" s="14"/>
      <c r="AI995" s="83"/>
      <c r="AJ995" s="1390"/>
      <c r="AK995" s="1391"/>
      <c r="AL995" s="1391"/>
      <c r="AM995" s="1391"/>
      <c r="AN995" s="1391"/>
      <c r="AO995" s="1391"/>
      <c r="AP995" s="1391"/>
      <c r="AQ995" s="139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7"/>
      <c r="E996" s="1588"/>
      <c r="F996" s="1588"/>
      <c r="G996" s="1588"/>
      <c r="H996" s="1588"/>
      <c r="I996" s="1588"/>
      <c r="J996" s="1588"/>
      <c r="K996" s="1588"/>
      <c r="L996" s="1588"/>
      <c r="M996" s="1588"/>
      <c r="N996" s="1588"/>
      <c r="O996" s="1588"/>
      <c r="P996" s="1588"/>
      <c r="Q996" s="1588"/>
      <c r="R996" s="1588"/>
      <c r="S996" s="1588"/>
      <c r="T996" s="1588"/>
      <c r="U996" s="1588"/>
      <c r="V996" s="1588"/>
      <c r="W996" s="1588"/>
      <c r="X996" s="1588"/>
      <c r="Y996" s="1588"/>
      <c r="Z996" s="1588"/>
      <c r="AA996" s="1588"/>
      <c r="AB996" s="1588"/>
      <c r="AC996" s="1588"/>
      <c r="AD996" s="1588"/>
      <c r="AE996" s="1589"/>
      <c r="AF996" s="73"/>
      <c r="AG996" s="14"/>
      <c r="AH996" s="14"/>
      <c r="AI996" s="83"/>
      <c r="AJ996" s="1390"/>
      <c r="AK996" s="1391"/>
      <c r="AL996" s="1391"/>
      <c r="AM996" s="1391"/>
      <c r="AN996" s="1391"/>
      <c r="AO996" s="1391"/>
      <c r="AP996" s="1391"/>
      <c r="AQ996" s="139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7"/>
      <c r="E997" s="1588"/>
      <c r="F997" s="1588"/>
      <c r="G997" s="1588"/>
      <c r="H997" s="1588"/>
      <c r="I997" s="1588"/>
      <c r="J997" s="1588"/>
      <c r="K997" s="1588"/>
      <c r="L997" s="1588"/>
      <c r="M997" s="1588"/>
      <c r="N997" s="1588"/>
      <c r="O997" s="1588"/>
      <c r="P997" s="1588"/>
      <c r="Q997" s="1588"/>
      <c r="R997" s="1588"/>
      <c r="S997" s="1588"/>
      <c r="T997" s="1588"/>
      <c r="U997" s="1588"/>
      <c r="V997" s="1588"/>
      <c r="W997" s="1588"/>
      <c r="X997" s="1588"/>
      <c r="Y997" s="1588"/>
      <c r="Z997" s="1588"/>
      <c r="AA997" s="1588"/>
      <c r="AB997" s="1588"/>
      <c r="AC997" s="1588"/>
      <c r="AD997" s="1588"/>
      <c r="AE997" s="1589"/>
      <c r="AF997" s="73"/>
      <c r="AG997" s="14"/>
      <c r="AH997" s="14"/>
      <c r="AI997" s="83"/>
      <c r="AJ997" s="1390"/>
      <c r="AK997" s="1391"/>
      <c r="AL997" s="1391"/>
      <c r="AM997" s="1391"/>
      <c r="AN997" s="1391"/>
      <c r="AO997" s="1391"/>
      <c r="AP997" s="1391"/>
      <c r="AQ997" s="139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0" t="s">
        <v>2567</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73"/>
      <c r="AG998" s="14"/>
      <c r="AH998" s="14"/>
      <c r="AI998" s="83"/>
      <c r="AJ998" s="1390"/>
      <c r="AK998" s="1391"/>
      <c r="AL998" s="1391"/>
      <c r="AM998" s="1391"/>
      <c r="AN998" s="1391"/>
      <c r="AO998" s="1391"/>
      <c r="AP998" s="1391"/>
      <c r="AQ998" s="139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4" t="s">
        <v>2727</v>
      </c>
      <c r="E999" s="1615"/>
      <c r="F999" s="1615"/>
      <c r="G999" s="1615"/>
      <c r="H999" s="1615"/>
      <c r="I999" s="1615"/>
      <c r="J999" s="1615"/>
      <c r="K999" s="1615"/>
      <c r="L999" s="1615"/>
      <c r="M999" s="1615"/>
      <c r="N999" s="1615"/>
      <c r="O999" s="1615"/>
      <c r="P999" s="1615"/>
      <c r="Q999" s="1615"/>
      <c r="R999" s="1615"/>
      <c r="S999" s="1615"/>
      <c r="T999" s="1615"/>
      <c r="U999" s="1615"/>
      <c r="V999" s="1615"/>
      <c r="W999" s="1615"/>
      <c r="X999" s="1615"/>
      <c r="Y999" s="1615"/>
      <c r="Z999" s="1615"/>
      <c r="AA999" s="1615"/>
      <c r="AB999" s="1615"/>
      <c r="AC999" s="1615"/>
      <c r="AD999" s="1615"/>
      <c r="AE999" s="1616"/>
      <c r="AF999" s="77"/>
      <c r="AG999" s="7"/>
      <c r="AH999" s="7"/>
      <c r="AI999" s="78"/>
      <c r="AJ999" s="1393"/>
      <c r="AK999" s="1394"/>
      <c r="AL999" s="1394"/>
      <c r="AM999" s="1394"/>
      <c r="AN999" s="1394"/>
      <c r="AO999" s="1394"/>
      <c r="AP999" s="1394"/>
      <c r="AQ999" s="139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8" t="s">
        <v>1394</v>
      </c>
      <c r="E1000" s="1539"/>
      <c r="F1000" s="1539"/>
      <c r="G1000" s="1539"/>
      <c r="H1000" s="1539"/>
      <c r="I1000" s="1539"/>
      <c r="J1000" s="1539"/>
      <c r="K1000" s="1539"/>
      <c r="L1000" s="1539"/>
      <c r="M1000" s="1539"/>
      <c r="N1000" s="1539"/>
      <c r="O1000" s="1539"/>
      <c r="P1000" s="1539"/>
      <c r="Q1000" s="1539"/>
      <c r="R1000" s="1539"/>
      <c r="S1000" s="1539"/>
      <c r="T1000" s="1539"/>
      <c r="U1000" s="1539"/>
      <c r="V1000" s="1539"/>
      <c r="W1000" s="1539"/>
      <c r="X1000" s="1539"/>
      <c r="Y1000" s="1539"/>
      <c r="Z1000" s="1539"/>
      <c r="AA1000" s="1539"/>
      <c r="AB1000" s="1539"/>
      <c r="AC1000" s="1539"/>
      <c r="AD1000" s="1539"/>
      <c r="AE1000" s="1540"/>
      <c r="AF1000" s="79"/>
      <c r="AG1000" s="1546" t="s">
        <v>677</v>
      </c>
      <c r="AH1000" s="1547"/>
      <c r="AI1000" s="87"/>
      <c r="AJ1000" s="1387">
        <f>ROUND(IF(AG1000="yes",AJ991*0.05,0),0)</f>
        <v>0</v>
      </c>
      <c r="AK1000" s="1388"/>
      <c r="AL1000" s="1388"/>
      <c r="AM1000" s="1388"/>
      <c r="AN1000" s="1388"/>
      <c r="AO1000" s="1388"/>
      <c r="AP1000" s="1388"/>
      <c r="AQ1000" s="138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7" t="s">
        <v>1392</v>
      </c>
      <c r="E1001" s="1588"/>
      <c r="F1001" s="1588"/>
      <c r="G1001" s="1588"/>
      <c r="H1001" s="1588"/>
      <c r="I1001" s="1588"/>
      <c r="J1001" s="1588"/>
      <c r="K1001" s="1588"/>
      <c r="L1001" s="1588"/>
      <c r="M1001" s="1588"/>
      <c r="N1001" s="1588"/>
      <c r="O1001" s="1588"/>
      <c r="P1001" s="1588"/>
      <c r="Q1001" s="1588"/>
      <c r="R1001" s="1588"/>
      <c r="S1001" s="1588"/>
      <c r="T1001" s="1588"/>
      <c r="U1001" s="1588"/>
      <c r="V1001" s="1588"/>
      <c r="W1001" s="1588"/>
      <c r="X1001" s="1588"/>
      <c r="Y1001" s="1588"/>
      <c r="Z1001" s="1588"/>
      <c r="AA1001" s="1588"/>
      <c r="AB1001" s="1588"/>
      <c r="AC1001" s="1588"/>
      <c r="AD1001" s="1588"/>
      <c r="AE1001" s="1589"/>
      <c r="AF1001" s="73"/>
      <c r="AG1001" s="14"/>
      <c r="AH1001" s="14"/>
      <c r="AI1001" s="83"/>
      <c r="AJ1001" s="1390"/>
      <c r="AK1001" s="1391"/>
      <c r="AL1001" s="1391"/>
      <c r="AM1001" s="1391"/>
      <c r="AN1001" s="1391"/>
      <c r="AO1001" s="1391"/>
      <c r="AP1001" s="1391"/>
      <c r="AQ1001" s="139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7"/>
      <c r="E1002" s="1588"/>
      <c r="F1002" s="1588"/>
      <c r="G1002" s="1588"/>
      <c r="H1002" s="1588"/>
      <c r="I1002" s="1588"/>
      <c r="J1002" s="1588"/>
      <c r="K1002" s="1588"/>
      <c r="L1002" s="1588"/>
      <c r="M1002" s="1588"/>
      <c r="N1002" s="1588"/>
      <c r="O1002" s="1588"/>
      <c r="P1002" s="1588"/>
      <c r="Q1002" s="1588"/>
      <c r="R1002" s="1588"/>
      <c r="S1002" s="1588"/>
      <c r="T1002" s="1588"/>
      <c r="U1002" s="1588"/>
      <c r="V1002" s="1588"/>
      <c r="W1002" s="1588"/>
      <c r="X1002" s="1588"/>
      <c r="Y1002" s="1588"/>
      <c r="Z1002" s="1588"/>
      <c r="AA1002" s="1588"/>
      <c r="AB1002" s="1588"/>
      <c r="AC1002" s="1588"/>
      <c r="AD1002" s="1588"/>
      <c r="AE1002" s="1589"/>
      <c r="AF1002" s="73"/>
      <c r="AG1002" s="14"/>
      <c r="AH1002" s="14"/>
      <c r="AI1002" s="83"/>
      <c r="AJ1002" s="1390"/>
      <c r="AK1002" s="1391"/>
      <c r="AL1002" s="1391"/>
      <c r="AM1002" s="1391"/>
      <c r="AN1002" s="1391"/>
      <c r="AO1002" s="1391"/>
      <c r="AP1002" s="1391"/>
      <c r="AQ1002" s="1392"/>
      <c r="AR1002" s="68"/>
      <c r="AS1002" s="68"/>
      <c r="AT1002" s="68"/>
      <c r="AU1002" s="68"/>
      <c r="AV1002" s="68"/>
      <c r="AW1002" s="68"/>
      <c r="AX1002" s="68"/>
      <c r="AY1002" s="949">
        <f>G753+O797</f>
        <v>127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7"/>
      <c r="E1003" s="1588"/>
      <c r="F1003" s="1588"/>
      <c r="G1003" s="1588"/>
      <c r="H1003" s="1588"/>
      <c r="I1003" s="1588"/>
      <c r="J1003" s="1588"/>
      <c r="K1003" s="1588"/>
      <c r="L1003" s="1588"/>
      <c r="M1003" s="1588"/>
      <c r="N1003" s="1588"/>
      <c r="O1003" s="1588"/>
      <c r="P1003" s="1588"/>
      <c r="Q1003" s="1588"/>
      <c r="R1003" s="1588"/>
      <c r="S1003" s="1588"/>
      <c r="T1003" s="1588"/>
      <c r="U1003" s="1588"/>
      <c r="V1003" s="1588"/>
      <c r="W1003" s="1588"/>
      <c r="X1003" s="1588"/>
      <c r="Y1003" s="1588"/>
      <c r="Z1003" s="1588"/>
      <c r="AA1003" s="1588"/>
      <c r="AB1003" s="1588"/>
      <c r="AC1003" s="1588"/>
      <c r="AD1003" s="1588"/>
      <c r="AE1003" s="1589"/>
      <c r="AF1003" s="73"/>
      <c r="AG1003" s="14"/>
      <c r="AH1003" s="14"/>
      <c r="AI1003" s="83"/>
      <c r="AJ1003" s="1390"/>
      <c r="AK1003" s="1391"/>
      <c r="AL1003" s="1391"/>
      <c r="AM1003" s="1391"/>
      <c r="AN1003" s="1391"/>
      <c r="AO1003" s="1391"/>
      <c r="AP1003" s="1391"/>
      <c r="AQ1003" s="139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7"/>
      <c r="E1004" s="1588"/>
      <c r="F1004" s="1588"/>
      <c r="G1004" s="1588"/>
      <c r="H1004" s="1588"/>
      <c r="I1004" s="1588"/>
      <c r="J1004" s="1588"/>
      <c r="K1004" s="1588"/>
      <c r="L1004" s="1588"/>
      <c r="M1004" s="1588"/>
      <c r="N1004" s="1588"/>
      <c r="O1004" s="1588"/>
      <c r="P1004" s="1588"/>
      <c r="Q1004" s="1588"/>
      <c r="R1004" s="1588"/>
      <c r="S1004" s="1588"/>
      <c r="T1004" s="1588"/>
      <c r="U1004" s="1588"/>
      <c r="V1004" s="1588"/>
      <c r="W1004" s="1588"/>
      <c r="X1004" s="1588"/>
      <c r="Y1004" s="1588"/>
      <c r="Z1004" s="1588"/>
      <c r="AA1004" s="1588"/>
      <c r="AB1004" s="1588"/>
      <c r="AC1004" s="1588"/>
      <c r="AD1004" s="1588"/>
      <c r="AE1004" s="1589"/>
      <c r="AF1004" s="73"/>
      <c r="AG1004" s="14"/>
      <c r="AH1004" s="14"/>
      <c r="AI1004" s="83"/>
      <c r="AJ1004" s="1390"/>
      <c r="AK1004" s="1391"/>
      <c r="AL1004" s="1391"/>
      <c r="AM1004" s="1391"/>
      <c r="AN1004" s="1391"/>
      <c r="AO1004" s="1391"/>
      <c r="AP1004" s="1391"/>
      <c r="AQ1004" s="1392"/>
      <c r="AR1004" s="68"/>
      <c r="AS1004" s="68"/>
      <c r="AT1004" s="68"/>
      <c r="AU1004" s="68"/>
      <c r="AV1004" s="68"/>
      <c r="AW1004" s="68"/>
      <c r="AX1004" s="68"/>
      <c r="AY1004" s="948">
        <f>ROUNDDOWN(X1047/I1047,2)</f>
        <v>0.34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77"/>
      <c r="AG1005" s="7"/>
      <c r="AH1005" s="7"/>
      <c r="AI1005" s="78"/>
      <c r="AJ1005" s="1393"/>
      <c r="AK1005" s="1394"/>
      <c r="AL1005" s="1394"/>
      <c r="AM1005" s="1394"/>
      <c r="AN1005" s="1394"/>
      <c r="AO1005" s="1394"/>
      <c r="AP1005" s="1394"/>
      <c r="AQ1005" s="1395"/>
      <c r="AR1005" s="68"/>
      <c r="AS1005" s="68"/>
      <c r="AT1005" s="68"/>
      <c r="AU1005" s="68"/>
      <c r="AV1005" s="68"/>
      <c r="AW1005" s="68"/>
      <c r="AX1005" s="68"/>
      <c r="AY1005" s="948">
        <f>ROUNDDOWN(X1051/I1051,2)</f>
        <v>0.19</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38" t="s">
        <v>1871</v>
      </c>
      <c r="E1006" s="1539"/>
      <c r="F1006" s="1539"/>
      <c r="G1006" s="1539"/>
      <c r="H1006" s="1539"/>
      <c r="I1006" s="1539"/>
      <c r="J1006" s="1539"/>
      <c r="K1006" s="1539"/>
      <c r="L1006" s="1539"/>
      <c r="M1006" s="1539"/>
      <c r="N1006" s="1539"/>
      <c r="O1006" s="1539"/>
      <c r="P1006" s="1539"/>
      <c r="Q1006" s="1539"/>
      <c r="R1006" s="1539"/>
      <c r="S1006" s="1539"/>
      <c r="T1006" s="1539"/>
      <c r="U1006" s="1539"/>
      <c r="V1006" s="1539"/>
      <c r="W1006" s="1539"/>
      <c r="X1006" s="1539"/>
      <c r="Y1006" s="1539"/>
      <c r="Z1006" s="1539"/>
      <c r="AA1006" s="1539"/>
      <c r="AB1006" s="1539"/>
      <c r="AC1006" s="1539"/>
      <c r="AD1006" s="1539"/>
      <c r="AE1006" s="1540"/>
      <c r="AF1006" s="86"/>
      <c r="AG1006" s="1546" t="s">
        <v>677</v>
      </c>
      <c r="AH1006" s="1547"/>
      <c r="AI1006" s="87"/>
      <c r="AJ1006" s="1387">
        <f>ROUND(IF(AG1006="yes",AJ991*0.1,0),0)</f>
        <v>0</v>
      </c>
      <c r="AK1006" s="1388"/>
      <c r="AL1006" s="1388"/>
      <c r="AM1006" s="1388"/>
      <c r="AN1006" s="1388"/>
      <c r="AO1006" s="1388"/>
      <c r="AP1006" s="1388"/>
      <c r="AQ1006" s="1389"/>
      <c r="AR1006" s="68"/>
      <c r="AS1006" s="68"/>
      <c r="AT1006" s="68"/>
      <c r="AU1006" s="68"/>
      <c r="AV1006" s="68"/>
      <c r="AW1006" s="68"/>
      <c r="AX1006" s="68"/>
      <c r="BB1006" s="34"/>
      <c r="BD1006" s="34"/>
      <c r="BE1006" s="34"/>
      <c r="BF1006" s="34"/>
    </row>
    <row r="1007" spans="1:157" ht="12.95" customHeight="1">
      <c r="A1007" s="14"/>
      <c r="B1007" s="73"/>
      <c r="C1007" s="74"/>
      <c r="D1007" s="1526" t="s">
        <v>1393</v>
      </c>
      <c r="E1007" s="1527"/>
      <c r="F1007" s="1527"/>
      <c r="G1007" s="1527"/>
      <c r="H1007" s="1527"/>
      <c r="I1007" s="1527"/>
      <c r="J1007" s="1527"/>
      <c r="K1007" s="1527"/>
      <c r="L1007" s="1527"/>
      <c r="M1007" s="1527"/>
      <c r="N1007" s="1527"/>
      <c r="O1007" s="1527"/>
      <c r="P1007" s="1527"/>
      <c r="Q1007" s="1527"/>
      <c r="R1007" s="1527"/>
      <c r="S1007" s="1527"/>
      <c r="T1007" s="1527"/>
      <c r="U1007" s="1527"/>
      <c r="V1007" s="1527"/>
      <c r="W1007" s="1527"/>
      <c r="X1007" s="1527"/>
      <c r="Y1007" s="1527"/>
      <c r="Z1007" s="1527"/>
      <c r="AA1007" s="1527"/>
      <c r="AB1007" s="1527"/>
      <c r="AC1007" s="1527"/>
      <c r="AD1007" s="1527"/>
      <c r="AE1007" s="1528"/>
      <c r="AF1007" s="73"/>
      <c r="AI1007" s="83"/>
      <c r="AJ1007" s="1390"/>
      <c r="AK1007" s="1391"/>
      <c r="AL1007" s="1391"/>
      <c r="AM1007" s="1391"/>
      <c r="AN1007" s="1391"/>
      <c r="AO1007" s="1391"/>
      <c r="AP1007" s="1391"/>
      <c r="AQ1007" s="1392"/>
      <c r="AR1007" s="68"/>
      <c r="AS1007" s="68"/>
      <c r="AT1007" s="68"/>
      <c r="AU1007" s="68"/>
      <c r="AV1007" s="68"/>
      <c r="AW1007" s="68"/>
      <c r="AX1007" s="68"/>
    </row>
    <row r="1008" spans="1:157" ht="12.95" customHeight="1">
      <c r="A1008" s="14"/>
      <c r="B1008" s="73"/>
      <c r="C1008" s="74"/>
      <c r="D1008" s="1526"/>
      <c r="E1008" s="1527"/>
      <c r="F1008" s="1527"/>
      <c r="G1008" s="1527"/>
      <c r="H1008" s="1527"/>
      <c r="I1008" s="1527"/>
      <c r="J1008" s="1527"/>
      <c r="K1008" s="1527"/>
      <c r="L1008" s="1527"/>
      <c r="M1008" s="1527"/>
      <c r="N1008" s="1527"/>
      <c r="O1008" s="1527"/>
      <c r="P1008" s="1527"/>
      <c r="Q1008" s="1527"/>
      <c r="R1008" s="1527"/>
      <c r="S1008" s="1527"/>
      <c r="T1008" s="1527"/>
      <c r="U1008" s="1527"/>
      <c r="V1008" s="1527"/>
      <c r="W1008" s="1527"/>
      <c r="X1008" s="1527"/>
      <c r="Y1008" s="1527"/>
      <c r="Z1008" s="1527"/>
      <c r="AA1008" s="1527"/>
      <c r="AB1008" s="1527"/>
      <c r="AC1008" s="1527"/>
      <c r="AD1008" s="1527"/>
      <c r="AE1008" s="1528"/>
      <c r="AF1008" s="73"/>
      <c r="AG1008" s="14"/>
      <c r="AH1008" s="14"/>
      <c r="AI1008" s="83"/>
      <c r="AJ1008" s="1390"/>
      <c r="AK1008" s="1391"/>
      <c r="AL1008" s="1391"/>
      <c r="AM1008" s="1391"/>
      <c r="AN1008" s="1391"/>
      <c r="AO1008" s="1391"/>
      <c r="AP1008" s="1391"/>
      <c r="AQ1008" s="1392"/>
      <c r="AR1008" s="68"/>
      <c r="AS1008" s="68"/>
      <c r="AT1008" s="68"/>
      <c r="AU1008" s="68"/>
      <c r="AV1008" s="68"/>
      <c r="AW1008" s="68"/>
      <c r="AX1008" s="68"/>
    </row>
    <row r="1009" spans="1:51" ht="12.95" customHeight="1">
      <c r="A1009" s="14"/>
      <c r="B1009" s="85"/>
      <c r="C1009" s="76"/>
      <c r="D1009" s="1551"/>
      <c r="E1009" s="1552"/>
      <c r="F1009" s="1552"/>
      <c r="G1009" s="1552"/>
      <c r="H1009" s="1552"/>
      <c r="I1009" s="1552"/>
      <c r="J1009" s="1552"/>
      <c r="K1009" s="1552"/>
      <c r="L1009" s="1552"/>
      <c r="M1009" s="1552"/>
      <c r="N1009" s="1552"/>
      <c r="O1009" s="1552"/>
      <c r="P1009" s="1552"/>
      <c r="Q1009" s="1552"/>
      <c r="R1009" s="1552"/>
      <c r="S1009" s="1552"/>
      <c r="T1009" s="1552"/>
      <c r="U1009" s="1552"/>
      <c r="V1009" s="1552"/>
      <c r="W1009" s="1552"/>
      <c r="X1009" s="1552"/>
      <c r="Y1009" s="1552"/>
      <c r="Z1009" s="1552"/>
      <c r="AA1009" s="1552"/>
      <c r="AB1009" s="1552"/>
      <c r="AC1009" s="1552"/>
      <c r="AD1009" s="1552"/>
      <c r="AE1009" s="1553"/>
      <c r="AF1009" s="77"/>
      <c r="AG1009" s="7"/>
      <c r="AH1009" s="7"/>
      <c r="AI1009" s="78"/>
      <c r="AJ1009" s="1393"/>
      <c r="AK1009" s="1394"/>
      <c r="AL1009" s="1394"/>
      <c r="AM1009" s="1394"/>
      <c r="AN1009" s="1394"/>
      <c r="AO1009" s="1394"/>
      <c r="AP1009" s="1394"/>
      <c r="AQ1009" s="1395"/>
      <c r="AR1009" s="68"/>
      <c r="AS1009" s="68"/>
      <c r="AT1009" s="68"/>
      <c r="AU1009" s="68"/>
      <c r="AV1009" s="68"/>
      <c r="AW1009" s="68"/>
      <c r="AX1009" s="68"/>
    </row>
    <row r="1010" spans="1:51" ht="12.95" customHeight="1">
      <c r="A1010" s="14"/>
      <c r="B1010" s="79"/>
      <c r="C1010" s="80" t="s">
        <v>213</v>
      </c>
      <c r="D1010" s="1538" t="s">
        <v>1395</v>
      </c>
      <c r="E1010" s="1539"/>
      <c r="F1010" s="1539"/>
      <c r="G1010" s="1539"/>
      <c r="H1010" s="1539"/>
      <c r="I1010" s="1539"/>
      <c r="J1010" s="1539"/>
      <c r="K1010" s="1539"/>
      <c r="L1010" s="1539"/>
      <c r="M1010" s="1539"/>
      <c r="N1010" s="1539"/>
      <c r="O1010" s="1539"/>
      <c r="P1010" s="1539"/>
      <c r="Q1010" s="1539"/>
      <c r="R1010" s="1539"/>
      <c r="S1010" s="1539"/>
      <c r="T1010" s="1539"/>
      <c r="U1010" s="1539"/>
      <c r="V1010" s="1539"/>
      <c r="W1010" s="1539"/>
      <c r="X1010" s="1539"/>
      <c r="Y1010" s="1539"/>
      <c r="Z1010" s="1539"/>
      <c r="AA1010" s="1539"/>
      <c r="AB1010" s="1539"/>
      <c r="AC1010" s="1539"/>
      <c r="AD1010" s="1539"/>
      <c r="AE1010" s="1540"/>
      <c r="AF1010" s="79"/>
      <c r="AG1010" s="1546" t="s">
        <v>677</v>
      </c>
      <c r="AH1010" s="1547"/>
      <c r="AI1010" s="87"/>
      <c r="AJ1010" s="1387">
        <f>ROUND(IF(AG1010="yes",AJ991*0.02,0),0)</f>
        <v>0</v>
      </c>
      <c r="AK1010" s="1388"/>
      <c r="AL1010" s="1388"/>
      <c r="AM1010" s="1388"/>
      <c r="AN1010" s="1388"/>
      <c r="AO1010" s="1388"/>
      <c r="AP1010" s="1388"/>
      <c r="AQ1010" s="1389"/>
      <c r="AR1010" s="68"/>
      <c r="AS1010" s="68"/>
      <c r="AT1010" s="68"/>
      <c r="AU1010" s="68"/>
      <c r="AV1010" s="68"/>
      <c r="AW1010" s="68"/>
      <c r="AX1010" s="68"/>
      <c r="AY1010" s="215">
        <f>IF(SUM(AY1012:AY1020)&lt;=0.1,SUM(AY1012:AY1020),0.1)</f>
        <v>0</v>
      </c>
    </row>
    <row r="1011" spans="1:51" ht="14.25" customHeight="1">
      <c r="A1011" s="14"/>
      <c r="B1011" s="73"/>
      <c r="C1011" s="74"/>
      <c r="D1011" s="1551" t="s">
        <v>1396</v>
      </c>
      <c r="E1011" s="1552"/>
      <c r="F1011" s="1552"/>
      <c r="G1011" s="1552"/>
      <c r="H1011" s="1552"/>
      <c r="I1011" s="1552"/>
      <c r="J1011" s="1552"/>
      <c r="K1011" s="1552"/>
      <c r="L1011" s="1552"/>
      <c r="M1011" s="1552"/>
      <c r="N1011" s="1552"/>
      <c r="O1011" s="1552"/>
      <c r="P1011" s="1552"/>
      <c r="Q1011" s="1552"/>
      <c r="R1011" s="1552"/>
      <c r="S1011" s="1552"/>
      <c r="T1011" s="1552"/>
      <c r="U1011" s="1552"/>
      <c r="V1011" s="1552"/>
      <c r="W1011" s="1552"/>
      <c r="X1011" s="1552"/>
      <c r="Y1011" s="1552"/>
      <c r="Z1011" s="1552"/>
      <c r="AA1011" s="1552"/>
      <c r="AB1011" s="1552"/>
      <c r="AC1011" s="1552"/>
      <c r="AD1011" s="1552"/>
      <c r="AE1011" s="1553"/>
      <c r="AF1011" s="77"/>
      <c r="AG1011" s="7"/>
      <c r="AH1011" s="7"/>
      <c r="AI1011" s="78"/>
      <c r="AJ1011" s="1393"/>
      <c r="AK1011" s="1394"/>
      <c r="AL1011" s="1394"/>
      <c r="AM1011" s="1394"/>
      <c r="AN1011" s="1394"/>
      <c r="AO1011" s="1394"/>
      <c r="AP1011" s="1394"/>
      <c r="AQ1011" s="1395"/>
      <c r="AR1011" s="68"/>
      <c r="AS1011" s="68"/>
      <c r="AT1011" s="68"/>
      <c r="AU1011" s="68"/>
      <c r="AV1011" s="68"/>
      <c r="AW1011" s="68"/>
      <c r="AX1011" s="68"/>
    </row>
    <row r="1012" spans="1:51" ht="12.95" customHeight="1">
      <c r="A1012" s="14"/>
      <c r="B1012" s="79"/>
      <c r="C1012" s="80" t="s">
        <v>216</v>
      </c>
      <c r="D1012" s="1538" t="s">
        <v>1397</v>
      </c>
      <c r="E1012" s="1539"/>
      <c r="F1012" s="1539"/>
      <c r="G1012" s="1539"/>
      <c r="H1012" s="1539"/>
      <c r="I1012" s="1539"/>
      <c r="J1012" s="1539"/>
      <c r="K1012" s="1539"/>
      <c r="L1012" s="1539"/>
      <c r="M1012" s="1539"/>
      <c r="N1012" s="1539"/>
      <c r="O1012" s="1539"/>
      <c r="P1012" s="1539"/>
      <c r="Q1012" s="1539"/>
      <c r="R1012" s="1539"/>
      <c r="S1012" s="1539"/>
      <c r="T1012" s="1539"/>
      <c r="U1012" s="1539"/>
      <c r="V1012" s="1539"/>
      <c r="W1012" s="1539"/>
      <c r="X1012" s="1539"/>
      <c r="Y1012" s="1539"/>
      <c r="Z1012" s="1539"/>
      <c r="AA1012" s="1539"/>
      <c r="AB1012" s="1539"/>
      <c r="AC1012" s="1539"/>
      <c r="AD1012" s="1539"/>
      <c r="AE1012" s="1540"/>
      <c r="AF1012" s="79"/>
      <c r="AG1012" s="1546" t="s">
        <v>677</v>
      </c>
      <c r="AH1012" s="1547"/>
      <c r="AI1012" s="79"/>
      <c r="AJ1012" s="1387">
        <f>ROUND(IF(AG1012="yes",AJ991*0.02,0),0)</f>
        <v>0</v>
      </c>
      <c r="AK1012" s="1388"/>
      <c r="AL1012" s="1388"/>
      <c r="AM1012" s="1388"/>
      <c r="AN1012" s="1388"/>
      <c r="AO1012" s="1388"/>
      <c r="AP1012" s="1388"/>
      <c r="AQ1012" s="1389"/>
      <c r="AR1012" s="68"/>
      <c r="AS1012" s="68"/>
      <c r="AT1012" s="68"/>
      <c r="AU1012" s="68"/>
      <c r="AV1012" s="68"/>
      <c r="AW1012" s="68"/>
      <c r="AX1012" s="68"/>
      <c r="AY1012" s="213">
        <f>IF(A1064="Yes",0.05,0)</f>
        <v>0</v>
      </c>
    </row>
    <row r="1013" spans="1:51" ht="12.95" customHeight="1">
      <c r="A1013" s="14"/>
      <c r="B1013" s="73"/>
      <c r="C1013" s="74"/>
      <c r="D1013" s="1526" t="s">
        <v>1398</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1424" t="str">
        <f>IF(AND(AG1012="yes",AB212&lt;&gt;1),"The project may not be eligible for this boost","")</f>
        <v/>
      </c>
      <c r="AG1013" s="1425"/>
      <c r="AH1013" s="1425"/>
      <c r="AI1013" s="1426"/>
      <c r="AJ1013" s="1390"/>
      <c r="AK1013" s="1391"/>
      <c r="AL1013" s="1391"/>
      <c r="AM1013" s="1391"/>
      <c r="AN1013" s="1391"/>
      <c r="AO1013" s="1391"/>
      <c r="AP1013" s="1391"/>
      <c r="AQ1013" s="1392"/>
      <c r="AR1013" s="68"/>
      <c r="AS1013" s="68"/>
      <c r="AT1013" s="68"/>
      <c r="AU1013" s="68"/>
      <c r="AV1013" s="68"/>
      <c r="AW1013" s="68"/>
      <c r="AX1013" s="68"/>
      <c r="AY1013" s="213">
        <f>IF(A1070="Yes",0.02,0)</f>
        <v>0</v>
      </c>
    </row>
    <row r="1014" spans="1:51" ht="12.95" customHeight="1">
      <c r="A1014" s="14"/>
      <c r="B1014" s="75"/>
      <c r="C1014" s="76"/>
      <c r="D1014" s="1551"/>
      <c r="E1014" s="1552"/>
      <c r="F1014" s="1552"/>
      <c r="G1014" s="1552"/>
      <c r="H1014" s="1552"/>
      <c r="I1014" s="1552"/>
      <c r="J1014" s="1552"/>
      <c r="K1014" s="1552"/>
      <c r="L1014" s="1552"/>
      <c r="M1014" s="1552"/>
      <c r="N1014" s="1552"/>
      <c r="O1014" s="1552"/>
      <c r="P1014" s="1552"/>
      <c r="Q1014" s="1552"/>
      <c r="R1014" s="1552"/>
      <c r="S1014" s="1552"/>
      <c r="T1014" s="1552"/>
      <c r="U1014" s="1552"/>
      <c r="V1014" s="1552"/>
      <c r="W1014" s="1552"/>
      <c r="X1014" s="1552"/>
      <c r="Y1014" s="1552"/>
      <c r="Z1014" s="1552"/>
      <c r="AA1014" s="1552"/>
      <c r="AB1014" s="1552"/>
      <c r="AC1014" s="1552"/>
      <c r="AD1014" s="1552"/>
      <c r="AE1014" s="1553"/>
      <c r="AF1014" s="1427"/>
      <c r="AG1014" s="1428"/>
      <c r="AH1014" s="1428"/>
      <c r="AI1014" s="1429"/>
      <c r="AJ1014" s="1393"/>
      <c r="AK1014" s="1394"/>
      <c r="AL1014" s="1394"/>
      <c r="AM1014" s="1394"/>
      <c r="AN1014" s="1394"/>
      <c r="AO1014" s="1394"/>
      <c r="AP1014" s="1394"/>
      <c r="AQ1014" s="1395"/>
      <c r="AR1014" s="68"/>
      <c r="AS1014" s="68"/>
      <c r="AT1014" s="68"/>
      <c r="AU1014" s="68"/>
      <c r="AV1014" s="68"/>
      <c r="AW1014" s="68"/>
      <c r="AX1014" s="68"/>
      <c r="AY1014" s="213">
        <f>IF(A1076="Yes",0.04,0)</f>
        <v>0</v>
      </c>
    </row>
    <row r="1015" spans="1:51" ht="12.95" customHeight="1">
      <c r="A1015" s="14"/>
      <c r="B1015" s="79"/>
      <c r="C1015" s="80" t="s">
        <v>219</v>
      </c>
      <c r="D1015" s="1548" t="s">
        <v>1399</v>
      </c>
      <c r="E1015" s="1549"/>
      <c r="F1015" s="1549"/>
      <c r="G1015" s="1549"/>
      <c r="H1015" s="1549"/>
      <c r="I1015" s="1549"/>
      <c r="J1015" s="1549"/>
      <c r="K1015" s="1549"/>
      <c r="L1015" s="1549"/>
      <c r="M1015" s="1549"/>
      <c r="N1015" s="1549"/>
      <c r="O1015" s="1549"/>
      <c r="P1015" s="1549"/>
      <c r="Q1015" s="1549"/>
      <c r="R1015" s="1549"/>
      <c r="S1015" s="1549"/>
      <c r="T1015" s="1549"/>
      <c r="U1015" s="1549"/>
      <c r="V1015" s="1549"/>
      <c r="W1015" s="1549"/>
      <c r="X1015" s="1549"/>
      <c r="Y1015" s="1549"/>
      <c r="Z1015" s="1549"/>
      <c r="AA1015" s="1549"/>
      <c r="AB1015" s="1549"/>
      <c r="AC1015" s="1549"/>
      <c r="AD1015" s="1549"/>
      <c r="AE1015" s="1550"/>
      <c r="AF1015" s="79"/>
      <c r="AG1015" s="1546" t="s">
        <v>677</v>
      </c>
      <c r="AH1015" s="1547"/>
      <c r="AI1015" s="87"/>
      <c r="AJ1015" s="1387">
        <f>IF(AG1015="yes",AJ991*AY1010,0)</f>
        <v>0</v>
      </c>
      <c r="AK1015" s="1388"/>
      <c r="AL1015" s="1388"/>
      <c r="AM1015" s="1388"/>
      <c r="AN1015" s="1388"/>
      <c r="AO1015" s="1388"/>
      <c r="AP1015" s="1388"/>
      <c r="AQ1015" s="1389"/>
      <c r="AR1015" s="68"/>
      <c r="AS1015" s="68"/>
      <c r="AT1015" s="68"/>
      <c r="AU1015" s="68"/>
      <c r="AV1015" s="68"/>
      <c r="AW1015" s="68"/>
      <c r="AX1015" s="68"/>
      <c r="AY1015" s="213">
        <f>IF(A1083="Yes",0.04,0)</f>
        <v>0</v>
      </c>
    </row>
    <row r="1016" spans="1:51" ht="12.95" customHeight="1">
      <c r="A1016" s="14"/>
      <c r="B1016" s="73"/>
      <c r="C1016" s="74"/>
      <c r="D1016" s="1526" t="s">
        <v>1400</v>
      </c>
      <c r="E1016" s="1527"/>
      <c r="F1016" s="1527"/>
      <c r="G1016" s="1527"/>
      <c r="H1016" s="1527"/>
      <c r="I1016" s="1527"/>
      <c r="J1016" s="1527"/>
      <c r="K1016" s="1527"/>
      <c r="L1016" s="1527"/>
      <c r="M1016" s="1527"/>
      <c r="N1016" s="1527"/>
      <c r="O1016" s="1527"/>
      <c r="P1016" s="1527"/>
      <c r="Q1016" s="1527"/>
      <c r="R1016" s="1527"/>
      <c r="S1016" s="1527"/>
      <c r="T1016" s="1527"/>
      <c r="U1016" s="1527"/>
      <c r="V1016" s="1527"/>
      <c r="W1016" s="1527"/>
      <c r="X1016" s="1527"/>
      <c r="Y1016" s="1527"/>
      <c r="Z1016" s="1527"/>
      <c r="AA1016" s="1527"/>
      <c r="AB1016" s="1527"/>
      <c r="AC1016" s="1527"/>
      <c r="AD1016" s="1527"/>
      <c r="AE1016" s="1528"/>
      <c r="AF1016" s="1418" t="str">
        <f>IF(AND(AG1015="Yes",AY1010=0),AY1022,"")</f>
        <v/>
      </c>
      <c r="AG1016" s="1419"/>
      <c r="AH1016" s="1419"/>
      <c r="AI1016" s="1420"/>
      <c r="AJ1016" s="1390"/>
      <c r="AK1016" s="1391"/>
      <c r="AL1016" s="1391"/>
      <c r="AM1016" s="1391"/>
      <c r="AN1016" s="1391"/>
      <c r="AO1016" s="1391"/>
      <c r="AP1016" s="1391"/>
      <c r="AQ1016" s="1392"/>
      <c r="AR1016" s="68"/>
      <c r="AS1016" s="68"/>
      <c r="AT1016" s="68"/>
      <c r="AU1016" s="68"/>
      <c r="AV1016" s="68"/>
      <c r="AW1016" s="68"/>
      <c r="AX1016" s="68"/>
      <c r="AY1016" s="213">
        <f>IF(A1086="Yes",0.01,0)</f>
        <v>0</v>
      </c>
    </row>
    <row r="1017" spans="1:51" ht="12.95" customHeight="1">
      <c r="A1017" s="14"/>
      <c r="B1017" s="73"/>
      <c r="C1017" s="74"/>
      <c r="D1017" s="1526"/>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1418"/>
      <c r="AG1017" s="1419"/>
      <c r="AH1017" s="1419"/>
      <c r="AI1017" s="1420"/>
      <c r="AJ1017" s="1390"/>
      <c r="AK1017" s="1391"/>
      <c r="AL1017" s="1391"/>
      <c r="AM1017" s="1391"/>
      <c r="AN1017" s="1391"/>
      <c r="AO1017" s="1391"/>
      <c r="AP1017" s="1391"/>
      <c r="AQ1017" s="1392"/>
      <c r="AR1017" s="68"/>
      <c r="AS1017" s="68"/>
      <c r="AT1017" s="68"/>
      <c r="AU1017" s="68"/>
      <c r="AV1017" s="68"/>
      <c r="AW1017" s="68"/>
      <c r="AX1017" s="68"/>
      <c r="AY1017" s="213">
        <f>IF(A1091="Yes",0.01,0)</f>
        <v>0</v>
      </c>
    </row>
    <row r="1018" spans="1:51" ht="12.95" customHeight="1">
      <c r="A1018" s="14"/>
      <c r="B1018" s="81"/>
      <c r="C1018" s="82"/>
      <c r="D1018" s="1551"/>
      <c r="E1018" s="1552"/>
      <c r="F1018" s="1552"/>
      <c r="G1018" s="1552"/>
      <c r="H1018" s="1552"/>
      <c r="I1018" s="1552"/>
      <c r="J1018" s="1552"/>
      <c r="K1018" s="1552"/>
      <c r="L1018" s="1552"/>
      <c r="M1018" s="1552"/>
      <c r="N1018" s="1552"/>
      <c r="O1018" s="1552"/>
      <c r="P1018" s="1552"/>
      <c r="Q1018" s="1552"/>
      <c r="R1018" s="1552"/>
      <c r="S1018" s="1552"/>
      <c r="T1018" s="1552"/>
      <c r="U1018" s="1552"/>
      <c r="V1018" s="1552"/>
      <c r="W1018" s="1552"/>
      <c r="X1018" s="1552"/>
      <c r="Y1018" s="1552"/>
      <c r="Z1018" s="1552"/>
      <c r="AA1018" s="1552"/>
      <c r="AB1018" s="1552"/>
      <c r="AC1018" s="1552"/>
      <c r="AD1018" s="1552"/>
      <c r="AE1018" s="1553"/>
      <c r="AF1018" s="1421"/>
      <c r="AG1018" s="1422"/>
      <c r="AH1018" s="1422"/>
      <c r="AI1018" s="1423"/>
      <c r="AJ1018" s="1393"/>
      <c r="AK1018" s="1394"/>
      <c r="AL1018" s="1394"/>
      <c r="AM1018" s="1394"/>
      <c r="AN1018" s="1394"/>
      <c r="AO1018" s="1394"/>
      <c r="AP1018" s="1394"/>
      <c r="AQ1018" s="1395"/>
      <c r="AR1018" s="68"/>
      <c r="AS1018" s="68"/>
      <c r="AT1018" s="68"/>
      <c r="AU1018" s="68"/>
      <c r="AV1018" s="68"/>
      <c r="AW1018" s="68"/>
      <c r="AX1018" s="68"/>
      <c r="AY1018" s="213">
        <f>IF(A1094="Yes",0.01,0)</f>
        <v>0</v>
      </c>
    </row>
    <row r="1019" spans="1:51" ht="12.95" customHeight="1">
      <c r="A1019" s="14"/>
      <c r="B1019" s="79"/>
      <c r="C1019" s="80" t="s">
        <v>224</v>
      </c>
      <c r="D1019" s="1575" t="s">
        <v>1401</v>
      </c>
      <c r="E1019" s="1576"/>
      <c r="F1019" s="1576"/>
      <c r="G1019" s="1576"/>
      <c r="H1019" s="1576"/>
      <c r="I1019" s="1576"/>
      <c r="J1019" s="1576"/>
      <c r="K1019" s="1576"/>
      <c r="L1019" s="1576"/>
      <c r="M1019" s="1576"/>
      <c r="N1019" s="1576"/>
      <c r="O1019" s="1576"/>
      <c r="P1019" s="1576"/>
      <c r="Q1019" s="1576"/>
      <c r="R1019" s="1576"/>
      <c r="S1019" s="1576"/>
      <c r="T1019" s="1576"/>
      <c r="U1019" s="1576"/>
      <c r="V1019" s="1576"/>
      <c r="W1019" s="1576"/>
      <c r="X1019" s="1576"/>
      <c r="Y1019" s="1576"/>
      <c r="Z1019" s="1576"/>
      <c r="AA1019" s="1576"/>
      <c r="AB1019" s="1576"/>
      <c r="AC1019" s="1576"/>
      <c r="AD1019" s="1576"/>
      <c r="AE1019" s="1577"/>
      <c r="AF1019" s="79"/>
      <c r="AG1019" s="1546" t="s">
        <v>677</v>
      </c>
      <c r="AH1019" s="1547"/>
      <c r="AI1019" s="87"/>
      <c r="AJ1019" s="1387">
        <f>ROUND(IF(AND(AG1019="Yes",J1023&lt;&gt;"N/A",AF1022&lt;&gt;""),MIN(AF1022,(0.15*AJ991)),0),0)</f>
        <v>0</v>
      </c>
      <c r="AK1019" s="1388"/>
      <c r="AL1019" s="1388"/>
      <c r="AM1019" s="1388"/>
      <c r="AN1019" s="1388"/>
      <c r="AO1019" s="1388"/>
      <c r="AP1019" s="1388"/>
      <c r="AQ1019" s="1389"/>
      <c r="AR1019" s="68"/>
      <c r="AS1019" s="68"/>
      <c r="AT1019" s="68"/>
      <c r="AU1019" s="68"/>
      <c r="AV1019" s="68"/>
      <c r="AW1019" s="68"/>
      <c r="AX1019" s="68"/>
      <c r="AY1019" s="213">
        <f>IF(A1098="Yes",0.02,0)</f>
        <v>0</v>
      </c>
    </row>
    <row r="1020" spans="1:51" ht="12.95" customHeight="1">
      <c r="A1020" s="14"/>
      <c r="B1020" s="81"/>
      <c r="C1020" s="84"/>
      <c r="D1020" s="1578"/>
      <c r="E1020" s="1579"/>
      <c r="F1020" s="1579"/>
      <c r="G1020" s="1579"/>
      <c r="H1020" s="1579"/>
      <c r="I1020" s="1579"/>
      <c r="J1020" s="1579"/>
      <c r="K1020" s="1579"/>
      <c r="L1020" s="1579"/>
      <c r="M1020" s="1579"/>
      <c r="N1020" s="1579"/>
      <c r="O1020" s="1579"/>
      <c r="P1020" s="1579"/>
      <c r="Q1020" s="1579"/>
      <c r="R1020" s="1579"/>
      <c r="S1020" s="1579"/>
      <c r="T1020" s="1579"/>
      <c r="U1020" s="1579"/>
      <c r="V1020" s="1579"/>
      <c r="W1020" s="1579"/>
      <c r="X1020" s="1579"/>
      <c r="Y1020" s="1579"/>
      <c r="Z1020" s="1579"/>
      <c r="AA1020" s="1579"/>
      <c r="AB1020" s="1579"/>
      <c r="AC1020" s="1579"/>
      <c r="AD1020" s="1579"/>
      <c r="AE1020" s="1580"/>
      <c r="AF1020" s="1554" t="str">
        <f>IF(AG1019="yes","Please Select Type and Enter Amount:","")</f>
        <v/>
      </c>
      <c r="AG1020" s="1555"/>
      <c r="AH1020" s="1555"/>
      <c r="AI1020" s="1556"/>
      <c r="AJ1020" s="1390"/>
      <c r="AK1020" s="1391"/>
      <c r="AL1020" s="1391"/>
      <c r="AM1020" s="1391"/>
      <c r="AN1020" s="1391"/>
      <c r="AO1020" s="1391"/>
      <c r="AP1020" s="1391"/>
      <c r="AQ1020" s="1392"/>
      <c r="AR1020" s="68"/>
      <c r="AS1020" s="68"/>
      <c r="AT1020" s="68"/>
      <c r="AU1020" s="68"/>
      <c r="AV1020" s="68"/>
      <c r="AW1020" s="68"/>
      <c r="AX1020" s="68"/>
      <c r="AY1020" s="214">
        <f>IF(A1103="Yes",0.02,0)</f>
        <v>0</v>
      </c>
    </row>
    <row r="1021" spans="1:51" ht="12.95" customHeight="1">
      <c r="A1021" s="14"/>
      <c r="B1021" s="81"/>
      <c r="C1021" s="84"/>
      <c r="D1021" s="1526" t="s">
        <v>1402</v>
      </c>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54"/>
      <c r="AG1021" s="1555"/>
      <c r="AH1021" s="1555"/>
      <c r="AI1021" s="1556"/>
      <c r="AJ1021" s="1390"/>
      <c r="AK1021" s="1391"/>
      <c r="AL1021" s="1391"/>
      <c r="AM1021" s="1391"/>
      <c r="AN1021" s="1391"/>
      <c r="AO1021" s="1391"/>
      <c r="AP1021" s="1391"/>
      <c r="AQ1021" s="1392"/>
      <c r="AR1021" s="68"/>
      <c r="AS1021" s="68"/>
      <c r="AT1021" s="68"/>
      <c r="AU1021" s="68"/>
      <c r="AV1021" s="68"/>
      <c r="AW1021" s="68"/>
      <c r="AX1021" s="68"/>
      <c r="AY1021" s="68"/>
    </row>
    <row r="1022" spans="1:51" ht="12.95" customHeight="1">
      <c r="A1022" s="14"/>
      <c r="B1022" s="81"/>
      <c r="C1022" s="84"/>
      <c r="D1022" s="1526"/>
      <c r="E1022" s="1527"/>
      <c r="F1022" s="1527"/>
      <c r="G1022" s="1527"/>
      <c r="H1022" s="1527"/>
      <c r="I1022" s="1527"/>
      <c r="J1022" s="1527"/>
      <c r="K1022" s="1527"/>
      <c r="L1022" s="1527"/>
      <c r="M1022" s="1527"/>
      <c r="N1022" s="1527"/>
      <c r="O1022" s="1527"/>
      <c r="P1022" s="1527"/>
      <c r="Q1022" s="1527"/>
      <c r="R1022" s="1527"/>
      <c r="S1022" s="1527"/>
      <c r="T1022" s="1527"/>
      <c r="U1022" s="1527"/>
      <c r="V1022" s="1527"/>
      <c r="W1022" s="1527"/>
      <c r="X1022" s="1527"/>
      <c r="Y1022" s="1527"/>
      <c r="Z1022" s="1527"/>
      <c r="AA1022" s="1527"/>
      <c r="AB1022" s="1527"/>
      <c r="AC1022" s="1527"/>
      <c r="AD1022" s="1527"/>
      <c r="AE1022" s="1528"/>
      <c r="AF1022" s="1557"/>
      <c r="AG1022" s="1557"/>
      <c r="AH1022" s="1557"/>
      <c r="AI1022" s="1557"/>
      <c r="AJ1022" s="1390"/>
      <c r="AK1022" s="1391"/>
      <c r="AL1022" s="1391"/>
      <c r="AM1022" s="1391"/>
      <c r="AN1022" s="1391"/>
      <c r="AO1022" s="1391"/>
      <c r="AP1022" s="1391"/>
      <c r="AQ1022" s="1392"/>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9" t="s">
        <v>599</v>
      </c>
      <c r="K1023" s="1530"/>
      <c r="L1023" s="1530"/>
      <c r="M1023" s="1530"/>
      <c r="N1023" s="1530"/>
      <c r="O1023" s="1530"/>
      <c r="P1023" s="1530"/>
      <c r="Q1023" s="1530"/>
      <c r="R1023" s="1530"/>
      <c r="S1023" s="1530"/>
      <c r="T1023" s="1530"/>
      <c r="U1023" s="1530"/>
      <c r="V1023" s="1530"/>
      <c r="W1023" s="1530"/>
      <c r="X1023" s="1530"/>
      <c r="Y1023" s="1530"/>
      <c r="Z1023" s="1530"/>
      <c r="AA1023" s="1530"/>
      <c r="AB1023" s="1530"/>
      <c r="AC1023" s="1530"/>
      <c r="AD1023" s="1530"/>
      <c r="AE1023" s="1531"/>
      <c r="AF1023" s="1557"/>
      <c r="AG1023" s="1557"/>
      <c r="AH1023" s="1557"/>
      <c r="AI1023" s="1557"/>
      <c r="AJ1023" s="1393"/>
      <c r="AK1023" s="1394"/>
      <c r="AL1023" s="1394"/>
      <c r="AM1023" s="1394"/>
      <c r="AN1023" s="1394"/>
      <c r="AO1023" s="1394"/>
      <c r="AP1023" s="1394"/>
      <c r="AQ1023" s="1395"/>
      <c r="AR1023" s="68"/>
      <c r="AS1023" s="68"/>
      <c r="AT1023" s="68"/>
      <c r="AU1023" s="68"/>
      <c r="AV1023" s="68"/>
      <c r="AW1023" s="68"/>
      <c r="AX1023" s="68"/>
      <c r="AY1023" s="68"/>
    </row>
    <row r="1024" spans="1:51" ht="12.95" customHeight="1">
      <c r="A1024" s="14"/>
      <c r="B1024" s="79"/>
      <c r="C1024" s="80" t="s">
        <v>230</v>
      </c>
      <c r="D1024" s="1538" t="s">
        <v>1403</v>
      </c>
      <c r="E1024" s="1539"/>
      <c r="F1024" s="1539"/>
      <c r="G1024" s="1539"/>
      <c r="H1024" s="1539"/>
      <c r="I1024" s="1539"/>
      <c r="J1024" s="1539"/>
      <c r="K1024" s="1539"/>
      <c r="L1024" s="1539"/>
      <c r="M1024" s="1539"/>
      <c r="N1024" s="1539"/>
      <c r="O1024" s="1539"/>
      <c r="P1024" s="1539"/>
      <c r="Q1024" s="1539"/>
      <c r="R1024" s="1539"/>
      <c r="S1024" s="1539"/>
      <c r="T1024" s="1539"/>
      <c r="U1024" s="1539"/>
      <c r="V1024" s="1539"/>
      <c r="W1024" s="1539"/>
      <c r="X1024" s="1539"/>
      <c r="Y1024" s="1539"/>
      <c r="Z1024" s="1539"/>
      <c r="AA1024" s="1539"/>
      <c r="AB1024" s="1539"/>
      <c r="AC1024" s="1539"/>
      <c r="AD1024" s="1539"/>
      <c r="AE1024" s="1540"/>
      <c r="AF1024" s="79"/>
      <c r="AG1024" s="1546" t="s">
        <v>553</v>
      </c>
      <c r="AH1024" s="1547"/>
      <c r="AI1024" s="87"/>
      <c r="AJ1024" s="1387">
        <f>ROUND(IF(AG1024="Yes",AF1026,0),0)</f>
        <v>2000000</v>
      </c>
      <c r="AK1024" s="1388"/>
      <c r="AL1024" s="1388"/>
      <c r="AM1024" s="1388"/>
      <c r="AN1024" s="1388"/>
      <c r="AO1024" s="1388"/>
      <c r="AP1024" s="1388"/>
      <c r="AQ1024" s="1389"/>
      <c r="AR1024" s="68"/>
      <c r="AS1024" s="68"/>
      <c r="AT1024" s="68"/>
      <c r="AU1024" s="68"/>
      <c r="AV1024" s="68"/>
      <c r="AW1024" s="68"/>
      <c r="AX1024" s="68"/>
      <c r="AY1024" s="68"/>
    </row>
    <row r="1025" spans="1:51" ht="12.95" customHeight="1">
      <c r="A1025" s="14"/>
      <c r="B1025" s="73"/>
      <c r="C1025" s="74"/>
      <c r="D1025" s="1526" t="s">
        <v>1878</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1581" t="str">
        <f>IF(AG1024="yes","Enter Amount:","")</f>
        <v>Enter Amount:</v>
      </c>
      <c r="AG1025" s="1582"/>
      <c r="AH1025" s="1582"/>
      <c r="AI1025" s="1583"/>
      <c r="AJ1025" s="1390"/>
      <c r="AK1025" s="1391"/>
      <c r="AL1025" s="1391"/>
      <c r="AM1025" s="1391"/>
      <c r="AN1025" s="1391"/>
      <c r="AO1025" s="1391"/>
      <c r="AP1025" s="1391"/>
      <c r="AQ1025" s="1392"/>
      <c r="AR1025" s="68"/>
      <c r="AS1025" s="68"/>
      <c r="AT1025" s="68"/>
      <c r="AU1025" s="68"/>
      <c r="AV1025" s="68"/>
      <c r="AW1025" s="68"/>
      <c r="AX1025" s="68"/>
      <c r="AY1025" s="68"/>
    </row>
    <row r="1026" spans="1:51" ht="12.95" customHeight="1">
      <c r="A1026" s="14"/>
      <c r="B1026" s="73"/>
      <c r="C1026" s="74"/>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1557">
        <v>2000000</v>
      </c>
      <c r="AG1026" s="1557"/>
      <c r="AH1026" s="1557"/>
      <c r="AI1026" s="1557"/>
      <c r="AJ1026" s="1390"/>
      <c r="AK1026" s="1391"/>
      <c r="AL1026" s="1391"/>
      <c r="AM1026" s="1391"/>
      <c r="AN1026" s="1391"/>
      <c r="AO1026" s="1391"/>
      <c r="AP1026" s="1391"/>
      <c r="AQ1026" s="1392"/>
      <c r="AR1026" s="68"/>
      <c r="AS1026" s="68"/>
      <c r="AT1026" s="68"/>
      <c r="AU1026" s="68"/>
      <c r="AV1026" s="68"/>
      <c r="AW1026" s="68"/>
      <c r="AX1026" s="68"/>
      <c r="AY1026" s="68"/>
    </row>
    <row r="1027" spans="1:51" ht="12.95" customHeight="1">
      <c r="A1027" s="14"/>
      <c r="B1027" s="85"/>
      <c r="C1027" s="84"/>
      <c r="D1027" s="1551"/>
      <c r="E1027" s="1552"/>
      <c r="F1027" s="1552"/>
      <c r="G1027" s="1552"/>
      <c r="H1027" s="1552"/>
      <c r="I1027" s="1552"/>
      <c r="J1027" s="1552"/>
      <c r="K1027" s="1552"/>
      <c r="L1027" s="1552"/>
      <c r="M1027" s="1552"/>
      <c r="N1027" s="1552"/>
      <c r="O1027" s="1552"/>
      <c r="P1027" s="1552"/>
      <c r="Q1027" s="1552"/>
      <c r="R1027" s="1552"/>
      <c r="S1027" s="1552"/>
      <c r="T1027" s="1552"/>
      <c r="U1027" s="1552"/>
      <c r="V1027" s="1552"/>
      <c r="W1027" s="1552"/>
      <c r="X1027" s="1552"/>
      <c r="Y1027" s="1552"/>
      <c r="Z1027" s="1552"/>
      <c r="AA1027" s="1552"/>
      <c r="AB1027" s="1552"/>
      <c r="AC1027" s="1552"/>
      <c r="AD1027" s="1552"/>
      <c r="AE1027" s="1553"/>
      <c r="AF1027" s="1557"/>
      <c r="AG1027" s="1557"/>
      <c r="AH1027" s="1557"/>
      <c r="AI1027" s="1557"/>
      <c r="AJ1027" s="1393"/>
      <c r="AK1027" s="1394"/>
      <c r="AL1027" s="1394"/>
      <c r="AM1027" s="1394"/>
      <c r="AN1027" s="1394"/>
      <c r="AO1027" s="1394"/>
      <c r="AP1027" s="1394"/>
      <c r="AQ1027" s="1395"/>
      <c r="AR1027" s="68"/>
      <c r="AS1027" s="68"/>
      <c r="AT1027" s="68"/>
      <c r="AU1027" s="68"/>
      <c r="AV1027" s="68"/>
      <c r="AW1027" s="68"/>
      <c r="AX1027" s="68"/>
      <c r="AY1027" s="68"/>
    </row>
    <row r="1028" spans="1:51" ht="12.95" customHeight="1">
      <c r="A1028" s="14"/>
      <c r="B1028" s="79"/>
      <c r="C1028" s="80" t="s">
        <v>235</v>
      </c>
      <c r="D1028" s="1548" t="s">
        <v>1404</v>
      </c>
      <c r="E1028" s="1549"/>
      <c r="F1028" s="1549"/>
      <c r="G1028" s="1549"/>
      <c r="H1028" s="1549"/>
      <c r="I1028" s="1549"/>
      <c r="J1028" s="1549"/>
      <c r="K1028" s="1549"/>
      <c r="L1028" s="1549"/>
      <c r="M1028" s="1549"/>
      <c r="N1028" s="1549"/>
      <c r="O1028" s="1549"/>
      <c r="P1028" s="1549"/>
      <c r="Q1028" s="1549"/>
      <c r="R1028" s="1549"/>
      <c r="S1028" s="1549"/>
      <c r="T1028" s="1549"/>
      <c r="U1028" s="1549"/>
      <c r="V1028" s="1549"/>
      <c r="W1028" s="1549"/>
      <c r="X1028" s="1549"/>
      <c r="Y1028" s="1549"/>
      <c r="Z1028" s="1549"/>
      <c r="AA1028" s="1549"/>
      <c r="AB1028" s="1549"/>
      <c r="AC1028" s="1549"/>
      <c r="AD1028" s="1549"/>
      <c r="AE1028" s="1550"/>
      <c r="AF1028" s="79"/>
      <c r="AG1028" s="1546" t="s">
        <v>677</v>
      </c>
      <c r="AH1028" s="1547"/>
      <c r="AI1028" s="87"/>
      <c r="AJ1028" s="1387">
        <f>ROUND(IF(AG1028="yes",(AJ991*0.1),0),0)</f>
        <v>0</v>
      </c>
      <c r="AK1028" s="1388"/>
      <c r="AL1028" s="1388"/>
      <c r="AM1028" s="1388"/>
      <c r="AN1028" s="1388"/>
      <c r="AO1028" s="1388"/>
      <c r="AP1028" s="1388"/>
      <c r="AQ1028" s="1389"/>
      <c r="AR1028" s="68"/>
      <c r="AS1028" s="68"/>
      <c r="AT1028" s="68"/>
      <c r="AU1028" s="68"/>
      <c r="AV1028" s="68"/>
      <c r="AW1028" s="68"/>
      <c r="AX1028" s="68"/>
      <c r="AY1028" s="68"/>
    </row>
    <row r="1029" spans="1:51" ht="12.95" customHeight="1">
      <c r="A1029" s="14"/>
      <c r="B1029" s="73"/>
      <c r="C1029" s="74"/>
      <c r="D1029" s="1526" t="s">
        <v>1405</v>
      </c>
      <c r="E1029" s="1527"/>
      <c r="F1029" s="1527"/>
      <c r="G1029" s="1527"/>
      <c r="H1029" s="1527"/>
      <c r="I1029" s="1527"/>
      <c r="J1029" s="1527"/>
      <c r="K1029" s="1527"/>
      <c r="L1029" s="1527"/>
      <c r="M1029" s="1527"/>
      <c r="N1029" s="1527"/>
      <c r="O1029" s="1527"/>
      <c r="P1029" s="1527"/>
      <c r="Q1029" s="1527"/>
      <c r="R1029" s="1527"/>
      <c r="S1029" s="1527"/>
      <c r="T1029" s="1527"/>
      <c r="U1029" s="1527"/>
      <c r="V1029" s="1527"/>
      <c r="W1029" s="1527"/>
      <c r="X1029" s="1527"/>
      <c r="Y1029" s="1527"/>
      <c r="Z1029" s="1527"/>
      <c r="AA1029" s="1527"/>
      <c r="AB1029" s="1527"/>
      <c r="AC1029" s="1527"/>
      <c r="AD1029" s="1527"/>
      <c r="AE1029" s="1528"/>
      <c r="AF1029" s="73"/>
      <c r="AG1029" s="14"/>
      <c r="AH1029" s="14"/>
      <c r="AI1029" s="83"/>
      <c r="AJ1029" s="1390"/>
      <c r="AK1029" s="1391"/>
      <c r="AL1029" s="1391"/>
      <c r="AM1029" s="1391"/>
      <c r="AN1029" s="1391"/>
      <c r="AO1029" s="1391"/>
      <c r="AP1029" s="1391"/>
      <c r="AQ1029" s="1392"/>
      <c r="AR1029" s="68"/>
      <c r="AS1029" s="68"/>
      <c r="AT1029" s="68"/>
      <c r="AU1029" s="68"/>
      <c r="AV1029" s="68"/>
      <c r="AW1029" s="68"/>
      <c r="AX1029" s="68"/>
      <c r="AY1029" s="68"/>
    </row>
    <row r="1030" spans="1:51" ht="12.95" customHeight="1">
      <c r="A1030" s="14"/>
      <c r="B1030" s="77"/>
      <c r="C1030" s="74"/>
      <c r="D1030" s="1551"/>
      <c r="E1030" s="1552"/>
      <c r="F1030" s="1552"/>
      <c r="G1030" s="1552"/>
      <c r="H1030" s="1552"/>
      <c r="I1030" s="1552"/>
      <c r="J1030" s="1552"/>
      <c r="K1030" s="1552"/>
      <c r="L1030" s="1552"/>
      <c r="M1030" s="1552"/>
      <c r="N1030" s="1552"/>
      <c r="O1030" s="1552"/>
      <c r="P1030" s="1552"/>
      <c r="Q1030" s="1552"/>
      <c r="R1030" s="1552"/>
      <c r="S1030" s="1552"/>
      <c r="T1030" s="1552"/>
      <c r="U1030" s="1552"/>
      <c r="V1030" s="1552"/>
      <c r="W1030" s="1552"/>
      <c r="X1030" s="1552"/>
      <c r="Y1030" s="1552"/>
      <c r="Z1030" s="1552"/>
      <c r="AA1030" s="1552"/>
      <c r="AB1030" s="1552"/>
      <c r="AC1030" s="1552"/>
      <c r="AD1030" s="1552"/>
      <c r="AE1030" s="1553"/>
      <c r="AF1030" s="73"/>
      <c r="AG1030" s="14"/>
      <c r="AH1030" s="14"/>
      <c r="AI1030" s="83"/>
      <c r="AJ1030" s="1393"/>
      <c r="AK1030" s="1394"/>
      <c r="AL1030" s="1394"/>
      <c r="AM1030" s="1394"/>
      <c r="AN1030" s="1394"/>
      <c r="AO1030" s="1394"/>
      <c r="AP1030" s="1394"/>
      <c r="AQ1030" s="1395"/>
      <c r="AR1030" s="68"/>
      <c r="AS1030" s="68"/>
      <c r="AT1030" s="68"/>
      <c r="AU1030" s="68"/>
      <c r="AV1030" s="68"/>
      <c r="AW1030" s="68"/>
      <c r="AX1030" s="68"/>
      <c r="AY1030" s="68"/>
    </row>
    <row r="1031" spans="1:51" ht="12.95" customHeight="1">
      <c r="A1031" s="14"/>
      <c r="B1031" s="73"/>
      <c r="C1031" s="367" t="s">
        <v>696</v>
      </c>
      <c r="D1031" s="1538" t="s">
        <v>1874</v>
      </c>
      <c r="E1031" s="1539"/>
      <c r="F1031" s="1539"/>
      <c r="G1031" s="1539"/>
      <c r="H1031" s="1539"/>
      <c r="I1031" s="1539"/>
      <c r="J1031" s="1539"/>
      <c r="K1031" s="1539"/>
      <c r="L1031" s="1539"/>
      <c r="M1031" s="1539"/>
      <c r="N1031" s="1539"/>
      <c r="O1031" s="1539"/>
      <c r="P1031" s="1539"/>
      <c r="Q1031" s="1539"/>
      <c r="R1031" s="1539"/>
      <c r="S1031" s="1539"/>
      <c r="T1031" s="1539"/>
      <c r="U1031" s="1539"/>
      <c r="V1031" s="1539"/>
      <c r="W1031" s="1539"/>
      <c r="X1031" s="1539"/>
      <c r="Y1031" s="1539"/>
      <c r="Z1031" s="1539"/>
      <c r="AA1031" s="1539"/>
      <c r="AB1031" s="1539"/>
      <c r="AC1031" s="1539"/>
      <c r="AD1031" s="1539"/>
      <c r="AE1031" s="1540"/>
      <c r="AF1031" s="79"/>
      <c r="AG1031" s="1546" t="s">
        <v>677</v>
      </c>
      <c r="AH1031" s="1547"/>
      <c r="AI1031" s="87"/>
      <c r="AJ1031" s="1387">
        <f>ROUND(IF(AG1031="yes",(AJ991*0.15),0),0)</f>
        <v>0</v>
      </c>
      <c r="AK1031" s="1388"/>
      <c r="AL1031" s="1388"/>
      <c r="AM1031" s="1388"/>
      <c r="AN1031" s="1388"/>
      <c r="AO1031" s="1388"/>
      <c r="AP1031" s="1388"/>
      <c r="AQ1031" s="1389"/>
      <c r="AR1031" s="68"/>
      <c r="AS1031" s="68"/>
      <c r="AT1031" s="68"/>
      <c r="AU1031" s="68"/>
      <c r="AV1031" s="68"/>
      <c r="AW1031" s="68"/>
      <c r="AX1031" s="68"/>
      <c r="AY1031" s="68"/>
    </row>
    <row r="1032" spans="1:51" ht="12.95" customHeight="1">
      <c r="A1032" s="14"/>
      <c r="B1032" s="73"/>
      <c r="C1032" s="74"/>
      <c r="D1032" s="1570"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1"/>
      <c r="AF1032" s="950"/>
      <c r="AG1032" s="951"/>
      <c r="AH1032" s="951"/>
      <c r="AI1032" s="952"/>
      <c r="AJ1032" s="1390"/>
      <c r="AK1032" s="1391"/>
      <c r="AL1032" s="1391"/>
      <c r="AM1032" s="1391"/>
      <c r="AN1032" s="1391"/>
      <c r="AO1032" s="1391"/>
      <c r="AP1032" s="1391"/>
      <c r="AQ1032" s="1392"/>
      <c r="AR1032" s="68"/>
      <c r="AS1032" s="68"/>
      <c r="AT1032" s="68"/>
      <c r="AU1032" s="68"/>
      <c r="AV1032" s="68"/>
      <c r="AW1032" s="68"/>
      <c r="AX1032" s="68"/>
      <c r="AY1032" s="68"/>
    </row>
    <row r="1033" spans="1:51" ht="12.95" customHeight="1">
      <c r="A1033" s="14"/>
      <c r="B1033" s="73"/>
      <c r="C1033" s="74"/>
      <c r="D1033" s="157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1"/>
      <c r="AF1033" s="950"/>
      <c r="AG1033" s="951"/>
      <c r="AH1033" s="951"/>
      <c r="AI1033" s="952"/>
      <c r="AJ1033" s="1390"/>
      <c r="AK1033" s="1391"/>
      <c r="AL1033" s="1391"/>
      <c r="AM1033" s="1391"/>
      <c r="AN1033" s="1391"/>
      <c r="AO1033" s="1391"/>
      <c r="AP1033" s="1391"/>
      <c r="AQ1033" s="1392"/>
      <c r="AR1033" s="68"/>
      <c r="AS1033" s="68"/>
      <c r="AT1033" s="68"/>
      <c r="AU1033" s="68"/>
      <c r="AV1033" s="68"/>
      <c r="AW1033" s="68"/>
      <c r="AX1033" s="68"/>
      <c r="AY1033" s="68"/>
    </row>
    <row r="1034" spans="1:51" ht="12.95" customHeight="1">
      <c r="A1034" s="14"/>
      <c r="B1034" s="73"/>
      <c r="C1034" s="74"/>
      <c r="D1034" s="1572"/>
      <c r="E1034" s="1573"/>
      <c r="F1034" s="1573"/>
      <c r="G1034" s="1573"/>
      <c r="H1034" s="1573"/>
      <c r="I1034" s="1573"/>
      <c r="J1034" s="1573"/>
      <c r="K1034" s="1573"/>
      <c r="L1034" s="1573"/>
      <c r="M1034" s="1573"/>
      <c r="N1034" s="1573"/>
      <c r="O1034" s="1573"/>
      <c r="P1034" s="1573"/>
      <c r="Q1034" s="1573"/>
      <c r="R1034" s="1573"/>
      <c r="S1034" s="1573"/>
      <c r="T1034" s="1573"/>
      <c r="U1034" s="1573"/>
      <c r="V1034" s="1573"/>
      <c r="W1034" s="1573"/>
      <c r="X1034" s="1573"/>
      <c r="Y1034" s="1573"/>
      <c r="Z1034" s="1573"/>
      <c r="AA1034" s="1573"/>
      <c r="AB1034" s="1573"/>
      <c r="AC1034" s="1573"/>
      <c r="AD1034" s="1573"/>
      <c r="AE1034" s="1574"/>
      <c r="AF1034" s="953"/>
      <c r="AG1034" s="954"/>
      <c r="AH1034" s="954"/>
      <c r="AI1034" s="955"/>
      <c r="AJ1034" s="1393"/>
      <c r="AK1034" s="1394"/>
      <c r="AL1034" s="1394"/>
      <c r="AM1034" s="1394"/>
      <c r="AN1034" s="1394"/>
      <c r="AO1034" s="1394"/>
      <c r="AP1034" s="1394"/>
      <c r="AQ1034" s="1395"/>
      <c r="AR1034" s="68"/>
      <c r="AS1034" s="68"/>
      <c r="AT1034" s="68"/>
      <c r="AU1034" s="68"/>
      <c r="AV1034" s="68"/>
      <c r="AW1034" s="68"/>
      <c r="AX1034" s="68"/>
      <c r="AY1034" s="68"/>
    </row>
    <row r="1035" spans="1:51" ht="12.95" customHeight="1">
      <c r="A1035" s="14"/>
      <c r="B1035" s="73"/>
      <c r="C1035" s="367" t="s">
        <v>696</v>
      </c>
      <c r="D1035" s="1548" t="s">
        <v>1876</v>
      </c>
      <c r="E1035" s="1549"/>
      <c r="F1035" s="1549"/>
      <c r="G1035" s="1549"/>
      <c r="H1035" s="1549"/>
      <c r="I1035" s="1549"/>
      <c r="J1035" s="1549"/>
      <c r="K1035" s="1549"/>
      <c r="L1035" s="1549"/>
      <c r="M1035" s="1549"/>
      <c r="N1035" s="1549"/>
      <c r="O1035" s="1549"/>
      <c r="P1035" s="1549"/>
      <c r="Q1035" s="1549"/>
      <c r="R1035" s="1549"/>
      <c r="S1035" s="1549"/>
      <c r="T1035" s="1549"/>
      <c r="U1035" s="1549"/>
      <c r="V1035" s="1549"/>
      <c r="W1035" s="1549"/>
      <c r="X1035" s="1549"/>
      <c r="Y1035" s="1549"/>
      <c r="Z1035" s="1549"/>
      <c r="AA1035" s="1549"/>
      <c r="AB1035" s="1549"/>
      <c r="AC1035" s="1549"/>
      <c r="AD1035" s="1549"/>
      <c r="AE1035" s="1550"/>
      <c r="AF1035" s="73"/>
      <c r="AG1035" s="1623" t="s">
        <v>677</v>
      </c>
      <c r="AH1035" s="1624"/>
      <c r="AI1035" s="83"/>
      <c r="AJ1035" s="1387">
        <f>ROUND(IF(AND(AG1035="yes",AJ1031=0),(AJ991*0.1),0),0)</f>
        <v>0</v>
      </c>
      <c r="AK1035" s="1388"/>
      <c r="AL1035" s="1388"/>
      <c r="AM1035" s="1388"/>
      <c r="AN1035" s="1388"/>
      <c r="AO1035" s="1388"/>
      <c r="AP1035" s="1388"/>
      <c r="AQ1035" s="1389"/>
      <c r="AR1035" s="68"/>
      <c r="AS1035" s="68"/>
      <c r="AT1035" s="68"/>
      <c r="AU1035" s="68"/>
      <c r="AV1035" s="68"/>
      <c r="AW1035" s="68"/>
      <c r="AX1035" s="68"/>
      <c r="AY1035" s="68"/>
    </row>
    <row r="1036" spans="1:51" ht="12.95" customHeight="1">
      <c r="A1036" s="14"/>
      <c r="B1036" s="73"/>
      <c r="C1036" s="74"/>
      <c r="D1036" s="1570"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1"/>
      <c r="AF1036" s="73"/>
      <c r="AG1036" s="14"/>
      <c r="AH1036" s="14"/>
      <c r="AI1036" s="83"/>
      <c r="AJ1036" s="1390"/>
      <c r="AK1036" s="1391"/>
      <c r="AL1036" s="1391"/>
      <c r="AM1036" s="1391"/>
      <c r="AN1036" s="1391"/>
      <c r="AO1036" s="1391"/>
      <c r="AP1036" s="1391"/>
      <c r="AQ1036" s="1392"/>
      <c r="AR1036" s="68"/>
      <c r="AS1036" s="68"/>
      <c r="AT1036" s="68"/>
      <c r="AU1036" s="68"/>
      <c r="AV1036" s="68"/>
      <c r="AW1036" s="68"/>
      <c r="AX1036" s="68"/>
      <c r="AY1036" s="68"/>
    </row>
    <row r="1037" spans="1:51" ht="12.95" customHeight="1">
      <c r="A1037" s="14"/>
      <c r="B1037" s="73"/>
      <c r="C1037" s="74"/>
      <c r="D1037" s="157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1"/>
      <c r="AF1037" s="73"/>
      <c r="AG1037" s="14"/>
      <c r="AH1037" s="14"/>
      <c r="AI1037" s="83"/>
      <c r="AJ1037" s="1390"/>
      <c r="AK1037" s="1391"/>
      <c r="AL1037" s="1391"/>
      <c r="AM1037" s="1391"/>
      <c r="AN1037" s="1391"/>
      <c r="AO1037" s="1391"/>
      <c r="AP1037" s="1391"/>
      <c r="AQ1037" s="1392"/>
      <c r="AR1037" s="68"/>
      <c r="AS1037" s="68"/>
      <c r="AT1037" s="68"/>
      <c r="AU1037" s="68"/>
      <c r="AV1037" s="68"/>
      <c r="AW1037" s="68"/>
      <c r="AX1037" s="68"/>
      <c r="AY1037" s="68"/>
    </row>
    <row r="1038" spans="1:51" ht="12.95" customHeight="1">
      <c r="A1038" s="14"/>
      <c r="B1038" s="73"/>
      <c r="C1038" s="74"/>
      <c r="D1038" s="157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1"/>
      <c r="AF1038" s="73"/>
      <c r="AG1038" s="14"/>
      <c r="AH1038" s="14"/>
      <c r="AI1038" s="83"/>
      <c r="AJ1038" s="1390"/>
      <c r="AK1038" s="1391"/>
      <c r="AL1038" s="1391"/>
      <c r="AM1038" s="1391"/>
      <c r="AN1038" s="1391"/>
      <c r="AO1038" s="1391"/>
      <c r="AP1038" s="1391"/>
      <c r="AQ1038" s="1392"/>
      <c r="AR1038" s="68"/>
      <c r="AS1038" s="68"/>
      <c r="AT1038" s="68"/>
      <c r="AU1038" s="68"/>
      <c r="AV1038" s="68"/>
      <c r="AW1038" s="68"/>
      <c r="AX1038" s="68"/>
      <c r="AY1038" s="68"/>
    </row>
    <row r="1039" spans="1:51" ht="12.95" customHeight="1">
      <c r="A1039" s="14"/>
      <c r="B1039" s="73"/>
      <c r="C1039" s="74"/>
      <c r="D1039" s="1572"/>
      <c r="E1039" s="1573"/>
      <c r="F1039" s="1573"/>
      <c r="G1039" s="1573"/>
      <c r="H1039" s="1573"/>
      <c r="I1039" s="1573"/>
      <c r="J1039" s="1573"/>
      <c r="K1039" s="1573"/>
      <c r="L1039" s="1573"/>
      <c r="M1039" s="1573"/>
      <c r="N1039" s="1573"/>
      <c r="O1039" s="1573"/>
      <c r="P1039" s="1573"/>
      <c r="Q1039" s="1573"/>
      <c r="R1039" s="1573"/>
      <c r="S1039" s="1573"/>
      <c r="T1039" s="1573"/>
      <c r="U1039" s="1573"/>
      <c r="V1039" s="1573"/>
      <c r="W1039" s="1573"/>
      <c r="X1039" s="1573"/>
      <c r="Y1039" s="1573"/>
      <c r="Z1039" s="1573"/>
      <c r="AA1039" s="1573"/>
      <c r="AB1039" s="1573"/>
      <c r="AC1039" s="1573"/>
      <c r="AD1039" s="1573"/>
      <c r="AE1039" s="1574"/>
      <c r="AF1039" s="73"/>
      <c r="AG1039" s="14"/>
      <c r="AH1039" s="14"/>
      <c r="AI1039" s="83"/>
      <c r="AJ1039" s="1390"/>
      <c r="AK1039" s="1391"/>
      <c r="AL1039" s="1391"/>
      <c r="AM1039" s="1391"/>
      <c r="AN1039" s="1391"/>
      <c r="AO1039" s="1391"/>
      <c r="AP1039" s="1391"/>
      <c r="AQ1039" s="1392"/>
      <c r="AR1039" s="68"/>
      <c r="AS1039" s="68"/>
      <c r="AT1039" s="68"/>
      <c r="AU1039" s="68"/>
      <c r="AV1039" s="68"/>
      <c r="AW1039" s="68"/>
      <c r="AX1039" s="68"/>
      <c r="AY1039" s="68"/>
    </row>
    <row r="1040" spans="1:51" ht="12.95" customHeight="1">
      <c r="A1040" s="14"/>
      <c r="B1040" s="79"/>
      <c r="C1040" s="131" t="s">
        <v>1034</v>
      </c>
      <c r="D1040" s="1538" t="s">
        <v>1406</v>
      </c>
      <c r="E1040" s="1539"/>
      <c r="F1040" s="1539"/>
      <c r="G1040" s="1539"/>
      <c r="H1040" s="1539"/>
      <c r="I1040" s="1539"/>
      <c r="J1040" s="1539"/>
      <c r="K1040" s="1539"/>
      <c r="L1040" s="1539"/>
      <c r="M1040" s="1539"/>
      <c r="N1040" s="1539"/>
      <c r="O1040" s="1539"/>
      <c r="P1040" s="1539"/>
      <c r="Q1040" s="1539"/>
      <c r="R1040" s="1539"/>
      <c r="S1040" s="1539"/>
      <c r="T1040" s="1539"/>
      <c r="U1040" s="1539"/>
      <c r="V1040" s="1539"/>
      <c r="W1040" s="1539"/>
      <c r="X1040" s="1539"/>
      <c r="Y1040" s="1539"/>
      <c r="Z1040" s="1539"/>
      <c r="AA1040" s="1539"/>
      <c r="AB1040" s="1539"/>
      <c r="AC1040" s="1539"/>
      <c r="AD1040" s="1539"/>
      <c r="AE1040" s="1540"/>
      <c r="AF1040" s="79"/>
      <c r="AG1040" s="1546" t="s">
        <v>553</v>
      </c>
      <c r="AH1040" s="1547"/>
      <c r="AI1040" s="87"/>
      <c r="AJ1040" s="1387">
        <f>ROUND(IF(AG1040="yes",(AJ991*0.1),0),0)</f>
        <v>5858532</v>
      </c>
      <c r="AK1040" s="1388"/>
      <c r="AL1040" s="1388"/>
      <c r="AM1040" s="1388"/>
      <c r="AN1040" s="1388"/>
      <c r="AO1040" s="1388"/>
      <c r="AP1040" s="1388"/>
      <c r="AQ1040" s="1389"/>
      <c r="AR1040" s="68"/>
      <c r="AS1040" s="68"/>
      <c r="AT1040" s="68"/>
      <c r="AU1040" s="68"/>
      <c r="AV1040" s="68"/>
      <c r="AW1040" s="68"/>
      <c r="AX1040" s="68"/>
      <c r="AY1040" s="68"/>
    </row>
    <row r="1041" spans="1:51" ht="12.95" customHeight="1">
      <c r="A1041" s="14"/>
      <c r="B1041" s="73"/>
      <c r="C1041" s="74"/>
      <c r="D1041" s="1526" t="s">
        <v>2502</v>
      </c>
      <c r="E1041" s="1527"/>
      <c r="F1041" s="1527"/>
      <c r="G1041" s="1527"/>
      <c r="H1041" s="1527"/>
      <c r="I1041" s="1527"/>
      <c r="J1041" s="1527"/>
      <c r="K1041" s="1527"/>
      <c r="L1041" s="1527"/>
      <c r="M1041" s="1527"/>
      <c r="N1041" s="1527"/>
      <c r="O1041" s="1527"/>
      <c r="P1041" s="1527"/>
      <c r="Q1041" s="1527"/>
      <c r="R1041" s="1527"/>
      <c r="S1041" s="1527"/>
      <c r="T1041" s="1527"/>
      <c r="U1041" s="1527"/>
      <c r="V1041" s="1527"/>
      <c r="W1041" s="1527"/>
      <c r="X1041" s="1527"/>
      <c r="Y1041" s="1527"/>
      <c r="Z1041" s="1527"/>
      <c r="AA1041" s="1527"/>
      <c r="AB1041" s="1527"/>
      <c r="AC1041" s="1527"/>
      <c r="AD1041" s="1527"/>
      <c r="AE1041" s="1528"/>
      <c r="AF1041" s="73"/>
      <c r="AG1041" s="14"/>
      <c r="AH1041" s="14"/>
      <c r="AI1041" s="83"/>
      <c r="AJ1041" s="1390"/>
      <c r="AK1041" s="1391"/>
      <c r="AL1041" s="1391"/>
      <c r="AM1041" s="1391"/>
      <c r="AN1041" s="1391"/>
      <c r="AO1041" s="1391"/>
      <c r="AP1041" s="1391"/>
      <c r="AQ1041" s="1392"/>
      <c r="AR1041" s="68"/>
      <c r="AS1041" s="68"/>
      <c r="AT1041" s="68"/>
      <c r="AU1041" s="68"/>
      <c r="AV1041" s="68"/>
      <c r="AW1041" s="68"/>
      <c r="AX1041" s="68"/>
      <c r="AY1041" s="68"/>
    </row>
    <row r="1042" spans="1:51" ht="12.95" customHeight="1">
      <c r="A1042" s="14"/>
      <c r="B1042" s="73"/>
      <c r="C1042" s="74"/>
      <c r="D1042" s="1526"/>
      <c r="E1042" s="1527"/>
      <c r="F1042" s="1527"/>
      <c r="G1042" s="1527"/>
      <c r="H1042" s="1527"/>
      <c r="I1042" s="1527"/>
      <c r="J1042" s="1527"/>
      <c r="K1042" s="1527"/>
      <c r="L1042" s="1527"/>
      <c r="M1042" s="1527"/>
      <c r="N1042" s="1527"/>
      <c r="O1042" s="1527"/>
      <c r="P1042" s="1527"/>
      <c r="Q1042" s="1527"/>
      <c r="R1042" s="1527"/>
      <c r="S1042" s="1527"/>
      <c r="T1042" s="1527"/>
      <c r="U1042" s="1527"/>
      <c r="V1042" s="1527"/>
      <c r="W1042" s="1527"/>
      <c r="X1042" s="1527"/>
      <c r="Y1042" s="1527"/>
      <c r="Z1042" s="1527"/>
      <c r="AA1042" s="1527"/>
      <c r="AB1042" s="1527"/>
      <c r="AC1042" s="1527"/>
      <c r="AD1042" s="1527"/>
      <c r="AE1042" s="1528"/>
      <c r="AF1042" s="73"/>
      <c r="AG1042" s="14"/>
      <c r="AH1042" s="14"/>
      <c r="AI1042" s="83"/>
      <c r="AJ1042" s="1390"/>
      <c r="AK1042" s="1391"/>
      <c r="AL1042" s="1391"/>
      <c r="AM1042" s="1391"/>
      <c r="AN1042" s="1391"/>
      <c r="AO1042" s="1391"/>
      <c r="AP1042" s="1391"/>
      <c r="AQ1042" s="1392"/>
      <c r="AR1042" s="68"/>
      <c r="AS1042" s="68"/>
      <c r="AT1042" s="68"/>
      <c r="AU1042" s="68"/>
      <c r="AV1042" s="68"/>
      <c r="AW1042" s="68"/>
      <c r="AX1042" s="68"/>
      <c r="AY1042" s="68"/>
    </row>
    <row r="1043" spans="1:51" ht="12.95" customHeight="1">
      <c r="A1043" s="14"/>
      <c r="B1043" s="73"/>
      <c r="C1043" s="74"/>
      <c r="D1043" s="1551"/>
      <c r="E1043" s="1552"/>
      <c r="F1043" s="1552"/>
      <c r="G1043" s="1552"/>
      <c r="H1043" s="1552"/>
      <c r="I1043" s="1552"/>
      <c r="J1043" s="1552"/>
      <c r="K1043" s="1552"/>
      <c r="L1043" s="1552"/>
      <c r="M1043" s="1552"/>
      <c r="N1043" s="1552"/>
      <c r="O1043" s="1552"/>
      <c r="P1043" s="1552"/>
      <c r="Q1043" s="1552"/>
      <c r="R1043" s="1552"/>
      <c r="S1043" s="1552"/>
      <c r="T1043" s="1552"/>
      <c r="U1043" s="1552"/>
      <c r="V1043" s="1552"/>
      <c r="W1043" s="1552"/>
      <c r="X1043" s="1552"/>
      <c r="Y1043" s="1552"/>
      <c r="Z1043" s="1552"/>
      <c r="AA1043" s="1552"/>
      <c r="AB1043" s="1552"/>
      <c r="AC1043" s="1552"/>
      <c r="AD1043" s="1552"/>
      <c r="AE1043" s="1553"/>
      <c r="AF1043" s="73"/>
      <c r="AG1043" s="14"/>
      <c r="AH1043" s="14"/>
      <c r="AI1043" s="83"/>
      <c r="AJ1043" s="1393"/>
      <c r="AK1043" s="1394"/>
      <c r="AL1043" s="1394"/>
      <c r="AM1043" s="1394"/>
      <c r="AN1043" s="1394"/>
      <c r="AO1043" s="1394"/>
      <c r="AP1043" s="1394"/>
      <c r="AQ1043" s="1395"/>
      <c r="AR1043" s="68"/>
      <c r="AS1043" s="68"/>
      <c r="AT1043" s="68"/>
      <c r="AU1043" s="68"/>
      <c r="AV1043" s="68"/>
      <c r="AW1043" s="68"/>
      <c r="AX1043" s="68"/>
      <c r="AY1043" s="68"/>
    </row>
    <row r="1044" spans="1:51" ht="12.95" customHeight="1">
      <c r="A1044" s="14"/>
      <c r="B1044" s="79"/>
      <c r="C1044" s="131" t="s">
        <v>1872</v>
      </c>
      <c r="D1044" s="1548" t="s">
        <v>2054</v>
      </c>
      <c r="E1044" s="1549"/>
      <c r="F1044" s="1549"/>
      <c r="G1044" s="1549"/>
      <c r="H1044" s="1549"/>
      <c r="I1044" s="1549"/>
      <c r="J1044" s="1549"/>
      <c r="K1044" s="1549"/>
      <c r="L1044" s="1549"/>
      <c r="M1044" s="1549"/>
      <c r="N1044" s="1549"/>
      <c r="O1044" s="1549"/>
      <c r="P1044" s="1549"/>
      <c r="Q1044" s="1549"/>
      <c r="R1044" s="1549"/>
      <c r="S1044" s="1549"/>
      <c r="T1044" s="1549"/>
      <c r="U1044" s="1549"/>
      <c r="V1044" s="1549"/>
      <c r="W1044" s="1549"/>
      <c r="X1044" s="1549"/>
      <c r="Y1044" s="1549"/>
      <c r="Z1044" s="1549"/>
      <c r="AA1044" s="1549"/>
      <c r="AB1044" s="1549"/>
      <c r="AC1044" s="1549"/>
      <c r="AD1044" s="1549"/>
      <c r="AE1044" s="1550"/>
      <c r="AF1044" s="79"/>
      <c r="AG1044" s="1609" t="str">
        <f>IF(X1047&gt;0,"Yes","No")</f>
        <v>Yes</v>
      </c>
      <c r="AH1044" s="1610"/>
      <c r="AI1044" s="87"/>
      <c r="AJ1044" s="1387">
        <f>IF((X1047=0),0,AY1004*AJ991)</f>
        <v>19919010.16</v>
      </c>
      <c r="AK1044" s="1388"/>
      <c r="AL1044" s="1388"/>
      <c r="AM1044" s="1388"/>
      <c r="AN1044" s="1388"/>
      <c r="AO1044" s="1388"/>
      <c r="AP1044" s="1388"/>
      <c r="AQ1044" s="1389"/>
      <c r="AR1044" s="68"/>
      <c r="AS1044" s="68"/>
      <c r="AT1044" s="68"/>
      <c r="AU1044" s="68"/>
      <c r="AV1044" s="68"/>
      <c r="AW1044" s="68"/>
      <c r="AX1044" s="68"/>
      <c r="AY1044" s="68"/>
    </row>
    <row r="1045" spans="1:51" ht="12.95" customHeight="1">
      <c r="A1045" s="14"/>
      <c r="B1045" s="73"/>
      <c r="C1045" s="476"/>
      <c r="D1045" s="1526" t="s">
        <v>1408</v>
      </c>
      <c r="E1045" s="1527"/>
      <c r="F1045" s="1527"/>
      <c r="G1045" s="1527"/>
      <c r="H1045" s="1527"/>
      <c r="I1045" s="1527"/>
      <c r="J1045" s="1527"/>
      <c r="K1045" s="1527"/>
      <c r="L1045" s="1527"/>
      <c r="M1045" s="1527"/>
      <c r="N1045" s="1527"/>
      <c r="O1045" s="1527"/>
      <c r="P1045" s="1527"/>
      <c r="Q1045" s="1527"/>
      <c r="R1045" s="1527"/>
      <c r="S1045" s="1527"/>
      <c r="T1045" s="1527"/>
      <c r="U1045" s="1527"/>
      <c r="V1045" s="1527"/>
      <c r="W1045" s="1527"/>
      <c r="X1045" s="1527"/>
      <c r="Y1045" s="1527"/>
      <c r="Z1045" s="1527"/>
      <c r="AA1045" s="1527"/>
      <c r="AB1045" s="1527"/>
      <c r="AC1045" s="1527"/>
      <c r="AD1045" s="1527"/>
      <c r="AE1045" s="1528"/>
      <c r="AF1045" s="73"/>
      <c r="AG1045" s="477"/>
      <c r="AH1045" s="477"/>
      <c r="AI1045" s="83"/>
      <c r="AJ1045" s="1390"/>
      <c r="AK1045" s="1391"/>
      <c r="AL1045" s="1391"/>
      <c r="AM1045" s="1391"/>
      <c r="AN1045" s="1391"/>
      <c r="AO1045" s="1391"/>
      <c r="AP1045" s="1391"/>
      <c r="AQ1045" s="1392"/>
      <c r="AR1045" s="68"/>
      <c r="AS1045" s="68"/>
      <c r="AT1045" s="68"/>
      <c r="AU1045" s="13"/>
      <c r="AV1045" s="68"/>
      <c r="AW1045" s="68"/>
      <c r="AX1045" s="68"/>
      <c r="AY1045" s="68"/>
    </row>
    <row r="1046" spans="1:51" ht="12.95" customHeight="1">
      <c r="A1046" s="14"/>
      <c r="B1046" s="73"/>
      <c r="C1046" s="476"/>
      <c r="D1046" s="1526"/>
      <c r="E1046" s="1527"/>
      <c r="F1046" s="1527"/>
      <c r="G1046" s="1527"/>
      <c r="H1046" s="1527"/>
      <c r="I1046" s="1527"/>
      <c r="J1046" s="1527"/>
      <c r="K1046" s="1527"/>
      <c r="L1046" s="1527"/>
      <c r="M1046" s="1527"/>
      <c r="N1046" s="1527"/>
      <c r="O1046" s="1527"/>
      <c r="P1046" s="1527"/>
      <c r="Q1046" s="1527"/>
      <c r="R1046" s="1527"/>
      <c r="S1046" s="1527"/>
      <c r="T1046" s="1527"/>
      <c r="U1046" s="1527"/>
      <c r="V1046" s="1527"/>
      <c r="W1046" s="1527"/>
      <c r="X1046" s="1527"/>
      <c r="Y1046" s="1527"/>
      <c r="Z1046" s="1527"/>
      <c r="AA1046" s="1527"/>
      <c r="AB1046" s="1527"/>
      <c r="AC1046" s="1527"/>
      <c r="AD1046" s="1527"/>
      <c r="AE1046" s="1528"/>
      <c r="AF1046" s="73"/>
      <c r="AG1046" s="477"/>
      <c r="AH1046" s="477"/>
      <c r="AI1046" s="83"/>
      <c r="AJ1046" s="1390"/>
      <c r="AK1046" s="1391"/>
      <c r="AL1046" s="1391"/>
      <c r="AM1046" s="1391"/>
      <c r="AN1046" s="1391"/>
      <c r="AO1046" s="1391"/>
      <c r="AP1046" s="1391"/>
      <c r="AQ1046" s="1392"/>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21">
        <f>AY1002</f>
        <v>127</v>
      </c>
      <c r="J1047" s="1622"/>
      <c r="K1047" s="7"/>
      <c r="L1047" s="133"/>
      <c r="M1047" s="133"/>
      <c r="N1047" s="133"/>
      <c r="O1047" s="133"/>
      <c r="P1047" s="133"/>
      <c r="Q1047" s="133"/>
      <c r="R1047" s="133"/>
      <c r="S1047" s="133"/>
      <c r="T1047" s="133"/>
      <c r="U1047" s="133"/>
      <c r="V1047" s="134" t="s">
        <v>992</v>
      </c>
      <c r="W1047" s="48"/>
      <c r="X1047" s="1619">
        <f>BG632</f>
        <v>44</v>
      </c>
      <c r="Y1047" s="1620"/>
      <c r="Z1047" s="48"/>
      <c r="AA1047" s="48"/>
      <c r="AB1047" s="48"/>
      <c r="AC1047" s="48"/>
      <c r="AD1047" s="48"/>
      <c r="AE1047" s="49"/>
      <c r="AF1047" s="959"/>
      <c r="AG1047" s="960"/>
      <c r="AH1047" s="960"/>
      <c r="AI1047" s="961"/>
      <c r="AJ1047" s="1393"/>
      <c r="AK1047" s="1394"/>
      <c r="AL1047" s="1394"/>
      <c r="AM1047" s="1394"/>
      <c r="AN1047" s="1394"/>
      <c r="AO1047" s="1394"/>
      <c r="AP1047" s="1394"/>
      <c r="AQ1047" s="1395"/>
      <c r="AR1047" s="68"/>
      <c r="AS1047" s="68"/>
      <c r="AT1047" s="68"/>
      <c r="AU1047" s="14"/>
      <c r="AV1047" s="68"/>
      <c r="AW1047" s="68"/>
      <c r="AX1047" s="68"/>
      <c r="AY1047" s="68"/>
    </row>
    <row r="1048" spans="1:51" ht="12.95" customHeight="1">
      <c r="A1048" s="14"/>
      <c r="B1048" s="79"/>
      <c r="C1048" s="131" t="s">
        <v>1873</v>
      </c>
      <c r="D1048" s="1538" t="s">
        <v>2531</v>
      </c>
      <c r="E1048" s="1539"/>
      <c r="F1048" s="1539"/>
      <c r="G1048" s="1539"/>
      <c r="H1048" s="1539"/>
      <c r="I1048" s="1539"/>
      <c r="J1048" s="1539"/>
      <c r="K1048" s="1539"/>
      <c r="L1048" s="1539"/>
      <c r="M1048" s="1539"/>
      <c r="N1048" s="1539"/>
      <c r="O1048" s="1539"/>
      <c r="P1048" s="1539"/>
      <c r="Q1048" s="1539"/>
      <c r="R1048" s="1539"/>
      <c r="S1048" s="1539"/>
      <c r="T1048" s="1539"/>
      <c r="U1048" s="1539"/>
      <c r="V1048" s="1539"/>
      <c r="W1048" s="1539"/>
      <c r="X1048" s="1539"/>
      <c r="Y1048" s="1539"/>
      <c r="Z1048" s="1539"/>
      <c r="AA1048" s="1539"/>
      <c r="AB1048" s="1539"/>
      <c r="AC1048" s="1539"/>
      <c r="AD1048" s="1539"/>
      <c r="AE1048" s="1540"/>
      <c r="AF1048" s="73"/>
      <c r="AG1048" s="1609" t="str">
        <f>IF(X1051&gt;0,"Yes","No")</f>
        <v>Yes</v>
      </c>
      <c r="AH1048" s="1610"/>
      <c r="AI1048" s="83"/>
      <c r="AJ1048" s="1387">
        <f>IF((X1051=0),0,(2*AY1005)*AJ991)</f>
        <v>22262423.120000001</v>
      </c>
      <c r="AK1048" s="1388"/>
      <c r="AL1048" s="1388"/>
      <c r="AM1048" s="1388"/>
      <c r="AN1048" s="1388"/>
      <c r="AO1048" s="1388"/>
      <c r="AP1048" s="1388"/>
      <c r="AQ1048" s="1389"/>
      <c r="AR1048" s="68"/>
      <c r="AS1048" s="68"/>
      <c r="AT1048" s="68"/>
      <c r="AU1048" s="14"/>
      <c r="AV1048" s="68"/>
      <c r="AW1048" s="68"/>
      <c r="AX1048" s="68"/>
      <c r="AY1048" s="68"/>
    </row>
    <row r="1049" spans="1:51" ht="12.95" customHeight="1">
      <c r="A1049" s="14"/>
      <c r="B1049" s="73"/>
      <c r="C1049" s="476"/>
      <c r="D1049" s="1526" t="s">
        <v>1407</v>
      </c>
      <c r="E1049" s="1527"/>
      <c r="F1049" s="1527"/>
      <c r="G1049" s="1527"/>
      <c r="H1049" s="1527"/>
      <c r="I1049" s="1527"/>
      <c r="J1049" s="1527"/>
      <c r="K1049" s="1527"/>
      <c r="L1049" s="1527"/>
      <c r="M1049" s="1527"/>
      <c r="N1049" s="1527"/>
      <c r="O1049" s="1527"/>
      <c r="P1049" s="1527"/>
      <c r="Q1049" s="1527"/>
      <c r="R1049" s="1527"/>
      <c r="S1049" s="1527"/>
      <c r="T1049" s="1527"/>
      <c r="U1049" s="1527"/>
      <c r="V1049" s="1527"/>
      <c r="W1049" s="1527"/>
      <c r="X1049" s="1527"/>
      <c r="Y1049" s="1527"/>
      <c r="Z1049" s="1527"/>
      <c r="AA1049" s="1527"/>
      <c r="AB1049" s="1527"/>
      <c r="AC1049" s="1527"/>
      <c r="AD1049" s="1527"/>
      <c r="AE1049" s="1528"/>
      <c r="AF1049" s="73"/>
      <c r="AG1049" s="477"/>
      <c r="AH1049" s="477"/>
      <c r="AI1049" s="83"/>
      <c r="AJ1049" s="1390"/>
      <c r="AK1049" s="1391"/>
      <c r="AL1049" s="1391"/>
      <c r="AM1049" s="1391"/>
      <c r="AN1049" s="1391"/>
      <c r="AO1049" s="1391"/>
      <c r="AP1049" s="1391"/>
      <c r="AQ1049" s="1392"/>
      <c r="AR1049" s="68"/>
      <c r="AS1049" s="68"/>
      <c r="AT1049" s="68"/>
      <c r="AU1049" s="68"/>
      <c r="AV1049" s="68"/>
      <c r="AW1049" s="68"/>
      <c r="AX1049" s="68"/>
      <c r="AY1049" s="68"/>
    </row>
    <row r="1050" spans="1:51" ht="12.95" customHeight="1">
      <c r="A1050" s="14"/>
      <c r="B1050" s="73"/>
      <c r="C1050" s="83"/>
      <c r="D1050" s="1526"/>
      <c r="E1050" s="1527"/>
      <c r="F1050" s="1527"/>
      <c r="G1050" s="1527"/>
      <c r="H1050" s="1527"/>
      <c r="I1050" s="1527"/>
      <c r="J1050" s="1527"/>
      <c r="K1050" s="1527"/>
      <c r="L1050" s="1527"/>
      <c r="M1050" s="1527"/>
      <c r="N1050" s="1527"/>
      <c r="O1050" s="1527"/>
      <c r="P1050" s="1527"/>
      <c r="Q1050" s="1527"/>
      <c r="R1050" s="1527"/>
      <c r="S1050" s="1527"/>
      <c r="T1050" s="1527"/>
      <c r="U1050" s="1527"/>
      <c r="V1050" s="1527"/>
      <c r="W1050" s="1527"/>
      <c r="X1050" s="1527"/>
      <c r="Y1050" s="1527"/>
      <c r="Z1050" s="1527"/>
      <c r="AA1050" s="1527"/>
      <c r="AB1050" s="1527"/>
      <c r="AC1050" s="1527"/>
      <c r="AD1050" s="1527"/>
      <c r="AE1050" s="1528"/>
      <c r="AF1050" s="956"/>
      <c r="AG1050" s="957"/>
      <c r="AH1050" s="957"/>
      <c r="AI1050" s="958"/>
      <c r="AJ1050" s="1390"/>
      <c r="AK1050" s="1391"/>
      <c r="AL1050" s="1391"/>
      <c r="AM1050" s="1391"/>
      <c r="AN1050" s="1391"/>
      <c r="AO1050" s="1391"/>
      <c r="AP1050" s="1391"/>
      <c r="AQ1050" s="1392"/>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21">
        <f>AY1002</f>
        <v>127</v>
      </c>
      <c r="J1051" s="1622"/>
      <c r="K1051" s="14"/>
      <c r="L1051" s="133"/>
      <c r="M1051" s="133"/>
      <c r="N1051" s="133"/>
      <c r="O1051" s="133"/>
      <c r="P1051" s="133"/>
      <c r="Q1051" s="133"/>
      <c r="R1051" s="133"/>
      <c r="S1051" s="133"/>
      <c r="T1051" s="133"/>
      <c r="U1051" s="133"/>
      <c r="V1051" s="134" t="s">
        <v>993</v>
      </c>
      <c r="X1051" s="1619">
        <f>BK632</f>
        <v>25</v>
      </c>
      <c r="Y1051" s="1620"/>
      <c r="AF1051" s="959"/>
      <c r="AG1051" s="960"/>
      <c r="AH1051" s="960"/>
      <c r="AI1051" s="961"/>
      <c r="AJ1051" s="1393"/>
      <c r="AK1051" s="1394"/>
      <c r="AL1051" s="1394"/>
      <c r="AM1051" s="1394"/>
      <c r="AN1051" s="1394"/>
      <c r="AO1051" s="1394"/>
      <c r="AP1051" s="1394"/>
      <c r="AQ1051" s="1395"/>
      <c r="AR1051" s="68"/>
      <c r="AS1051" s="68"/>
      <c r="AT1051" s="68"/>
      <c r="AU1051" s="68"/>
      <c r="AV1051" s="68"/>
      <c r="AW1051" s="68"/>
      <c r="AX1051" s="68"/>
      <c r="AY1051" s="68"/>
    </row>
    <row r="1052" spans="1:51" ht="12.95" customHeight="1">
      <c r="A1052" s="14"/>
      <c r="B1052" s="102"/>
      <c r="C1052" s="103"/>
      <c r="D1052" s="1617" t="s">
        <v>521</v>
      </c>
      <c r="E1052" s="1617"/>
      <c r="F1052" s="1617"/>
      <c r="G1052" s="1617"/>
      <c r="H1052" s="1617"/>
      <c r="I1052" s="1617"/>
      <c r="J1052" s="1617"/>
      <c r="K1052" s="1617"/>
      <c r="L1052" s="1617"/>
      <c r="M1052" s="1617"/>
      <c r="N1052" s="1617"/>
      <c r="O1052" s="1617"/>
      <c r="P1052" s="1617"/>
      <c r="Q1052" s="1617"/>
      <c r="R1052" s="1617"/>
      <c r="S1052" s="1617"/>
      <c r="T1052" s="1617"/>
      <c r="U1052" s="1617"/>
      <c r="V1052" s="1617"/>
      <c r="W1052" s="1617"/>
      <c r="X1052" s="1617"/>
      <c r="Y1052" s="1617"/>
      <c r="Z1052" s="1617"/>
      <c r="AA1052" s="1617"/>
      <c r="AB1052" s="1617"/>
      <c r="AC1052" s="1617"/>
      <c r="AD1052" s="1617"/>
      <c r="AE1052" s="1617"/>
      <c r="AF1052" s="1617"/>
      <c r="AG1052" s="1617"/>
      <c r="AH1052" s="1617"/>
      <c r="AI1052" s="1618"/>
      <c r="AJ1052" s="1606">
        <f>SUM(AJ991:AQ1051)</f>
        <v>120342354.28</v>
      </c>
      <c r="AK1052" s="1607"/>
      <c r="AL1052" s="1607"/>
      <c r="AM1052" s="1607"/>
      <c r="AN1052" s="1607"/>
      <c r="AO1052" s="1607"/>
      <c r="AP1052" s="1607"/>
      <c r="AQ1052" s="160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37">
        <f>IF(ISNA(IF((AJ1019&gt;(AJ991*0.15)),"(f) cannot be greater than 15% of unadjusted eligible basis.",0)),"",(IF((AJ1019&gt;(AJ991*0.15)),"(f) cannot be greater than 15% of unadjusted eligible basis.",0)))</f>
        <v>0</v>
      </c>
      <c r="C1059" s="1437"/>
      <c r="D1059" s="1437"/>
      <c r="E1059" s="1437"/>
      <c r="F1059" s="1437"/>
      <c r="G1059" s="1437"/>
      <c r="H1059" s="1437"/>
      <c r="I1059" s="1437"/>
      <c r="J1059" s="1437"/>
      <c r="K1059" s="1437"/>
      <c r="L1059" s="1437"/>
      <c r="M1059" s="1437"/>
      <c r="N1059" s="1437"/>
      <c r="O1059" s="1437"/>
      <c r="P1059" s="1437"/>
      <c r="Q1059" s="1437"/>
      <c r="R1059" s="1437"/>
      <c r="S1059" s="1437"/>
      <c r="T1059" s="1437"/>
      <c r="U1059" s="1437"/>
      <c r="V1059" s="1437"/>
      <c r="W1059" s="1437"/>
      <c r="X1059" s="1437"/>
      <c r="Y1059" s="1437"/>
      <c r="Z1059" s="1437"/>
      <c r="AA1059" s="1437"/>
      <c r="AB1059" s="1437"/>
      <c r="AC1059" s="1437"/>
      <c r="AD1059" s="1437"/>
      <c r="AE1059" s="1437"/>
      <c r="AF1059" s="1437"/>
      <c r="AG1059" s="1437"/>
      <c r="AH1059" s="1437"/>
      <c r="AI1059" s="1437"/>
      <c r="AJ1059" s="1437"/>
      <c r="AK1059" s="1437"/>
      <c r="AL1059" s="1437"/>
      <c r="AM1059" s="1437"/>
      <c r="AN1059" s="1437"/>
      <c r="AO1059" s="1437"/>
      <c r="AP1059" s="1437"/>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55" t="s">
        <v>599</v>
      </c>
      <c r="B1064" s="1355"/>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55" t="s">
        <v>599</v>
      </c>
      <c r="B1070" s="1355"/>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55" t="s">
        <v>599</v>
      </c>
      <c r="B1076" s="1355"/>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55" t="s">
        <v>599</v>
      </c>
      <c r="B1083" s="1355"/>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55" t="s">
        <v>599</v>
      </c>
      <c r="B1086" s="1355"/>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55" t="s">
        <v>599</v>
      </c>
      <c r="B1091" s="1355"/>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55" t="s">
        <v>599</v>
      </c>
      <c r="B1094" s="1355"/>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55" t="s">
        <v>599</v>
      </c>
      <c r="B1098" s="1355"/>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55" t="s">
        <v>599</v>
      </c>
      <c r="B1103" s="1355"/>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Q494:AK494"/>
    <mergeCell ref="AC455:AF455"/>
    <mergeCell ref="F457:AB458"/>
    <mergeCell ref="D466:V466"/>
    <mergeCell ref="Q491:AK491"/>
    <mergeCell ref="AH495:AK495"/>
    <mergeCell ref="D465:V465"/>
    <mergeCell ref="AC509:AF509"/>
    <mergeCell ref="AH515:AK515"/>
    <mergeCell ref="AC516:AF516"/>
    <mergeCell ref="AC521:AF521"/>
    <mergeCell ref="AH509:AK509"/>
    <mergeCell ref="AC503:AF503"/>
    <mergeCell ref="AC513:AF513"/>
    <mergeCell ref="W469:Y469"/>
    <mergeCell ref="CM629:CQ629"/>
    <mergeCell ref="A105:AT106"/>
    <mergeCell ref="L113:O113"/>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C454:AF454"/>
    <mergeCell ref="AH521:AK521"/>
    <mergeCell ref="AC530:AF530"/>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Q554:S554"/>
    <mergeCell ref="AH524:AK524"/>
    <mergeCell ref="AH525:AK525"/>
    <mergeCell ref="AH529:AK529"/>
    <mergeCell ref="AH534:AK534"/>
    <mergeCell ref="AC510:AF510"/>
    <mergeCell ref="AH510:AK510"/>
    <mergeCell ref="AC512:AF512"/>
    <mergeCell ref="AH512:AK512"/>
    <mergeCell ref="AC538:AF538"/>
    <mergeCell ref="Q551:S553"/>
    <mergeCell ref="T551:V553"/>
    <mergeCell ref="W551:Y553"/>
    <mergeCell ref="AC529:AF529"/>
    <mergeCell ref="AH530:AK530"/>
    <mergeCell ref="AH506:AK506"/>
    <mergeCell ref="AH508:AK508"/>
    <mergeCell ref="T720:W720"/>
    <mergeCell ref="Z671:AE671"/>
    <mergeCell ref="Z668:AK668"/>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T554:V554"/>
    <mergeCell ref="B517:H519"/>
    <mergeCell ref="AC524:AF524"/>
    <mergeCell ref="AH516:AK516"/>
    <mergeCell ref="Q558:S558"/>
    <mergeCell ref="AG607:AH607"/>
    <mergeCell ref="O526:AA526"/>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G607:BH607"/>
    <mergeCell ref="BS610:BW610"/>
    <mergeCell ref="BN603:BR603"/>
    <mergeCell ref="BN606:BR606"/>
    <mergeCell ref="BK606:BL606"/>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CH599:CL599"/>
    <mergeCell ref="AA606:AK606"/>
    <mergeCell ref="BX599:CB599"/>
    <mergeCell ref="CC600:CG600"/>
    <mergeCell ref="BE601:BF601"/>
    <mergeCell ref="BE598:BF598"/>
    <mergeCell ref="BG600:BH600"/>
    <mergeCell ref="BE605:BF605"/>
    <mergeCell ref="CC606:CG606"/>
    <mergeCell ref="BI600:BJ600"/>
    <mergeCell ref="BI605:BJ605"/>
    <mergeCell ref="BX603:CB6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G596:BH596"/>
    <mergeCell ref="AC500:AF500"/>
    <mergeCell ref="Q485:AK485"/>
    <mergeCell ref="M356:N356"/>
    <mergeCell ref="G474:V474"/>
    <mergeCell ref="W474:Y474"/>
    <mergeCell ref="BX604:CB604"/>
    <mergeCell ref="CC601:CG601"/>
    <mergeCell ref="Z554:AD554"/>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BK600:BL600"/>
    <mergeCell ref="BG598:BH598"/>
    <mergeCell ref="BG599:BH59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AG393:AJ393"/>
    <mergeCell ref="AG391:AJ391"/>
    <mergeCell ref="K404:AJ404"/>
    <mergeCell ref="AC386:AJ386"/>
    <mergeCell ref="Q393:U393"/>
    <mergeCell ref="AG380:AH380"/>
    <mergeCell ref="AA333:AK333"/>
    <mergeCell ref="W466:Y466"/>
    <mergeCell ref="W473:Y473"/>
    <mergeCell ref="D469:V469"/>
    <mergeCell ref="AC456:AF456"/>
    <mergeCell ref="AH503:AK50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P299:R299"/>
    <mergeCell ref="H293:R293"/>
    <mergeCell ref="M264:AE264"/>
    <mergeCell ref="M259:AE259"/>
    <mergeCell ref="AA293:AK293"/>
    <mergeCell ref="W261:X261"/>
    <mergeCell ref="U263:W263"/>
    <mergeCell ref="AA300:AF300"/>
    <mergeCell ref="H306:R306"/>
    <mergeCell ref="AA304:AK304"/>
    <mergeCell ref="AA309:AK309"/>
    <mergeCell ref="AA307:AF307"/>
    <mergeCell ref="AA305:AK305"/>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U255:W255"/>
    <mergeCell ref="M256:AE256"/>
    <mergeCell ref="H300:M300"/>
    <mergeCell ref="AA257:AK257"/>
    <mergeCell ref="M260:AE260"/>
    <mergeCell ref="AA265:AK265"/>
    <mergeCell ref="H295:R295"/>
    <mergeCell ref="M261:T261"/>
    <mergeCell ref="AH262:AK262"/>
    <mergeCell ref="M257:T257"/>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T195:U195"/>
    <mergeCell ref="E187:AE188"/>
    <mergeCell ref="I189:P189"/>
    <mergeCell ref="Z199:AA199"/>
    <mergeCell ref="AC234:AE234"/>
    <mergeCell ref="AH197:AI197"/>
    <mergeCell ref="A86:AT87"/>
    <mergeCell ref="A89:AT90"/>
    <mergeCell ref="AI228:AJ228"/>
    <mergeCell ref="AI226:AJ226"/>
    <mergeCell ref="T189:AE189"/>
    <mergeCell ref="Z205:AN205"/>
    <mergeCell ref="D220:Z220"/>
    <mergeCell ref="AI227:AJ227"/>
    <mergeCell ref="D208:M208"/>
    <mergeCell ref="F150:T150"/>
    <mergeCell ref="J173:S173"/>
    <mergeCell ref="O155:AH155"/>
    <mergeCell ref="O153:AH153"/>
    <mergeCell ref="O154:AH154"/>
    <mergeCell ref="O156:AH156"/>
    <mergeCell ref="O157:X157"/>
    <mergeCell ref="A75:AT77"/>
    <mergeCell ref="A79:AT81"/>
    <mergeCell ref="AB215:AL215"/>
    <mergeCell ref="T198:U198"/>
    <mergeCell ref="Y212:Z212"/>
    <mergeCell ref="D214:Z214"/>
    <mergeCell ref="AB216:AL216"/>
    <mergeCell ref="AA292:AF292"/>
    <mergeCell ref="AB276:AD276"/>
    <mergeCell ref="AF243:AK243"/>
    <mergeCell ref="AH246:AK246"/>
    <mergeCell ref="M245:T245"/>
    <mergeCell ref="Y278:AD278"/>
    <mergeCell ref="AA295:AK295"/>
    <mergeCell ref="AF259:AK259"/>
    <mergeCell ref="AC261:AE261"/>
    <mergeCell ref="M248:AE248"/>
    <mergeCell ref="AC253:AE253"/>
    <mergeCell ref="L277:AD277"/>
    <mergeCell ref="T278:V278"/>
    <mergeCell ref="M254:AE254"/>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T190:AE190"/>
    <mergeCell ref="M232:AK232"/>
    <mergeCell ref="M233:AE233"/>
    <mergeCell ref="N191:AE192"/>
    <mergeCell ref="D211:M211"/>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6:U196"/>
    <mergeCell ref="T193:AI193"/>
    <mergeCell ref="Y123:AK123"/>
    <mergeCell ref="M249:T249"/>
    <mergeCell ref="Z247:AE247"/>
    <mergeCell ref="W245:X245"/>
    <mergeCell ref="U247:W247"/>
    <mergeCell ref="M237:AE237"/>
    <mergeCell ref="AC245:AE245"/>
    <mergeCell ref="M246:AE246"/>
    <mergeCell ref="AA238:AK238"/>
    <mergeCell ref="W253:X253"/>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282:AT283"/>
    <mergeCell ref="M251:AE251"/>
    <mergeCell ref="AA301:AK301"/>
    <mergeCell ref="H301:R301"/>
    <mergeCell ref="AA249:AK249"/>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P581:R581"/>
    <mergeCell ref="AI572:AK572"/>
    <mergeCell ref="AA582:AK582"/>
    <mergeCell ref="M562:P562"/>
    <mergeCell ref="M561:P561"/>
    <mergeCell ref="S401:U401"/>
    <mergeCell ref="AH507:AK507"/>
    <mergeCell ref="AI558:AL558"/>
    <mergeCell ref="AC526:AF526"/>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K725:N725"/>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K718:N718"/>
    <mergeCell ref="K719:N719"/>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Z659:AK659"/>
    <mergeCell ref="G687:L687"/>
    <mergeCell ref="H664:R664"/>
    <mergeCell ref="AI663:AK663"/>
    <mergeCell ref="Z661:AK661"/>
    <mergeCell ref="Z685:AK685"/>
    <mergeCell ref="G675:R675"/>
    <mergeCell ref="Z667:AK66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K724:N724"/>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J774:N774"/>
    <mergeCell ref="AG826:AJ826"/>
    <mergeCell ref="AG825:AJ825"/>
    <mergeCell ref="C798:AN799"/>
    <mergeCell ref="U829:X82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BD905:BF905"/>
    <mergeCell ref="BD904:BF904"/>
    <mergeCell ref="U923:Z923"/>
    <mergeCell ref="BD909:BE909"/>
    <mergeCell ref="AA927:AF927"/>
    <mergeCell ref="U922:Z922"/>
    <mergeCell ref="AC885:AH885"/>
    <mergeCell ref="W861:AC861"/>
    <mergeCell ref="C894:AB894"/>
    <mergeCell ref="Z898:AE898"/>
    <mergeCell ref="W872:AC872"/>
    <mergeCell ref="AC884:AH884"/>
    <mergeCell ref="AC888:AH888"/>
    <mergeCell ref="M875:V875"/>
    <mergeCell ref="W877:AC877"/>
    <mergeCell ref="AB916:AE916"/>
    <mergeCell ref="AA921:AF921"/>
    <mergeCell ref="M957:S957"/>
    <mergeCell ref="AC883:AH883"/>
    <mergeCell ref="Z901:AE901"/>
    <mergeCell ref="W863:AC863"/>
    <mergeCell ref="AC891:AH891"/>
    <mergeCell ref="C893:AB893"/>
    <mergeCell ref="AC886:AH886"/>
    <mergeCell ref="U939:Z939"/>
    <mergeCell ref="F935:T935"/>
    <mergeCell ref="U935:Z935"/>
    <mergeCell ref="F943:T943"/>
    <mergeCell ref="U943:Z943"/>
    <mergeCell ref="AA943:AF943"/>
    <mergeCell ref="F929:T929"/>
    <mergeCell ref="F930:T930"/>
    <mergeCell ref="F931:T931"/>
    <mergeCell ref="AA938:AF938"/>
    <mergeCell ref="AA939:AF939"/>
    <mergeCell ref="U930:Z930"/>
    <mergeCell ref="AB956:AK956"/>
    <mergeCell ref="U948:Z948"/>
    <mergeCell ref="AA968:AG968"/>
    <mergeCell ref="AA935:AF935"/>
    <mergeCell ref="U942:Z942"/>
    <mergeCell ref="AA948:AF948"/>
    <mergeCell ref="U940:Z940"/>
    <mergeCell ref="AA942:AF94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T971:Z971"/>
    <mergeCell ref="AA940:AF940"/>
    <mergeCell ref="A909:AT910"/>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BI625:BJ625"/>
    <mergeCell ref="AO624:AS626"/>
    <mergeCell ref="AF629:AJ629"/>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T635:V635"/>
    <mergeCell ref="T636:V636"/>
    <mergeCell ref="T637:V637"/>
    <mergeCell ref="T638:V638"/>
    <mergeCell ref="Q624:S626"/>
    <mergeCell ref="BS641:BW641"/>
    <mergeCell ref="BS632:BW632"/>
    <mergeCell ref="BK631:BL631"/>
    <mergeCell ref="BN631:BR631"/>
    <mergeCell ref="AO639:AS639"/>
    <mergeCell ref="BN638:BR638"/>
    <mergeCell ref="AF630:AJ630"/>
    <mergeCell ref="BE617:BF617"/>
    <mergeCell ref="BI618:BJ618"/>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M616:CQ616"/>
    <mergeCell ref="BK625:BL625"/>
    <mergeCell ref="CC625:CG625"/>
    <mergeCell ref="BS620:BW620"/>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H611:CL611"/>
    <mergeCell ref="BS611:BW611"/>
    <mergeCell ref="BG609:BH609"/>
    <mergeCell ref="BK618:BL618"/>
    <mergeCell ref="BE614:BF614"/>
    <mergeCell ref="BG616:BH616"/>
    <mergeCell ref="BX607:CB607"/>
    <mergeCell ref="BE612:BF612"/>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O629:AS629"/>
    <mergeCell ref="T565:V565"/>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63:P563"/>
    <mergeCell ref="A617:AT618"/>
    <mergeCell ref="AM559:AS559"/>
    <mergeCell ref="C560:L560"/>
    <mergeCell ref="Z613:AE613"/>
    <mergeCell ref="Z560:AD560"/>
    <mergeCell ref="AI563:AL563"/>
    <mergeCell ref="Z562:AD562"/>
    <mergeCell ref="Z563:AD563"/>
    <mergeCell ref="AA614:AK614"/>
    <mergeCell ref="G613:L613"/>
    <mergeCell ref="AC540:AF540"/>
    <mergeCell ref="M557:P557"/>
    <mergeCell ref="AM564:AS564"/>
    <mergeCell ref="AI581:AK581"/>
    <mergeCell ref="Z601:AK601"/>
    <mergeCell ref="W556:Y556"/>
    <mergeCell ref="CX596:DB596"/>
    <mergeCell ref="D438:AF438"/>
    <mergeCell ref="M355:N355"/>
    <mergeCell ref="D439:AF439"/>
    <mergeCell ref="H331:M331"/>
    <mergeCell ref="W565:Y565"/>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AG832:AJ832"/>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Z645:AK645"/>
    <mergeCell ref="P655:R655"/>
    <mergeCell ref="Z653:AK653"/>
    <mergeCell ref="Z652:AK652"/>
    <mergeCell ref="P647:R647"/>
    <mergeCell ref="AI647:AK647"/>
    <mergeCell ref="AA971:AG971"/>
    <mergeCell ref="AA919:AF919"/>
    <mergeCell ref="AA918:AF918"/>
    <mergeCell ref="U924:Z924"/>
    <mergeCell ref="AA934:AF934"/>
    <mergeCell ref="AA917:AF917"/>
    <mergeCell ref="M961:S961"/>
    <mergeCell ref="AA970:AG970"/>
    <mergeCell ref="X794:AB794"/>
    <mergeCell ref="T796:W796"/>
    <mergeCell ref="X774:AB774"/>
    <mergeCell ref="M831:P831"/>
    <mergeCell ref="T749:W749"/>
    <mergeCell ref="K750:N750"/>
    <mergeCell ref="X748:AB748"/>
    <mergeCell ref="X749:AB749"/>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AA924:AF924"/>
    <mergeCell ref="AE957:AK957"/>
    <mergeCell ref="F915:T916"/>
    <mergeCell ref="AA930:AF930"/>
    <mergeCell ref="U931:Z931"/>
    <mergeCell ref="AA931:AF931"/>
    <mergeCell ref="F937:T937"/>
    <mergeCell ref="F938:T938"/>
    <mergeCell ref="F939:T939"/>
    <mergeCell ref="U938:Z938"/>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W853:AC853"/>
    <mergeCell ref="Q832:T832"/>
    <mergeCell ref="W852:AC852"/>
    <mergeCell ref="Q828:T828"/>
    <mergeCell ref="AG827:AJ827"/>
    <mergeCell ref="M826:P826"/>
    <mergeCell ref="M871:V871"/>
    <mergeCell ref="M878:V878"/>
    <mergeCell ref="Q825:T825"/>
    <mergeCell ref="W870:AC87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O727:S727"/>
    <mergeCell ref="O756:R756"/>
    <mergeCell ref="W844:AC844"/>
    <mergeCell ref="AC832:AF832"/>
    <mergeCell ref="O796:S796"/>
    <mergeCell ref="D1070:AK1075"/>
    <mergeCell ref="K733:N733"/>
    <mergeCell ref="M828:P828"/>
    <mergeCell ref="C827:H827"/>
    <mergeCell ref="K743:N743"/>
    <mergeCell ref="AG756:AJ756"/>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C790:AG790"/>
    <mergeCell ref="C832:L832"/>
    <mergeCell ref="AE955:AK955"/>
    <mergeCell ref="AA946:AF946"/>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AC752:AG752"/>
    <mergeCell ref="O788:S788"/>
    <mergeCell ref="AC739:AG739"/>
    <mergeCell ref="U831:X831"/>
    <mergeCell ref="Q831:T831"/>
    <mergeCell ref="X740:AB740"/>
    <mergeCell ref="C828:H828"/>
    <mergeCell ref="U827:X827"/>
    <mergeCell ref="C829:H829"/>
    <mergeCell ref="AC794:AG794"/>
    <mergeCell ref="AC795:AG795"/>
    <mergeCell ref="O793:S793"/>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B734:F734"/>
    <mergeCell ref="O722:S722"/>
    <mergeCell ref="J790:N790"/>
    <mergeCell ref="AC789:AG789"/>
    <mergeCell ref="AC751:AG751"/>
    <mergeCell ref="O745:S745"/>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F632:AJ632"/>
    <mergeCell ref="Z577:AK577"/>
    <mergeCell ref="AE565:AH565"/>
    <mergeCell ref="W630:Y630"/>
    <mergeCell ref="G587:R587"/>
    <mergeCell ref="G578:R578"/>
    <mergeCell ref="M633:P633"/>
    <mergeCell ref="M634:P634"/>
    <mergeCell ref="G610:R610"/>
    <mergeCell ref="T558:V558"/>
    <mergeCell ref="AK724:AO724"/>
    <mergeCell ref="AK725:AO725"/>
    <mergeCell ref="Z605:AE605"/>
    <mergeCell ref="Z609:AK609"/>
    <mergeCell ref="G609:R609"/>
    <mergeCell ref="W564:Y564"/>
    <mergeCell ref="T560:V560"/>
    <mergeCell ref="G570:R570"/>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O790:S790"/>
    <mergeCell ref="T736:W736"/>
    <mergeCell ref="O741:S741"/>
    <mergeCell ref="G753:J753"/>
    <mergeCell ref="T776:W776"/>
    <mergeCell ref="G736:J736"/>
    <mergeCell ref="G740:J740"/>
    <mergeCell ref="T733:W733"/>
    <mergeCell ref="O734:S734"/>
    <mergeCell ref="K739:N739"/>
    <mergeCell ref="O743:S743"/>
    <mergeCell ref="T743:W743"/>
    <mergeCell ref="K744:N744"/>
    <mergeCell ref="O744:S744"/>
    <mergeCell ref="K748:N748"/>
    <mergeCell ref="O748:S748"/>
    <mergeCell ref="T775:W775"/>
    <mergeCell ref="C763:AR765"/>
    <mergeCell ref="C766:AR76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U937:Z937"/>
    <mergeCell ref="U927:Z927"/>
    <mergeCell ref="U947:Z947"/>
    <mergeCell ref="U934:Z934"/>
    <mergeCell ref="AA922:AF922"/>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C651:EG651"/>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H648:DL648"/>
    <mergeCell ref="DM648:DQ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AK723:AO723"/>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54:CQ654"/>
    <mergeCell ref="CM649:CQ649"/>
    <mergeCell ref="DH649:DL649"/>
    <mergeCell ref="DM649:DQ649"/>
    <mergeCell ref="CS651:CW651"/>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E693:AF693"/>
    <mergeCell ref="X720:AB720"/>
    <mergeCell ref="X722:AB722"/>
    <mergeCell ref="DX656:EB656"/>
    <mergeCell ref="EC656:EG656"/>
    <mergeCell ref="BN652:BR652"/>
    <mergeCell ref="BN653:BR653"/>
    <mergeCell ref="BN654:BR654"/>
    <mergeCell ref="DX651:EB651"/>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H688:R688"/>
    <mergeCell ref="Z675:AK675"/>
    <mergeCell ref="AE702:AF702"/>
    <mergeCell ref="CM660:CQ660"/>
    <mergeCell ref="B740:F740"/>
    <mergeCell ref="O739:S739"/>
    <mergeCell ref="O740:S740"/>
    <mergeCell ref="AK731:AO731"/>
    <mergeCell ref="AK738:AO738"/>
    <mergeCell ref="X730:AB730"/>
    <mergeCell ref="X731:AB731"/>
    <mergeCell ref="AH727:AJ727"/>
    <mergeCell ref="AC724:AG724"/>
    <mergeCell ref="AC730:AG730"/>
    <mergeCell ref="O730:S730"/>
    <mergeCell ref="AH734:AJ734"/>
    <mergeCell ref="X737:AB737"/>
    <mergeCell ref="AH750:AJ750"/>
    <mergeCell ref="AH751:AJ751"/>
    <mergeCell ref="AH749:AJ749"/>
    <mergeCell ref="Z686:AK686"/>
    <mergeCell ref="T748:W748"/>
    <mergeCell ref="X747:AB747"/>
    <mergeCell ref="G729:J729"/>
    <mergeCell ref="B726:F726"/>
    <mergeCell ref="N665:O665"/>
    <mergeCell ref="H672:R672"/>
    <mergeCell ref="G676:R676"/>
    <mergeCell ref="O747:S747"/>
    <mergeCell ref="T747:W747"/>
    <mergeCell ref="AC748:AG748"/>
    <mergeCell ref="B714:F717"/>
    <mergeCell ref="X750:AB750"/>
    <mergeCell ref="AC749:AG749"/>
    <mergeCell ref="AC750:AG750"/>
    <mergeCell ref="A69:AT70"/>
    <mergeCell ref="A72:AT73"/>
    <mergeCell ref="A544:AT545"/>
    <mergeCell ref="A480:AT481"/>
    <mergeCell ref="A351:AT352"/>
    <mergeCell ref="H338:R338"/>
    <mergeCell ref="H339:M339"/>
    <mergeCell ref="H340:M340"/>
    <mergeCell ref="H341:R341"/>
    <mergeCell ref="AF636:AJ636"/>
    <mergeCell ref="AF637:AJ637"/>
    <mergeCell ref="AF638:AJ638"/>
    <mergeCell ref="AK624:AN626"/>
    <mergeCell ref="K741:N741"/>
    <mergeCell ref="AC742:AG742"/>
    <mergeCell ref="AC743:AG743"/>
    <mergeCell ref="AC744:AG744"/>
    <mergeCell ref="AK634:AN634"/>
    <mergeCell ref="AK635:AN635"/>
    <mergeCell ref="AK636:AN636"/>
    <mergeCell ref="AH740:AJ740"/>
    <mergeCell ref="P339:R339"/>
    <mergeCell ref="N363:O363"/>
    <mergeCell ref="I392:N392"/>
    <mergeCell ref="M357:N357"/>
    <mergeCell ref="J385:U385"/>
    <mergeCell ref="Q635:S635"/>
    <mergeCell ref="Z593:AK593"/>
    <mergeCell ref="AK629:AN629"/>
    <mergeCell ref="C633:L633"/>
    <mergeCell ref="C634:L634"/>
    <mergeCell ref="M624:P626"/>
    <mergeCell ref="AC636:AE636"/>
    <mergeCell ref="AC637:AE637"/>
    <mergeCell ref="AC638:AE638"/>
    <mergeCell ref="C636:L636"/>
    <mergeCell ref="W629:Y629"/>
    <mergeCell ref="M630:P630"/>
    <mergeCell ref="M631:P631"/>
    <mergeCell ref="M632:P632"/>
    <mergeCell ref="Q629:S629"/>
    <mergeCell ref="Q630:S630"/>
    <mergeCell ref="Q631:S631"/>
    <mergeCell ref="Q632:S632"/>
    <mergeCell ref="Q633:S633"/>
    <mergeCell ref="Q634:S634"/>
    <mergeCell ref="AK633:AN633"/>
    <mergeCell ref="I410:AE410"/>
    <mergeCell ref="W561:Y561"/>
    <mergeCell ref="W562:Y562"/>
    <mergeCell ref="W563:Y563"/>
    <mergeCell ref="G612:R612"/>
    <mergeCell ref="G611:R611"/>
    <mergeCell ref="Z602:AK602"/>
    <mergeCell ref="Z612:AK612"/>
    <mergeCell ref="AC627:AE627"/>
    <mergeCell ref="M627:P627"/>
    <mergeCell ref="M628:P628"/>
    <mergeCell ref="M629:P629"/>
    <mergeCell ref="W624:Y626"/>
    <mergeCell ref="T634:V634"/>
    <mergeCell ref="W628:Y628"/>
    <mergeCell ref="Z561:AD561"/>
    <mergeCell ref="H414:AE415"/>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AI331:AK331"/>
    <mergeCell ref="AK627:AN627"/>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W635:Y635"/>
    <mergeCell ref="B639:AN639"/>
    <mergeCell ref="B640:AN640"/>
    <mergeCell ref="B641:AN641"/>
    <mergeCell ref="G643:R643"/>
    <mergeCell ref="G580:R580"/>
    <mergeCell ref="W631:Y631"/>
    <mergeCell ref="AH733:AJ733"/>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AG615:AH615"/>
    <mergeCell ref="D989:Q989"/>
    <mergeCell ref="AB988:AI988"/>
    <mergeCell ref="AB989:AI989"/>
    <mergeCell ref="B1059:AP1059"/>
    <mergeCell ref="Z644:AK644"/>
    <mergeCell ref="AJ1044:AQ1047"/>
    <mergeCell ref="AJ1048:AQ1051"/>
    <mergeCell ref="U928:Z928"/>
    <mergeCell ref="AA928:AF928"/>
    <mergeCell ref="U929:Z929"/>
    <mergeCell ref="AA929:AF929"/>
    <mergeCell ref="AC733:AG733"/>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O769:S772"/>
    <mergeCell ref="T737:W737"/>
    <mergeCell ref="X739:AB739"/>
    <mergeCell ref="B754:AH755"/>
    <mergeCell ref="X791:AB791"/>
    <mergeCell ref="B746:F746"/>
    <mergeCell ref="B747:F747"/>
    <mergeCell ref="B748:F748"/>
    <mergeCell ref="B749:F749"/>
    <mergeCell ref="B750:F750"/>
    <mergeCell ref="K734:N734"/>
    <mergeCell ref="P816:Y816"/>
    <mergeCell ref="O795:S795"/>
    <mergeCell ref="AC791:AG791"/>
    <mergeCell ref="Z647:AE647"/>
    <mergeCell ref="G654:R654"/>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AG649:AH649"/>
    <mergeCell ref="AK740:AO740"/>
    <mergeCell ref="AK741:AO741"/>
    <mergeCell ref="AK752:AO752"/>
    <mergeCell ref="AH737:AJ737"/>
    <mergeCell ref="AH738:AJ738"/>
    <mergeCell ref="AH736:AJ736"/>
    <mergeCell ref="AH735:AJ735"/>
    <mergeCell ref="AC734:AG734"/>
    <mergeCell ref="AC735:AG735"/>
    <mergeCell ref="X732:AB732"/>
    <mergeCell ref="G647:L647"/>
    <mergeCell ref="AC745:AG745"/>
    <mergeCell ref="AC746:AG746"/>
    <mergeCell ref="Z646:AK646"/>
    <mergeCell ref="C637:L637"/>
    <mergeCell ref="C638:L638"/>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G655:L655"/>
    <mergeCell ref="H656:R656"/>
    <mergeCell ref="AA656:AK656"/>
    <mergeCell ref="AC747:AG747"/>
    <mergeCell ref="B719:F719"/>
    <mergeCell ref="G727:J727"/>
    <mergeCell ref="AO638:AS638"/>
    <mergeCell ref="AO641:AS641"/>
    <mergeCell ref="G644:R644"/>
    <mergeCell ref="T728:W728"/>
    <mergeCell ref="AC740:AG740"/>
    <mergeCell ref="AC741:AG741"/>
    <mergeCell ref="AC737:AG737"/>
    <mergeCell ref="AH745:AJ745"/>
    <mergeCell ref="AH746:AJ746"/>
    <mergeCell ref="AH747:AJ747"/>
    <mergeCell ref="N657:O65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0" workbookViewId="0">
      <selection activeCell="G65" sqref="G65"/>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1605132</v>
      </c>
      <c r="G4" s="235">
        <f>E4*$C$4</f>
        <v>1645260.2999999998</v>
      </c>
      <c r="I4" s="235">
        <f>G4*$C$4</f>
        <v>1686391.8074999996</v>
      </c>
      <c r="K4" s="235">
        <f>I4*$C$4</f>
        <v>1728551.6026874995</v>
      </c>
      <c r="M4" s="235">
        <f>K4*$C$4</f>
        <v>1771765.3927546868</v>
      </c>
      <c r="O4" s="235">
        <f>M4*$C$4</f>
        <v>1816059.5275735538</v>
      </c>
      <c r="Q4" s="235">
        <f>O4*$C$4</f>
        <v>1861461.0157628926</v>
      </c>
      <c r="S4" s="235">
        <f>Q4*$C$4</f>
        <v>1907997.5411569646</v>
      </c>
      <c r="U4" s="235">
        <f>S4*$C$4</f>
        <v>1955697.4796858886</v>
      </c>
      <c r="W4" s="235">
        <f>U4*$C$4</f>
        <v>2004589.9166780356</v>
      </c>
      <c r="Y4" s="235">
        <f>W4*$C$4</f>
        <v>2054704.6645949862</v>
      </c>
      <c r="AA4" s="235">
        <f>Y4*$C$4</f>
        <v>2106072.2812098609</v>
      </c>
      <c r="AC4" s="235">
        <f>AA4*$C$4</f>
        <v>2158724.0882401071</v>
      </c>
      <c r="AE4" s="235">
        <f>AC4*$C$4</f>
        <v>2212692.1904461095</v>
      </c>
      <c r="AG4" s="235">
        <f>AE4*$C$4</f>
        <v>2268009.4952072622</v>
      </c>
    </row>
    <row r="5" spans="1:34" s="225" customFormat="1" ht="14.25">
      <c r="B5" s="225" t="s">
        <v>849</v>
      </c>
      <c r="C5" s="254">
        <f>IF(Application!$D$211="Special Needs",0.1,0.05)</f>
        <v>0.05</v>
      </c>
      <c r="E5" s="237">
        <f>-E4*$C$5</f>
        <v>-80256.600000000006</v>
      </c>
      <c r="F5" s="237"/>
      <c r="G5" s="237">
        <f>-G4*$C$5</f>
        <v>-82263.014999999999</v>
      </c>
      <c r="H5" s="237"/>
      <c r="I5" s="237">
        <f>-I4*$C$5</f>
        <v>-84319.590374999985</v>
      </c>
      <c r="J5" s="237"/>
      <c r="K5" s="237">
        <f>-K4*$C$5</f>
        <v>-86427.580134374977</v>
      </c>
      <c r="L5" s="237"/>
      <c r="M5" s="237">
        <f>-M4*$C$5</f>
        <v>-88588.269637734338</v>
      </c>
      <c r="N5" s="237"/>
      <c r="O5" s="237">
        <f>-O4*$C$5</f>
        <v>-90802.976378677704</v>
      </c>
      <c r="P5" s="237"/>
      <c r="Q5" s="237">
        <f>-Q4*$C$5</f>
        <v>-93073.050788144639</v>
      </c>
      <c r="R5" s="237"/>
      <c r="S5" s="237">
        <f>-S4*$C$5</f>
        <v>-95399.877057848236</v>
      </c>
      <c r="T5" s="237"/>
      <c r="U5" s="237">
        <f>-U4*$C$5</f>
        <v>-97784.873984294434</v>
      </c>
      <c r="V5" s="237"/>
      <c r="W5" s="237">
        <f>-W4*$C$5</f>
        <v>-100229.49583390179</v>
      </c>
      <c r="X5" s="237"/>
      <c r="Y5" s="237">
        <f>-Y4*$C$5</f>
        <v>-102735.23322974931</v>
      </c>
      <c r="Z5" s="237"/>
      <c r="AA5" s="237">
        <f>-AA4*$C$5</f>
        <v>-105303.61406049306</v>
      </c>
      <c r="AB5" s="237"/>
      <c r="AC5" s="237">
        <f>-AC4*$C$5</f>
        <v>-107936.20441200536</v>
      </c>
      <c r="AD5" s="237"/>
      <c r="AE5" s="237">
        <f>-AE4*$C$5</f>
        <v>-110634.60952230549</v>
      </c>
      <c r="AF5" s="237"/>
      <c r="AG5" s="237">
        <f>-AG4*$C$5</f>
        <v>-113400.47476036311</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50240</v>
      </c>
      <c r="F8" s="238"/>
      <c r="G8" s="238">
        <f>E8*$C$8</f>
        <v>51495.999999999993</v>
      </c>
      <c r="H8" s="238"/>
      <c r="I8" s="238">
        <f>G8*$C$8</f>
        <v>52783.399999999987</v>
      </c>
      <c r="J8" s="238"/>
      <c r="K8" s="238">
        <f>I8*$C$8</f>
        <v>54102.984999999979</v>
      </c>
      <c r="L8" s="238"/>
      <c r="M8" s="238">
        <f>K8*$C$8</f>
        <v>55455.559624999973</v>
      </c>
      <c r="N8" s="238"/>
      <c r="O8" s="238">
        <f>M8*$C$8</f>
        <v>56841.94861562497</v>
      </c>
      <c r="P8" s="238"/>
      <c r="Q8" s="238">
        <f>O8*$C$8</f>
        <v>58262.997331015591</v>
      </c>
      <c r="R8" s="238"/>
      <c r="S8" s="238">
        <f>Q8*$C$8</f>
        <v>59719.572264290975</v>
      </c>
      <c r="T8" s="238"/>
      <c r="U8" s="238">
        <f>S8*$C$8</f>
        <v>61212.561570898244</v>
      </c>
      <c r="V8" s="238"/>
      <c r="W8" s="238">
        <f>U8*$C$8</f>
        <v>62742.875610170697</v>
      </c>
      <c r="X8" s="238"/>
      <c r="Y8" s="238">
        <f>W8*$C$8</f>
        <v>64311.447500424962</v>
      </c>
      <c r="Z8" s="238"/>
      <c r="AA8" s="238">
        <f>Y8*$C$8</f>
        <v>65919.233687935586</v>
      </c>
      <c r="AB8" s="238"/>
      <c r="AC8" s="238">
        <f>AA8*$C$8</f>
        <v>67567.214530133977</v>
      </c>
      <c r="AD8" s="238"/>
      <c r="AE8" s="238">
        <f>AC8*$C$8</f>
        <v>69256.394893387318</v>
      </c>
      <c r="AF8" s="238"/>
      <c r="AG8" s="238">
        <f>AE8*$C$8</f>
        <v>70987.804765722001</v>
      </c>
    </row>
    <row r="9" spans="1:34" s="225" customFormat="1" ht="14.25">
      <c r="B9" s="225" t="s">
        <v>849</v>
      </c>
      <c r="C9" s="254"/>
      <c r="E9" s="237">
        <f>-E8*$C$9</f>
        <v>0</v>
      </c>
      <c r="F9" s="237"/>
      <c r="G9" s="237">
        <f>-G8*$C$9</f>
        <v>0</v>
      </c>
      <c r="H9" s="237"/>
      <c r="I9" s="237">
        <f>-I8*$C$9</f>
        <v>0</v>
      </c>
      <c r="J9" s="237"/>
      <c r="K9" s="237">
        <f>-K8*$C$9</f>
        <v>0</v>
      </c>
      <c r="L9" s="237"/>
      <c r="M9" s="237">
        <f>-M8*$C$9</f>
        <v>0</v>
      </c>
      <c r="N9" s="237"/>
      <c r="O9" s="237">
        <f>-O8*$C$9</f>
        <v>0</v>
      </c>
      <c r="P9" s="237"/>
      <c r="Q9" s="237">
        <f>-Q8*$C$9</f>
        <v>0</v>
      </c>
      <c r="R9" s="237"/>
      <c r="S9" s="237">
        <f>-S8*$C$9</f>
        <v>0</v>
      </c>
      <c r="T9" s="237"/>
      <c r="U9" s="237">
        <f>-U8*$C$9</f>
        <v>0</v>
      </c>
      <c r="V9" s="237"/>
      <c r="W9" s="237">
        <f>-W8*$C$9</f>
        <v>0</v>
      </c>
      <c r="X9" s="237"/>
      <c r="Y9" s="237">
        <f>-Y8*$C$9</f>
        <v>0</v>
      </c>
      <c r="Z9" s="237"/>
      <c r="AA9" s="237">
        <f>-AA8*$C$9</f>
        <v>0</v>
      </c>
      <c r="AB9" s="237"/>
      <c r="AC9" s="237">
        <f>-AC8*$C$9</f>
        <v>0</v>
      </c>
      <c r="AD9" s="237"/>
      <c r="AE9" s="237">
        <f>-AE8*$C$9</f>
        <v>0</v>
      </c>
      <c r="AF9" s="237"/>
      <c r="AG9" s="237">
        <f>-AG8*$C$9</f>
        <v>0</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1575115.4</v>
      </c>
      <c r="G11" s="239">
        <f>SUM(G4:G10)</f>
        <v>1614493.2849999999</v>
      </c>
      <c r="I11" s="239">
        <f>SUM(I4:I10)</f>
        <v>1654855.6171249996</v>
      </c>
      <c r="K11" s="239">
        <f>SUM(K4:K10)</f>
        <v>1696227.0075531243</v>
      </c>
      <c r="M11" s="239">
        <f>SUM(M4:M10)</f>
        <v>1738632.6827419524</v>
      </c>
      <c r="O11" s="239">
        <f>SUM(O4:O10)</f>
        <v>1782098.4998105012</v>
      </c>
      <c r="Q11" s="239">
        <f>SUM(Q4:Q10)</f>
        <v>1826650.9623057635</v>
      </c>
      <c r="S11" s="239">
        <f>SUM(S4:S10)</f>
        <v>1872317.2363634072</v>
      </c>
      <c r="U11" s="239">
        <f>SUM(U4:U10)</f>
        <v>1919125.1672724923</v>
      </c>
      <c r="W11" s="239">
        <f>SUM(W4:W10)</f>
        <v>1967103.2964543046</v>
      </c>
      <c r="Y11" s="239">
        <f>SUM(Y4:Y10)</f>
        <v>2016280.8788656618</v>
      </c>
      <c r="AA11" s="239">
        <f>SUM(AA4:AA10)</f>
        <v>2066687.9008373036</v>
      </c>
      <c r="AC11" s="239">
        <f>SUM(AC4:AC10)</f>
        <v>2118355.0983582358</v>
      </c>
      <c r="AE11" s="239">
        <f>SUM(AE4:AE10)</f>
        <v>2171313.9758171914</v>
      </c>
      <c r="AG11" s="239">
        <f>SUM(AG4:AG10)</f>
        <v>2225596.8252126211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90500</v>
      </c>
      <c r="G15" s="235">
        <f>E15*$C$14</f>
        <v>93667.5</v>
      </c>
      <c r="I15" s="235">
        <f>G15*$C$14</f>
        <v>96945.862499999988</v>
      </c>
      <c r="K15" s="235">
        <f>I15*$C$14</f>
        <v>100338.96768749999</v>
      </c>
      <c r="M15" s="235">
        <f>K15*$C$14</f>
        <v>103850.83155656248</v>
      </c>
      <c r="O15" s="235">
        <f>M15*$C$14</f>
        <v>107485.61066104216</v>
      </c>
      <c r="Q15" s="235">
        <f>O15*$C$14</f>
        <v>111247.60703417863</v>
      </c>
      <c r="S15" s="235">
        <f>Q15*$C$14</f>
        <v>115141.27328037487</v>
      </c>
      <c r="U15" s="235">
        <f>S15*$C$14</f>
        <v>119171.21784518797</v>
      </c>
      <c r="W15" s="235">
        <f>U15*$C$14</f>
        <v>123342.21046976955</v>
      </c>
      <c r="Y15" s="235">
        <f>W15*$C$14</f>
        <v>127659.18783621147</v>
      </c>
      <c r="AA15" s="235">
        <f>Y15*$C$14</f>
        <v>132127.25941047884</v>
      </c>
      <c r="AC15" s="235">
        <f>AA15*$C$14</f>
        <v>136751.7134898456</v>
      </c>
      <c r="AE15" s="235">
        <f>AC15*$C$14</f>
        <v>141538.02346199017</v>
      </c>
      <c r="AG15" s="235">
        <f>AE15*$C$14</f>
        <v>146491.85428315983</v>
      </c>
    </row>
    <row r="16" spans="1:34" s="225" customFormat="1" ht="14.25">
      <c r="A16" s="225" t="s">
        <v>345</v>
      </c>
      <c r="C16" s="249"/>
      <c r="E16" s="238">
        <f>Application!W849</f>
        <v>78756</v>
      </c>
      <c r="F16" s="238"/>
      <c r="G16" s="238">
        <f t="shared" ref="G16:AG21" si="0">E16*$C$14</f>
        <v>81512.459999999992</v>
      </c>
      <c r="H16" s="238"/>
      <c r="I16" s="238">
        <f t="shared" si="0"/>
        <v>84365.396099999984</v>
      </c>
      <c r="J16" s="238"/>
      <c r="K16" s="238">
        <f t="shared" si="0"/>
        <v>87318.184963499982</v>
      </c>
      <c r="L16" s="238"/>
      <c r="M16" s="238">
        <f t="shared" si="0"/>
        <v>90374.321437222476</v>
      </c>
      <c r="N16" s="238"/>
      <c r="O16" s="238">
        <f t="shared" si="0"/>
        <v>93537.42268752525</v>
      </c>
      <c r="P16" s="238"/>
      <c r="Q16" s="238">
        <f t="shared" si="0"/>
        <v>96811.232481588624</v>
      </c>
      <c r="R16" s="238"/>
      <c r="S16" s="238">
        <f t="shared" si="0"/>
        <v>100199.62561844422</v>
      </c>
      <c r="T16" s="238"/>
      <c r="U16" s="238">
        <f t="shared" si="0"/>
        <v>103706.61251508976</v>
      </c>
      <c r="V16" s="238"/>
      <c r="W16" s="238">
        <f t="shared" si="0"/>
        <v>107336.34395311789</v>
      </c>
      <c r="X16" s="238"/>
      <c r="Y16" s="238">
        <f t="shared" si="0"/>
        <v>111093.11599147701</v>
      </c>
      <c r="Z16" s="238"/>
      <c r="AA16" s="238">
        <f t="shared" si="0"/>
        <v>114981.37505117869</v>
      </c>
      <c r="AB16" s="238"/>
      <c r="AC16" s="238">
        <f t="shared" si="0"/>
        <v>119005.72317796994</v>
      </c>
      <c r="AD16" s="238"/>
      <c r="AE16" s="238">
        <f t="shared" si="0"/>
        <v>123170.92348919887</v>
      </c>
      <c r="AF16" s="238"/>
      <c r="AG16" s="238">
        <f t="shared" si="0"/>
        <v>127481.90581132083</v>
      </c>
    </row>
    <row r="17" spans="1:33" s="225" customFormat="1" ht="14.25">
      <c r="A17" s="225" t="s">
        <v>569</v>
      </c>
      <c r="C17" s="249"/>
      <c r="E17" s="238">
        <f>Application!W855</f>
        <v>120000</v>
      </c>
      <c r="F17" s="238"/>
      <c r="G17" s="238">
        <f t="shared" si="0"/>
        <v>124199.99999999999</v>
      </c>
      <c r="H17" s="238"/>
      <c r="I17" s="238">
        <f t="shared" si="0"/>
        <v>128546.99999999997</v>
      </c>
      <c r="J17" s="238"/>
      <c r="K17" s="238">
        <f t="shared" si="0"/>
        <v>133046.14499999996</v>
      </c>
      <c r="L17" s="238"/>
      <c r="M17" s="238">
        <f t="shared" si="0"/>
        <v>137702.76007499994</v>
      </c>
      <c r="N17" s="238"/>
      <c r="O17" s="238">
        <f t="shared" si="0"/>
        <v>142522.35667762492</v>
      </c>
      <c r="P17" s="238"/>
      <c r="Q17" s="238">
        <f t="shared" si="0"/>
        <v>147510.63916134179</v>
      </c>
      <c r="R17" s="238"/>
      <c r="S17" s="238">
        <f t="shared" si="0"/>
        <v>152673.51153198874</v>
      </c>
      <c r="T17" s="238"/>
      <c r="U17" s="238">
        <f t="shared" si="0"/>
        <v>158017.08443560833</v>
      </c>
      <c r="V17" s="238"/>
      <c r="W17" s="238">
        <f t="shared" si="0"/>
        <v>163547.68239085461</v>
      </c>
      <c r="X17" s="238"/>
      <c r="Y17" s="238">
        <f t="shared" si="0"/>
        <v>169271.85127453451</v>
      </c>
      <c r="Z17" s="238"/>
      <c r="AA17" s="238">
        <f t="shared" si="0"/>
        <v>175196.3660691432</v>
      </c>
      <c r="AB17" s="238"/>
      <c r="AC17" s="238">
        <f t="shared" si="0"/>
        <v>181328.23888156319</v>
      </c>
      <c r="AD17" s="238"/>
      <c r="AE17" s="238">
        <f t="shared" si="0"/>
        <v>187674.7272424179</v>
      </c>
      <c r="AF17" s="238"/>
      <c r="AG17" s="238">
        <f t="shared" si="0"/>
        <v>194243.34269590251</v>
      </c>
    </row>
    <row r="18" spans="1:33" s="225" customFormat="1" ht="14.25">
      <c r="A18" s="225" t="s">
        <v>853</v>
      </c>
      <c r="C18" s="249"/>
      <c r="E18" s="238">
        <f>Application!W862</f>
        <v>169000</v>
      </c>
      <c r="F18" s="238"/>
      <c r="G18" s="238">
        <f t="shared" si="0"/>
        <v>174915</v>
      </c>
      <c r="H18" s="238"/>
      <c r="I18" s="238">
        <f t="shared" si="0"/>
        <v>181037.02499999999</v>
      </c>
      <c r="J18" s="238"/>
      <c r="K18" s="238">
        <f t="shared" si="0"/>
        <v>187373.32087499998</v>
      </c>
      <c r="L18" s="238"/>
      <c r="M18" s="238">
        <f t="shared" si="0"/>
        <v>193931.38710562495</v>
      </c>
      <c r="N18" s="238"/>
      <c r="O18" s="238">
        <f t="shared" si="0"/>
        <v>200718.98565432182</v>
      </c>
      <c r="P18" s="238"/>
      <c r="Q18" s="238">
        <f t="shared" si="0"/>
        <v>207744.15015222307</v>
      </c>
      <c r="R18" s="238"/>
      <c r="S18" s="238">
        <f t="shared" si="0"/>
        <v>215015.19540755087</v>
      </c>
      <c r="T18" s="238"/>
      <c r="U18" s="238">
        <f t="shared" si="0"/>
        <v>222540.72724681514</v>
      </c>
      <c r="V18" s="238"/>
      <c r="W18" s="238">
        <f t="shared" si="0"/>
        <v>230329.65270045365</v>
      </c>
      <c r="X18" s="238"/>
      <c r="Y18" s="238">
        <f t="shared" si="0"/>
        <v>238391.19054496952</v>
      </c>
      <c r="Z18" s="238"/>
      <c r="AA18" s="238">
        <f t="shared" si="0"/>
        <v>246734.88221404343</v>
      </c>
      <c r="AB18" s="238"/>
      <c r="AC18" s="238">
        <f t="shared" si="0"/>
        <v>255370.60309153493</v>
      </c>
      <c r="AD18" s="238"/>
      <c r="AE18" s="238">
        <f t="shared" si="0"/>
        <v>264308.57419973862</v>
      </c>
      <c r="AF18" s="238"/>
      <c r="AG18" s="238">
        <f t="shared" si="0"/>
        <v>273559.37429672945</v>
      </c>
    </row>
    <row r="19" spans="1:33" s="225" customFormat="1" ht="14.25">
      <c r="A19" s="225" t="s">
        <v>155</v>
      </c>
      <c r="C19" s="249"/>
      <c r="E19" s="238">
        <f>Application!W863</f>
        <v>100000</v>
      </c>
      <c r="F19" s="238"/>
      <c r="G19" s="238">
        <f t="shared" si="0"/>
        <v>103499.99999999999</v>
      </c>
      <c r="H19" s="238"/>
      <c r="I19" s="238">
        <f t="shared" si="0"/>
        <v>107122.49999999997</v>
      </c>
      <c r="J19" s="238"/>
      <c r="K19" s="238">
        <f t="shared" si="0"/>
        <v>110871.78749999996</v>
      </c>
      <c r="L19" s="238"/>
      <c r="M19" s="238">
        <f t="shared" si="0"/>
        <v>114752.30006249995</v>
      </c>
      <c r="N19" s="238"/>
      <c r="O19" s="238">
        <f t="shared" si="0"/>
        <v>118768.63056468744</v>
      </c>
      <c r="P19" s="238"/>
      <c r="Q19" s="238">
        <f t="shared" si="0"/>
        <v>122925.53263445149</v>
      </c>
      <c r="R19" s="238"/>
      <c r="S19" s="238">
        <f t="shared" si="0"/>
        <v>127227.92627665728</v>
      </c>
      <c r="T19" s="238"/>
      <c r="U19" s="238">
        <f t="shared" si="0"/>
        <v>131680.90369634028</v>
      </c>
      <c r="V19" s="238"/>
      <c r="W19" s="238">
        <f t="shared" si="0"/>
        <v>136289.73532571219</v>
      </c>
      <c r="X19" s="238"/>
      <c r="Y19" s="238">
        <f t="shared" si="0"/>
        <v>141059.8760621121</v>
      </c>
      <c r="Z19" s="238"/>
      <c r="AA19" s="238">
        <f t="shared" si="0"/>
        <v>145996.97172428601</v>
      </c>
      <c r="AB19" s="238"/>
      <c r="AC19" s="238">
        <f t="shared" si="0"/>
        <v>151106.865734636</v>
      </c>
      <c r="AD19" s="238"/>
      <c r="AE19" s="238">
        <f t="shared" si="0"/>
        <v>156395.60603534823</v>
      </c>
      <c r="AF19" s="238"/>
      <c r="AG19" s="238">
        <f t="shared" si="0"/>
        <v>161869.4522465854</v>
      </c>
    </row>
    <row r="20" spans="1:33" s="225" customFormat="1" ht="14.25">
      <c r="A20" s="225" t="s">
        <v>391</v>
      </c>
      <c r="C20" s="249"/>
      <c r="E20" s="238">
        <f>Application!W872</f>
        <v>68000</v>
      </c>
      <c r="F20" s="238"/>
      <c r="G20" s="238">
        <f t="shared" si="0"/>
        <v>70380</v>
      </c>
      <c r="H20" s="238"/>
      <c r="I20" s="238">
        <f t="shared" si="0"/>
        <v>72843.299999999988</v>
      </c>
      <c r="J20" s="238"/>
      <c r="K20" s="238">
        <f t="shared" si="0"/>
        <v>75392.815499999982</v>
      </c>
      <c r="L20" s="238"/>
      <c r="M20" s="238">
        <f t="shared" si="0"/>
        <v>78031.564042499973</v>
      </c>
      <c r="N20" s="238"/>
      <c r="O20" s="238">
        <f t="shared" si="0"/>
        <v>80762.668783987465</v>
      </c>
      <c r="P20" s="238"/>
      <c r="Q20" s="238">
        <f t="shared" si="0"/>
        <v>83589.362191427019</v>
      </c>
      <c r="R20" s="238"/>
      <c r="S20" s="238">
        <f t="shared" si="0"/>
        <v>86514.989868126955</v>
      </c>
      <c r="T20" s="238"/>
      <c r="U20" s="238">
        <f t="shared" si="0"/>
        <v>89543.014513511385</v>
      </c>
      <c r="V20" s="238"/>
      <c r="W20" s="238">
        <f t="shared" si="0"/>
        <v>92677.020021484277</v>
      </c>
      <c r="X20" s="238"/>
      <c r="Y20" s="238">
        <f t="shared" si="0"/>
        <v>95920.715722236215</v>
      </c>
      <c r="Z20" s="238"/>
      <c r="AA20" s="238">
        <f t="shared" si="0"/>
        <v>99277.94077251447</v>
      </c>
      <c r="AB20" s="238"/>
      <c r="AC20" s="238">
        <f t="shared" si="0"/>
        <v>102752.66869955247</v>
      </c>
      <c r="AD20" s="238"/>
      <c r="AE20" s="238">
        <f t="shared" si="0"/>
        <v>106349.0121040368</v>
      </c>
      <c r="AF20" s="238"/>
      <c r="AG20" s="238">
        <f t="shared" si="0"/>
        <v>110071.22752767807</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626256</v>
      </c>
      <c r="G22" s="239">
        <f>SUM(G15:G21)</f>
        <v>648174.96</v>
      </c>
      <c r="I22" s="239">
        <f>SUM(I15:I21)</f>
        <v>670861.08360000001</v>
      </c>
      <c r="K22" s="239">
        <f>SUM(K15:K21)</f>
        <v>694341.22152599983</v>
      </c>
      <c r="M22" s="239">
        <f>SUM(M15:M21)</f>
        <v>718643.16427940968</v>
      </c>
      <c r="O22" s="239">
        <f>SUM(O15:O21)</f>
        <v>743795.67502918909</v>
      </c>
      <c r="Q22" s="239">
        <f>SUM(Q15:Q21)</f>
        <v>769828.52365521062</v>
      </c>
      <c r="S22" s="239">
        <f>SUM(S15:S21)</f>
        <v>796772.52198314294</v>
      </c>
      <c r="U22" s="239">
        <f>SUM(U15:U21)</f>
        <v>824659.56025255285</v>
      </c>
      <c r="W22" s="239">
        <f>SUM(W15:W21)</f>
        <v>853522.64486139221</v>
      </c>
      <c r="Y22" s="239">
        <f>SUM(Y15:Y21)</f>
        <v>883395.93743154092</v>
      </c>
      <c r="AA22" s="239">
        <f>SUM(AA15:AA21)</f>
        <v>914314.79524164461</v>
      </c>
      <c r="AC22" s="239">
        <f>SUM(AC15:AC21)</f>
        <v>946315.81307510205</v>
      </c>
      <c r="AE22" s="239">
        <f>SUM(AE15:AE21)</f>
        <v>979436.86653273064</v>
      </c>
      <c r="AG22" s="239">
        <f>SUM(AG15:AG21)</f>
        <v>1013717.156861376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40000</v>
      </c>
      <c r="F27" s="238"/>
      <c r="G27" s="238">
        <f>E27*$C$27</f>
        <v>41400</v>
      </c>
      <c r="H27" s="238"/>
      <c r="I27" s="238">
        <f>G27*$C$27</f>
        <v>42849</v>
      </c>
      <c r="J27" s="238"/>
      <c r="K27" s="238">
        <f>I27*$C$27</f>
        <v>44348.714999999997</v>
      </c>
      <c r="L27" s="238"/>
      <c r="M27" s="238">
        <f>K27*$C$27</f>
        <v>45900.920024999992</v>
      </c>
      <c r="N27" s="238"/>
      <c r="O27" s="238">
        <f>M27*$C$27</f>
        <v>47507.452225874986</v>
      </c>
      <c r="P27" s="238"/>
      <c r="Q27" s="238">
        <f>O27*$C$27</f>
        <v>49170.213053780608</v>
      </c>
      <c r="R27" s="238"/>
      <c r="S27" s="238">
        <f>Q27*$C$27</f>
        <v>50891.170510662923</v>
      </c>
      <c r="T27" s="238"/>
      <c r="U27" s="238">
        <f>S27*$C$27</f>
        <v>52672.361478536121</v>
      </c>
      <c r="V27" s="238"/>
      <c r="W27" s="238">
        <f>U27*$C$27</f>
        <v>54515.894130284883</v>
      </c>
      <c r="X27" s="238"/>
      <c r="Y27" s="238">
        <f>W27*$C$27</f>
        <v>56423.95042484485</v>
      </c>
      <c r="Z27" s="238"/>
      <c r="AA27" s="238">
        <f>Y27*$C$27</f>
        <v>58398.788689714413</v>
      </c>
      <c r="AB27" s="238"/>
      <c r="AC27" s="238">
        <f>AA27*$C$27</f>
        <v>60442.746293854412</v>
      </c>
      <c r="AD27" s="238"/>
      <c r="AE27" s="238">
        <f>AC27*$C$27</f>
        <v>62558.242414139313</v>
      </c>
      <c r="AF27" s="238"/>
      <c r="AG27" s="238">
        <f>AE27*$C$27</f>
        <v>64747.780898634184</v>
      </c>
    </row>
    <row r="28" spans="1:33" s="225" customFormat="1" ht="14.25">
      <c r="A28" s="225" t="s">
        <v>857</v>
      </c>
      <c r="C28" s="253"/>
      <c r="E28" s="238">
        <f>Application!AC889</f>
        <v>64000</v>
      </c>
      <c r="F28" s="238"/>
      <c r="G28" s="238">
        <f>$E$28</f>
        <v>64000</v>
      </c>
      <c r="H28" s="238"/>
      <c r="I28" s="238">
        <f>$E$28</f>
        <v>64000</v>
      </c>
      <c r="J28" s="238"/>
      <c r="K28" s="238">
        <f>$E$28</f>
        <v>64000</v>
      </c>
      <c r="L28" s="238"/>
      <c r="M28" s="238">
        <f>$E$28</f>
        <v>64000</v>
      </c>
      <c r="N28" s="238"/>
      <c r="O28" s="238">
        <f>$E$28</f>
        <v>64000</v>
      </c>
      <c r="P28" s="238"/>
      <c r="Q28" s="238">
        <f>$E$28</f>
        <v>64000</v>
      </c>
      <c r="R28" s="238"/>
      <c r="S28" s="238">
        <f>$E$28</f>
        <v>64000</v>
      </c>
      <c r="T28" s="238"/>
      <c r="U28" s="238">
        <f>$E$28</f>
        <v>64000</v>
      </c>
      <c r="V28" s="238"/>
      <c r="W28" s="238">
        <f>$E$28</f>
        <v>64000</v>
      </c>
      <c r="X28" s="238"/>
      <c r="Y28" s="238">
        <f>$E$28</f>
        <v>64000</v>
      </c>
      <c r="Z28" s="238"/>
      <c r="AA28" s="238">
        <f>$E$28</f>
        <v>64000</v>
      </c>
      <c r="AB28" s="238"/>
      <c r="AC28" s="238">
        <f>$E$28</f>
        <v>64000</v>
      </c>
      <c r="AD28" s="238"/>
      <c r="AE28" s="238">
        <f>$E$28</f>
        <v>64000</v>
      </c>
      <c r="AF28" s="238"/>
      <c r="AG28" s="238">
        <f>$E$28</f>
        <v>64000</v>
      </c>
    </row>
    <row r="29" spans="1:33" s="225" customFormat="1" ht="14.25">
      <c r="A29" s="225" t="s">
        <v>1867</v>
      </c>
      <c r="C29" s="253"/>
      <c r="E29" s="238">
        <f>Application!AC890</f>
        <v>18500</v>
      </c>
      <c r="F29" s="238"/>
      <c r="G29" s="238">
        <f>$E$29</f>
        <v>18500</v>
      </c>
      <c r="H29" s="238"/>
      <c r="I29" s="238">
        <f>$E$29</f>
        <v>18500</v>
      </c>
      <c r="J29" s="238"/>
      <c r="K29" s="238">
        <f>$E$29</f>
        <v>18500</v>
      </c>
      <c r="L29" s="238"/>
      <c r="M29" s="238">
        <f>$E$29</f>
        <v>18500</v>
      </c>
      <c r="N29" s="238"/>
      <c r="O29" s="238">
        <f>$E$29</f>
        <v>18500</v>
      </c>
      <c r="P29" s="238"/>
      <c r="Q29" s="238">
        <f>$E$29</f>
        <v>18500</v>
      </c>
      <c r="R29" s="238"/>
      <c r="S29" s="238">
        <f>$E$29</f>
        <v>18500</v>
      </c>
      <c r="T29" s="238"/>
      <c r="U29" s="238">
        <f>$E$29</f>
        <v>18500</v>
      </c>
      <c r="V29" s="238"/>
      <c r="W29" s="238">
        <f>$E$29</f>
        <v>18500</v>
      </c>
      <c r="X29" s="238"/>
      <c r="Y29" s="238">
        <f>$E$29</f>
        <v>18500</v>
      </c>
      <c r="Z29" s="238"/>
      <c r="AA29" s="238">
        <f>$E$29</f>
        <v>18500</v>
      </c>
      <c r="AB29" s="238"/>
      <c r="AC29" s="238">
        <f>$E$29</f>
        <v>18500</v>
      </c>
      <c r="AD29" s="238"/>
      <c r="AE29" s="238">
        <f>$E$29</f>
        <v>18500</v>
      </c>
      <c r="AF29" s="238"/>
      <c r="AG29" s="238">
        <f>$E$29</f>
        <v>18500</v>
      </c>
    </row>
    <row r="30" spans="1:33" s="225" customFormat="1" ht="14.25">
      <c r="A30" s="225" t="s">
        <v>855</v>
      </c>
      <c r="C30" s="253">
        <v>1.02</v>
      </c>
      <c r="E30" s="238">
        <f>Application!AC891</f>
        <v>4000</v>
      </c>
      <c r="F30" s="238"/>
      <c r="G30" s="238">
        <f>E30*$C$30</f>
        <v>4080</v>
      </c>
      <c r="H30" s="238"/>
      <c r="I30" s="238">
        <f>G30*$C$30</f>
        <v>4161.6000000000004</v>
      </c>
      <c r="J30" s="238"/>
      <c r="K30" s="238">
        <f>I30*$C$30</f>
        <v>4244.8320000000003</v>
      </c>
      <c r="L30" s="238"/>
      <c r="M30" s="238">
        <f>K30*$C$30</f>
        <v>4329.7286400000003</v>
      </c>
      <c r="N30" s="238"/>
      <c r="O30" s="238">
        <f>M30*$C$30</f>
        <v>4416.3232128</v>
      </c>
      <c r="P30" s="238"/>
      <c r="Q30" s="238">
        <f>O30*$C$30</f>
        <v>4504.6496770559997</v>
      </c>
      <c r="R30" s="238"/>
      <c r="S30" s="238">
        <f>Q30*$C$30</f>
        <v>4594.7426705971202</v>
      </c>
      <c r="T30" s="238"/>
      <c r="U30" s="238">
        <f>S30*$C$30</f>
        <v>4686.6375240090629</v>
      </c>
      <c r="V30" s="238"/>
      <c r="W30" s="238">
        <f>U30*$C$30</f>
        <v>4780.3702744892444</v>
      </c>
      <c r="X30" s="238"/>
      <c r="Y30" s="238">
        <f>W30*$C$30</f>
        <v>4875.9776799790297</v>
      </c>
      <c r="Z30" s="238"/>
      <c r="AA30" s="238">
        <f>Y30*$C$30</f>
        <v>4973.4972335786106</v>
      </c>
      <c r="AB30" s="238"/>
      <c r="AC30" s="238">
        <f>AA30*$C$30</f>
        <v>5072.9671782501828</v>
      </c>
      <c r="AD30" s="238"/>
      <c r="AE30" s="238">
        <f>AC30*$C$30</f>
        <v>5174.4265218151868</v>
      </c>
      <c r="AF30" s="238"/>
      <c r="AG30" s="238">
        <f>AE30*$C$30</f>
        <v>5277.915052251491</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752756</v>
      </c>
      <c r="G35" s="239">
        <f>SUM(G22:G33)</f>
        <v>776154.96</v>
      </c>
      <c r="I35" s="239">
        <f>SUM(I22:I33)</f>
        <v>800371.68359999999</v>
      </c>
      <c r="K35" s="239">
        <f>SUM(K22:K33)</f>
        <v>825434.76852599985</v>
      </c>
      <c r="M35" s="239">
        <f>SUM(M22:M33)</f>
        <v>851373.81294440967</v>
      </c>
      <c r="O35" s="239">
        <f>SUM(O22:O33)</f>
        <v>878219.45046786405</v>
      </c>
      <c r="Q35" s="239">
        <f>SUM(Q22:Q33)</f>
        <v>906003.38638604723</v>
      </c>
      <c r="S35" s="239">
        <f>SUM(S22:S33)</f>
        <v>934758.43516440305</v>
      </c>
      <c r="U35" s="239">
        <f>SUM(U22:U33)</f>
        <v>964518.55925509811</v>
      </c>
      <c r="W35" s="239">
        <f>SUM(W22:W33)</f>
        <v>995318.90926616639</v>
      </c>
      <c r="Y35" s="239">
        <f>SUM(Y22:Y33)</f>
        <v>1027195.8655363648</v>
      </c>
      <c r="AA35" s="239">
        <f>SUM(AA22:AA33)</f>
        <v>1060187.0811649377</v>
      </c>
      <c r="AC35" s="239">
        <f>SUM(AC22:AC33)</f>
        <v>1094331.5265472066</v>
      </c>
      <c r="AE35" s="239">
        <f>SUM(AE22:AE33)</f>
        <v>1129669.5354686852</v>
      </c>
      <c r="AG35" s="239">
        <f>SUM(AG22:AG33)</f>
        <v>1166242.8528122616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822359.39999999991</v>
      </c>
      <c r="G37" s="239">
        <f>G11-G35</f>
        <v>838338.32499999995</v>
      </c>
      <c r="I37" s="239">
        <f>I11-I35</f>
        <v>854483.93352499965</v>
      </c>
      <c r="K37" s="239">
        <f>K11-K35</f>
        <v>870792.23902712448</v>
      </c>
      <c r="M37" s="239">
        <f>M11-M35</f>
        <v>887258.86979754269</v>
      </c>
      <c r="O37" s="239">
        <f>O11-O35</f>
        <v>903879.04934263718</v>
      </c>
      <c r="Q37" s="239">
        <f>Q11-Q35</f>
        <v>920647.57591971627</v>
      </c>
      <c r="S37" s="239">
        <f>S11-S35</f>
        <v>937558.80119900417</v>
      </c>
      <c r="U37" s="239">
        <f>U11-U35</f>
        <v>954606.6080173942</v>
      </c>
      <c r="W37" s="239">
        <f>W11-W35</f>
        <v>971784.38718813821</v>
      </c>
      <c r="Y37" s="239">
        <f>Y11-Y35</f>
        <v>989085.01332929695</v>
      </c>
      <c r="AA37" s="239">
        <f>AA11-AA35</f>
        <v>1006500.8196723659</v>
      </c>
      <c r="AC37" s="239">
        <f>AC11-AC35</f>
        <v>1024023.5718110292</v>
      </c>
      <c r="AE37" s="239">
        <f>AE11-AE35</f>
        <v>1041644.4403485062</v>
      </c>
      <c r="AG37" s="239">
        <f>AG11-AG35</f>
        <v>1059353.9724003596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Banner Bank</v>
      </c>
      <c r="B40" s="242"/>
      <c r="C40" s="236"/>
      <c r="E40" s="238">
        <f>Application!AF627</f>
        <v>715095</v>
      </c>
      <c r="F40" s="238"/>
      <c r="G40" s="238">
        <f>$E$40</f>
        <v>715095</v>
      </c>
      <c r="H40" s="238"/>
      <c r="I40" s="238">
        <f>$E$40</f>
        <v>715095</v>
      </c>
      <c r="J40" s="238"/>
      <c r="K40" s="238">
        <f>$E$40</f>
        <v>715095</v>
      </c>
      <c r="L40" s="238"/>
      <c r="M40" s="238">
        <f>$E$40</f>
        <v>715095</v>
      </c>
      <c r="N40" s="238"/>
      <c r="O40" s="238">
        <f>$E$40</f>
        <v>715095</v>
      </c>
      <c r="P40" s="238"/>
      <c r="Q40" s="238">
        <f>$E$40</f>
        <v>715095</v>
      </c>
      <c r="R40" s="238"/>
      <c r="S40" s="238">
        <f>$E$40</f>
        <v>715095</v>
      </c>
      <c r="T40" s="238"/>
      <c r="U40" s="238">
        <f>$E$40</f>
        <v>715095</v>
      </c>
      <c r="V40" s="238"/>
      <c r="W40" s="238">
        <f>$E$40</f>
        <v>715095</v>
      </c>
      <c r="X40" s="238"/>
      <c r="Y40" s="238">
        <f>$E$40</f>
        <v>715095</v>
      </c>
      <c r="Z40" s="238"/>
      <c r="AA40" s="238">
        <f>$E$40</f>
        <v>715095</v>
      </c>
      <c r="AB40" s="238"/>
      <c r="AC40" s="238">
        <f>$E$40</f>
        <v>715095</v>
      </c>
      <c r="AD40" s="238"/>
      <c r="AE40" s="238">
        <f>$E$40</f>
        <v>715095</v>
      </c>
      <c r="AF40" s="238"/>
      <c r="AG40" s="238">
        <f>$E$40</f>
        <v>715095</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715095</v>
      </c>
      <c r="G43" s="239">
        <f>SUM(G40:G42)</f>
        <v>715095</v>
      </c>
      <c r="I43" s="239">
        <f>SUM(I40:I42)</f>
        <v>715095</v>
      </c>
      <c r="K43" s="239">
        <f>SUM(K40:K42)</f>
        <v>715095</v>
      </c>
      <c r="M43" s="239">
        <f>SUM(M40:M42)</f>
        <v>715095</v>
      </c>
      <c r="O43" s="239">
        <f>SUM(O40:O42)</f>
        <v>715095</v>
      </c>
      <c r="Q43" s="239">
        <f>SUM(Q40:Q42)</f>
        <v>715095</v>
      </c>
      <c r="S43" s="239">
        <f>SUM(S40:S42)</f>
        <v>715095</v>
      </c>
      <c r="U43" s="239">
        <f>SUM(U40:U42)</f>
        <v>715095</v>
      </c>
      <c r="W43" s="239">
        <f>SUM(W40:W42)</f>
        <v>715095</v>
      </c>
      <c r="Y43" s="239">
        <f>SUM(Y40:Y42)</f>
        <v>715095</v>
      </c>
      <c r="AA43" s="239">
        <f>SUM(AA40:AA42)</f>
        <v>715095</v>
      </c>
      <c r="AC43" s="239">
        <f>SUM(AC40:AC42)</f>
        <v>715095</v>
      </c>
      <c r="AE43" s="239">
        <f>SUM(AE40:AE42)</f>
        <v>715095</v>
      </c>
      <c r="AG43" s="239">
        <f>SUM(AG40:AG42)</f>
        <v>715095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107264.39999999991</v>
      </c>
      <c r="G45" s="239">
        <f>G37-G43</f>
        <v>123243.32499999995</v>
      </c>
      <c r="I45" s="239">
        <f>I37-I43</f>
        <v>139388.93352499965</v>
      </c>
      <c r="K45" s="239">
        <f>K37-K43</f>
        <v>155697.23902712448</v>
      </c>
      <c r="M45" s="239">
        <f>M37-M43</f>
        <v>172163.86979754269</v>
      </c>
      <c r="O45" s="239">
        <f>O37-O43</f>
        <v>188784.04934263718</v>
      </c>
      <c r="Q45" s="239">
        <f>Q37-Q43</f>
        <v>205552.57591971627</v>
      </c>
      <c r="S45" s="239">
        <f>S37-S43</f>
        <v>222463.80119900417</v>
      </c>
      <c r="U45" s="239">
        <f>U37-U43</f>
        <v>239511.6080173942</v>
      </c>
      <c r="W45" s="239">
        <f>W37-W43</f>
        <v>256689.38718813821</v>
      </c>
      <c r="Y45" s="239">
        <f>Y37-Y43</f>
        <v>273990.01332929695</v>
      </c>
      <c r="AA45" s="239">
        <f>AA37-AA43</f>
        <v>291405.81967236591</v>
      </c>
      <c r="AC45" s="239">
        <f>AC37-AC43</f>
        <v>308928.57181102922</v>
      </c>
      <c r="AE45" s="239">
        <f>AE37-AE43</f>
        <v>326549.44034850621</v>
      </c>
      <c r="AG45" s="239">
        <f>AG37-AG43</f>
        <v>344258.97240035958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6.4797761469929355E-2</v>
      </c>
      <c r="G47" s="243">
        <f>G45/(G4+G6+G8)</f>
        <v>7.2634664742367516E-2</v>
      </c>
      <c r="I47" s="243">
        <f>I45/(I4+I6+I8)</f>
        <v>8.0146573458441908E-2</v>
      </c>
      <c r="K47" s="243">
        <f>K45/(K4+K6+K8)</f>
        <v>8.7340105089622852E-2</v>
      </c>
      <c r="M47" s="243">
        <f>M45/(M4+M6+M8)</f>
        <v>9.42217029491286E-2</v>
      </c>
      <c r="O47" s="243">
        <f>O45/(O4+O6+O8)</f>
        <v>0.10079764031515366</v>
      </c>
      <c r="Q47" s="243">
        <f>Q45/(Q4+Q6+Q8)</f>
        <v>0.10707402445231649</v>
      </c>
      <c r="S47" s="243">
        <f>S45/(S4+S6+S8)</f>
        <v>0.11305680053379623</v>
      </c>
      <c r="U47" s="243">
        <f>U45/(U4+U6+U8)</f>
        <v>0.11875175546656933</v>
      </c>
      <c r="W47" s="243">
        <f>W45/(W4+W6+W8)</f>
        <v>0.12416452162209654</v>
      </c>
      <c r="Y47" s="243">
        <f>Y45/(Y4+Y6+Y8)</f>
        <v>0.12930058047475582</v>
      </c>
      <c r="AA47" s="243">
        <f>AA45/(AA4+AA6+AA8)</f>
        <v>0.13416526615025845</v>
      </c>
      <c r="AC47" s="243">
        <f>AC45/(AC4+AC6+AC8)</f>
        <v>0.13876376888622802</v>
      </c>
      <c r="AE47" s="243">
        <f>AE45/(AE4+AE6+AE8)</f>
        <v>0.14310113840707933</v>
      </c>
      <c r="AG47" s="243">
        <f>AG45/(AG4+AG6+AG8)</f>
        <v>0.14718228721526777</v>
      </c>
    </row>
    <row r="48" spans="1:33" s="243" customFormat="1" ht="14.25">
      <c r="A48" s="243" t="s">
        <v>863</v>
      </c>
      <c r="C48" s="236"/>
      <c r="E48" s="243">
        <f>E45/E43</f>
        <v>0.15000020976233913</v>
      </c>
      <c r="G48" s="243">
        <f>G45/G43</f>
        <v>0.1723453876757633</v>
      </c>
      <c r="I48" s="243">
        <f>I45/I43</f>
        <v>0.19492365842999831</v>
      </c>
      <c r="K48" s="243">
        <f>K45/K43</f>
        <v>0.21772944717432577</v>
      </c>
      <c r="M48" s="243">
        <f>M45/M43</f>
        <v>0.24075664044293793</v>
      </c>
      <c r="O48" s="243">
        <f>O45/O43</f>
        <v>0.26399855871267058</v>
      </c>
      <c r="Q48" s="243">
        <f>Q45/Q43</f>
        <v>0.28744792778542189</v>
      </c>
      <c r="S48" s="243">
        <f>S45/S43</f>
        <v>0.3110968489487469</v>
      </c>
      <c r="U48" s="243">
        <f>U45/U43</f>
        <v>0.33493676786635929</v>
      </c>
      <c r="W48" s="243">
        <f>W45/W43</f>
        <v>0.35895844214843931</v>
      </c>
      <c r="Y48" s="243">
        <f>Y45/Y43</f>
        <v>0.38315190754976186</v>
      </c>
      <c r="AA48" s="243">
        <f>AA45/AA43</f>
        <v>0.40750644274168596</v>
      </c>
      <c r="AC48" s="243">
        <f>AC45/AC43</f>
        <v>0.43201053260200284</v>
      </c>
      <c r="AE48" s="243">
        <f>AE45/AE43</f>
        <v>0.45665182996455883</v>
      </c>
      <c r="AG48" s="243">
        <f>AG45/AG43</f>
        <v>0.4814171157683379</v>
      </c>
    </row>
    <row r="49" spans="1:35" s="244" customFormat="1" ht="14.25">
      <c r="A49" s="244" t="s">
        <v>861</v>
      </c>
      <c r="C49" s="245"/>
      <c r="E49" s="244">
        <f>E37/E43</f>
        <v>1.1500002097623392</v>
      </c>
      <c r="G49" s="244">
        <f>G37/G43</f>
        <v>1.1723453876757632</v>
      </c>
      <c r="I49" s="244">
        <f>I37/I43</f>
        <v>1.1949236584299983</v>
      </c>
      <c r="K49" s="244">
        <f>K37/K43</f>
        <v>1.2177294471743259</v>
      </c>
      <c r="M49" s="244">
        <f>M37/M43</f>
        <v>1.240756640442938</v>
      </c>
      <c r="O49" s="244">
        <f>O37/O43</f>
        <v>1.2639985587126705</v>
      </c>
      <c r="Q49" s="244">
        <f>Q37/Q43</f>
        <v>1.2874479277854218</v>
      </c>
      <c r="S49" s="244">
        <f>S37/S43</f>
        <v>1.3110968489487469</v>
      </c>
      <c r="U49" s="244">
        <f>U37/U43</f>
        <v>1.3349367678663593</v>
      </c>
      <c r="W49" s="244">
        <f>W37/W43</f>
        <v>1.3589584421484393</v>
      </c>
      <c r="Y49" s="244">
        <f>Y37/Y43</f>
        <v>1.3831519075497618</v>
      </c>
      <c r="AA49" s="244">
        <f>AA37/AA43</f>
        <v>1.4075064427416859</v>
      </c>
      <c r="AC49" s="244">
        <f>AC37/AC43</f>
        <v>1.432010532602003</v>
      </c>
      <c r="AE49" s="244">
        <f>AE37/AE43</f>
        <v>1.4566518299645588</v>
      </c>
      <c r="AG49" s="244">
        <f>AG37/AG43</f>
        <v>1.4814171157683378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1878" t="s">
        <v>2741</v>
      </c>
      <c r="B52" s="1878"/>
      <c r="C52" s="18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0.03</v>
      </c>
      <c r="E53" s="999">
        <v>20000</v>
      </c>
      <c r="G53" s="995">
        <f>E53*(1+$C$53)</f>
        <v>20600</v>
      </c>
      <c r="H53" s="995"/>
      <c r="I53" s="995">
        <f t="shared" ref="I53:AG54" si="1">G53*(1+$C$53)</f>
        <v>21218</v>
      </c>
      <c r="J53" s="995"/>
      <c r="K53" s="995">
        <f t="shared" si="1"/>
        <v>21854.54</v>
      </c>
      <c r="L53" s="995"/>
      <c r="M53" s="995">
        <f t="shared" si="1"/>
        <v>22510.176200000002</v>
      </c>
      <c r="N53" s="995"/>
      <c r="O53" s="995">
        <f t="shared" si="1"/>
        <v>23185.481486000001</v>
      </c>
      <c r="P53" s="995"/>
      <c r="Q53" s="995">
        <f t="shared" si="1"/>
        <v>23881.04593058</v>
      </c>
      <c r="R53" s="995"/>
      <c r="S53" s="995">
        <f t="shared" si="1"/>
        <v>24597.4773084974</v>
      </c>
      <c r="T53" s="995"/>
      <c r="U53" s="995">
        <f t="shared" si="1"/>
        <v>25335.401627752322</v>
      </c>
      <c r="V53" s="995"/>
      <c r="W53" s="995">
        <f t="shared" si="1"/>
        <v>26095.463676584892</v>
      </c>
      <c r="X53" s="995"/>
      <c r="Y53" s="995">
        <f t="shared" si="1"/>
        <v>26878.327586882438</v>
      </c>
      <c r="Z53" s="995"/>
      <c r="AA53" s="995">
        <f t="shared" si="1"/>
        <v>27684.677414488913</v>
      </c>
      <c r="AB53" s="995"/>
      <c r="AC53" s="995">
        <f t="shared" si="1"/>
        <v>28515.21773692358</v>
      </c>
      <c r="AD53" s="995"/>
      <c r="AE53" s="995">
        <f t="shared" si="1"/>
        <v>29370.674269031289</v>
      </c>
      <c r="AF53" s="995"/>
      <c r="AG53" s="995">
        <f t="shared" si="1"/>
        <v>30251.79449710223</v>
      </c>
    </row>
    <row r="54" spans="1:35" s="3" customFormat="1">
      <c r="A54" s="3" t="s">
        <v>866</v>
      </c>
      <c r="C54" s="993">
        <v>3</v>
      </c>
      <c r="E54" s="1000">
        <v>5000</v>
      </c>
      <c r="F54" s="995"/>
      <c r="G54" s="995">
        <f>E54*(1+$C$53)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ref="G55:AG57" si="2">E55*$C$53</f>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f t="shared" si="2"/>
        <v>0</v>
      </c>
      <c r="Z55" s="995"/>
      <c r="AA55" s="995">
        <f t="shared" si="2"/>
        <v>0</v>
      </c>
      <c r="AB55" s="995"/>
      <c r="AC55" s="995">
        <f t="shared" si="2"/>
        <v>0</v>
      </c>
      <c r="AD55" s="995"/>
      <c r="AE55" s="995">
        <f t="shared" si="2"/>
        <v>0</v>
      </c>
      <c r="AF55" s="995"/>
      <c r="AG55" s="995">
        <f t="shared" si="2"/>
        <v>0</v>
      </c>
      <c r="AH55" s="995"/>
      <c r="AI55" s="995"/>
    </row>
    <row r="56" spans="1:35" s="3" customFormat="1">
      <c r="A56" s="1001"/>
      <c r="B56" s="1001"/>
      <c r="C56" s="993"/>
      <c r="E56" s="1000"/>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1"/>
      <c r="B57" s="1001"/>
      <c r="C57" s="993"/>
      <c r="E57" s="1002"/>
      <c r="F57" s="995"/>
      <c r="G57" s="1003">
        <f t="shared" si="2"/>
        <v>0</v>
      </c>
      <c r="H57" s="995"/>
      <c r="I57" s="1003">
        <f t="shared" si="2"/>
        <v>0</v>
      </c>
      <c r="J57" s="995"/>
      <c r="K57" s="1003">
        <f t="shared" si="2"/>
        <v>0</v>
      </c>
      <c r="L57" s="995"/>
      <c r="M57" s="1003">
        <f t="shared" si="2"/>
        <v>0</v>
      </c>
      <c r="N57" s="995"/>
      <c r="O57" s="1003">
        <f t="shared" si="2"/>
        <v>0</v>
      </c>
      <c r="P57" s="995"/>
      <c r="Q57" s="1003">
        <f t="shared" si="2"/>
        <v>0</v>
      </c>
      <c r="R57" s="995"/>
      <c r="S57" s="1003">
        <f t="shared" si="2"/>
        <v>0</v>
      </c>
      <c r="T57" s="995"/>
      <c r="U57" s="1003">
        <f t="shared" si="2"/>
        <v>0</v>
      </c>
      <c r="V57" s="995"/>
      <c r="W57" s="1003">
        <f t="shared" si="2"/>
        <v>0</v>
      </c>
      <c r="X57" s="995"/>
      <c r="Y57" s="1003">
        <f t="shared" si="2"/>
        <v>0</v>
      </c>
      <c r="Z57" s="995"/>
      <c r="AA57" s="1003">
        <f t="shared" si="2"/>
        <v>0</v>
      </c>
      <c r="AB57" s="995"/>
      <c r="AC57" s="1003">
        <f t="shared" si="2"/>
        <v>0</v>
      </c>
      <c r="AD57" s="995"/>
      <c r="AE57" s="1003">
        <f t="shared" si="2"/>
        <v>0</v>
      </c>
      <c r="AF57" s="995"/>
      <c r="AG57" s="1003">
        <f t="shared" si="2"/>
        <v>0</v>
      </c>
      <c r="AH57" s="995"/>
      <c r="AI57" s="995"/>
    </row>
    <row r="58" spans="1:35" s="3" customFormat="1">
      <c r="A58" s="997" t="s">
        <v>864</v>
      </c>
      <c r="C58" s="996"/>
      <c r="E58" s="995">
        <f>SUM(E53:E57)</f>
        <v>25000</v>
      </c>
      <c r="F58" s="995"/>
      <c r="G58" s="995">
        <f>SUM(G53:G57)</f>
        <v>25750</v>
      </c>
      <c r="H58" s="995"/>
      <c r="I58" s="995">
        <f>SUM(I53:I57)</f>
        <v>26522.5</v>
      </c>
      <c r="J58" s="995"/>
      <c r="K58" s="995">
        <f>SUM(K53:K57)</f>
        <v>27318.175000000003</v>
      </c>
      <c r="L58" s="995"/>
      <c r="M58" s="995">
        <f>SUM(M53:M57)</f>
        <v>28137.720250000002</v>
      </c>
      <c r="N58" s="995"/>
      <c r="O58" s="995">
        <f>SUM(O53:O57)</f>
        <v>28981.851857500002</v>
      </c>
      <c r="P58" s="995"/>
      <c r="Q58" s="995">
        <f>SUM(Q53:Q57)</f>
        <v>29851.307413225</v>
      </c>
      <c r="R58" s="995"/>
      <c r="S58" s="995">
        <f>SUM(S53:S57)</f>
        <v>30746.84663562175</v>
      </c>
      <c r="T58" s="995"/>
      <c r="U58" s="995">
        <f>SUM(U53:U57)</f>
        <v>31669.252034690402</v>
      </c>
      <c r="V58" s="995"/>
      <c r="W58" s="995">
        <f>SUM(W53:W57)</f>
        <v>32619.329595731113</v>
      </c>
      <c r="X58" s="995"/>
      <c r="Y58" s="995">
        <f>SUM(Y53:Y57)</f>
        <v>33597.909483603049</v>
      </c>
      <c r="Z58" s="995"/>
      <c r="AA58" s="995">
        <f>SUM(AA53:AA57)</f>
        <v>34605.846768111143</v>
      </c>
      <c r="AB58" s="995"/>
      <c r="AC58" s="995">
        <f>SUM(AC53:AC57)</f>
        <v>35644.022171154473</v>
      </c>
      <c r="AD58" s="995"/>
      <c r="AE58" s="995">
        <f>SUM(AE53:AE57)</f>
        <v>36713.342836289114</v>
      </c>
      <c r="AF58" s="995"/>
      <c r="AG58" s="995">
        <f>SUM(AG53:AG57)</f>
        <v>37814.743121377789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82264.399999999907</v>
      </c>
      <c r="G60" s="997">
        <f>G45-G58</f>
        <v>97493.324999999953</v>
      </c>
      <c r="I60" s="997">
        <f>I45-I58</f>
        <v>112866.43352499965</v>
      </c>
      <c r="K60" s="997">
        <f>K45-K58</f>
        <v>128379.06402712448</v>
      </c>
      <c r="M60" s="997">
        <f>M45-M58</f>
        <v>144026.14954754268</v>
      </c>
      <c r="O60" s="997">
        <f>O45-O58</f>
        <v>159802.19748513718</v>
      </c>
      <c r="Q60" s="997">
        <f>Q45-Q58</f>
        <v>175701.26850649127</v>
      </c>
      <c r="S60" s="997">
        <f>S45-S58</f>
        <v>191716.95456338243</v>
      </c>
      <c r="U60" s="997">
        <f>U45-U58</f>
        <v>207842.3559827038</v>
      </c>
      <c r="W60" s="997">
        <f>W45-W58</f>
        <v>224070.0575924071</v>
      </c>
      <c r="Y60" s="997">
        <f>Y45-Y58</f>
        <v>240392.1038456939</v>
      </c>
      <c r="AA60" s="997">
        <f>AA45-AA58</f>
        <v>256799.97290425477</v>
      </c>
      <c r="AC60" s="997">
        <f>AC45-AC58</f>
        <v>273284.54963987472</v>
      </c>
      <c r="AE60" s="997">
        <f>AE45-AE58</f>
        <v>289836.09751221712</v>
      </c>
      <c r="AG60" s="997">
        <f>AG45-AG58</f>
        <v>306444.2292789818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82264.399999999907</v>
      </c>
      <c r="G62" s="997">
        <f>G60*$C$62</f>
        <v>97493.324999999953</v>
      </c>
      <c r="I62" s="997">
        <f>I60*$C$62</f>
        <v>112866.43352499965</v>
      </c>
      <c r="K62" s="997">
        <f>K60*$C$62</f>
        <v>128379.06402712448</v>
      </c>
      <c r="M62" s="997">
        <f>M60*$C$62</f>
        <v>144026.14954754268</v>
      </c>
      <c r="O62" s="997">
        <f>O60*$C$62</f>
        <v>159802.19748513718</v>
      </c>
      <c r="Q62" s="997">
        <f>Q60*$C$62</f>
        <v>175701.26850649127</v>
      </c>
      <c r="S62" s="997">
        <f>S60*$C$62</f>
        <v>191716.95456338243</v>
      </c>
      <c r="U62" s="997">
        <f>U60*$C$62</f>
        <v>207842.3559827038</v>
      </c>
      <c r="W62" s="997">
        <f>W60*$C$62</f>
        <v>224070.0575924071</v>
      </c>
      <c r="Y62" s="997">
        <f>Y60*$C$62</f>
        <v>240392.1038456939</v>
      </c>
      <c r="AA62" s="997">
        <f>AA60*$C$62</f>
        <v>256799.97290425477</v>
      </c>
      <c r="AC62" s="997">
        <f>AC60*$C$62</f>
        <v>273284.54963987472</v>
      </c>
      <c r="AE62" s="997">
        <f>AE60*$C$62</f>
        <v>289836.09751221712</v>
      </c>
      <c r="AG62" s="997">
        <f>AG60*$C$62</f>
        <v>306444.2292789818</v>
      </c>
    </row>
    <row r="63" spans="1:35" s="997" customFormat="1">
      <c r="A63" s="1878" t="s">
        <v>2742</v>
      </c>
      <c r="B63" s="1878"/>
      <c r="C63" s="18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2727</v>
      </c>
      <c r="B66" s="999"/>
      <c r="C66" s="998"/>
      <c r="E66" s="999">
        <f>$E60*$C$65</f>
        <v>41132.199999999953</v>
      </c>
      <c r="G66" s="995">
        <f>G60*$C$65</f>
        <v>48746.662499999977</v>
      </c>
      <c r="I66" s="995">
        <f>I60*$C$65</f>
        <v>56433.216762499826</v>
      </c>
      <c r="K66" s="995">
        <f>K60*$C$65</f>
        <v>64189.532013562239</v>
      </c>
      <c r="M66" s="995">
        <f>M60*$C$65</f>
        <v>72013.074773771339</v>
      </c>
      <c r="O66" s="995">
        <f>O60*$C$65</f>
        <v>79901.098742568589</v>
      </c>
      <c r="Q66" s="995">
        <f>Q60*$C$65</f>
        <v>87850.634253245633</v>
      </c>
      <c r="S66" s="995">
        <f>S60*$C$65</f>
        <v>95858.477281691215</v>
      </c>
      <c r="U66" s="995">
        <f>U60*$C$65</f>
        <v>103921.1779913519</v>
      </c>
      <c r="W66" s="995">
        <f>W60*$C$65</f>
        <v>112035.02879620355</v>
      </c>
      <c r="Y66" s="995">
        <f>Y60*$C$65</f>
        <v>120196.05192284695</v>
      </c>
      <c r="AA66" s="995">
        <f>AA60*$C$65</f>
        <v>128399.98645212738</v>
      </c>
      <c r="AC66" s="995">
        <f>AC60*$C$65</f>
        <v>136642.27481993736</v>
      </c>
      <c r="AE66" s="995">
        <f>AE60*$C$65</f>
        <v>144918.04875610856</v>
      </c>
      <c r="AG66" s="995">
        <f>AG60*$C$65</f>
        <v>153222.1146394909</v>
      </c>
    </row>
    <row r="67" spans="1:35" s="995" customFormat="1">
      <c r="A67" s="1000" t="s">
        <v>2779</v>
      </c>
      <c r="B67" s="1000"/>
      <c r="C67" s="1005"/>
      <c r="E67" s="999"/>
      <c r="G67" s="995">
        <f>G60*$C$65</f>
        <v>48746.662499999977</v>
      </c>
      <c r="I67" s="995">
        <f>I60*$C$65</f>
        <v>56433.216762499826</v>
      </c>
      <c r="K67" s="995">
        <f>K60*$C$65</f>
        <v>64189.532013562239</v>
      </c>
      <c r="M67" s="995">
        <f>M60*$C$65</f>
        <v>72013.074773771339</v>
      </c>
      <c r="O67" s="995">
        <f>O60*$C$65</f>
        <v>79901.098742568589</v>
      </c>
      <c r="Q67" s="995">
        <f>Q60*$C$65</f>
        <v>87850.634253245633</v>
      </c>
      <c r="S67" s="995">
        <f>S60*$C$65</f>
        <v>95858.477281691215</v>
      </c>
      <c r="U67" s="995">
        <f>U60*$C$65</f>
        <v>103921.1779913519</v>
      </c>
      <c r="W67" s="995">
        <f>W60*$C$65</f>
        <v>112035.02879620355</v>
      </c>
      <c r="Y67" s="995">
        <f>Y60*$C$65</f>
        <v>120196.05192284695</v>
      </c>
      <c r="AA67" s="995">
        <f>AA60*$C$65</f>
        <v>128399.98645212738</v>
      </c>
      <c r="AC67" s="995">
        <f>AC60*$C$65</f>
        <v>136642.27481993736</v>
      </c>
      <c r="AE67" s="995">
        <f>AE60*$C$65</f>
        <v>144918.04875610856</v>
      </c>
      <c r="AG67" s="995">
        <f>AG60*$C$65</f>
        <v>153222.1146394909</v>
      </c>
    </row>
    <row r="68" spans="1:35" s="995" customFormat="1">
      <c r="A68" s="1000"/>
      <c r="B68" s="1000"/>
      <c r="C68" s="1005"/>
      <c r="E68" s="1000"/>
      <c r="G68" s="995">
        <f t="shared" ref="G68:AG69" si="3">E68*$C$66</f>
        <v>0</v>
      </c>
      <c r="I68" s="995">
        <f t="shared" si="3"/>
        <v>0</v>
      </c>
      <c r="K68" s="995">
        <f t="shared" si="3"/>
        <v>0</v>
      </c>
      <c r="M68" s="995">
        <f t="shared" si="3"/>
        <v>0</v>
      </c>
      <c r="O68" s="995">
        <f t="shared" si="3"/>
        <v>0</v>
      </c>
      <c r="Q68" s="995">
        <f t="shared" si="3"/>
        <v>0</v>
      </c>
      <c r="S68" s="995">
        <f t="shared" si="3"/>
        <v>0</v>
      </c>
      <c r="U68" s="995">
        <f t="shared" si="3"/>
        <v>0</v>
      </c>
      <c r="W68" s="995">
        <f t="shared" si="3"/>
        <v>0</v>
      </c>
      <c r="Y68" s="995">
        <f t="shared" si="3"/>
        <v>0</v>
      </c>
      <c r="AA68" s="995">
        <f t="shared" si="3"/>
        <v>0</v>
      </c>
      <c r="AC68" s="995">
        <f t="shared" si="3"/>
        <v>0</v>
      </c>
      <c r="AE68" s="995">
        <f t="shared" si="3"/>
        <v>0</v>
      </c>
      <c r="AG68" s="995">
        <f t="shared" si="3"/>
        <v>0</v>
      </c>
    </row>
    <row r="69" spans="1:35" s="995" customFormat="1">
      <c r="A69" s="1000"/>
      <c r="B69" s="1000"/>
      <c r="C69" s="1005"/>
      <c r="E69" s="1002"/>
      <c r="G69" s="1003">
        <f t="shared" si="3"/>
        <v>0</v>
      </c>
      <c r="I69" s="1003">
        <f t="shared" si="3"/>
        <v>0</v>
      </c>
      <c r="K69" s="1003">
        <f t="shared" si="3"/>
        <v>0</v>
      </c>
      <c r="M69" s="1003">
        <f t="shared" si="3"/>
        <v>0</v>
      </c>
      <c r="O69" s="1003">
        <f t="shared" si="3"/>
        <v>0</v>
      </c>
      <c r="Q69" s="1003">
        <f t="shared" si="3"/>
        <v>0</v>
      </c>
      <c r="S69" s="1003">
        <f t="shared" si="3"/>
        <v>0</v>
      </c>
      <c r="U69" s="1003">
        <f t="shared" si="3"/>
        <v>0</v>
      </c>
      <c r="W69" s="1003">
        <f t="shared" si="3"/>
        <v>0</v>
      </c>
      <c r="Y69" s="1003">
        <f t="shared" si="3"/>
        <v>0</v>
      </c>
      <c r="AA69" s="1003">
        <f t="shared" si="3"/>
        <v>0</v>
      </c>
      <c r="AC69" s="1003">
        <f t="shared" si="3"/>
        <v>0</v>
      </c>
      <c r="AE69" s="1003">
        <f t="shared" si="3"/>
        <v>0</v>
      </c>
      <c r="AG69" s="1003">
        <f t="shared" si="3"/>
        <v>0</v>
      </c>
    </row>
    <row r="70" spans="1:35" s="995" customFormat="1">
      <c r="A70" s="997" t="s">
        <v>864</v>
      </c>
      <c r="C70" s="1005"/>
      <c r="E70" s="995">
        <f>SUM(E66:E69)</f>
        <v>41132.199999999953</v>
      </c>
      <c r="G70" s="995">
        <f>SUM(G66:G69)</f>
        <v>97493.324999999953</v>
      </c>
      <c r="I70" s="995">
        <f>SUM(I66:I69)</f>
        <v>112866.43352499965</v>
      </c>
      <c r="K70" s="995">
        <f>SUM(K66:K69)</f>
        <v>128379.06402712448</v>
      </c>
      <c r="M70" s="995">
        <f>SUM(M66:M69)</f>
        <v>144026.14954754268</v>
      </c>
      <c r="O70" s="995">
        <f>SUM(O66:O69)</f>
        <v>159802.19748513718</v>
      </c>
      <c r="Q70" s="995">
        <f>SUM(Q66:Q69)</f>
        <v>175701.26850649127</v>
      </c>
      <c r="S70" s="995">
        <f>SUM(S66:S69)</f>
        <v>191716.95456338243</v>
      </c>
      <c r="U70" s="995">
        <f>SUM(U66:U69)</f>
        <v>207842.3559827038</v>
      </c>
      <c r="W70" s="995">
        <f>SUM(W66:W69)</f>
        <v>224070.0575924071</v>
      </c>
      <c r="Y70" s="995">
        <f>SUM(Y66:Y69)</f>
        <v>240392.1038456939</v>
      </c>
      <c r="AA70" s="995">
        <f>SUM(AA66:AA69)</f>
        <v>256799.97290425477</v>
      </c>
      <c r="AC70" s="995">
        <f>SUM(AC66:AC69)</f>
        <v>273284.54963987472</v>
      </c>
      <c r="AE70" s="995">
        <f>SUM(AE66:AE69)</f>
        <v>289836.09751221712</v>
      </c>
      <c r="AG70" s="995">
        <f>SUM(AG66:AG69)</f>
        <v>306444.2292789818</v>
      </c>
    </row>
    <row r="71" spans="1:35" s="995" customFormat="1">
      <c r="A71" s="997"/>
      <c r="C71" s="1005"/>
    </row>
    <row r="72" spans="1:35" s="995" customFormat="1">
      <c r="A72" s="997" t="s">
        <v>1911</v>
      </c>
      <c r="C72" s="1005"/>
      <c r="E72" s="997">
        <f>E60-E62-E70</f>
        <v>-41132.199999999953</v>
      </c>
      <c r="G72" s="997">
        <f>G60-G62-G70</f>
        <v>-97493.324999999953</v>
      </c>
      <c r="I72" s="997">
        <f>I60-I62-I70</f>
        <v>-112866.43352499965</v>
      </c>
      <c r="K72" s="997">
        <f>K60-K62-K70</f>
        <v>-128379.06402712448</v>
      </c>
      <c r="M72" s="997">
        <f>M60-M62-M70</f>
        <v>-144026.14954754268</v>
      </c>
      <c r="O72" s="997">
        <f>O60-O62-O70</f>
        <v>-159802.19748513718</v>
      </c>
      <c r="Q72" s="997">
        <f>Q60-Q62-Q70</f>
        <v>-175701.26850649127</v>
      </c>
      <c r="S72" s="997">
        <f>S60-S62-S70</f>
        <v>-191716.95456338243</v>
      </c>
      <c r="U72" s="997">
        <f>U60-U62-U70</f>
        <v>-207842.3559827038</v>
      </c>
      <c r="W72" s="997">
        <f>W60-W62-W70</f>
        <v>-224070.0575924071</v>
      </c>
      <c r="Y72" s="997">
        <f>Y60-Y62-Y70</f>
        <v>-240392.1038456939</v>
      </c>
      <c r="AA72" s="997">
        <f>AA60-AA62-AA70</f>
        <v>-256799.97290425477</v>
      </c>
      <c r="AC72" s="997">
        <f>AC60-AC62-AC70</f>
        <v>-273284.54963987472</v>
      </c>
      <c r="AE72" s="997">
        <f>AE60-AE62-AE70</f>
        <v>-289836.09751221712</v>
      </c>
      <c r="AG72" s="997">
        <f>AG60-AG62-AG70</f>
        <v>-306444.2292789818</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1876" t="s">
        <v>1909</v>
      </c>
      <c r="B77" s="1877"/>
      <c r="C77" s="1877"/>
      <c r="D77" s="1877"/>
      <c r="E77" s="1877"/>
      <c r="F77" s="1877"/>
      <c r="G77" s="1877"/>
      <c r="H77" s="1877"/>
      <c r="I77" s="1877"/>
      <c r="J77" s="1877"/>
      <c r="K77" s="1877"/>
      <c r="L77" s="1877"/>
      <c r="M77" s="1877"/>
      <c r="N77" s="1877"/>
      <c r="O77" s="1877"/>
      <c r="P77" s="1877"/>
      <c r="Q77" s="1877"/>
      <c r="R77" s="1877"/>
      <c r="S77" s="1877"/>
      <c r="T77" s="1877"/>
      <c r="U77" s="1877"/>
      <c r="V77" s="1877"/>
      <c r="W77" s="1877"/>
      <c r="X77" s="1877"/>
      <c r="Y77" s="1877"/>
      <c r="Z77" s="1877"/>
      <c r="AA77" s="1877"/>
      <c r="AB77" s="1877"/>
      <c r="AC77" s="1877"/>
      <c r="AD77" s="1877"/>
      <c r="AE77" s="1877"/>
      <c r="AF77" s="1877"/>
      <c r="AG77" s="18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0" workbookViewId="0">
      <selection activeCell="F99" sqref="F9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9" t="s">
        <v>629</v>
      </c>
      <c r="G1" s="1880"/>
      <c r="H1" s="1880"/>
      <c r="I1" s="1880"/>
      <c r="J1" s="1880"/>
      <c r="K1" s="1880"/>
      <c r="L1" s="1880"/>
      <c r="M1" s="1880"/>
      <c r="N1" s="1880"/>
      <c r="O1" s="1880"/>
      <c r="P1" s="1880"/>
      <c r="Q1" s="1880"/>
      <c r="R1" s="1881"/>
      <c r="S1" s="112"/>
      <c r="T1" s="111"/>
      <c r="U1" s="113"/>
    </row>
    <row r="2" spans="1:21" s="138" customFormat="1" ht="71.25" customHeight="1">
      <c r="A2" s="137"/>
      <c r="B2" s="138" t="s">
        <v>23</v>
      </c>
      <c r="C2" s="138" t="s">
        <v>375</v>
      </c>
      <c r="D2" s="138" t="s">
        <v>374</v>
      </c>
      <c r="E2" s="138" t="s">
        <v>24</v>
      </c>
      <c r="F2" s="139" t="str">
        <f>Application!B627&amp;Application!C627</f>
        <v>1)Banner Bank</v>
      </c>
      <c r="G2" s="139" t="str">
        <f>Application!B628&amp;Application!C628</f>
        <v>2)HCD Infill &amp; Infrastructure</v>
      </c>
      <c r="H2" s="139" t="str">
        <f>Application!B629&amp;Application!C629</f>
        <v>3)Affirmed Housing Group,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750000</v>
      </c>
      <c r="C4" s="147">
        <v>750000</v>
      </c>
      <c r="D4" s="147"/>
      <c r="E4" s="147"/>
      <c r="F4" s="147">
        <v>750000</v>
      </c>
      <c r="G4" s="147"/>
      <c r="H4" s="147"/>
      <c r="I4" s="147"/>
      <c r="J4" s="147"/>
      <c r="K4" s="147"/>
      <c r="L4" s="147"/>
      <c r="M4" s="147"/>
      <c r="N4" s="147"/>
      <c r="O4" s="147"/>
      <c r="P4" s="147"/>
      <c r="Q4" s="147"/>
      <c r="R4" s="550">
        <f>SUM(E4:Q4)</f>
        <v>750000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750000</v>
      </c>
      <c r="C8" s="146">
        <f t="shared" ref="C8:Q8" si="0">SUM(C4:C7)</f>
        <v>750000</v>
      </c>
      <c r="D8" s="146">
        <f t="shared" si="0"/>
        <v>0</v>
      </c>
      <c r="E8" s="146">
        <f t="shared" si="0"/>
        <v>0</v>
      </c>
      <c r="F8" s="146">
        <f t="shared" si="0"/>
        <v>750000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750000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1000000</v>
      </c>
      <c r="C10" s="147">
        <v>1000000</v>
      </c>
      <c r="D10" s="147"/>
      <c r="E10" s="147"/>
      <c r="F10" s="147">
        <v>1000000</v>
      </c>
      <c r="G10" s="147"/>
      <c r="H10" s="147"/>
      <c r="I10" s="147"/>
      <c r="J10" s="147"/>
      <c r="K10" s="147"/>
      <c r="L10" s="147"/>
      <c r="M10" s="147"/>
      <c r="N10" s="147"/>
      <c r="O10" s="147"/>
      <c r="P10" s="147"/>
      <c r="Q10" s="147"/>
      <c r="R10" s="550">
        <f>SUM(E10:Q10)</f>
        <v>1000000</v>
      </c>
      <c r="S10" s="147">
        <f>R10</f>
        <v>1000000</v>
      </c>
      <c r="T10" s="147"/>
      <c r="U10" s="143"/>
    </row>
    <row r="11" spans="1:21" s="144" customFormat="1">
      <c r="A11" s="149" t="s">
        <v>604</v>
      </c>
      <c r="B11" s="146">
        <f>SUM(C11:D11)</f>
        <v>1000000</v>
      </c>
      <c r="C11" s="146">
        <f t="shared" ref="C11:Q11" si="1">SUM(C9:C10)</f>
        <v>1000000</v>
      </c>
      <c r="D11" s="146">
        <f t="shared" si="1"/>
        <v>0</v>
      </c>
      <c r="E11" s="146">
        <f t="shared" si="1"/>
        <v>0</v>
      </c>
      <c r="F11" s="146">
        <f t="shared" si="1"/>
        <v>1000000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1000000</v>
      </c>
      <c r="S11" s="148"/>
      <c r="T11" s="150">
        <f>SUM(T9:T10)</f>
        <v>0</v>
      </c>
      <c r="U11" s="143"/>
    </row>
    <row r="12" spans="1:21" s="144" customFormat="1">
      <c r="A12" s="149" t="s">
        <v>84</v>
      </c>
      <c r="B12" s="146">
        <f t="shared" ref="B12:Q12" si="2">SUM(B8+B11)</f>
        <v>1750000</v>
      </c>
      <c r="C12" s="146">
        <f t="shared" si="2"/>
        <v>1750000</v>
      </c>
      <c r="D12" s="146">
        <f t="shared" si="2"/>
        <v>0</v>
      </c>
      <c r="E12" s="146">
        <f t="shared" si="2"/>
        <v>0</v>
      </c>
      <c r="F12" s="146">
        <f t="shared" si="2"/>
        <v>1750000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1750000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7000000</v>
      </c>
      <c r="C29" s="147">
        <v>7000000</v>
      </c>
      <c r="D29" s="147"/>
      <c r="E29" s="147">
        <f>652700-70000+70000+70000</f>
        <v>722700</v>
      </c>
      <c r="F29" s="147"/>
      <c r="G29" s="147">
        <f>6347300-70000</f>
        <v>6277300</v>
      </c>
      <c r="H29" s="147"/>
      <c r="I29" s="147"/>
      <c r="J29" s="147"/>
      <c r="K29" s="147"/>
      <c r="L29" s="147"/>
      <c r="M29" s="147"/>
      <c r="N29" s="147"/>
      <c r="O29" s="147"/>
      <c r="P29" s="147"/>
      <c r="Q29" s="147"/>
      <c r="R29" s="550">
        <f t="shared" ref="R29:R37" si="7">SUM(E29:Q29)</f>
        <v>7000000</v>
      </c>
      <c r="S29" s="147">
        <f>R29</f>
        <v>7000000</v>
      </c>
      <c r="T29" s="147"/>
      <c r="U29" s="143"/>
    </row>
    <row r="30" spans="1:21" s="144" customFormat="1">
      <c r="A30" s="145" t="s">
        <v>607</v>
      </c>
      <c r="B30" s="146">
        <f t="shared" si="6"/>
        <v>37400000</v>
      </c>
      <c r="C30" s="147">
        <v>37400000</v>
      </c>
      <c r="D30" s="147"/>
      <c r="E30" s="147">
        <v>37400000</v>
      </c>
      <c r="F30" s="147"/>
      <c r="G30" s="147"/>
      <c r="H30" s="147"/>
      <c r="I30" s="147"/>
      <c r="J30" s="147"/>
      <c r="K30" s="147"/>
      <c r="L30" s="147"/>
      <c r="M30" s="147"/>
      <c r="N30" s="147"/>
      <c r="O30" s="147"/>
      <c r="P30" s="147"/>
      <c r="Q30" s="147"/>
      <c r="R30" s="550">
        <f t="shared" si="7"/>
        <v>37400000</v>
      </c>
      <c r="S30" s="147">
        <f t="shared" ref="S30:S37" si="8">R30</f>
        <v>37400000</v>
      </c>
      <c r="T30" s="147"/>
      <c r="U30" s="143"/>
    </row>
    <row r="31" spans="1:21" s="144" customFormat="1">
      <c r="A31" s="145" t="s">
        <v>608</v>
      </c>
      <c r="B31" s="146">
        <f t="shared" si="6"/>
        <v>1444838</v>
      </c>
      <c r="C31" s="147">
        <v>1444838</v>
      </c>
      <c r="D31" s="147"/>
      <c r="E31" s="147">
        <v>1444838</v>
      </c>
      <c r="F31" s="147"/>
      <c r="G31" s="147"/>
      <c r="H31" s="147"/>
      <c r="I31" s="147"/>
      <c r="J31" s="147"/>
      <c r="K31" s="147"/>
      <c r="L31" s="147"/>
      <c r="M31" s="147"/>
      <c r="N31" s="147"/>
      <c r="O31" s="147"/>
      <c r="P31" s="147"/>
      <c r="Q31" s="147"/>
      <c r="R31" s="550">
        <f t="shared" si="7"/>
        <v>1444838</v>
      </c>
      <c r="S31" s="147">
        <f t="shared" si="8"/>
        <v>1444838</v>
      </c>
      <c r="T31" s="147"/>
      <c r="U31" s="143"/>
    </row>
    <row r="32" spans="1:21" s="144" customFormat="1">
      <c r="A32" s="145" t="s">
        <v>137</v>
      </c>
      <c r="B32" s="146">
        <f t="shared" si="6"/>
        <v>2375000</v>
      </c>
      <c r="C32" s="147">
        <v>2375000</v>
      </c>
      <c r="D32" s="147"/>
      <c r="E32" s="147">
        <v>2375000</v>
      </c>
      <c r="F32" s="147"/>
      <c r="G32" s="147"/>
      <c r="H32" s="147"/>
      <c r="I32" s="147"/>
      <c r="J32" s="147"/>
      <c r="K32" s="147"/>
      <c r="L32" s="147"/>
      <c r="M32" s="147"/>
      <c r="N32" s="147"/>
      <c r="O32" s="147"/>
      <c r="P32" s="147"/>
      <c r="Q32" s="147"/>
      <c r="R32" s="550">
        <f t="shared" si="7"/>
        <v>2375000</v>
      </c>
      <c r="S32" s="147">
        <f t="shared" si="8"/>
        <v>2375000</v>
      </c>
      <c r="T32" s="147"/>
      <c r="U32" s="143"/>
    </row>
    <row r="33" spans="1:21" s="144" customFormat="1">
      <c r="A33" s="145" t="s">
        <v>138</v>
      </c>
      <c r="B33" s="146">
        <f t="shared" si="6"/>
        <v>2022840</v>
      </c>
      <c r="C33" s="147">
        <v>2022840</v>
      </c>
      <c r="D33" s="147"/>
      <c r="E33" s="147">
        <v>2022840</v>
      </c>
      <c r="F33" s="147"/>
      <c r="G33" s="147"/>
      <c r="H33" s="147"/>
      <c r="I33" s="147"/>
      <c r="J33" s="147"/>
      <c r="K33" s="147"/>
      <c r="L33" s="147"/>
      <c r="M33" s="147"/>
      <c r="N33" s="147"/>
      <c r="O33" s="147"/>
      <c r="P33" s="147"/>
      <c r="Q33" s="147"/>
      <c r="R33" s="550">
        <f t="shared" si="7"/>
        <v>2022840</v>
      </c>
      <c r="S33" s="147">
        <f t="shared" si="8"/>
        <v>2022840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700000</v>
      </c>
      <c r="C35" s="147">
        <v>700000</v>
      </c>
      <c r="D35" s="147"/>
      <c r="E35" s="147">
        <v>700000</v>
      </c>
      <c r="F35" s="147"/>
      <c r="G35" s="147"/>
      <c r="H35" s="147"/>
      <c r="I35" s="147"/>
      <c r="J35" s="147"/>
      <c r="K35" s="147"/>
      <c r="L35" s="147"/>
      <c r="M35" s="147"/>
      <c r="N35" s="147"/>
      <c r="O35" s="147"/>
      <c r="P35" s="147"/>
      <c r="Q35" s="147"/>
      <c r="R35" s="550">
        <f t="shared" si="7"/>
        <v>700000</v>
      </c>
      <c r="S35" s="147">
        <f t="shared" si="8"/>
        <v>700000</v>
      </c>
      <c r="T35" s="147"/>
      <c r="U35" s="143"/>
    </row>
    <row r="36" spans="1:21" s="144" customFormat="1">
      <c r="A36" s="304" t="s">
        <v>1751</v>
      </c>
      <c r="B36" s="146">
        <f t="shared" si="6"/>
        <v>100000</v>
      </c>
      <c r="C36" s="147">
        <v>100000</v>
      </c>
      <c r="D36" s="147"/>
      <c r="E36" s="147"/>
      <c r="F36" s="147">
        <f>C36</f>
        <v>100000</v>
      </c>
      <c r="G36" s="147"/>
      <c r="H36" s="147"/>
      <c r="I36" s="147"/>
      <c r="J36" s="147"/>
      <c r="K36" s="147"/>
      <c r="L36" s="147"/>
      <c r="M36" s="147"/>
      <c r="N36" s="147"/>
      <c r="O36" s="147"/>
      <c r="P36" s="147"/>
      <c r="Q36" s="147"/>
      <c r="R36" s="550">
        <f t="shared" si="7"/>
        <v>100000</v>
      </c>
      <c r="S36" s="147">
        <f t="shared" si="8"/>
        <v>100000</v>
      </c>
      <c r="T36" s="147"/>
      <c r="U36" s="143"/>
    </row>
    <row r="37" spans="1:21" s="144" customFormat="1">
      <c r="A37" s="1193" t="s">
        <v>2729</v>
      </c>
      <c r="B37" s="146">
        <f t="shared" si="6"/>
        <v>300000</v>
      </c>
      <c r="C37" s="147">
        <v>300000</v>
      </c>
      <c r="D37" s="147"/>
      <c r="E37" s="147">
        <f>C37</f>
        <v>300000</v>
      </c>
      <c r="F37" s="147"/>
      <c r="G37" s="147"/>
      <c r="H37" s="147"/>
      <c r="I37" s="147"/>
      <c r="J37" s="147"/>
      <c r="K37" s="147"/>
      <c r="L37" s="147"/>
      <c r="M37" s="147"/>
      <c r="N37" s="147"/>
      <c r="O37" s="147"/>
      <c r="P37" s="147"/>
      <c r="Q37" s="147"/>
      <c r="R37" s="550">
        <f t="shared" si="7"/>
        <v>300000</v>
      </c>
      <c r="S37" s="147">
        <f t="shared" si="8"/>
        <v>300000</v>
      </c>
      <c r="T37" s="147"/>
      <c r="U37" s="143"/>
    </row>
    <row r="38" spans="1:21" s="144" customFormat="1">
      <c r="A38" s="149" t="s">
        <v>143</v>
      </c>
      <c r="B38" s="146">
        <f t="shared" si="6"/>
        <v>51342678</v>
      </c>
      <c r="C38" s="146">
        <f>SUM(C29:C37)</f>
        <v>51342678</v>
      </c>
      <c r="D38" s="146">
        <f t="shared" ref="D38:Q38" si="9">SUM(D29:D37)</f>
        <v>0</v>
      </c>
      <c r="E38" s="146">
        <f t="shared" si="9"/>
        <v>44965378</v>
      </c>
      <c r="F38" s="146">
        <f t="shared" si="9"/>
        <v>100000</v>
      </c>
      <c r="G38" s="146">
        <f t="shared" si="9"/>
        <v>6277300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51342678</v>
      </c>
      <c r="S38" s="150">
        <f>SUM(S29:S37)</f>
        <v>51342678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750000</v>
      </c>
      <c r="C40" s="147">
        <v>750000</v>
      </c>
      <c r="D40" s="147"/>
      <c r="E40" s="147">
        <f>C40</f>
        <v>750000</v>
      </c>
      <c r="F40" s="147"/>
      <c r="G40" s="147"/>
      <c r="H40" s="147"/>
      <c r="I40" s="147"/>
      <c r="J40" s="147"/>
      <c r="K40" s="147"/>
      <c r="L40" s="147"/>
      <c r="M40" s="147"/>
      <c r="N40" s="147"/>
      <c r="O40" s="147"/>
      <c r="P40" s="147"/>
      <c r="Q40" s="147"/>
      <c r="R40" s="550">
        <f>SUM(E40:Q40)</f>
        <v>750000</v>
      </c>
      <c r="S40" s="147">
        <f>R40</f>
        <v>750000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750000</v>
      </c>
      <c r="C42" s="146">
        <f>SUM(C39:C41)</f>
        <v>750000</v>
      </c>
      <c r="D42" s="146">
        <f>SUM(D39:D41)</f>
        <v>0</v>
      </c>
      <c r="E42" s="146">
        <f t="shared" ref="E42:T42" si="10">SUM(E40:E41)</f>
        <v>750000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750000</v>
      </c>
      <c r="S42" s="150">
        <f t="shared" si="10"/>
        <v>750000</v>
      </c>
      <c r="T42" s="150">
        <f t="shared" si="10"/>
        <v>0</v>
      </c>
      <c r="U42" s="143"/>
    </row>
    <row r="43" spans="1:21" s="144" customFormat="1">
      <c r="A43" s="149" t="s">
        <v>148</v>
      </c>
      <c r="B43" s="146">
        <f>SUM(C43:D43)</f>
        <v>300000</v>
      </c>
      <c r="C43" s="147">
        <v>300000</v>
      </c>
      <c r="D43" s="147"/>
      <c r="E43" s="147">
        <f>C43</f>
        <v>300000</v>
      </c>
      <c r="F43" s="147"/>
      <c r="G43" s="147"/>
      <c r="H43" s="147"/>
      <c r="I43" s="147"/>
      <c r="J43" s="147"/>
      <c r="K43" s="147"/>
      <c r="L43" s="147"/>
      <c r="M43" s="147"/>
      <c r="N43" s="147"/>
      <c r="O43" s="147"/>
      <c r="P43" s="147"/>
      <c r="Q43" s="147"/>
      <c r="R43" s="550">
        <f>SUM(E43:Q43)</f>
        <v>300000</v>
      </c>
      <c r="S43" s="147">
        <f>R43</f>
        <v>300000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2300000</v>
      </c>
      <c r="C45" s="147">
        <v>2300000</v>
      </c>
      <c r="D45" s="147"/>
      <c r="E45" s="147">
        <v>2300000</v>
      </c>
      <c r="F45" s="147"/>
      <c r="G45" s="147"/>
      <c r="H45" s="147"/>
      <c r="I45" s="147"/>
      <c r="J45" s="147"/>
      <c r="K45" s="147"/>
      <c r="L45" s="147"/>
      <c r="M45" s="147"/>
      <c r="N45" s="147"/>
      <c r="O45" s="147"/>
      <c r="P45" s="147"/>
      <c r="Q45" s="147"/>
      <c r="R45" s="550">
        <f t="shared" ref="R45:R53" si="12">SUM(E45:Q45)</f>
        <v>2300000</v>
      </c>
      <c r="S45" s="147">
        <f>R45</f>
        <v>2300000</v>
      </c>
      <c r="T45" s="147"/>
      <c r="U45" s="143"/>
    </row>
    <row r="46" spans="1:21" s="144" customFormat="1">
      <c r="A46" s="145" t="s">
        <v>151</v>
      </c>
      <c r="B46" s="146">
        <f t="shared" si="11"/>
        <v>300000</v>
      </c>
      <c r="C46" s="147">
        <v>300000</v>
      </c>
      <c r="D46" s="147"/>
      <c r="E46" s="147"/>
      <c r="F46" s="147">
        <v>300000</v>
      </c>
      <c r="G46" s="147"/>
      <c r="H46" s="147"/>
      <c r="I46" s="147"/>
      <c r="J46" s="147"/>
      <c r="K46" s="147"/>
      <c r="L46" s="147"/>
      <c r="M46" s="147"/>
      <c r="N46" s="147"/>
      <c r="O46" s="147"/>
      <c r="P46" s="147"/>
      <c r="Q46" s="147"/>
      <c r="R46" s="550">
        <f t="shared" si="12"/>
        <v>300000</v>
      </c>
      <c r="S46" s="147">
        <f t="shared" ref="S46:S53" si="13">R46</f>
        <v>300000</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f t="shared" si="13"/>
        <v>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f t="shared" si="13"/>
        <v>0</v>
      </c>
      <c r="T48" s="147"/>
      <c r="U48" s="143"/>
    </row>
    <row r="49" spans="1:21" s="144" customFormat="1">
      <c r="A49" s="145" t="s">
        <v>57</v>
      </c>
      <c r="B49" s="146">
        <f t="shared" si="11"/>
        <v>250000</v>
      </c>
      <c r="C49" s="147">
        <v>250000</v>
      </c>
      <c r="D49" s="147"/>
      <c r="E49" s="147"/>
      <c r="F49" s="147">
        <v>250000</v>
      </c>
      <c r="G49" s="147"/>
      <c r="H49" s="147"/>
      <c r="I49" s="147"/>
      <c r="J49" s="147"/>
      <c r="K49" s="147"/>
      <c r="L49" s="147"/>
      <c r="M49" s="147"/>
      <c r="N49" s="147"/>
      <c r="O49" s="147"/>
      <c r="P49" s="147"/>
      <c r="Q49" s="147"/>
      <c r="R49" s="550">
        <f t="shared" si="12"/>
        <v>250000</v>
      </c>
      <c r="S49" s="147">
        <v>25000</v>
      </c>
      <c r="T49" s="147"/>
      <c r="U49" s="143"/>
    </row>
    <row r="50" spans="1:21" s="144" customFormat="1">
      <c r="A50" s="145" t="s">
        <v>156</v>
      </c>
      <c r="B50" s="146">
        <f t="shared" si="11"/>
        <v>100000</v>
      </c>
      <c r="C50" s="147">
        <v>100000</v>
      </c>
      <c r="D50" s="147"/>
      <c r="E50" s="147"/>
      <c r="F50" s="147">
        <v>100000</v>
      </c>
      <c r="G50" s="147"/>
      <c r="H50" s="147"/>
      <c r="I50" s="147"/>
      <c r="J50" s="147"/>
      <c r="K50" s="147"/>
      <c r="L50" s="147"/>
      <c r="M50" s="147"/>
      <c r="N50" s="147"/>
      <c r="O50" s="147"/>
      <c r="P50" s="147"/>
      <c r="Q50" s="147"/>
      <c r="R50" s="550">
        <f t="shared" si="12"/>
        <v>100000</v>
      </c>
      <c r="S50" s="147">
        <v>70000</v>
      </c>
      <c r="T50" s="147"/>
      <c r="U50" s="143"/>
    </row>
    <row r="51" spans="1:21" s="144" customFormat="1">
      <c r="A51" s="304" t="s">
        <v>154</v>
      </c>
      <c r="B51" s="146">
        <f t="shared" si="11"/>
        <v>50000</v>
      </c>
      <c r="C51" s="147">
        <v>50000</v>
      </c>
      <c r="D51" s="147"/>
      <c r="E51" s="147"/>
      <c r="F51" s="147">
        <v>50000</v>
      </c>
      <c r="G51" s="147"/>
      <c r="H51" s="147"/>
      <c r="I51" s="147"/>
      <c r="J51" s="147"/>
      <c r="K51" s="147"/>
      <c r="L51" s="147"/>
      <c r="M51" s="147"/>
      <c r="N51" s="147"/>
      <c r="O51" s="147"/>
      <c r="P51" s="147"/>
      <c r="Q51" s="147"/>
      <c r="R51" s="550">
        <f t="shared" si="12"/>
        <v>50000</v>
      </c>
      <c r="S51" s="147">
        <f t="shared" si="13"/>
        <v>50000</v>
      </c>
      <c r="T51" s="147"/>
      <c r="U51" s="143"/>
    </row>
    <row r="52" spans="1:21" s="144" customFormat="1">
      <c r="A52" s="145" t="s">
        <v>155</v>
      </c>
      <c r="B52" s="146">
        <f t="shared" si="11"/>
        <v>700000</v>
      </c>
      <c r="C52" s="147">
        <v>700000</v>
      </c>
      <c r="D52" s="147"/>
      <c r="E52" s="147"/>
      <c r="F52" s="147">
        <v>700000</v>
      </c>
      <c r="G52" s="147"/>
      <c r="H52" s="147"/>
      <c r="I52" s="147"/>
      <c r="J52" s="147"/>
      <c r="K52" s="147"/>
      <c r="L52" s="147"/>
      <c r="M52" s="147"/>
      <c r="N52" s="147"/>
      <c r="O52" s="147"/>
      <c r="P52" s="147"/>
      <c r="Q52" s="147"/>
      <c r="R52" s="550">
        <f t="shared" si="12"/>
        <v>700000</v>
      </c>
      <c r="S52" s="147">
        <f t="shared" si="13"/>
        <v>700000</v>
      </c>
      <c r="T52" s="147"/>
      <c r="U52" s="143"/>
    </row>
    <row r="53" spans="1:21" s="144" customFormat="1">
      <c r="A53" s="1193" t="s">
        <v>2730</v>
      </c>
      <c r="B53" s="146">
        <f t="shared" si="11"/>
        <v>100000</v>
      </c>
      <c r="C53" s="147">
        <v>100000</v>
      </c>
      <c r="D53" s="147"/>
      <c r="E53" s="147"/>
      <c r="F53" s="147">
        <v>100000</v>
      </c>
      <c r="G53" s="147"/>
      <c r="H53" s="147"/>
      <c r="I53" s="147"/>
      <c r="J53" s="147"/>
      <c r="K53" s="147"/>
      <c r="L53" s="147"/>
      <c r="M53" s="147"/>
      <c r="N53" s="147"/>
      <c r="O53" s="147"/>
      <c r="P53" s="147"/>
      <c r="Q53" s="147"/>
      <c r="R53" s="550">
        <f t="shared" si="12"/>
        <v>100000</v>
      </c>
      <c r="S53" s="147">
        <f t="shared" si="13"/>
        <v>100000</v>
      </c>
      <c r="T53" s="147"/>
      <c r="U53" s="143"/>
    </row>
    <row r="54" spans="1:21" s="153" customFormat="1">
      <c r="A54" s="149" t="s">
        <v>157</v>
      </c>
      <c r="B54" s="150">
        <f>SUM(C54:D54)</f>
        <v>3800000</v>
      </c>
      <c r="C54" s="150">
        <f t="shared" ref="C54:T54" si="14">SUM(C45:C53)</f>
        <v>3800000</v>
      </c>
      <c r="D54" s="150">
        <f t="shared" si="14"/>
        <v>0</v>
      </c>
      <c r="E54" s="150">
        <f t="shared" si="14"/>
        <v>2300000</v>
      </c>
      <c r="F54" s="150">
        <f t="shared" si="14"/>
        <v>1500000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3800000</v>
      </c>
      <c r="S54" s="150">
        <f t="shared" si="14"/>
        <v>3545000</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100000</v>
      </c>
      <c r="C56" s="147">
        <v>100000</v>
      </c>
      <c r="D56" s="147"/>
      <c r="E56" s="147"/>
      <c r="F56" s="147">
        <v>100000</v>
      </c>
      <c r="G56" s="147"/>
      <c r="H56" s="147"/>
      <c r="I56" s="147"/>
      <c r="J56" s="147"/>
      <c r="K56" s="147"/>
      <c r="L56" s="147"/>
      <c r="M56" s="147"/>
      <c r="N56" s="147"/>
      <c r="O56" s="147"/>
      <c r="P56" s="147"/>
      <c r="Q56" s="147"/>
      <c r="R56" s="550">
        <f t="shared" ref="R56:R61" si="16">SUM(E56:Q56)</f>
        <v>100000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50">
        <f t="shared" si="16"/>
        <v>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2732</v>
      </c>
      <c r="B61" s="146">
        <f t="shared" si="15"/>
        <v>1420000</v>
      </c>
      <c r="C61" s="147">
        <v>1420000</v>
      </c>
      <c r="D61" s="147"/>
      <c r="E61" s="147">
        <f>20000+1389070</f>
        <v>1409070</v>
      </c>
      <c r="F61" s="147">
        <f>1420000-20000-1389070</f>
        <v>10930</v>
      </c>
      <c r="G61" s="147"/>
      <c r="H61" s="147"/>
      <c r="I61" s="147"/>
      <c r="J61" s="147"/>
      <c r="K61" s="147"/>
      <c r="L61" s="147"/>
      <c r="M61" s="147"/>
      <c r="N61" s="147"/>
      <c r="O61" s="147"/>
      <c r="P61" s="147"/>
      <c r="Q61" s="147"/>
      <c r="R61" s="550">
        <f t="shared" si="16"/>
        <v>1420000</v>
      </c>
      <c r="S61" s="148"/>
      <c r="T61" s="148"/>
      <c r="U61" s="143"/>
    </row>
    <row r="62" spans="1:21" s="144" customFormat="1" ht="13.7" customHeight="1">
      <c r="A62" s="149" t="s">
        <v>302</v>
      </c>
      <c r="B62" s="146">
        <f>SUM(C62:D62)</f>
        <v>1520000</v>
      </c>
      <c r="C62" s="146">
        <f t="shared" ref="C62:R62" si="17">SUM(C56:C61)</f>
        <v>1520000</v>
      </c>
      <c r="D62" s="146">
        <f t="shared" si="17"/>
        <v>0</v>
      </c>
      <c r="E62" s="146">
        <f t="shared" si="17"/>
        <v>1409070</v>
      </c>
      <c r="F62" s="146">
        <f t="shared" si="17"/>
        <v>110930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1520000</v>
      </c>
      <c r="S62" s="148"/>
      <c r="T62" s="148"/>
      <c r="U62" s="143"/>
    </row>
    <row r="63" spans="1:21" s="144" customFormat="1">
      <c r="A63" s="154" t="s">
        <v>303</v>
      </c>
      <c r="B63" s="146">
        <f t="shared" ref="B63:R63" si="18">SUM(B8+B11+B13+B14+B15+B26+B27+B38+B42+B43+B54+B62)</f>
        <v>59462678</v>
      </c>
      <c r="C63" s="146">
        <f t="shared" si="18"/>
        <v>59462678</v>
      </c>
      <c r="D63" s="146">
        <f t="shared" si="18"/>
        <v>0</v>
      </c>
      <c r="E63" s="146">
        <f t="shared" si="18"/>
        <v>49724448</v>
      </c>
      <c r="F63" s="146">
        <f t="shared" si="18"/>
        <v>3460930</v>
      </c>
      <c r="G63" s="146">
        <f t="shared" si="18"/>
        <v>6277300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59462678</v>
      </c>
      <c r="S63" s="146">
        <f>SUM(S10+S13+S14+S15+S26+S27+S38+S42+S43+S54)</f>
        <v>56937678</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c r="F65" s="147">
        <v>100000</v>
      </c>
      <c r="G65" s="147"/>
      <c r="H65" s="147"/>
      <c r="I65" s="147"/>
      <c r="J65" s="147"/>
      <c r="K65" s="147"/>
      <c r="L65" s="147"/>
      <c r="M65" s="147"/>
      <c r="N65" s="147"/>
      <c r="O65" s="147"/>
      <c r="P65" s="147"/>
      <c r="Q65" s="147"/>
      <c r="R65" s="550">
        <f>SUM(E65:Q65)</f>
        <v>100000</v>
      </c>
      <c r="S65" s="147"/>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f t="shared" ref="S66:S68" si="19">R66</f>
        <v>0</v>
      </c>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f t="shared" si="19"/>
        <v>0</v>
      </c>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f t="shared" si="19"/>
        <v>0</v>
      </c>
      <c r="T68" s="147"/>
      <c r="U68" s="143"/>
    </row>
    <row r="69" spans="1:21" s="144" customFormat="1">
      <c r="A69" s="1193" t="s">
        <v>2733</v>
      </c>
      <c r="B69" s="146">
        <f>SUM(C69+D69)</f>
        <v>100000</v>
      </c>
      <c r="C69" s="147">
        <v>100000</v>
      </c>
      <c r="D69" s="147"/>
      <c r="E69" s="147"/>
      <c r="F69" s="147">
        <v>100000</v>
      </c>
      <c r="G69" s="147"/>
      <c r="H69" s="147"/>
      <c r="I69" s="147"/>
      <c r="J69" s="147"/>
      <c r="K69" s="147"/>
      <c r="L69" s="147"/>
      <c r="M69" s="147"/>
      <c r="N69" s="147"/>
      <c r="O69" s="147"/>
      <c r="P69" s="147"/>
      <c r="Q69" s="147"/>
      <c r="R69" s="550">
        <f>SUM(E69:Q69)</f>
        <v>100000</v>
      </c>
      <c r="S69" s="147"/>
      <c r="T69" s="147"/>
      <c r="U69" s="143"/>
    </row>
    <row r="70" spans="1:21" s="144" customFormat="1">
      <c r="A70" s="149" t="s">
        <v>1756</v>
      </c>
      <c r="B70" s="146">
        <f>SUM(C70:D70)</f>
        <v>200000</v>
      </c>
      <c r="C70" s="146">
        <f>SUM(C65:C69)</f>
        <v>200000</v>
      </c>
      <c r="D70" s="146">
        <f>SUM(D65:D69)</f>
        <v>0</v>
      </c>
      <c r="E70" s="146">
        <f t="shared" ref="E70:T70" si="20">SUM(E65:E69)</f>
        <v>0</v>
      </c>
      <c r="F70" s="146">
        <f t="shared" si="20"/>
        <v>200000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200000</v>
      </c>
      <c r="S70" s="150">
        <f t="shared" si="20"/>
        <v>0</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346000</v>
      </c>
      <c r="C75" s="147">
        <v>346000</v>
      </c>
      <c r="D75" s="147"/>
      <c r="E75" s="147">
        <v>2000</v>
      </c>
      <c r="F75" s="147">
        <v>344000</v>
      </c>
      <c r="G75" s="147"/>
      <c r="H75" s="147"/>
      <c r="I75" s="147"/>
      <c r="J75" s="147"/>
      <c r="K75" s="147"/>
      <c r="L75" s="147"/>
      <c r="M75" s="147"/>
      <c r="N75" s="147"/>
      <c r="O75" s="147"/>
      <c r="P75" s="147"/>
      <c r="Q75" s="147"/>
      <c r="R75" s="550">
        <f>SUM(E75:Q75)</f>
        <v>346000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346000</v>
      </c>
      <c r="C77" s="146">
        <f>SUM(C72:C76)</f>
        <v>346000</v>
      </c>
      <c r="D77" s="146">
        <f>SUM(D72:D76)</f>
        <v>0</v>
      </c>
      <c r="E77" s="146">
        <f t="shared" ref="E77:Q77" si="21">SUM(E72:E76)</f>
        <v>2000</v>
      </c>
      <c r="F77" s="146">
        <f t="shared" si="21"/>
        <v>344000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346000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2562133</v>
      </c>
      <c r="C79" s="147">
        <v>2562133</v>
      </c>
      <c r="D79" s="147"/>
      <c r="E79" s="147">
        <f>C79</f>
        <v>2562133</v>
      </c>
      <c r="F79" s="147"/>
      <c r="G79" s="147"/>
      <c r="H79" s="147"/>
      <c r="I79" s="147"/>
      <c r="J79" s="147"/>
      <c r="K79" s="147"/>
      <c r="L79" s="147"/>
      <c r="M79" s="147"/>
      <c r="N79" s="147"/>
      <c r="O79" s="147"/>
      <c r="P79" s="147"/>
      <c r="Q79" s="147"/>
      <c r="R79" s="550">
        <f>SUM(E79:Q79)</f>
        <v>2562133</v>
      </c>
      <c r="S79" s="147">
        <f>R79</f>
        <v>2562133</v>
      </c>
      <c r="T79" s="147"/>
      <c r="U79" s="143"/>
    </row>
    <row r="80" spans="1:21" s="144" customFormat="1">
      <c r="A80" s="304" t="s">
        <v>58</v>
      </c>
      <c r="B80" s="146">
        <f>SUM(C80:D80)</f>
        <v>526220</v>
      </c>
      <c r="C80" s="147">
        <v>526220</v>
      </c>
      <c r="D80" s="147"/>
      <c r="E80" s="147">
        <f>397993+3500+3870</f>
        <v>405363</v>
      </c>
      <c r="F80" s="147">
        <f>71001+49856</f>
        <v>120857</v>
      </c>
      <c r="G80" s="147"/>
      <c r="H80" s="147"/>
      <c r="I80" s="147"/>
      <c r="J80" s="147"/>
      <c r="K80" s="147"/>
      <c r="L80" s="147"/>
      <c r="M80" s="147"/>
      <c r="N80" s="147"/>
      <c r="O80" s="147"/>
      <c r="P80" s="147"/>
      <c r="Q80" s="147"/>
      <c r="R80" s="550">
        <f>SUM(E80:Q80)</f>
        <v>526220</v>
      </c>
      <c r="S80" s="147">
        <f>R80</f>
        <v>526220</v>
      </c>
      <c r="T80" s="147"/>
      <c r="U80" s="143"/>
    </row>
    <row r="81" spans="1:21" s="144" customFormat="1">
      <c r="A81" s="149" t="s">
        <v>1315</v>
      </c>
      <c r="B81" s="146">
        <f>SUM(C81:D81)</f>
        <v>3088353</v>
      </c>
      <c r="C81" s="543">
        <f>SUM(C79:C80)</f>
        <v>3088353</v>
      </c>
      <c r="D81" s="543">
        <f t="shared" ref="D81:T81" si="22">SUM(D79:D80)</f>
        <v>0</v>
      </c>
      <c r="E81" s="543">
        <f t="shared" si="22"/>
        <v>2967496</v>
      </c>
      <c r="F81" s="543">
        <f t="shared" si="22"/>
        <v>120857</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3088353</v>
      </c>
      <c r="S81" s="543">
        <f t="shared" si="22"/>
        <v>3088353</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3">SUM(C83+D83)</f>
        <v>227403</v>
      </c>
      <c r="C83" s="147">
        <v>227403</v>
      </c>
      <c r="D83" s="147"/>
      <c r="E83" s="147">
        <f>50000+77403</f>
        <v>127403</v>
      </c>
      <c r="F83" s="147">
        <f>150000-50000</f>
        <v>100000</v>
      </c>
      <c r="G83" s="147"/>
      <c r="H83" s="147"/>
      <c r="I83" s="147"/>
      <c r="J83" s="147"/>
      <c r="K83" s="147"/>
      <c r="L83" s="147"/>
      <c r="M83" s="147"/>
      <c r="N83" s="147"/>
      <c r="O83" s="147"/>
      <c r="P83" s="147"/>
      <c r="Q83" s="147"/>
      <c r="R83" s="550">
        <f t="shared" ref="R83:R95" si="24">SUM(E83:Q83)</f>
        <v>227403</v>
      </c>
      <c r="S83" s="148"/>
      <c r="T83" s="148"/>
      <c r="U83" s="143"/>
    </row>
    <row r="84" spans="1:21" s="144" customFormat="1">
      <c r="A84" s="145" t="s">
        <v>776</v>
      </c>
      <c r="B84" s="146">
        <f t="shared" si="23"/>
        <v>10000</v>
      </c>
      <c r="C84" s="147">
        <v>10000</v>
      </c>
      <c r="D84" s="147"/>
      <c r="E84" s="147"/>
      <c r="F84" s="147">
        <v>10000</v>
      </c>
      <c r="G84" s="147"/>
      <c r="H84" s="147"/>
      <c r="I84" s="147"/>
      <c r="J84" s="147"/>
      <c r="K84" s="147"/>
      <c r="L84" s="147"/>
      <c r="M84" s="147"/>
      <c r="N84" s="147"/>
      <c r="O84" s="147"/>
      <c r="P84" s="147"/>
      <c r="Q84" s="147"/>
      <c r="R84" s="550">
        <f t="shared" si="24"/>
        <v>10000</v>
      </c>
      <c r="S84" s="147">
        <f>R84</f>
        <v>10000</v>
      </c>
      <c r="T84" s="147"/>
      <c r="U84" s="143"/>
    </row>
    <row r="85" spans="1:21" s="144" customFormat="1">
      <c r="A85" s="145" t="s">
        <v>777</v>
      </c>
      <c r="B85" s="146">
        <f t="shared" si="23"/>
        <v>2000000</v>
      </c>
      <c r="C85" s="147">
        <v>2000000</v>
      </c>
      <c r="D85" s="147"/>
      <c r="E85" s="147">
        <f>596063-402962+591358-372132-326312</f>
        <v>86015</v>
      </c>
      <c r="F85" s="147">
        <f>640000+221068+402962+542869-591358+698444</f>
        <v>1913985</v>
      </c>
      <c r="G85" s="147"/>
      <c r="H85" s="147"/>
      <c r="I85" s="147"/>
      <c r="J85" s="147"/>
      <c r="K85" s="147"/>
      <c r="L85" s="147"/>
      <c r="M85" s="147"/>
      <c r="N85" s="147"/>
      <c r="O85" s="147"/>
      <c r="P85" s="147"/>
      <c r="Q85" s="147"/>
      <c r="R85" s="550">
        <f t="shared" si="24"/>
        <v>2000000</v>
      </c>
      <c r="S85" s="147">
        <f t="shared" ref="S85:S87" si="25">R85</f>
        <v>2000000</v>
      </c>
      <c r="T85" s="147"/>
      <c r="U85" s="143"/>
    </row>
    <row r="86" spans="1:21" s="144" customFormat="1">
      <c r="A86" s="145" t="s">
        <v>778</v>
      </c>
      <c r="B86" s="146">
        <f t="shared" si="23"/>
        <v>352000</v>
      </c>
      <c r="C86" s="147">
        <v>352000</v>
      </c>
      <c r="D86" s="147"/>
      <c r="E86" s="147">
        <f>43213+6000</f>
        <v>49213</v>
      </c>
      <c r="F86" s="147">
        <f>352000-152125+102912</f>
        <v>302787</v>
      </c>
      <c r="G86" s="147"/>
      <c r="H86" s="147"/>
      <c r="I86" s="147"/>
      <c r="J86" s="147"/>
      <c r="K86" s="147"/>
      <c r="L86" s="147"/>
      <c r="M86" s="147"/>
      <c r="N86" s="147"/>
      <c r="O86" s="147"/>
      <c r="P86" s="147"/>
      <c r="Q86" s="147"/>
      <c r="R86" s="550">
        <f t="shared" si="24"/>
        <v>352000</v>
      </c>
      <c r="S86" s="147">
        <f t="shared" si="25"/>
        <v>352000</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f t="shared" si="25"/>
        <v>0</v>
      </c>
      <c r="T87" s="147"/>
      <c r="U87" s="143"/>
    </row>
    <row r="88" spans="1:21" s="144" customFormat="1">
      <c r="A88" s="145" t="s">
        <v>780</v>
      </c>
      <c r="B88" s="146">
        <f t="shared" si="23"/>
        <v>10000</v>
      </c>
      <c r="C88" s="147">
        <v>10000</v>
      </c>
      <c r="D88" s="147"/>
      <c r="E88" s="147"/>
      <c r="F88" s="147">
        <v>10000</v>
      </c>
      <c r="G88" s="147"/>
      <c r="H88" s="147"/>
      <c r="I88" s="147"/>
      <c r="J88" s="147"/>
      <c r="K88" s="147"/>
      <c r="L88" s="147"/>
      <c r="M88" s="147"/>
      <c r="N88" s="147"/>
      <c r="O88" s="147"/>
      <c r="P88" s="147"/>
      <c r="Q88" s="147"/>
      <c r="R88" s="550">
        <f t="shared" si="24"/>
        <v>10000</v>
      </c>
      <c r="S88" s="148"/>
      <c r="T88" s="148"/>
      <c r="U88" s="143"/>
    </row>
    <row r="89" spans="1:21" s="144" customFormat="1">
      <c r="A89" s="145" t="s">
        <v>781</v>
      </c>
      <c r="B89" s="146">
        <f t="shared" si="23"/>
        <v>450000</v>
      </c>
      <c r="C89" s="147">
        <v>450000</v>
      </c>
      <c r="D89" s="147"/>
      <c r="E89" s="147"/>
      <c r="F89" s="147">
        <v>450000</v>
      </c>
      <c r="G89" s="147"/>
      <c r="H89" s="147"/>
      <c r="I89" s="147"/>
      <c r="J89" s="147"/>
      <c r="K89" s="147"/>
      <c r="L89" s="147"/>
      <c r="M89" s="147"/>
      <c r="N89" s="147"/>
      <c r="O89" s="147"/>
      <c r="P89" s="147"/>
      <c r="Q89" s="147"/>
      <c r="R89" s="550">
        <f t="shared" si="24"/>
        <v>450000</v>
      </c>
      <c r="S89" s="147">
        <f>R89</f>
        <v>450000</v>
      </c>
      <c r="T89" s="147"/>
      <c r="U89" s="143"/>
    </row>
    <row r="90" spans="1:21" s="144" customFormat="1">
      <c r="A90" s="145" t="s">
        <v>782</v>
      </c>
      <c r="B90" s="146">
        <f t="shared" si="23"/>
        <v>10000</v>
      </c>
      <c r="C90" s="147">
        <v>10000</v>
      </c>
      <c r="D90" s="147"/>
      <c r="E90" s="147"/>
      <c r="F90" s="147">
        <v>10000</v>
      </c>
      <c r="G90" s="147"/>
      <c r="H90" s="147"/>
      <c r="I90" s="147"/>
      <c r="J90" s="147"/>
      <c r="K90" s="147"/>
      <c r="L90" s="147"/>
      <c r="M90" s="147"/>
      <c r="N90" s="147"/>
      <c r="O90" s="147"/>
      <c r="P90" s="147"/>
      <c r="Q90" s="147"/>
      <c r="R90" s="550">
        <f t="shared" si="24"/>
        <v>10000</v>
      </c>
      <c r="S90" s="147">
        <f t="shared" ref="S90:S95" si="26">R90</f>
        <v>10000</v>
      </c>
      <c r="T90" s="147"/>
      <c r="U90" s="143"/>
    </row>
    <row r="91" spans="1:21" s="144" customFormat="1">
      <c r="A91" s="145" t="s">
        <v>373</v>
      </c>
      <c r="B91" s="146">
        <f t="shared" si="23"/>
        <v>25000</v>
      </c>
      <c r="C91" s="147">
        <v>25000</v>
      </c>
      <c r="D91" s="147"/>
      <c r="E91" s="147"/>
      <c r="F91" s="147">
        <v>25000</v>
      </c>
      <c r="G91" s="147"/>
      <c r="H91" s="147"/>
      <c r="I91" s="147"/>
      <c r="J91" s="147"/>
      <c r="K91" s="147"/>
      <c r="L91" s="147"/>
      <c r="M91" s="147"/>
      <c r="N91" s="147"/>
      <c r="O91" s="147"/>
      <c r="P91" s="147"/>
      <c r="Q91" s="147"/>
      <c r="R91" s="550">
        <f t="shared" si="24"/>
        <v>25000</v>
      </c>
      <c r="S91" s="147">
        <f t="shared" si="26"/>
        <v>25000</v>
      </c>
      <c r="T91" s="147"/>
      <c r="U91" s="143"/>
    </row>
    <row r="92" spans="1:21" s="144" customFormat="1">
      <c r="A92" s="304" t="s">
        <v>1317</v>
      </c>
      <c r="B92" s="146">
        <f t="shared" si="23"/>
        <v>10000</v>
      </c>
      <c r="C92" s="147">
        <v>10000</v>
      </c>
      <c r="D92" s="147"/>
      <c r="E92" s="147"/>
      <c r="F92" s="147">
        <v>10000</v>
      </c>
      <c r="G92" s="147"/>
      <c r="H92" s="147"/>
      <c r="I92" s="147"/>
      <c r="J92" s="147"/>
      <c r="K92" s="147"/>
      <c r="L92" s="147"/>
      <c r="M92" s="147"/>
      <c r="N92" s="147"/>
      <c r="O92" s="147"/>
      <c r="P92" s="147"/>
      <c r="Q92" s="147"/>
      <c r="R92" s="550">
        <f t="shared" si="24"/>
        <v>10000</v>
      </c>
      <c r="S92" s="147">
        <f t="shared" si="26"/>
        <v>10000</v>
      </c>
      <c r="T92" s="147"/>
      <c r="U92" s="143"/>
    </row>
    <row r="93" spans="1:21" s="144" customFormat="1">
      <c r="A93" s="1193" t="s">
        <v>2731</v>
      </c>
      <c r="B93" s="146">
        <f t="shared" si="23"/>
        <v>650000</v>
      </c>
      <c r="C93" s="147">
        <v>650000</v>
      </c>
      <c r="D93" s="147"/>
      <c r="E93" s="147">
        <f>330000-32160-30000</f>
        <v>267840</v>
      </c>
      <c r="F93" s="147">
        <f>C93-E93</f>
        <v>382160</v>
      </c>
      <c r="G93" s="147"/>
      <c r="H93" s="147"/>
      <c r="I93" s="147"/>
      <c r="J93" s="147"/>
      <c r="K93" s="147"/>
      <c r="L93" s="147"/>
      <c r="M93" s="147"/>
      <c r="N93" s="147"/>
      <c r="O93" s="147"/>
      <c r="P93" s="147"/>
      <c r="Q93" s="147"/>
      <c r="R93" s="550">
        <f t="shared" si="24"/>
        <v>650000</v>
      </c>
      <c r="S93" s="147">
        <f t="shared" si="26"/>
        <v>650000</v>
      </c>
      <c r="T93" s="147"/>
      <c r="U93" s="143"/>
    </row>
    <row r="94" spans="1:21" s="144" customFormat="1">
      <c r="A94" s="1193" t="s">
        <v>2734</v>
      </c>
      <c r="B94" s="146">
        <f t="shared" si="23"/>
        <v>60000</v>
      </c>
      <c r="C94" s="147">
        <v>60000</v>
      </c>
      <c r="D94" s="147"/>
      <c r="E94" s="147"/>
      <c r="F94" s="147">
        <v>60000</v>
      </c>
      <c r="G94" s="147"/>
      <c r="H94" s="147"/>
      <c r="I94" s="147"/>
      <c r="J94" s="147"/>
      <c r="K94" s="147"/>
      <c r="L94" s="147"/>
      <c r="M94" s="147"/>
      <c r="N94" s="147"/>
      <c r="O94" s="147"/>
      <c r="P94" s="147"/>
      <c r="Q94" s="147"/>
      <c r="R94" s="550">
        <f t="shared" si="24"/>
        <v>60000</v>
      </c>
      <c r="S94" s="147"/>
      <c r="T94" s="147"/>
      <c r="U94" s="143"/>
    </row>
    <row r="95" spans="1:21" s="144" customFormat="1">
      <c r="A95" s="1193" t="s">
        <v>2735</v>
      </c>
      <c r="B95" s="146">
        <f t="shared" si="23"/>
        <v>50000</v>
      </c>
      <c r="C95" s="147">
        <v>50000</v>
      </c>
      <c r="D95" s="147"/>
      <c r="E95" s="147"/>
      <c r="F95" s="147">
        <v>50000</v>
      </c>
      <c r="G95" s="147"/>
      <c r="H95" s="147"/>
      <c r="I95" s="147"/>
      <c r="J95" s="147"/>
      <c r="K95" s="147"/>
      <c r="L95" s="147"/>
      <c r="M95" s="147"/>
      <c r="N95" s="147"/>
      <c r="O95" s="147"/>
      <c r="P95" s="147"/>
      <c r="Q95" s="147"/>
      <c r="R95" s="550">
        <f t="shared" si="24"/>
        <v>50000</v>
      </c>
      <c r="S95" s="147">
        <f t="shared" si="26"/>
        <v>50000</v>
      </c>
      <c r="T95" s="147"/>
      <c r="U95" s="143"/>
    </row>
    <row r="96" spans="1:21" s="144" customFormat="1">
      <c r="A96" s="149" t="s">
        <v>783</v>
      </c>
      <c r="B96" s="146">
        <f>SUM(C96:D96)</f>
        <v>3854403</v>
      </c>
      <c r="C96" s="146">
        <f t="shared" ref="C96:R96" si="27">SUM(C83:C95)</f>
        <v>3854403</v>
      </c>
      <c r="D96" s="146">
        <f t="shared" si="27"/>
        <v>0</v>
      </c>
      <c r="E96" s="146">
        <f t="shared" si="27"/>
        <v>530471</v>
      </c>
      <c r="F96" s="146">
        <f t="shared" si="27"/>
        <v>3323932</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3854403</v>
      </c>
      <c r="S96" s="150">
        <f>SUM(S84:S87,S89:S95)</f>
        <v>3557000</v>
      </c>
      <c r="T96" s="146">
        <f>SUM(T84:T87,T89:T95)</f>
        <v>0</v>
      </c>
      <c r="U96" s="143"/>
    </row>
    <row r="97" spans="1:21" s="144" customFormat="1">
      <c r="A97" s="149" t="s">
        <v>784</v>
      </c>
      <c r="B97" s="146">
        <f>SUM(C97:D97)</f>
        <v>66951434</v>
      </c>
      <c r="C97" s="146">
        <f t="shared" ref="C97:R97" si="28">SUM(C63+C70+C77+C81+C96)</f>
        <v>66951434</v>
      </c>
      <c r="D97" s="146">
        <f t="shared" si="28"/>
        <v>0</v>
      </c>
      <c r="E97" s="146">
        <f t="shared" si="28"/>
        <v>53224415</v>
      </c>
      <c r="F97" s="146">
        <f t="shared" si="28"/>
        <v>7449719</v>
      </c>
      <c r="G97" s="146">
        <f t="shared" si="28"/>
        <v>6277300</v>
      </c>
      <c r="H97" s="146">
        <f t="shared" si="28"/>
        <v>0</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66951434</v>
      </c>
      <c r="S97" s="146">
        <f>SUM(S63+S70+S81+S96)</f>
        <v>63583031</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7500000</v>
      </c>
      <c r="C99" s="1014">
        <v>7500000</v>
      </c>
      <c r="D99" s="1014"/>
      <c r="E99" s="1014"/>
      <c r="F99" s="147">
        <f>C99-H99-698444+698444</f>
        <v>3519506</v>
      </c>
      <c r="G99" s="147"/>
      <c r="H99" s="147">
        <f>3282050+698444</f>
        <v>3980494</v>
      </c>
      <c r="I99" s="147"/>
      <c r="J99" s="147"/>
      <c r="K99" s="147"/>
      <c r="L99" s="147"/>
      <c r="M99" s="147"/>
      <c r="N99" s="147"/>
      <c r="O99" s="147"/>
      <c r="P99" s="147"/>
      <c r="Q99" s="147"/>
      <c r="R99" s="550">
        <f>SUM(E99:Q99)</f>
        <v>7500000</v>
      </c>
      <c r="S99" s="147">
        <f>R99</f>
        <v>7500000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7500000</v>
      </c>
      <c r="C104" s="146">
        <f>SUM(C99:C103)</f>
        <v>7500000</v>
      </c>
      <c r="D104" s="146">
        <f t="shared" ref="D104:T104" si="29">SUM(D99:D103)</f>
        <v>0</v>
      </c>
      <c r="E104" s="146">
        <f t="shared" si="29"/>
        <v>0</v>
      </c>
      <c r="F104" s="146">
        <f t="shared" si="29"/>
        <v>3519506</v>
      </c>
      <c r="G104" s="146">
        <f t="shared" si="29"/>
        <v>0</v>
      </c>
      <c r="H104" s="146">
        <f t="shared" si="29"/>
        <v>3980494</v>
      </c>
      <c r="I104" s="146">
        <f t="shared" si="29"/>
        <v>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70">
        <f t="shared" si="29"/>
        <v>7500000</v>
      </c>
      <c r="S104" s="150">
        <f t="shared" si="29"/>
        <v>7500000</v>
      </c>
      <c r="T104" s="150">
        <f t="shared" si="29"/>
        <v>0</v>
      </c>
      <c r="U104" s="143"/>
    </row>
    <row r="105" spans="1:21" s="144" customFormat="1">
      <c r="A105" s="149" t="s">
        <v>789</v>
      </c>
      <c r="B105" s="150">
        <f>SUM(C105:D105)</f>
        <v>74451434</v>
      </c>
      <c r="C105" s="150">
        <f t="shared" ref="C105:R105" si="30">SUM(C97+C104)</f>
        <v>74451434</v>
      </c>
      <c r="D105" s="150">
        <f t="shared" si="30"/>
        <v>0</v>
      </c>
      <c r="E105" s="150">
        <f t="shared" si="30"/>
        <v>53224415</v>
      </c>
      <c r="F105" s="150">
        <f t="shared" si="30"/>
        <v>10969225</v>
      </c>
      <c r="G105" s="150">
        <f t="shared" si="30"/>
        <v>6277300</v>
      </c>
      <c r="H105" s="150">
        <f t="shared" si="30"/>
        <v>3980494</v>
      </c>
      <c r="I105" s="150">
        <f t="shared" si="30"/>
        <v>0</v>
      </c>
      <c r="J105" s="150">
        <f t="shared" si="30"/>
        <v>0</v>
      </c>
      <c r="K105" s="150">
        <f t="shared" si="30"/>
        <v>0</v>
      </c>
      <c r="L105" s="150">
        <f t="shared" si="30"/>
        <v>0</v>
      </c>
      <c r="M105" s="150">
        <f t="shared" si="30"/>
        <v>0</v>
      </c>
      <c r="N105" s="150">
        <f t="shared" si="30"/>
        <v>0</v>
      </c>
      <c r="O105" s="150">
        <f t="shared" si="30"/>
        <v>0</v>
      </c>
      <c r="P105" s="150">
        <f t="shared" si="30"/>
        <v>0</v>
      </c>
      <c r="Q105" s="150">
        <f t="shared" si="30"/>
        <v>0</v>
      </c>
      <c r="R105" s="370">
        <f t="shared" si="30"/>
        <v>74451434</v>
      </c>
      <c r="S105" s="150">
        <f>S97+S104</f>
        <v>71083031</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71083031</v>
      </c>
      <c r="T107" s="150">
        <f>T105+T106</f>
        <v>0</v>
      </c>
    </row>
    <row r="108" spans="1:21" s="201" customFormat="1">
      <c r="A108" s="162" t="s">
        <v>891</v>
      </c>
      <c r="B108" s="157"/>
      <c r="C108" s="157"/>
      <c r="D108" s="157"/>
      <c r="E108" s="323">
        <f>Application!AO640</f>
        <v>53224415</v>
      </c>
      <c r="F108" s="323">
        <f>Application!AO627</f>
        <v>10969225</v>
      </c>
      <c r="G108" s="323">
        <f>Application!AO628</f>
        <v>6277300</v>
      </c>
      <c r="H108" s="323">
        <f>Application!AO629</f>
        <v>3980494</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85" t="s">
        <v>1014</v>
      </c>
      <c r="E122" s="1885"/>
      <c r="F122" s="188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87" t="s">
        <v>1331</v>
      </c>
      <c r="E123" s="1818"/>
      <c r="F123" s="1818"/>
      <c r="G123" s="1818"/>
      <c r="H123" s="1818"/>
      <c r="I123" s="1818"/>
      <c r="J123" s="1818"/>
      <c r="K123" s="1818"/>
      <c r="L123" s="1818"/>
      <c r="M123" s="1818"/>
      <c r="N123" s="1818"/>
      <c r="O123" s="1818"/>
      <c r="P123" s="1818"/>
      <c r="Q123" s="1818"/>
      <c r="R123" s="1818"/>
      <c r="S123" s="1818"/>
      <c r="T123" s="352"/>
      <c r="U123" s="354"/>
    </row>
    <row r="124" spans="1:21" ht="12.75">
      <c r="A124" s="117" t="s">
        <v>1016</v>
      </c>
      <c r="B124" s="361"/>
      <c r="C124" s="117"/>
      <c r="D124" s="1818"/>
      <c r="E124" s="1818"/>
      <c r="F124" s="1818"/>
      <c r="G124" s="1818"/>
      <c r="H124" s="1818"/>
      <c r="I124" s="1818"/>
      <c r="J124" s="1818"/>
      <c r="K124" s="1818"/>
      <c r="L124" s="1818"/>
      <c r="M124" s="1818"/>
      <c r="N124" s="1818"/>
      <c r="O124" s="1818"/>
      <c r="P124" s="1818"/>
      <c r="Q124" s="1818"/>
      <c r="R124" s="1818"/>
      <c r="S124" s="1818"/>
      <c r="T124" s="352"/>
      <c r="U124" s="354"/>
    </row>
    <row r="125" spans="1:21" ht="12.75">
      <c r="A125" s="117" t="s">
        <v>1017</v>
      </c>
      <c r="B125" s="361"/>
      <c r="C125" s="117"/>
      <c r="D125" s="1818"/>
      <c r="E125" s="1818"/>
      <c r="F125" s="1818"/>
      <c r="G125" s="1818"/>
      <c r="H125" s="1818"/>
      <c r="I125" s="1818"/>
      <c r="J125" s="1818"/>
      <c r="K125" s="1818"/>
      <c r="L125" s="1818"/>
      <c r="M125" s="1818"/>
      <c r="N125" s="1818"/>
      <c r="O125" s="1818"/>
      <c r="P125" s="1818"/>
      <c r="Q125" s="1818"/>
      <c r="R125" s="1818"/>
      <c r="S125" s="1818"/>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82"/>
      <c r="E128" s="1882"/>
      <c r="F128" s="1882"/>
      <c r="G128" s="1882"/>
      <c r="H128" s="1882"/>
      <c r="I128" s="117"/>
      <c r="J128" s="1883"/>
      <c r="K128" s="1883"/>
      <c r="L128" s="117"/>
      <c r="M128" s="117"/>
      <c r="N128" s="117"/>
      <c r="O128" s="117"/>
      <c r="P128" s="117"/>
      <c r="Q128" s="117"/>
      <c r="R128" s="117"/>
      <c r="S128" s="117"/>
      <c r="T128" s="352"/>
      <c r="U128" s="354"/>
    </row>
    <row r="129" spans="1:21" ht="12.75">
      <c r="A129" s="117" t="s">
        <v>301</v>
      </c>
      <c r="B129" s="361"/>
      <c r="C129" s="117"/>
      <c r="D129" s="1884" t="s">
        <v>1021</v>
      </c>
      <c r="E129" s="1884"/>
      <c r="F129" s="1884"/>
      <c r="G129" s="1884"/>
      <c r="H129" s="188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56"/>
      <c r="E131" s="1856"/>
      <c r="F131" s="1856"/>
      <c r="G131" s="1856"/>
      <c r="H131" s="1856"/>
      <c r="I131" s="117"/>
      <c r="J131" s="1856"/>
      <c r="K131" s="1856"/>
      <c r="L131" s="1856"/>
      <c r="M131" s="1856"/>
      <c r="N131" s="117"/>
      <c r="O131" s="117"/>
      <c r="P131" s="117"/>
      <c r="Q131" s="117"/>
      <c r="R131" s="117"/>
      <c r="S131" s="117"/>
      <c r="T131" s="352"/>
      <c r="U131" s="354"/>
    </row>
    <row r="132" spans="1:21" ht="12" customHeight="1">
      <c r="A132" s="364"/>
      <c r="B132" s="117"/>
      <c r="C132" s="117"/>
      <c r="D132" s="1888" t="s">
        <v>1024</v>
      </c>
      <c r="E132" s="1888"/>
      <c r="F132" s="1888"/>
      <c r="G132" s="1888"/>
      <c r="H132" s="1888"/>
      <c r="I132" s="117"/>
      <c r="J132" s="1888" t="s">
        <v>1025</v>
      </c>
      <c r="K132" s="1888"/>
      <c r="L132" s="1888"/>
      <c r="M132" s="188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9"/>
      <c r="B138" s="1882"/>
      <c r="C138" s="1882"/>
      <c r="D138" s="356"/>
      <c r="E138" s="1883"/>
      <c r="F138" s="1883"/>
      <c r="G138" s="117"/>
      <c r="H138" s="117"/>
      <c r="I138" s="117"/>
      <c r="J138" s="117"/>
      <c r="K138" s="117"/>
      <c r="L138" s="117"/>
      <c r="M138" s="117"/>
      <c r="N138" s="117"/>
      <c r="O138" s="117"/>
      <c r="P138" s="117"/>
      <c r="Q138" s="117"/>
      <c r="R138" s="117"/>
      <c r="S138" s="117"/>
      <c r="T138" s="358"/>
      <c r="U138" s="359"/>
    </row>
    <row r="139" spans="1:21" ht="12.75">
      <c r="A139" s="1886" t="s">
        <v>1028</v>
      </c>
      <c r="B139" s="1886"/>
      <c r="C139" s="1886"/>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0" workbookViewId="0">
      <selection activeCell="B111" sqref="B11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2" t="s">
        <v>1334</v>
      </c>
      <c r="B1" s="1893"/>
      <c r="C1" s="1893"/>
      <c r="D1" s="1893"/>
      <c r="E1" s="1893"/>
      <c r="F1" s="1893"/>
      <c r="G1" s="1893"/>
      <c r="H1" s="1893"/>
      <c r="I1" s="1893"/>
      <c r="J1" s="1894"/>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750000</v>
      </c>
      <c r="C4" s="393">
        <f>B4</f>
        <v>750000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750000</v>
      </c>
      <c r="C8" s="392">
        <f>SUM(C4:C7)</f>
        <v>750000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1000000</v>
      </c>
      <c r="C10" s="393">
        <f>B10</f>
        <v>1000000</v>
      </c>
      <c r="D10" s="393"/>
      <c r="E10" s="392">
        <f>'Sources and Uses Budget'!S10</f>
        <v>1000000</v>
      </c>
      <c r="F10" s="393">
        <v>1000000</v>
      </c>
      <c r="G10" s="393"/>
      <c r="H10" s="392">
        <f>'Sources and Uses Budget'!T10</f>
        <v>0</v>
      </c>
      <c r="I10" s="393"/>
      <c r="J10" s="393"/>
      <c r="K10" s="390"/>
    </row>
    <row r="11" spans="1:11" s="391" customFormat="1">
      <c r="A11" s="396" t="s">
        <v>604</v>
      </c>
      <c r="B11" s="392">
        <f>'Sources and Uses Budget'!C11</f>
        <v>1000000</v>
      </c>
      <c r="C11" s="392">
        <f>SUM(C9:C10)</f>
        <v>1000000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1750000</v>
      </c>
      <c r="C12" s="392">
        <f>SUM(C8+C11)</f>
        <v>1750000</v>
      </c>
      <c r="D12" s="392">
        <f>SUM(D8+D11)</f>
        <v>0</v>
      </c>
      <c r="E12" s="394"/>
      <c r="F12" s="394"/>
      <c r="G12" s="394"/>
      <c r="H12" s="394"/>
      <c r="I12" s="394"/>
      <c r="J12" s="394"/>
      <c r="K12" s="390"/>
    </row>
    <row r="13" spans="1:11" s="391" customFormat="1">
      <c r="A13" s="397" t="s">
        <v>917</v>
      </c>
      <c r="B13" s="392">
        <f>'Sources and Uses Budget'!C13</f>
        <v>0</v>
      </c>
      <c r="C13" s="393">
        <f>B13</f>
        <v>0</v>
      </c>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7000000</v>
      </c>
      <c r="C29" s="393">
        <f>B29</f>
        <v>7000000</v>
      </c>
      <c r="D29" s="393"/>
      <c r="E29" s="392">
        <f>'Sources and Uses Budget'!S29</f>
        <v>7000000</v>
      </c>
      <c r="F29" s="393">
        <f>E29</f>
        <v>7000000</v>
      </c>
      <c r="G29" s="393"/>
      <c r="H29" s="392">
        <f>'Sources and Uses Budget'!T29</f>
        <v>0</v>
      </c>
      <c r="I29" s="393"/>
      <c r="J29" s="393"/>
      <c r="K29" s="390"/>
    </row>
    <row r="30" spans="1:11" s="391" customFormat="1">
      <c r="A30" s="145" t="s">
        <v>607</v>
      </c>
      <c r="B30" s="392">
        <f>'Sources and Uses Budget'!C30</f>
        <v>37400000</v>
      </c>
      <c r="C30" s="393">
        <f t="shared" ref="C30:C33" si="0">B30</f>
        <v>37400000</v>
      </c>
      <c r="D30" s="393"/>
      <c r="E30" s="392">
        <f>'Sources and Uses Budget'!S30</f>
        <v>37400000</v>
      </c>
      <c r="F30" s="393">
        <f t="shared" ref="F30:F37" si="1">E30</f>
        <v>37400000</v>
      </c>
      <c r="G30" s="393"/>
      <c r="H30" s="392">
        <f>'Sources and Uses Budget'!T30</f>
        <v>0</v>
      </c>
      <c r="I30" s="393"/>
      <c r="J30" s="393"/>
      <c r="K30" s="390"/>
    </row>
    <row r="31" spans="1:11" s="391" customFormat="1">
      <c r="A31" s="145" t="s">
        <v>608</v>
      </c>
      <c r="B31" s="392">
        <f>'Sources and Uses Budget'!C31</f>
        <v>1444838</v>
      </c>
      <c r="C31" s="393">
        <f t="shared" si="0"/>
        <v>1444838</v>
      </c>
      <c r="D31" s="393"/>
      <c r="E31" s="392">
        <f>'Sources and Uses Budget'!S31</f>
        <v>1444838</v>
      </c>
      <c r="F31" s="393">
        <f t="shared" si="1"/>
        <v>1444838</v>
      </c>
      <c r="G31" s="393"/>
      <c r="H31" s="392">
        <f>'Sources and Uses Budget'!T31</f>
        <v>0</v>
      </c>
      <c r="I31" s="393"/>
      <c r="J31" s="393"/>
      <c r="K31" s="390"/>
    </row>
    <row r="32" spans="1:11" s="391" customFormat="1">
      <c r="A32" s="145" t="s">
        <v>137</v>
      </c>
      <c r="B32" s="392">
        <f>'Sources and Uses Budget'!C32</f>
        <v>2375000</v>
      </c>
      <c r="C32" s="393">
        <f t="shared" si="0"/>
        <v>2375000</v>
      </c>
      <c r="D32" s="393"/>
      <c r="E32" s="392">
        <f>'Sources and Uses Budget'!S32</f>
        <v>2375000</v>
      </c>
      <c r="F32" s="393">
        <f t="shared" si="1"/>
        <v>2375000</v>
      </c>
      <c r="G32" s="393"/>
      <c r="H32" s="392">
        <f>'Sources and Uses Budget'!T32</f>
        <v>0</v>
      </c>
      <c r="I32" s="393"/>
      <c r="J32" s="393"/>
      <c r="K32" s="390"/>
    </row>
    <row r="33" spans="1:11" s="391" customFormat="1">
      <c r="A33" s="145" t="s">
        <v>138</v>
      </c>
      <c r="B33" s="392">
        <f>'Sources and Uses Budget'!C33</f>
        <v>2022840</v>
      </c>
      <c r="C33" s="393">
        <f t="shared" si="0"/>
        <v>2022840</v>
      </c>
      <c r="D33" s="393"/>
      <c r="E33" s="392">
        <f>'Sources and Uses Budget'!S33</f>
        <v>2022840</v>
      </c>
      <c r="F33" s="393">
        <f t="shared" si="1"/>
        <v>2022840</v>
      </c>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f t="shared" si="1"/>
        <v>0</v>
      </c>
      <c r="G34" s="393"/>
      <c r="H34" s="392">
        <f>'Sources and Uses Budget'!T34</f>
        <v>0</v>
      </c>
      <c r="I34" s="393"/>
      <c r="J34" s="393"/>
      <c r="K34" s="390"/>
    </row>
    <row r="35" spans="1:11" s="391" customFormat="1">
      <c r="A35" s="145" t="s">
        <v>140</v>
      </c>
      <c r="B35" s="392">
        <f>'Sources and Uses Budget'!C35</f>
        <v>700000</v>
      </c>
      <c r="C35" s="393">
        <f>B35</f>
        <v>700000</v>
      </c>
      <c r="D35" s="393"/>
      <c r="E35" s="392">
        <f>'Sources and Uses Budget'!S35</f>
        <v>700000</v>
      </c>
      <c r="F35" s="393">
        <f t="shared" si="1"/>
        <v>700000</v>
      </c>
      <c r="G35" s="393"/>
      <c r="H35" s="392">
        <f>'Sources and Uses Budget'!T35</f>
        <v>0</v>
      </c>
      <c r="I35" s="393"/>
      <c r="J35" s="393"/>
      <c r="K35" s="390"/>
    </row>
    <row r="36" spans="1:11" s="391" customFormat="1">
      <c r="A36" s="542" t="s">
        <v>1751</v>
      </c>
      <c r="B36" s="392">
        <f>'Sources and Uses Budget'!C36</f>
        <v>100000</v>
      </c>
      <c r="C36" s="393">
        <f t="shared" ref="C36:C37" si="2">B36</f>
        <v>100000</v>
      </c>
      <c r="D36" s="393"/>
      <c r="E36" s="392">
        <f>'Sources and Uses Budget'!S36</f>
        <v>100000</v>
      </c>
      <c r="F36" s="393">
        <f t="shared" si="1"/>
        <v>100000</v>
      </c>
      <c r="G36" s="393"/>
      <c r="H36" s="392">
        <f>'Sources and Uses Budget'!T36</f>
        <v>0</v>
      </c>
      <c r="I36" s="393"/>
      <c r="J36" s="393"/>
      <c r="K36" s="390"/>
    </row>
    <row r="37" spans="1:11" s="391" customFormat="1">
      <c r="A37" s="395" t="str">
        <f>'Sources and Uses Budget'!$A37</f>
        <v>Solar</v>
      </c>
      <c r="B37" s="392">
        <f>'Sources and Uses Budget'!C37</f>
        <v>300000</v>
      </c>
      <c r="C37" s="393">
        <f t="shared" si="2"/>
        <v>300000</v>
      </c>
      <c r="D37" s="393"/>
      <c r="E37" s="392">
        <f>'Sources and Uses Budget'!S37</f>
        <v>300000</v>
      </c>
      <c r="F37" s="393">
        <f t="shared" si="1"/>
        <v>300000</v>
      </c>
      <c r="G37" s="393"/>
      <c r="H37" s="392">
        <f>'Sources and Uses Budget'!T37</f>
        <v>0</v>
      </c>
      <c r="I37" s="393"/>
      <c r="J37" s="393"/>
      <c r="K37" s="390"/>
    </row>
    <row r="38" spans="1:11" s="391" customFormat="1">
      <c r="A38" s="396" t="s">
        <v>143</v>
      </c>
      <c r="B38" s="392">
        <f>'Sources and Uses Budget'!C38</f>
        <v>51342678</v>
      </c>
      <c r="C38" s="392">
        <f>SUM(C29:C37)</f>
        <v>51342678</v>
      </c>
      <c r="D38" s="392">
        <f>SUM(D29:D37)</f>
        <v>0</v>
      </c>
      <c r="E38" s="392">
        <f>'Sources and Uses Budget'!S38</f>
        <v>51342678</v>
      </c>
      <c r="F38" s="398">
        <f>SUM(F29:F37)</f>
        <v>51342678</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750000</v>
      </c>
      <c r="C40" s="393">
        <f>B40</f>
        <v>750000</v>
      </c>
      <c r="D40" s="393"/>
      <c r="E40" s="392">
        <f>'Sources and Uses Budget'!S40</f>
        <v>750000</v>
      </c>
      <c r="F40" s="393">
        <f>E40</f>
        <v>750000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750000</v>
      </c>
      <c r="C42" s="392">
        <f>SUM(C39:C41)</f>
        <v>750000</v>
      </c>
      <c r="D42" s="392">
        <f>SUM(D39:D41)</f>
        <v>0</v>
      </c>
      <c r="E42" s="392">
        <f>'Sources and Uses Budget'!S42</f>
        <v>750000</v>
      </c>
      <c r="F42" s="398">
        <f>SUM(F40:F41)</f>
        <v>750000</v>
      </c>
      <c r="G42" s="398">
        <f>SUM(G40:G41)</f>
        <v>0</v>
      </c>
      <c r="H42" s="392">
        <f>'Sources and Uses Budget'!T42</f>
        <v>0</v>
      </c>
      <c r="I42" s="398">
        <f>SUM(I40:I41)</f>
        <v>0</v>
      </c>
      <c r="J42" s="398">
        <f>SUM(J40:J41)</f>
        <v>0</v>
      </c>
      <c r="K42" s="390"/>
    </row>
    <row r="43" spans="1:11" s="391" customFormat="1">
      <c r="A43" s="396" t="s">
        <v>148</v>
      </c>
      <c r="B43" s="392">
        <f>'Sources and Uses Budget'!C43</f>
        <v>300000</v>
      </c>
      <c r="C43" s="393">
        <f>B43</f>
        <v>300000</v>
      </c>
      <c r="D43" s="393"/>
      <c r="E43" s="392">
        <f>'Sources and Uses Budget'!S43</f>
        <v>300000</v>
      </c>
      <c r="F43" s="393">
        <f>E43</f>
        <v>300000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2300000</v>
      </c>
      <c r="C45" s="393">
        <f>B45</f>
        <v>2300000</v>
      </c>
      <c r="D45" s="393"/>
      <c r="E45" s="392">
        <f>'Sources and Uses Budget'!S45</f>
        <v>2300000</v>
      </c>
      <c r="F45" s="393">
        <f>E45</f>
        <v>2300000</v>
      </c>
      <c r="G45" s="393"/>
      <c r="H45" s="392">
        <f>'Sources and Uses Budget'!T45</f>
        <v>0</v>
      </c>
      <c r="I45" s="393"/>
      <c r="J45" s="393"/>
      <c r="K45" s="390"/>
    </row>
    <row r="46" spans="1:11" s="391" customFormat="1">
      <c r="A46" s="395" t="s">
        <v>151</v>
      </c>
      <c r="B46" s="392">
        <f>'Sources and Uses Budget'!C46</f>
        <v>300000</v>
      </c>
      <c r="C46" s="393">
        <f>B46</f>
        <v>300000</v>
      </c>
      <c r="D46" s="393"/>
      <c r="E46" s="392">
        <f>'Sources and Uses Budget'!S46</f>
        <v>300000</v>
      </c>
      <c r="F46" s="393">
        <f t="shared" ref="F46:F53" si="3">E46</f>
        <v>300000</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f t="shared" si="3"/>
        <v>0</v>
      </c>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f t="shared" si="3"/>
        <v>0</v>
      </c>
      <c r="G48" s="393"/>
      <c r="H48" s="392">
        <f>'Sources and Uses Budget'!T48</f>
        <v>0</v>
      </c>
      <c r="I48" s="393"/>
      <c r="J48" s="393"/>
      <c r="K48" s="390"/>
    </row>
    <row r="49" spans="1:11" s="391" customFormat="1">
      <c r="A49" s="304" t="s">
        <v>57</v>
      </c>
      <c r="B49" s="392">
        <f>'Sources and Uses Budget'!C49</f>
        <v>250000</v>
      </c>
      <c r="C49" s="393">
        <f>B49</f>
        <v>250000</v>
      </c>
      <c r="D49" s="393"/>
      <c r="E49" s="392">
        <f>'Sources and Uses Budget'!S49</f>
        <v>25000</v>
      </c>
      <c r="F49" s="393">
        <f t="shared" si="3"/>
        <v>25000</v>
      </c>
      <c r="G49" s="393"/>
      <c r="H49" s="392">
        <f>'Sources and Uses Budget'!T49</f>
        <v>0</v>
      </c>
      <c r="I49" s="393"/>
      <c r="J49" s="393"/>
      <c r="K49" s="390"/>
    </row>
    <row r="50" spans="1:11" s="391" customFormat="1">
      <c r="A50" s="395" t="s">
        <v>156</v>
      </c>
      <c r="B50" s="392">
        <f>'Sources and Uses Budget'!C50</f>
        <v>100000</v>
      </c>
      <c r="C50" s="393">
        <f t="shared" ref="C50:C53" si="4">B50</f>
        <v>100000</v>
      </c>
      <c r="D50" s="393"/>
      <c r="E50" s="392">
        <f>'Sources and Uses Budget'!S50</f>
        <v>70000</v>
      </c>
      <c r="F50" s="393">
        <f t="shared" si="3"/>
        <v>70000</v>
      </c>
      <c r="G50" s="393"/>
      <c r="H50" s="392">
        <f>'Sources and Uses Budget'!T50</f>
        <v>0</v>
      </c>
      <c r="I50" s="393"/>
      <c r="J50" s="393"/>
      <c r="K50" s="390"/>
    </row>
    <row r="51" spans="1:11" s="391" customFormat="1">
      <c r="A51" s="395" t="s">
        <v>154</v>
      </c>
      <c r="B51" s="392">
        <f>'Sources and Uses Budget'!C51</f>
        <v>50000</v>
      </c>
      <c r="C51" s="393">
        <f t="shared" si="4"/>
        <v>50000</v>
      </c>
      <c r="D51" s="393"/>
      <c r="E51" s="392">
        <f>'Sources and Uses Budget'!S51</f>
        <v>50000</v>
      </c>
      <c r="F51" s="393">
        <f t="shared" si="3"/>
        <v>50000</v>
      </c>
      <c r="G51" s="393"/>
      <c r="H51" s="392">
        <f>'Sources and Uses Budget'!T51</f>
        <v>0</v>
      </c>
      <c r="I51" s="393"/>
      <c r="J51" s="393"/>
      <c r="K51" s="390"/>
    </row>
    <row r="52" spans="1:11" s="391" customFormat="1">
      <c r="A52" s="395" t="s">
        <v>155</v>
      </c>
      <c r="B52" s="392">
        <f>'Sources and Uses Budget'!C52</f>
        <v>700000</v>
      </c>
      <c r="C52" s="393">
        <f t="shared" si="4"/>
        <v>700000</v>
      </c>
      <c r="D52" s="393"/>
      <c r="E52" s="392">
        <f>'Sources and Uses Budget'!S52</f>
        <v>700000</v>
      </c>
      <c r="F52" s="393">
        <f t="shared" si="3"/>
        <v>700000</v>
      </c>
      <c r="G52" s="393"/>
      <c r="H52" s="392">
        <f>'Sources and Uses Budget'!T52</f>
        <v>0</v>
      </c>
      <c r="I52" s="393"/>
      <c r="J52" s="393"/>
      <c r="K52" s="390"/>
    </row>
    <row r="53" spans="1:11" s="391" customFormat="1">
      <c r="A53" s="395" t="str">
        <f>'Sources and Uses Budget'!$A53</f>
        <v>Bank Construction Service Fees</v>
      </c>
      <c r="B53" s="392">
        <f>'Sources and Uses Budget'!C53</f>
        <v>100000</v>
      </c>
      <c r="C53" s="393">
        <f t="shared" si="4"/>
        <v>100000</v>
      </c>
      <c r="D53" s="393"/>
      <c r="E53" s="392">
        <f>'Sources and Uses Budget'!S53</f>
        <v>100000</v>
      </c>
      <c r="F53" s="393">
        <f t="shared" si="3"/>
        <v>100000</v>
      </c>
      <c r="G53" s="393"/>
      <c r="H53" s="392">
        <f>'Sources and Uses Budget'!T53</f>
        <v>0</v>
      </c>
      <c r="I53" s="393"/>
      <c r="J53" s="393"/>
      <c r="K53" s="390"/>
    </row>
    <row r="54" spans="1:11" s="400" customFormat="1">
      <c r="A54" s="396" t="s">
        <v>157</v>
      </c>
      <c r="B54" s="392">
        <f>'Sources and Uses Budget'!C54</f>
        <v>3800000</v>
      </c>
      <c r="C54" s="398">
        <f>SUM(C45:C53)</f>
        <v>3800000</v>
      </c>
      <c r="D54" s="398">
        <f>SUM(D45:D53)</f>
        <v>0</v>
      </c>
      <c r="E54" s="392">
        <f>'Sources and Uses Budget'!S54</f>
        <v>3545000</v>
      </c>
      <c r="F54" s="398">
        <f>SUM(F45:F53)</f>
        <v>3545000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100000</v>
      </c>
      <c r="C56" s="393">
        <f>B56</f>
        <v>100000</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Interest Prior to Conversion</v>
      </c>
      <c r="B61" s="392">
        <f>'Sources and Uses Budget'!C61</f>
        <v>1420000</v>
      </c>
      <c r="C61" s="393">
        <f>B61</f>
        <v>1420000</v>
      </c>
      <c r="D61" s="393"/>
      <c r="E61" s="394"/>
      <c r="F61" s="394"/>
      <c r="G61" s="394"/>
      <c r="H61" s="394"/>
      <c r="I61" s="394"/>
      <c r="J61" s="394"/>
      <c r="K61" s="390"/>
    </row>
    <row r="62" spans="1:11" s="391" customFormat="1" ht="13.7" customHeight="1">
      <c r="A62" s="396" t="s">
        <v>302</v>
      </c>
      <c r="B62" s="392">
        <f>'Sources and Uses Budget'!C62</f>
        <v>1520000</v>
      </c>
      <c r="C62" s="392">
        <f>SUM(C56:C61)</f>
        <v>1520000</v>
      </c>
      <c r="D62" s="392">
        <f>SUM(D56:D61)</f>
        <v>0</v>
      </c>
      <c r="E62" s="394"/>
      <c r="F62" s="394"/>
      <c r="G62" s="394"/>
      <c r="H62" s="394"/>
      <c r="I62" s="394"/>
      <c r="J62" s="394"/>
      <c r="K62" s="390"/>
    </row>
    <row r="63" spans="1:11" s="391" customFormat="1">
      <c r="A63" s="401" t="s">
        <v>303</v>
      </c>
      <c r="B63" s="392">
        <f>'Sources and Uses Budget'!C63</f>
        <v>59462678</v>
      </c>
      <c r="C63" s="392">
        <f>SUM(C8+C11+C13+C14+C15+C26+C27+C38+C42+C43+C54+C62)</f>
        <v>59462678</v>
      </c>
      <c r="D63" s="392">
        <f>SUM(D8+D11+D13+D14+D15+D26+D27+D38+D42+D43+D54+D62)</f>
        <v>0</v>
      </c>
      <c r="E63" s="392">
        <f>'Sources and Uses Budget'!S63</f>
        <v>56937678</v>
      </c>
      <c r="F63" s="392">
        <f>SUM(F10+F13+F14+F15+F26+F27+F38+F42+F43+F54)</f>
        <v>56937678</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100000</v>
      </c>
      <c r="C65" s="393">
        <f>B65</f>
        <v>100000</v>
      </c>
      <c r="D65" s="393"/>
      <c r="E65" s="392">
        <f>'Sources and Uses Budget'!S65</f>
        <v>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Partnership/Transaction Legal</v>
      </c>
      <c r="B69" s="392">
        <f>'Sources and Uses Budget'!C69</f>
        <v>100000</v>
      </c>
      <c r="C69" s="393">
        <f>B69</f>
        <v>100000</v>
      </c>
      <c r="D69" s="393"/>
      <c r="E69" s="392">
        <f>'Sources and Uses Budget'!S69</f>
        <v>0</v>
      </c>
      <c r="F69" s="393"/>
      <c r="G69" s="393"/>
      <c r="H69" s="392">
        <f>'Sources and Uses Budget'!T69</f>
        <v>0</v>
      </c>
      <c r="I69" s="393"/>
      <c r="J69" s="393"/>
      <c r="K69" s="390"/>
    </row>
    <row r="70" spans="1:11" s="391" customFormat="1">
      <c r="A70" s="396" t="s">
        <v>609</v>
      </c>
      <c r="B70" s="392">
        <f>'Sources and Uses Budget'!C70</f>
        <v>200000</v>
      </c>
      <c r="C70" s="392">
        <f>SUM(C64:C69)</f>
        <v>200000</v>
      </c>
      <c r="D70" s="392">
        <f>SUM(D64:D69)</f>
        <v>0</v>
      </c>
      <c r="E70" s="392">
        <f>'Sources and Uses Budget'!S70</f>
        <v>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346000</v>
      </c>
      <c r="C75" s="393">
        <f>B75</f>
        <v>346000</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346000</v>
      </c>
      <c r="C77" s="392">
        <f>SUM(C72:C76)</f>
        <v>346000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2562133</v>
      </c>
      <c r="C79" s="393">
        <f>B79</f>
        <v>2562133</v>
      </c>
      <c r="D79" s="393"/>
      <c r="E79" s="392">
        <f>'Sources and Uses Budget'!S79</f>
        <v>2562133</v>
      </c>
      <c r="F79" s="393">
        <f>E79</f>
        <v>2562133</v>
      </c>
      <c r="G79" s="393"/>
      <c r="H79" s="392">
        <f>'Sources and Uses Budget'!T79</f>
        <v>0</v>
      </c>
      <c r="I79" s="393"/>
      <c r="J79" s="393"/>
      <c r="K79" s="390"/>
    </row>
    <row r="80" spans="1:11" s="391" customFormat="1">
      <c r="A80" s="395" t="s">
        <v>58</v>
      </c>
      <c r="B80" s="392">
        <f>'Sources and Uses Budget'!C80</f>
        <v>526220</v>
      </c>
      <c r="C80" s="393">
        <f>B80</f>
        <v>526220</v>
      </c>
      <c r="D80" s="393"/>
      <c r="E80" s="392">
        <f>'Sources and Uses Budget'!S80</f>
        <v>526220</v>
      </c>
      <c r="F80" s="393">
        <f>E80</f>
        <v>526220</v>
      </c>
      <c r="G80" s="393"/>
      <c r="H80" s="392">
        <f>'Sources and Uses Budget'!T80</f>
        <v>0</v>
      </c>
      <c r="I80" s="393"/>
      <c r="J80" s="393"/>
      <c r="K80" s="390"/>
    </row>
    <row r="81" spans="1:11" s="391" customFormat="1">
      <c r="A81" s="396" t="s">
        <v>1315</v>
      </c>
      <c r="B81" s="392">
        <f>'Sources and Uses Budget'!C81</f>
        <v>3088353</v>
      </c>
      <c r="C81" s="392">
        <f>SUM(C79:C80)</f>
        <v>3088353</v>
      </c>
      <c r="D81" s="392">
        <f>SUM(D79:D80)</f>
        <v>0</v>
      </c>
      <c r="E81" s="392">
        <f>'Sources and Uses Budget'!S81</f>
        <v>3088353</v>
      </c>
      <c r="F81" s="392">
        <f>SUM(F79:F80)</f>
        <v>3088353</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227403</v>
      </c>
      <c r="C83" s="393">
        <f>B83</f>
        <v>227403</v>
      </c>
      <c r="D83" s="393"/>
      <c r="E83" s="394"/>
      <c r="F83" s="394"/>
      <c r="G83" s="394"/>
      <c r="H83" s="394"/>
      <c r="I83" s="394"/>
      <c r="J83" s="394"/>
      <c r="K83" s="390"/>
    </row>
    <row r="84" spans="1:11" s="391" customFormat="1">
      <c r="A84" s="145" t="s">
        <v>776</v>
      </c>
      <c r="B84" s="392">
        <f>'Sources and Uses Budget'!C84</f>
        <v>10000</v>
      </c>
      <c r="C84" s="393">
        <f t="shared" ref="C84:C86" si="5">B84</f>
        <v>10000</v>
      </c>
      <c r="D84" s="393"/>
      <c r="E84" s="392">
        <f>'Sources and Uses Budget'!S84</f>
        <v>10000</v>
      </c>
      <c r="F84" s="393">
        <f>E84</f>
        <v>10000</v>
      </c>
      <c r="G84" s="393"/>
      <c r="H84" s="392">
        <f>'Sources and Uses Budget'!T84</f>
        <v>0</v>
      </c>
      <c r="I84" s="393"/>
      <c r="J84" s="393"/>
      <c r="K84" s="390"/>
    </row>
    <row r="85" spans="1:11" s="391" customFormat="1">
      <c r="A85" s="145" t="s">
        <v>777</v>
      </c>
      <c r="B85" s="392">
        <f>'Sources and Uses Budget'!C85</f>
        <v>2000000</v>
      </c>
      <c r="C85" s="393">
        <f t="shared" si="5"/>
        <v>2000000</v>
      </c>
      <c r="D85" s="393"/>
      <c r="E85" s="392">
        <f>'Sources and Uses Budget'!S85</f>
        <v>2000000</v>
      </c>
      <c r="F85" s="393">
        <f t="shared" ref="F85:F87" si="6">E85</f>
        <v>2000000</v>
      </c>
      <c r="G85" s="393"/>
      <c r="H85" s="392">
        <f>'Sources and Uses Budget'!T85</f>
        <v>0</v>
      </c>
      <c r="I85" s="393"/>
      <c r="J85" s="393"/>
      <c r="K85" s="390"/>
    </row>
    <row r="86" spans="1:11" s="391" customFormat="1">
      <c r="A86" s="145" t="s">
        <v>778</v>
      </c>
      <c r="B86" s="392">
        <f>'Sources and Uses Budget'!C86</f>
        <v>352000</v>
      </c>
      <c r="C86" s="393">
        <f t="shared" si="5"/>
        <v>352000</v>
      </c>
      <c r="D86" s="393"/>
      <c r="E86" s="392">
        <f>'Sources and Uses Budget'!S86</f>
        <v>352000</v>
      </c>
      <c r="F86" s="393">
        <f t="shared" si="6"/>
        <v>352000</v>
      </c>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f t="shared" si="6"/>
        <v>0</v>
      </c>
      <c r="G87" s="393"/>
      <c r="H87" s="392">
        <f>'Sources and Uses Budget'!T87</f>
        <v>0</v>
      </c>
      <c r="I87" s="393"/>
      <c r="J87" s="393"/>
      <c r="K87" s="390"/>
    </row>
    <row r="88" spans="1:11" s="391" customFormat="1">
      <c r="A88" s="145" t="s">
        <v>780</v>
      </c>
      <c r="B88" s="392">
        <f>'Sources and Uses Budget'!C88</f>
        <v>10000</v>
      </c>
      <c r="C88" s="393">
        <f>B88</f>
        <v>10000</v>
      </c>
      <c r="D88" s="393"/>
      <c r="E88" s="394"/>
      <c r="F88" s="394"/>
      <c r="G88" s="394"/>
      <c r="H88" s="394"/>
      <c r="I88" s="394"/>
      <c r="J88" s="394"/>
      <c r="K88" s="390"/>
    </row>
    <row r="89" spans="1:11" s="391" customFormat="1">
      <c r="A89" s="145" t="s">
        <v>781</v>
      </c>
      <c r="B89" s="392">
        <f>'Sources and Uses Budget'!C89</f>
        <v>450000</v>
      </c>
      <c r="C89" s="393">
        <f t="shared" ref="C89:C95" si="7">B89</f>
        <v>450000</v>
      </c>
      <c r="D89" s="393"/>
      <c r="E89" s="392">
        <f>'Sources and Uses Budget'!S89</f>
        <v>450000</v>
      </c>
      <c r="F89" s="393">
        <f>E89</f>
        <v>450000</v>
      </c>
      <c r="G89" s="393"/>
      <c r="H89" s="392">
        <f>'Sources and Uses Budget'!T89</f>
        <v>0</v>
      </c>
      <c r="I89" s="393"/>
      <c r="J89" s="393"/>
      <c r="K89" s="390"/>
    </row>
    <row r="90" spans="1:11" s="391" customFormat="1">
      <c r="A90" s="145" t="s">
        <v>782</v>
      </c>
      <c r="B90" s="392">
        <f>'Sources and Uses Budget'!C90</f>
        <v>10000</v>
      </c>
      <c r="C90" s="393">
        <f t="shared" si="7"/>
        <v>10000</v>
      </c>
      <c r="D90" s="393"/>
      <c r="E90" s="392">
        <f>'Sources and Uses Budget'!S90</f>
        <v>10000</v>
      </c>
      <c r="F90" s="393">
        <f t="shared" ref="F90:F95" si="8">E90</f>
        <v>10000</v>
      </c>
      <c r="G90" s="393"/>
      <c r="H90" s="392">
        <f>'Sources and Uses Budget'!T90</f>
        <v>0</v>
      </c>
      <c r="I90" s="393"/>
      <c r="J90" s="393"/>
      <c r="K90" s="390"/>
    </row>
    <row r="91" spans="1:11" s="391" customFormat="1">
      <c r="A91" s="155" t="s">
        <v>373</v>
      </c>
      <c r="B91" s="392">
        <f>'Sources and Uses Budget'!C91</f>
        <v>25000</v>
      </c>
      <c r="C91" s="393">
        <f t="shared" si="7"/>
        <v>25000</v>
      </c>
      <c r="D91" s="393"/>
      <c r="E91" s="392">
        <f>'Sources and Uses Budget'!S91</f>
        <v>25000</v>
      </c>
      <c r="F91" s="393">
        <f t="shared" si="8"/>
        <v>25000</v>
      </c>
      <c r="G91" s="393"/>
      <c r="H91" s="392">
        <f>'Sources and Uses Budget'!T91</f>
        <v>0</v>
      </c>
      <c r="I91" s="393"/>
      <c r="J91" s="393"/>
      <c r="K91" s="390"/>
    </row>
    <row r="92" spans="1:11" s="391" customFormat="1">
      <c r="A92" s="542" t="s">
        <v>1317</v>
      </c>
      <c r="B92" s="392">
        <f>'Sources and Uses Budget'!C92</f>
        <v>10000</v>
      </c>
      <c r="C92" s="393">
        <f t="shared" si="7"/>
        <v>10000</v>
      </c>
      <c r="D92" s="393"/>
      <c r="E92" s="392">
        <f>'Sources and Uses Budget'!S92</f>
        <v>10000</v>
      </c>
      <c r="F92" s="393">
        <f t="shared" si="8"/>
        <v>10000</v>
      </c>
      <c r="G92" s="393"/>
      <c r="H92" s="392">
        <f>'Sources and Uses Budget'!T92</f>
        <v>0</v>
      </c>
      <c r="I92" s="393"/>
      <c r="J92" s="393"/>
      <c r="K92" s="390"/>
    </row>
    <row r="93" spans="1:11" s="391" customFormat="1">
      <c r="A93" s="395" t="str">
        <f>'Sources and Uses Budget'!$A93</f>
        <v>Taxable Construction Loan Interest</v>
      </c>
      <c r="B93" s="392">
        <f>'Sources and Uses Budget'!C93</f>
        <v>650000</v>
      </c>
      <c r="C93" s="393">
        <f t="shared" si="7"/>
        <v>650000</v>
      </c>
      <c r="D93" s="393"/>
      <c r="E93" s="392">
        <f>'Sources and Uses Budget'!S93</f>
        <v>650000</v>
      </c>
      <c r="F93" s="393">
        <f t="shared" si="8"/>
        <v>650000</v>
      </c>
      <c r="G93" s="393"/>
      <c r="H93" s="392">
        <f>'Sources and Uses Budget'!T93</f>
        <v>0</v>
      </c>
      <c r="I93" s="393"/>
      <c r="J93" s="393"/>
      <c r="K93" s="390"/>
    </row>
    <row r="94" spans="1:11" s="391" customFormat="1">
      <c r="A94" s="395" t="str">
        <f>'Sources and Uses Budget'!$A94</f>
        <v>Lease Up Costs</v>
      </c>
      <c r="B94" s="392">
        <f>'Sources and Uses Budget'!C94</f>
        <v>60000</v>
      </c>
      <c r="C94" s="393">
        <f t="shared" si="7"/>
        <v>60000</v>
      </c>
      <c r="D94" s="393"/>
      <c r="E94" s="392">
        <f>'Sources and Uses Budget'!S94</f>
        <v>0</v>
      </c>
      <c r="F94" s="393">
        <f t="shared" si="8"/>
        <v>0</v>
      </c>
      <c r="G94" s="393"/>
      <c r="H94" s="392">
        <f>'Sources and Uses Budget'!T94</f>
        <v>0</v>
      </c>
      <c r="I94" s="393"/>
      <c r="J94" s="393"/>
      <c r="K94" s="390"/>
    </row>
    <row r="95" spans="1:11" s="391" customFormat="1">
      <c r="A95" s="395" t="str">
        <f>'Sources and Uses Budget'!$A95</f>
        <v xml:space="preserve">Entilement Consultant </v>
      </c>
      <c r="B95" s="392">
        <f>'Sources and Uses Budget'!C95</f>
        <v>50000</v>
      </c>
      <c r="C95" s="393">
        <f t="shared" si="7"/>
        <v>50000</v>
      </c>
      <c r="D95" s="393"/>
      <c r="E95" s="392">
        <f>'Sources and Uses Budget'!S95</f>
        <v>50000</v>
      </c>
      <c r="F95" s="393">
        <f t="shared" si="8"/>
        <v>50000</v>
      </c>
      <c r="G95" s="393"/>
      <c r="H95" s="392">
        <f>'Sources and Uses Budget'!T95</f>
        <v>0</v>
      </c>
      <c r="I95" s="393"/>
      <c r="J95" s="393"/>
      <c r="K95" s="390"/>
    </row>
    <row r="96" spans="1:11" s="391" customFormat="1">
      <c r="A96" s="396" t="s">
        <v>783</v>
      </c>
      <c r="B96" s="392">
        <f>'Sources and Uses Budget'!C96</f>
        <v>3854403</v>
      </c>
      <c r="C96" s="392">
        <f>SUM(C83:C95)</f>
        <v>3854403</v>
      </c>
      <c r="D96" s="392">
        <f>SUM(D83:D95)</f>
        <v>0</v>
      </c>
      <c r="E96" s="392">
        <f>'Sources and Uses Budget'!S96</f>
        <v>3557000</v>
      </c>
      <c r="F96" s="398">
        <f>SUM(F84:F87,F89:F95)</f>
        <v>3557000</v>
      </c>
      <c r="G96" s="398">
        <f>SUM(G84:G87,G89:G95)</f>
        <v>0</v>
      </c>
      <c r="H96" s="392">
        <f>'Sources and Uses Budget'!T96</f>
        <v>0</v>
      </c>
      <c r="I96" s="392">
        <f>SUM(I84:I87,I89:I95)</f>
        <v>0</v>
      </c>
      <c r="J96" s="392">
        <f>SUM(J84:J87,J89:J95)</f>
        <v>0</v>
      </c>
      <c r="K96" s="390"/>
    </row>
    <row r="97" spans="1:11" s="391" customFormat="1">
      <c r="A97" s="396" t="s">
        <v>1053</v>
      </c>
      <c r="B97" s="392">
        <f>'Sources and Uses Budget'!C97</f>
        <v>66951434</v>
      </c>
      <c r="C97" s="392">
        <f>SUM(C63+C70+C77+C81+C96)</f>
        <v>66951434</v>
      </c>
      <c r="D97" s="392">
        <f>SUM(D63+D70+D77+D81+D96)</f>
        <v>0</v>
      </c>
      <c r="E97" s="392">
        <f>'Sources and Uses Budget'!S97</f>
        <v>63583031</v>
      </c>
      <c r="F97" s="398">
        <f>SUM(+F63+F70+F81+F96)</f>
        <v>63583031</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7500000</v>
      </c>
      <c r="C99" s="393">
        <f>B99</f>
        <v>7500000</v>
      </c>
      <c r="D99" s="393"/>
      <c r="E99" s="392">
        <f>'Sources and Uses Budget'!S99</f>
        <v>7500000</v>
      </c>
      <c r="F99" s="393">
        <f>E99</f>
        <v>7500000</v>
      </c>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7500000</v>
      </c>
      <c r="C104" s="392">
        <f>SUM(C99:C103)</f>
        <v>7500000</v>
      </c>
      <c r="D104" s="392">
        <f>SUM(D99:D103)</f>
        <v>0</v>
      </c>
      <c r="E104" s="392">
        <f>'Sources and Uses Budget'!S104</f>
        <v>7500000</v>
      </c>
      <c r="F104" s="398">
        <f>SUM(F99:F103)</f>
        <v>7500000</v>
      </c>
      <c r="G104" s="398">
        <f>SUM(G99:G103)</f>
        <v>0</v>
      </c>
      <c r="H104" s="392">
        <f>'Sources and Uses Budget'!T104</f>
        <v>0</v>
      </c>
      <c r="I104" s="398">
        <f>SUM(I99:I103)</f>
        <v>0</v>
      </c>
      <c r="J104" s="398">
        <f>SUM(J99:J103)</f>
        <v>0</v>
      </c>
      <c r="K104" s="390"/>
    </row>
    <row r="105" spans="1:11" s="391" customFormat="1">
      <c r="A105" s="396" t="s">
        <v>1054</v>
      </c>
      <c r="B105" s="392">
        <f>'Sources and Uses Budget'!C105</f>
        <v>74451434</v>
      </c>
      <c r="C105" s="398">
        <f>SUM(C97+C104)</f>
        <v>74451434</v>
      </c>
      <c r="D105" s="398">
        <f>SUM(D97+D104)</f>
        <v>0</v>
      </c>
      <c r="E105" s="392">
        <f>'Sources and Uses Budget'!S105</f>
        <v>71083031</v>
      </c>
      <c r="F105" s="398">
        <f>F97+F104</f>
        <v>71083031</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71083031</v>
      </c>
      <c r="F107" s="398">
        <f>F105+F106</f>
        <v>71083031</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90"/>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91"/>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5" workbookViewId="0">
      <selection activeCell="H768" sqref="H768:I76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27" t="s">
        <v>1409</v>
      </c>
      <c r="B1" s="1927"/>
      <c r="C1" s="1927"/>
      <c r="D1" s="1927"/>
      <c r="E1" s="1927"/>
      <c r="F1" s="1927"/>
      <c r="G1" s="1927"/>
      <c r="H1" s="1927"/>
      <c r="I1" s="1927"/>
      <c r="J1" s="1927"/>
      <c r="K1" s="1927"/>
      <c r="L1" s="1927"/>
      <c r="M1" s="1927"/>
      <c r="N1" s="1927"/>
      <c r="O1" s="1927"/>
      <c r="P1" s="1927"/>
      <c r="Q1" s="1927"/>
      <c r="R1" s="1927"/>
      <c r="S1" s="1927"/>
      <c r="T1" s="1927"/>
      <c r="U1" s="1927"/>
      <c r="V1" s="1927"/>
      <c r="W1" s="1927"/>
      <c r="X1" s="1927"/>
      <c r="Y1" s="1927"/>
      <c r="Z1" s="1927"/>
      <c r="AA1" s="1927"/>
      <c r="AB1" s="1927"/>
      <c r="AC1" s="1927"/>
      <c r="AD1" s="1927"/>
      <c r="AE1" s="1927"/>
      <c r="AF1" s="1927"/>
      <c r="AG1" s="1927"/>
      <c r="AH1" s="1927"/>
      <c r="AI1" s="1927"/>
      <c r="AJ1" s="1927"/>
      <c r="AK1" s="1927"/>
      <c r="AL1" s="1927"/>
      <c r="AM1" s="1927"/>
    </row>
    <row r="2" spans="1:42" s="570" customFormat="1" ht="12.75" customHeight="1" thickBot="1">
      <c r="A2" s="1928"/>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1" t="s">
        <v>1414</v>
      </c>
      <c r="AF7" s="1911"/>
      <c r="AG7" s="1911"/>
      <c r="AH7" s="1911"/>
      <c r="AI7" s="1911"/>
      <c r="AJ7" s="1911"/>
      <c r="AK7" s="191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901" t="s">
        <v>599</v>
      </c>
      <c r="C13" s="1901"/>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9"/>
      <c r="AH13" s="1929"/>
      <c r="AI13" s="1929"/>
      <c r="AJ13" s="193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901" t="s">
        <v>599</v>
      </c>
      <c r="C16" s="1901"/>
      <c r="D16" s="581"/>
      <c r="E16" s="1912" t="s">
        <v>1416</v>
      </c>
      <c r="F16" s="1913"/>
      <c r="G16" s="1913"/>
      <c r="H16" s="1913"/>
      <c r="I16" s="1913"/>
      <c r="J16" s="1913"/>
      <c r="K16" s="1913"/>
      <c r="L16" s="1913"/>
      <c r="M16" s="1913"/>
      <c r="N16" s="1913"/>
      <c r="O16" s="1913"/>
      <c r="P16" s="1913"/>
      <c r="Q16" s="1913"/>
      <c r="R16" s="1913"/>
      <c r="S16" s="1913"/>
      <c r="T16" s="1913"/>
      <c r="U16" s="1913"/>
      <c r="V16" s="1913"/>
      <c r="W16" s="1913"/>
      <c r="X16" s="1913"/>
      <c r="Y16" s="1913"/>
      <c r="Z16" s="1913"/>
      <c r="AA16" s="1913"/>
      <c r="AB16" s="1913"/>
      <c r="AC16" s="1913"/>
      <c r="AD16" s="1913"/>
      <c r="AE16" s="1913"/>
      <c r="AF16" s="1913"/>
      <c r="AG16" s="1913"/>
      <c r="AH16" s="1913"/>
      <c r="AI16" s="1913"/>
      <c r="AJ16" s="1914"/>
      <c r="AK16" s="574"/>
      <c r="AL16" s="574"/>
      <c r="AM16" s="574"/>
      <c r="AN16" s="569"/>
      <c r="AO16" s="584">
        <f>IF($B25="yes",20,0)</f>
        <v>0</v>
      </c>
      <c r="AP16" s="14"/>
    </row>
    <row r="17" spans="1:42" s="570" customFormat="1" ht="12.75" customHeight="1">
      <c r="A17" s="574"/>
      <c r="B17" s="574"/>
      <c r="C17" s="574"/>
      <c r="D17" s="585"/>
      <c r="E17" s="1915"/>
      <c r="F17" s="1916"/>
      <c r="G17" s="1916"/>
      <c r="H17" s="1916"/>
      <c r="I17" s="1916"/>
      <c r="J17" s="1916"/>
      <c r="K17" s="1916"/>
      <c r="L17" s="1916"/>
      <c r="M17" s="1916"/>
      <c r="N17" s="1916"/>
      <c r="O17" s="1916"/>
      <c r="P17" s="1916"/>
      <c r="Q17" s="1916"/>
      <c r="R17" s="1916"/>
      <c r="S17" s="1916"/>
      <c r="T17" s="1916"/>
      <c r="U17" s="1916"/>
      <c r="V17" s="1916"/>
      <c r="W17" s="1916"/>
      <c r="X17" s="1916"/>
      <c r="Y17" s="1916"/>
      <c r="Z17" s="1916"/>
      <c r="AA17" s="1916"/>
      <c r="AB17" s="1916"/>
      <c r="AC17" s="1916"/>
      <c r="AD17" s="1916"/>
      <c r="AE17" s="1916"/>
      <c r="AF17" s="1916"/>
      <c r="AG17" s="1916"/>
      <c r="AH17" s="1916"/>
      <c r="AI17" s="1916"/>
      <c r="AJ17" s="1917"/>
      <c r="AK17" s="574"/>
      <c r="AL17" s="574"/>
      <c r="AM17" s="574"/>
      <c r="AN17" s="569"/>
      <c r="AO17" s="570">
        <f>IF(SUM(AO13:AO16)&gt;20,20,(SUM(AO13:AO16)))</f>
        <v>0</v>
      </c>
      <c r="AP17" s="570" t="s">
        <v>1417</v>
      </c>
    </row>
    <row r="18" spans="1:42" s="570" customFormat="1" ht="12.75" customHeight="1">
      <c r="A18" s="574"/>
      <c r="B18" s="574"/>
      <c r="C18" s="574"/>
      <c r="D18" s="585"/>
      <c r="E18" s="1915"/>
      <c r="F18" s="1916"/>
      <c r="G18" s="1916"/>
      <c r="H18" s="1916"/>
      <c r="I18" s="1916"/>
      <c r="J18" s="1916"/>
      <c r="K18" s="1916"/>
      <c r="L18" s="1916"/>
      <c r="M18" s="1916"/>
      <c r="N18" s="1916"/>
      <c r="O18" s="1916"/>
      <c r="P18" s="1916"/>
      <c r="Q18" s="1916"/>
      <c r="R18" s="1916"/>
      <c r="S18" s="1916"/>
      <c r="T18" s="1916"/>
      <c r="U18" s="1916"/>
      <c r="V18" s="1916"/>
      <c r="W18" s="1916"/>
      <c r="X18" s="1916"/>
      <c r="Y18" s="1916"/>
      <c r="Z18" s="1916"/>
      <c r="AA18" s="1916"/>
      <c r="AB18" s="1916"/>
      <c r="AC18" s="1916"/>
      <c r="AD18" s="1916"/>
      <c r="AE18" s="1916"/>
      <c r="AF18" s="1916"/>
      <c r="AG18" s="1916"/>
      <c r="AH18" s="1916"/>
      <c r="AI18" s="1916"/>
      <c r="AJ18" s="1917"/>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40"/>
      <c r="F20" s="1941"/>
      <c r="G20" s="1941"/>
      <c r="H20" s="1941"/>
      <c r="I20" s="1941"/>
      <c r="J20" s="1941"/>
      <c r="K20" s="1941"/>
      <c r="L20" s="1941"/>
      <c r="M20" s="1941"/>
      <c r="N20" s="1941"/>
      <c r="O20" s="1941"/>
      <c r="P20" s="1941"/>
      <c r="Q20" s="1941"/>
      <c r="R20" s="1941"/>
      <c r="S20" s="1941"/>
      <c r="T20" s="1941"/>
      <c r="U20" s="1941"/>
      <c r="V20" s="1941"/>
      <c r="W20" s="1941"/>
      <c r="X20" s="1941"/>
      <c r="Y20" s="1941"/>
      <c r="Z20" s="1941"/>
      <c r="AA20" s="1941"/>
      <c r="AB20" s="1941"/>
      <c r="AC20" s="1941"/>
      <c r="AD20" s="1941"/>
      <c r="AE20" s="1941"/>
      <c r="AF20" s="1941"/>
      <c r="AG20" s="1941"/>
      <c r="AH20" s="1941"/>
      <c r="AI20" s="1941"/>
      <c r="AJ20" s="194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901" t="s">
        <v>599</v>
      </c>
      <c r="C22" s="1901"/>
      <c r="D22" s="581"/>
      <c r="E22" s="1934" t="s">
        <v>1419</v>
      </c>
      <c r="F22" s="1935"/>
      <c r="G22" s="1935"/>
      <c r="H22" s="1935"/>
      <c r="I22" s="1935"/>
      <c r="J22" s="1935"/>
      <c r="K22" s="1935"/>
      <c r="L22" s="1935"/>
      <c r="M22" s="1935"/>
      <c r="N22" s="1935"/>
      <c r="O22" s="1935"/>
      <c r="P22" s="1935"/>
      <c r="Q22" s="1935"/>
      <c r="R22" s="1935"/>
      <c r="S22" s="1935"/>
      <c r="T22" s="1935"/>
      <c r="U22" s="1935"/>
      <c r="V22" s="1935"/>
      <c r="W22" s="1935"/>
      <c r="X22" s="1935"/>
      <c r="Y22" s="1935"/>
      <c r="Z22" s="1935"/>
      <c r="AA22" s="1935"/>
      <c r="AB22" s="1935"/>
      <c r="AC22" s="1935"/>
      <c r="AD22" s="1935"/>
      <c r="AE22" s="1935"/>
      <c r="AF22" s="1935"/>
      <c r="AG22" s="1935"/>
      <c r="AH22" s="1935"/>
      <c r="AI22" s="1935"/>
      <c r="AJ22" s="1936"/>
      <c r="AK22" s="574"/>
      <c r="AL22" s="574"/>
      <c r="AM22" s="574"/>
      <c r="AN22" s="569"/>
      <c r="AO22" s="570">
        <f>IF(SUM(AO20:AO21)&gt;14,14,SUM(AO20:AO21))</f>
        <v>0</v>
      </c>
      <c r="AP22" s="570" t="s">
        <v>1417</v>
      </c>
    </row>
    <row r="23" spans="1:42" s="570" customFormat="1" ht="12.75" customHeight="1">
      <c r="A23" s="574"/>
      <c r="B23" s="574"/>
      <c r="C23" s="574"/>
      <c r="D23" s="584"/>
      <c r="E23" s="1937"/>
      <c r="F23" s="1938"/>
      <c r="G23" s="1938"/>
      <c r="H23" s="1938"/>
      <c r="I23" s="1938"/>
      <c r="J23" s="1938"/>
      <c r="K23" s="1938"/>
      <c r="L23" s="1938"/>
      <c r="M23" s="1938"/>
      <c r="N23" s="1938"/>
      <c r="O23" s="1938"/>
      <c r="P23" s="1938"/>
      <c r="Q23" s="1938"/>
      <c r="R23" s="1938"/>
      <c r="S23" s="1938"/>
      <c r="T23" s="1938"/>
      <c r="U23" s="1938"/>
      <c r="V23" s="1938"/>
      <c r="W23" s="1938"/>
      <c r="X23" s="1938"/>
      <c r="Y23" s="1938"/>
      <c r="Z23" s="1938"/>
      <c r="AA23" s="1938"/>
      <c r="AB23" s="1938"/>
      <c r="AC23" s="1938"/>
      <c r="AD23" s="1938"/>
      <c r="AE23" s="1938"/>
      <c r="AF23" s="1938"/>
      <c r="AG23" s="1938"/>
      <c r="AH23" s="1938"/>
      <c r="AI23" s="1938"/>
      <c r="AJ23" s="193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901" t="s">
        <v>599</v>
      </c>
      <c r="C25" s="1901"/>
      <c r="D25" s="581"/>
      <c r="E25" s="1902" t="s">
        <v>2346</v>
      </c>
      <c r="F25" s="1903"/>
      <c r="G25" s="1903"/>
      <c r="H25" s="1903"/>
      <c r="I25" s="1903"/>
      <c r="J25" s="1903"/>
      <c r="K25" s="1903"/>
      <c r="L25" s="1903"/>
      <c r="M25" s="1903"/>
      <c r="N25" s="1903"/>
      <c r="O25" s="1903"/>
      <c r="P25" s="1903"/>
      <c r="Q25" s="1903"/>
      <c r="R25" s="1903"/>
      <c r="S25" s="1903"/>
      <c r="T25" s="1903"/>
      <c r="U25" s="1903"/>
      <c r="V25" s="1903"/>
      <c r="W25" s="1903"/>
      <c r="X25" s="1903"/>
      <c r="Y25" s="1903"/>
      <c r="Z25" s="1903"/>
      <c r="AA25" s="1903"/>
      <c r="AB25" s="1903"/>
      <c r="AC25" s="1903"/>
      <c r="AD25" s="1903"/>
      <c r="AE25" s="1903"/>
      <c r="AF25" s="1903"/>
      <c r="AG25" s="1903"/>
      <c r="AH25" s="1903"/>
      <c r="AI25" s="1903"/>
      <c r="AJ25" s="1904"/>
      <c r="AK25" s="574"/>
      <c r="AL25" s="574"/>
      <c r="AM25" s="574"/>
      <c r="AN25" s="569"/>
      <c r="AO25" s="570">
        <f>IF(AO24&gt;6,6,AO24)</f>
        <v>0</v>
      </c>
      <c r="AP25" s="570" t="s">
        <v>1417</v>
      </c>
    </row>
    <row r="26" spans="1:42" s="570" customFormat="1" ht="12.75" customHeight="1">
      <c r="A26" s="574"/>
      <c r="B26" s="574"/>
      <c r="C26" s="574"/>
      <c r="D26" s="584"/>
      <c r="E26" s="1905"/>
      <c r="F26" s="1906"/>
      <c r="G26" s="1906"/>
      <c r="H26" s="1906"/>
      <c r="I26" s="1906"/>
      <c r="J26" s="1906"/>
      <c r="K26" s="1906"/>
      <c r="L26" s="1906"/>
      <c r="M26" s="1906"/>
      <c r="N26" s="1906"/>
      <c r="O26" s="1906"/>
      <c r="P26" s="1906"/>
      <c r="Q26" s="1906"/>
      <c r="R26" s="1906"/>
      <c r="S26" s="1906"/>
      <c r="T26" s="1906"/>
      <c r="U26" s="1906"/>
      <c r="V26" s="1906"/>
      <c r="W26" s="1906"/>
      <c r="X26" s="1906"/>
      <c r="Y26" s="1906"/>
      <c r="Z26" s="1906"/>
      <c r="AA26" s="1906"/>
      <c r="AB26" s="1906"/>
      <c r="AC26" s="1906"/>
      <c r="AD26" s="1906"/>
      <c r="AE26" s="1906"/>
      <c r="AF26" s="1906"/>
      <c r="AG26" s="1906"/>
      <c r="AH26" s="1906"/>
      <c r="AI26" s="1906"/>
      <c r="AJ26" s="190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901" t="s">
        <v>599</v>
      </c>
      <c r="C30" s="1901"/>
      <c r="D30" s="581"/>
      <c r="E30" s="1934" t="s">
        <v>2318</v>
      </c>
      <c r="F30" s="1935"/>
      <c r="G30" s="1935"/>
      <c r="H30" s="1935"/>
      <c r="I30" s="1935"/>
      <c r="J30" s="1935"/>
      <c r="K30" s="1935"/>
      <c r="L30" s="1935"/>
      <c r="M30" s="1935"/>
      <c r="N30" s="1935"/>
      <c r="O30" s="1935"/>
      <c r="P30" s="1935"/>
      <c r="Q30" s="1935"/>
      <c r="R30" s="1935"/>
      <c r="S30" s="1935"/>
      <c r="T30" s="1935"/>
      <c r="U30" s="1935"/>
      <c r="V30" s="1935"/>
      <c r="W30" s="1935"/>
      <c r="X30" s="1935"/>
      <c r="Y30" s="1935"/>
      <c r="Z30" s="1935"/>
      <c r="AA30" s="1935"/>
      <c r="AB30" s="1935"/>
      <c r="AC30" s="1935"/>
      <c r="AD30" s="1935"/>
      <c r="AE30" s="1935"/>
      <c r="AF30" s="1935"/>
      <c r="AG30" s="1935"/>
      <c r="AH30" s="1935"/>
      <c r="AI30" s="1935"/>
      <c r="AJ30" s="1936"/>
      <c r="AK30" s="574"/>
      <c r="AL30" s="574"/>
      <c r="AM30" s="574"/>
      <c r="AN30" s="569"/>
      <c r="AO30" s="584"/>
    </row>
    <row r="31" spans="1:42" s="570" customFormat="1" ht="12.75" customHeight="1">
      <c r="A31" s="574"/>
      <c r="B31" s="574"/>
      <c r="C31" s="574"/>
      <c r="E31" s="1937"/>
      <c r="F31" s="1938"/>
      <c r="G31" s="1938"/>
      <c r="H31" s="1938"/>
      <c r="I31" s="1938"/>
      <c r="J31" s="1938"/>
      <c r="K31" s="1938"/>
      <c r="L31" s="1938"/>
      <c r="M31" s="1938"/>
      <c r="N31" s="1938"/>
      <c r="O31" s="1938"/>
      <c r="P31" s="1938"/>
      <c r="Q31" s="1938"/>
      <c r="R31" s="1938"/>
      <c r="S31" s="1938"/>
      <c r="T31" s="1938"/>
      <c r="U31" s="1938"/>
      <c r="V31" s="1938"/>
      <c r="W31" s="1938"/>
      <c r="X31" s="1938"/>
      <c r="Y31" s="1938"/>
      <c r="Z31" s="1938"/>
      <c r="AA31" s="1938"/>
      <c r="AB31" s="1938"/>
      <c r="AC31" s="1938"/>
      <c r="AD31" s="1938"/>
      <c r="AE31" s="1938"/>
      <c r="AF31" s="1938"/>
      <c r="AG31" s="1938"/>
      <c r="AH31" s="1938"/>
      <c r="AI31" s="1938"/>
      <c r="AJ31" s="193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901" t="s">
        <v>599</v>
      </c>
      <c r="C33" s="1901"/>
      <c r="D33" s="581"/>
      <c r="E33" s="1902" t="s">
        <v>2319</v>
      </c>
      <c r="F33" s="1903"/>
      <c r="G33" s="1903"/>
      <c r="H33" s="1903"/>
      <c r="I33" s="1903"/>
      <c r="J33" s="1903"/>
      <c r="K33" s="1903"/>
      <c r="L33" s="1903"/>
      <c r="M33" s="1903"/>
      <c r="N33" s="1903"/>
      <c r="O33" s="1903"/>
      <c r="P33" s="1903"/>
      <c r="Q33" s="1903"/>
      <c r="R33" s="1903"/>
      <c r="S33" s="1903"/>
      <c r="T33" s="1903"/>
      <c r="U33" s="1903"/>
      <c r="V33" s="1903"/>
      <c r="W33" s="1903"/>
      <c r="X33" s="1903"/>
      <c r="Y33" s="1903"/>
      <c r="Z33" s="1903"/>
      <c r="AA33" s="1903"/>
      <c r="AB33" s="1903"/>
      <c r="AC33" s="1903"/>
      <c r="AD33" s="1903"/>
      <c r="AE33" s="1903"/>
      <c r="AF33" s="1903"/>
      <c r="AG33" s="1903"/>
      <c r="AH33" s="1903"/>
      <c r="AI33" s="1903"/>
      <c r="AJ33" s="1904"/>
      <c r="AK33" s="574"/>
      <c r="AL33" s="574"/>
      <c r="AM33" s="574"/>
      <c r="AN33" s="569"/>
    </row>
    <row r="34" spans="1:41" s="570" customFormat="1" ht="12.75" customHeight="1">
      <c r="A34" s="574"/>
      <c r="B34" s="574"/>
      <c r="C34" s="574"/>
      <c r="E34" s="1908"/>
      <c r="F34" s="1909"/>
      <c r="G34" s="1909"/>
      <c r="H34" s="1909"/>
      <c r="I34" s="1909"/>
      <c r="J34" s="1909"/>
      <c r="K34" s="1909"/>
      <c r="L34" s="1909"/>
      <c r="M34" s="1909"/>
      <c r="N34" s="1909"/>
      <c r="O34" s="1909"/>
      <c r="P34" s="1909"/>
      <c r="Q34" s="1909"/>
      <c r="R34" s="1909"/>
      <c r="S34" s="1909"/>
      <c r="T34" s="1909"/>
      <c r="U34" s="1909"/>
      <c r="V34" s="1909"/>
      <c r="W34" s="1909"/>
      <c r="X34" s="1909"/>
      <c r="Y34" s="1909"/>
      <c r="Z34" s="1909"/>
      <c r="AA34" s="1909"/>
      <c r="AB34" s="1909"/>
      <c r="AC34" s="1909"/>
      <c r="AD34" s="1909"/>
      <c r="AE34" s="1909"/>
      <c r="AF34" s="1909"/>
      <c r="AG34" s="1909"/>
      <c r="AH34" s="1909"/>
      <c r="AI34" s="1909"/>
      <c r="AJ34" s="1910"/>
      <c r="AK34" s="574"/>
      <c r="AL34" s="574"/>
      <c r="AM34" s="574"/>
      <c r="AN34" s="569"/>
    </row>
    <row r="35" spans="1:41" s="570" customFormat="1" ht="12.75" customHeight="1">
      <c r="A35" s="574"/>
      <c r="B35" s="574"/>
      <c r="C35" s="574"/>
      <c r="E35" s="1905"/>
      <c r="F35" s="1906"/>
      <c r="G35" s="1906"/>
      <c r="H35" s="1906"/>
      <c r="I35" s="1906"/>
      <c r="J35" s="1906"/>
      <c r="K35" s="1906"/>
      <c r="L35" s="1906"/>
      <c r="M35" s="1906"/>
      <c r="N35" s="1906"/>
      <c r="O35" s="1906"/>
      <c r="P35" s="1906"/>
      <c r="Q35" s="1906"/>
      <c r="R35" s="1906"/>
      <c r="S35" s="1906"/>
      <c r="T35" s="1906"/>
      <c r="U35" s="1906"/>
      <c r="V35" s="1906"/>
      <c r="W35" s="1906"/>
      <c r="X35" s="1906"/>
      <c r="Y35" s="1906"/>
      <c r="Z35" s="1906"/>
      <c r="AA35" s="1906"/>
      <c r="AB35" s="1906"/>
      <c r="AC35" s="1906"/>
      <c r="AD35" s="1906"/>
      <c r="AE35" s="1906"/>
      <c r="AF35" s="1906"/>
      <c r="AG35" s="1906"/>
      <c r="AH35" s="1906"/>
      <c r="AI35" s="1906"/>
      <c r="AJ35" s="190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901" t="s">
        <v>599</v>
      </c>
      <c r="C39" s="1901"/>
      <c r="D39" s="1186"/>
      <c r="E39" s="1902" t="s">
        <v>2320</v>
      </c>
      <c r="F39" s="1903"/>
      <c r="G39" s="1903"/>
      <c r="H39" s="1903"/>
      <c r="I39" s="1903"/>
      <c r="J39" s="1903"/>
      <c r="K39" s="1903"/>
      <c r="L39" s="1903"/>
      <c r="M39" s="1903"/>
      <c r="N39" s="1903"/>
      <c r="O39" s="1903"/>
      <c r="P39" s="1903"/>
      <c r="Q39" s="1903"/>
      <c r="R39" s="1903"/>
      <c r="S39" s="1903"/>
      <c r="T39" s="1903"/>
      <c r="U39" s="1903"/>
      <c r="V39" s="1903"/>
      <c r="W39" s="1903"/>
      <c r="X39" s="1903"/>
      <c r="Y39" s="1903"/>
      <c r="Z39" s="1903"/>
      <c r="AA39" s="1903"/>
      <c r="AB39" s="1903"/>
      <c r="AC39" s="1903"/>
      <c r="AD39" s="1903"/>
      <c r="AE39" s="1903"/>
      <c r="AF39" s="1903"/>
      <c r="AG39" s="1903"/>
      <c r="AH39" s="1903"/>
      <c r="AI39" s="1903"/>
      <c r="AJ39" s="1904"/>
      <c r="AK39" s="1186"/>
      <c r="AL39" s="574"/>
      <c r="AM39" s="574"/>
      <c r="AN39" s="569"/>
    </row>
    <row r="40" spans="1:41" s="570" customFormat="1" ht="12.75" customHeight="1">
      <c r="A40" s="574"/>
      <c r="B40" s="574"/>
      <c r="C40" s="574"/>
      <c r="E40" s="1908"/>
      <c r="F40" s="1909"/>
      <c r="G40" s="1909"/>
      <c r="H40" s="1909"/>
      <c r="I40" s="1909"/>
      <c r="J40" s="1909"/>
      <c r="K40" s="1909"/>
      <c r="L40" s="1909"/>
      <c r="M40" s="1909"/>
      <c r="N40" s="1909"/>
      <c r="O40" s="1909"/>
      <c r="P40" s="1909"/>
      <c r="Q40" s="1909"/>
      <c r="R40" s="1909"/>
      <c r="S40" s="1909"/>
      <c r="T40" s="1909"/>
      <c r="U40" s="1909"/>
      <c r="V40" s="1909"/>
      <c r="W40" s="1909"/>
      <c r="X40" s="1909"/>
      <c r="Y40" s="1909"/>
      <c r="Z40" s="1909"/>
      <c r="AA40" s="1909"/>
      <c r="AB40" s="1909"/>
      <c r="AC40" s="1909"/>
      <c r="AD40" s="1909"/>
      <c r="AE40" s="1909"/>
      <c r="AF40" s="1909"/>
      <c r="AG40" s="1909"/>
      <c r="AH40" s="1909"/>
      <c r="AI40" s="1909"/>
      <c r="AJ40" s="1910"/>
      <c r="AK40" s="574"/>
      <c r="AL40" s="574"/>
      <c r="AM40" s="574"/>
      <c r="AN40" s="569"/>
    </row>
    <row r="41" spans="1:41" s="570" customFormat="1" ht="12.75" customHeight="1">
      <c r="A41" s="574"/>
      <c r="D41" s="581"/>
      <c r="E41" s="1905"/>
      <c r="F41" s="1906"/>
      <c r="G41" s="1906"/>
      <c r="H41" s="1906"/>
      <c r="I41" s="1906"/>
      <c r="J41" s="1906"/>
      <c r="K41" s="1906"/>
      <c r="L41" s="1906"/>
      <c r="M41" s="1906"/>
      <c r="N41" s="1906"/>
      <c r="O41" s="1906"/>
      <c r="P41" s="1906"/>
      <c r="Q41" s="1906"/>
      <c r="R41" s="1906"/>
      <c r="S41" s="1906"/>
      <c r="T41" s="1906"/>
      <c r="U41" s="1906"/>
      <c r="V41" s="1906"/>
      <c r="W41" s="1906"/>
      <c r="X41" s="1906"/>
      <c r="Y41" s="1906"/>
      <c r="Z41" s="1906"/>
      <c r="AA41" s="1906"/>
      <c r="AB41" s="1906"/>
      <c r="AC41" s="1906"/>
      <c r="AD41" s="1906"/>
      <c r="AE41" s="1906"/>
      <c r="AF41" s="1906"/>
      <c r="AG41" s="1906"/>
      <c r="AH41" s="1906"/>
      <c r="AI41" s="1906"/>
      <c r="AJ41" s="190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901" t="s">
        <v>599</v>
      </c>
      <c r="C46" s="1901"/>
      <c r="D46" s="574"/>
      <c r="E46" s="1902" t="s">
        <v>2325</v>
      </c>
      <c r="F46" s="1903"/>
      <c r="G46" s="1903"/>
      <c r="H46" s="1903"/>
      <c r="I46" s="1903"/>
      <c r="J46" s="1903"/>
      <c r="K46" s="1903"/>
      <c r="L46" s="1903"/>
      <c r="M46" s="1903"/>
      <c r="N46" s="1903"/>
      <c r="O46" s="1903"/>
      <c r="P46" s="1903"/>
      <c r="Q46" s="1903"/>
      <c r="R46" s="1903"/>
      <c r="S46" s="1903"/>
      <c r="T46" s="1903"/>
      <c r="U46" s="1903"/>
      <c r="V46" s="1903"/>
      <c r="W46" s="1903"/>
      <c r="X46" s="1903"/>
      <c r="Y46" s="1903"/>
      <c r="Z46" s="1903"/>
      <c r="AA46" s="1903"/>
      <c r="AB46" s="1903"/>
      <c r="AC46" s="1903"/>
      <c r="AD46" s="1903"/>
      <c r="AE46" s="1903"/>
      <c r="AF46" s="1903"/>
      <c r="AG46" s="1903"/>
      <c r="AH46" s="1903"/>
      <c r="AI46" s="1903"/>
      <c r="AJ46" s="1904"/>
      <c r="AK46" s="574"/>
      <c r="AL46" s="574"/>
      <c r="AM46" s="574"/>
      <c r="AN46" s="569"/>
      <c r="AO46" s="593"/>
    </row>
    <row r="47" spans="1:41" s="570" customFormat="1" ht="12.75" customHeight="1">
      <c r="A47" s="574"/>
      <c r="D47" s="581"/>
      <c r="E47" s="1908"/>
      <c r="F47" s="1909"/>
      <c r="G47" s="1909"/>
      <c r="H47" s="1909"/>
      <c r="I47" s="1909"/>
      <c r="J47" s="1909"/>
      <c r="K47" s="1909"/>
      <c r="L47" s="1909"/>
      <c r="M47" s="1909"/>
      <c r="N47" s="1909"/>
      <c r="O47" s="1909"/>
      <c r="P47" s="1909"/>
      <c r="Q47" s="1909"/>
      <c r="R47" s="1909"/>
      <c r="S47" s="1909"/>
      <c r="T47" s="1909"/>
      <c r="U47" s="1909"/>
      <c r="V47" s="1909"/>
      <c r="W47" s="1909"/>
      <c r="X47" s="1909"/>
      <c r="Y47" s="1909"/>
      <c r="Z47" s="1909"/>
      <c r="AA47" s="1909"/>
      <c r="AB47" s="1909"/>
      <c r="AC47" s="1909"/>
      <c r="AD47" s="1909"/>
      <c r="AE47" s="1909"/>
      <c r="AF47" s="1909"/>
      <c r="AG47" s="1909"/>
      <c r="AH47" s="1909"/>
      <c r="AI47" s="1909"/>
      <c r="AJ47" s="1910"/>
      <c r="AK47" s="574"/>
      <c r="AL47" s="574"/>
      <c r="AM47" s="574"/>
      <c r="AN47" s="569"/>
      <c r="AO47" s="593"/>
    </row>
    <row r="48" spans="1:41" s="570" customFormat="1" ht="12.75" customHeight="1">
      <c r="A48" s="574"/>
      <c r="D48" s="574"/>
      <c r="E48" s="1905"/>
      <c r="F48" s="1906"/>
      <c r="G48" s="1906"/>
      <c r="H48" s="1906"/>
      <c r="I48" s="1906"/>
      <c r="J48" s="1906"/>
      <c r="K48" s="1906"/>
      <c r="L48" s="1906"/>
      <c r="M48" s="1906"/>
      <c r="N48" s="1906"/>
      <c r="O48" s="1906"/>
      <c r="P48" s="1906"/>
      <c r="Q48" s="1906"/>
      <c r="R48" s="1906"/>
      <c r="S48" s="1906"/>
      <c r="T48" s="1906"/>
      <c r="U48" s="1906"/>
      <c r="V48" s="1906"/>
      <c r="W48" s="1906"/>
      <c r="X48" s="1906"/>
      <c r="Y48" s="1906"/>
      <c r="Z48" s="1906"/>
      <c r="AA48" s="1906"/>
      <c r="AB48" s="1906"/>
      <c r="AC48" s="1906"/>
      <c r="AD48" s="1906"/>
      <c r="AE48" s="1906"/>
      <c r="AF48" s="1906"/>
      <c r="AG48" s="1906"/>
      <c r="AH48" s="1906"/>
      <c r="AI48" s="1906"/>
      <c r="AJ48" s="190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901" t="s">
        <v>599</v>
      </c>
      <c r="C50" s="1901"/>
      <c r="D50" s="574"/>
      <c r="E50" s="1922" t="s">
        <v>2326</v>
      </c>
      <c r="F50" s="1923"/>
      <c r="G50" s="1923"/>
      <c r="H50" s="1923"/>
      <c r="I50" s="1923"/>
      <c r="J50" s="1923"/>
      <c r="K50" s="1923"/>
      <c r="L50" s="1923"/>
      <c r="M50" s="1923"/>
      <c r="N50" s="1923"/>
      <c r="O50" s="1923"/>
      <c r="P50" s="1923"/>
      <c r="Q50" s="1923"/>
      <c r="R50" s="1923"/>
      <c r="S50" s="1923"/>
      <c r="T50" s="1923"/>
      <c r="U50" s="1923"/>
      <c r="V50" s="1923"/>
      <c r="W50" s="1923"/>
      <c r="X50" s="1923"/>
      <c r="Y50" s="1923"/>
      <c r="Z50" s="1923"/>
      <c r="AA50" s="1923"/>
      <c r="AB50" s="1923"/>
      <c r="AC50" s="1923"/>
      <c r="AD50" s="1923"/>
      <c r="AE50" s="1923"/>
      <c r="AF50" s="1923"/>
      <c r="AG50" s="1923"/>
      <c r="AH50" s="1923"/>
      <c r="AI50" s="1923"/>
      <c r="AJ50" s="192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901" t="s">
        <v>599</v>
      </c>
      <c r="C52" s="1901"/>
      <c r="D52" s="574"/>
      <c r="E52" s="1902" t="s">
        <v>2327</v>
      </c>
      <c r="F52" s="1903"/>
      <c r="G52" s="1903"/>
      <c r="H52" s="1903"/>
      <c r="I52" s="1903"/>
      <c r="J52" s="1903"/>
      <c r="K52" s="1903"/>
      <c r="L52" s="1903"/>
      <c r="M52" s="1903"/>
      <c r="N52" s="1903"/>
      <c r="O52" s="1903"/>
      <c r="P52" s="1903"/>
      <c r="Q52" s="1903"/>
      <c r="R52" s="1903"/>
      <c r="S52" s="1903"/>
      <c r="T52" s="1903"/>
      <c r="U52" s="1903"/>
      <c r="V52" s="1903"/>
      <c r="W52" s="1903"/>
      <c r="X52" s="1903"/>
      <c r="Y52" s="1903"/>
      <c r="Z52" s="1903"/>
      <c r="AA52" s="1903"/>
      <c r="AB52" s="1903"/>
      <c r="AC52" s="1903"/>
      <c r="AD52" s="1903"/>
      <c r="AE52" s="1903"/>
      <c r="AF52" s="1903"/>
      <c r="AG52" s="1903"/>
      <c r="AH52" s="1903"/>
      <c r="AI52" s="1903"/>
      <c r="AJ52" s="1904"/>
      <c r="AK52" s="574"/>
      <c r="AL52" s="574"/>
      <c r="AM52" s="574"/>
      <c r="AN52" s="569"/>
    </row>
    <row r="53" spans="1:50" s="570" customFormat="1" ht="12.75" customHeight="1">
      <c r="A53" s="574"/>
      <c r="B53" s="581"/>
      <c r="C53" s="581"/>
      <c r="D53" s="581"/>
      <c r="E53" s="1905"/>
      <c r="F53" s="1906"/>
      <c r="G53" s="1906"/>
      <c r="H53" s="1906"/>
      <c r="I53" s="1906"/>
      <c r="J53" s="1906"/>
      <c r="K53" s="1906"/>
      <c r="L53" s="1906"/>
      <c r="M53" s="1906"/>
      <c r="N53" s="1906"/>
      <c r="O53" s="1906"/>
      <c r="P53" s="1906"/>
      <c r="Q53" s="1906"/>
      <c r="R53" s="1906"/>
      <c r="S53" s="1906"/>
      <c r="T53" s="1906"/>
      <c r="U53" s="1906"/>
      <c r="V53" s="1906"/>
      <c r="W53" s="1906"/>
      <c r="X53" s="1906"/>
      <c r="Y53" s="1906"/>
      <c r="Z53" s="1906"/>
      <c r="AA53" s="1906"/>
      <c r="AB53" s="1906"/>
      <c r="AC53" s="1906"/>
      <c r="AD53" s="1906"/>
      <c r="AE53" s="1906"/>
      <c r="AF53" s="1906"/>
      <c r="AG53" s="1906"/>
      <c r="AH53" s="1906"/>
      <c r="AI53" s="1906"/>
      <c r="AJ53" s="190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31">
        <f>AO36</f>
        <v>0</v>
      </c>
      <c r="AL56" s="1932"/>
      <c r="AM56" s="193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1" t="s">
        <v>1423</v>
      </c>
      <c r="AF59" s="1911"/>
      <c r="AG59" s="1911"/>
      <c r="AH59" s="1911"/>
      <c r="AI59" s="1911"/>
      <c r="AJ59" s="1911"/>
      <c r="AK59" s="191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901" t="s">
        <v>599</v>
      </c>
      <c r="C62" s="1901"/>
      <c r="D62" s="581" t="s">
        <v>1424</v>
      </c>
      <c r="E62" s="1912" t="s">
        <v>2328</v>
      </c>
      <c r="F62" s="1913"/>
      <c r="G62" s="1913"/>
      <c r="H62" s="1913"/>
      <c r="I62" s="1913"/>
      <c r="J62" s="1913"/>
      <c r="K62" s="1913"/>
      <c r="L62" s="1913"/>
      <c r="M62" s="1913"/>
      <c r="N62" s="1913"/>
      <c r="O62" s="1913"/>
      <c r="P62" s="1913"/>
      <c r="Q62" s="1913"/>
      <c r="R62" s="1913"/>
      <c r="S62" s="1913"/>
      <c r="T62" s="1913"/>
      <c r="U62" s="1913"/>
      <c r="V62" s="1913"/>
      <c r="W62" s="1913"/>
      <c r="X62" s="1913"/>
      <c r="Y62" s="1913"/>
      <c r="Z62" s="1913"/>
      <c r="AA62" s="1913"/>
      <c r="AB62" s="1913"/>
      <c r="AC62" s="1913"/>
      <c r="AD62" s="1913"/>
      <c r="AE62" s="1913"/>
      <c r="AF62" s="1913"/>
      <c r="AG62" s="1913"/>
      <c r="AH62" s="1913"/>
      <c r="AI62" s="1913"/>
      <c r="AJ62" s="1914"/>
      <c r="AK62" s="577"/>
      <c r="AL62" s="574"/>
      <c r="AM62" s="574"/>
      <c r="AN62" s="569"/>
      <c r="AO62" s="584">
        <f>IF($B62="yes",10,0)</f>
        <v>0</v>
      </c>
    </row>
    <row r="63" spans="1:50" s="570" customFormat="1" ht="12.75" customHeight="1">
      <c r="A63" s="572"/>
      <c r="B63" s="574"/>
      <c r="C63" s="574"/>
      <c r="D63" s="585"/>
      <c r="E63" s="1915"/>
      <c r="F63" s="1916"/>
      <c r="G63" s="1916"/>
      <c r="H63" s="1916"/>
      <c r="I63" s="1916"/>
      <c r="J63" s="1916"/>
      <c r="K63" s="1916"/>
      <c r="L63" s="1916"/>
      <c r="M63" s="1916"/>
      <c r="N63" s="1916"/>
      <c r="O63" s="1916"/>
      <c r="P63" s="1916"/>
      <c r="Q63" s="1916"/>
      <c r="R63" s="1916"/>
      <c r="S63" s="1916"/>
      <c r="T63" s="1916"/>
      <c r="U63" s="1916"/>
      <c r="V63" s="1916"/>
      <c r="W63" s="1916"/>
      <c r="X63" s="1916"/>
      <c r="Y63" s="1916"/>
      <c r="Z63" s="1916"/>
      <c r="AA63" s="1916"/>
      <c r="AB63" s="1916"/>
      <c r="AC63" s="1916"/>
      <c r="AD63" s="1916"/>
      <c r="AE63" s="1916"/>
      <c r="AF63" s="1916"/>
      <c r="AG63" s="1916"/>
      <c r="AH63" s="1916"/>
      <c r="AI63" s="1916"/>
      <c r="AJ63" s="1917"/>
      <c r="AK63" s="577"/>
      <c r="AL63" s="574"/>
      <c r="AM63" s="574"/>
      <c r="AN63" s="569"/>
      <c r="AO63" s="584">
        <f>IF($B68="yes",10,0)</f>
        <v>10</v>
      </c>
    </row>
    <row r="64" spans="1:50" s="570" customFormat="1" ht="12.75" customHeight="1">
      <c r="A64" s="572"/>
      <c r="B64" s="574"/>
      <c r="C64" s="574"/>
      <c r="D64" s="585"/>
      <c r="E64" s="1915"/>
      <c r="F64" s="1916"/>
      <c r="G64" s="1916"/>
      <c r="H64" s="1916"/>
      <c r="I64" s="1916"/>
      <c r="J64" s="1916"/>
      <c r="K64" s="1916"/>
      <c r="L64" s="1916"/>
      <c r="M64" s="1916"/>
      <c r="N64" s="1916"/>
      <c r="O64" s="1916"/>
      <c r="P64" s="1916"/>
      <c r="Q64" s="1916"/>
      <c r="R64" s="1916"/>
      <c r="S64" s="1916"/>
      <c r="T64" s="1916"/>
      <c r="U64" s="1916"/>
      <c r="V64" s="1916"/>
      <c r="W64" s="1916"/>
      <c r="X64" s="1916"/>
      <c r="Y64" s="1916"/>
      <c r="Z64" s="1916"/>
      <c r="AA64" s="1916"/>
      <c r="AB64" s="1916"/>
      <c r="AC64" s="1916"/>
      <c r="AD64" s="1916"/>
      <c r="AE64" s="1916"/>
      <c r="AF64" s="1916"/>
      <c r="AG64" s="1916"/>
      <c r="AH64" s="1916"/>
      <c r="AI64" s="1916"/>
      <c r="AJ64" s="1917"/>
      <c r="AK64" s="577"/>
      <c r="AL64" s="574"/>
      <c r="AM64" s="574"/>
      <c r="AN64" s="569"/>
      <c r="AO64" s="584">
        <f>IF($B75="yes",10,0)</f>
        <v>0</v>
      </c>
    </row>
    <row r="65" spans="1:42" s="570" customFormat="1" ht="12.75" customHeight="1">
      <c r="A65" s="572"/>
      <c r="B65" s="574"/>
      <c r="C65" s="574"/>
      <c r="D65" s="585"/>
      <c r="E65" s="1915"/>
      <c r="F65" s="1916"/>
      <c r="G65" s="1916"/>
      <c r="H65" s="1916"/>
      <c r="I65" s="1916"/>
      <c r="J65" s="1916"/>
      <c r="K65" s="1916"/>
      <c r="L65" s="1916"/>
      <c r="M65" s="1916"/>
      <c r="N65" s="1916"/>
      <c r="O65" s="1916"/>
      <c r="P65" s="1916"/>
      <c r="Q65" s="1916"/>
      <c r="R65" s="1916"/>
      <c r="S65" s="1916"/>
      <c r="T65" s="1916"/>
      <c r="U65" s="1916"/>
      <c r="V65" s="1916"/>
      <c r="W65" s="1916"/>
      <c r="X65" s="1916"/>
      <c r="Y65" s="1916"/>
      <c r="Z65" s="1916"/>
      <c r="AA65" s="1916"/>
      <c r="AB65" s="1916"/>
      <c r="AC65" s="1916"/>
      <c r="AD65" s="1916"/>
      <c r="AE65" s="1916"/>
      <c r="AF65" s="1916"/>
      <c r="AG65" s="1916"/>
      <c r="AH65" s="1916"/>
      <c r="AI65" s="1916"/>
      <c r="AJ65" s="1917"/>
      <c r="AK65" s="577"/>
      <c r="AL65" s="574"/>
      <c r="AM65" s="574"/>
      <c r="AN65" s="569"/>
      <c r="AO65" s="570">
        <f>IF(SUM(AO62:AO64)&gt;10,10,(SUM(AO62:AO64)))</f>
        <v>10</v>
      </c>
      <c r="AP65" s="608" t="s">
        <v>1425</v>
      </c>
    </row>
    <row r="66" spans="1:42" s="570" customFormat="1" ht="12.75" customHeight="1">
      <c r="A66" s="572"/>
      <c r="B66" s="574"/>
      <c r="C66" s="574"/>
      <c r="D66" s="585"/>
      <c r="E66" s="1918"/>
      <c r="F66" s="1919"/>
      <c r="G66" s="1919"/>
      <c r="H66" s="1919"/>
      <c r="I66" s="1919"/>
      <c r="J66" s="1919"/>
      <c r="K66" s="1919"/>
      <c r="L66" s="1919"/>
      <c r="M66" s="1919"/>
      <c r="N66" s="1919"/>
      <c r="O66" s="1919"/>
      <c r="P66" s="1919"/>
      <c r="Q66" s="1919"/>
      <c r="R66" s="1919"/>
      <c r="S66" s="1919"/>
      <c r="T66" s="1919"/>
      <c r="U66" s="1919"/>
      <c r="V66" s="1919"/>
      <c r="W66" s="1919"/>
      <c r="X66" s="1919"/>
      <c r="Y66" s="1919"/>
      <c r="Z66" s="1919"/>
      <c r="AA66" s="1919"/>
      <c r="AB66" s="1919"/>
      <c r="AC66" s="1919"/>
      <c r="AD66" s="1919"/>
      <c r="AE66" s="1919"/>
      <c r="AF66" s="1919"/>
      <c r="AG66" s="1919"/>
      <c r="AH66" s="1919"/>
      <c r="AI66" s="1919"/>
      <c r="AJ66" s="192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901" t="s">
        <v>553</v>
      </c>
      <c r="C68" s="1901"/>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21" t="s">
        <v>599</v>
      </c>
      <c r="F69" s="1901"/>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9" t="s">
        <v>599</v>
      </c>
      <c r="F70" s="1900"/>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9" t="s">
        <v>553</v>
      </c>
      <c r="F71" s="1900"/>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21" t="s">
        <v>599</v>
      </c>
      <c r="F73" s="1901"/>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901" t="s">
        <v>599</v>
      </c>
      <c r="C75" s="1901"/>
      <c r="D75" s="581" t="s">
        <v>1429</v>
      </c>
      <c r="E75" s="1902" t="s">
        <v>1928</v>
      </c>
      <c r="F75" s="1903"/>
      <c r="G75" s="1903"/>
      <c r="H75" s="1903"/>
      <c r="I75" s="1903"/>
      <c r="J75" s="1903"/>
      <c r="K75" s="1903"/>
      <c r="L75" s="1903"/>
      <c r="M75" s="1903"/>
      <c r="N75" s="1903"/>
      <c r="O75" s="1903"/>
      <c r="P75" s="1903"/>
      <c r="Q75" s="1903"/>
      <c r="R75" s="1903"/>
      <c r="S75" s="1903"/>
      <c r="T75" s="1903"/>
      <c r="U75" s="1903"/>
      <c r="V75" s="1903"/>
      <c r="W75" s="1903"/>
      <c r="X75" s="1903"/>
      <c r="Y75" s="1903"/>
      <c r="Z75" s="1903"/>
      <c r="AA75" s="1903"/>
      <c r="AB75" s="1903"/>
      <c r="AC75" s="1903"/>
      <c r="AD75" s="1903"/>
      <c r="AE75" s="1903"/>
      <c r="AF75" s="1903"/>
      <c r="AG75" s="1903"/>
      <c r="AH75" s="1903"/>
      <c r="AI75" s="1903"/>
      <c r="AJ75" s="1904"/>
      <c r="AK75" s="577"/>
      <c r="AL75" s="574"/>
      <c r="AM75" s="574"/>
      <c r="AN75" s="569"/>
    </row>
    <row r="76" spans="1:42" s="570" customFormat="1" ht="12.75" customHeight="1">
      <c r="A76" s="572"/>
      <c r="B76" s="574"/>
      <c r="C76" s="574"/>
      <c r="D76" s="584"/>
      <c r="E76" s="1905"/>
      <c r="F76" s="1906"/>
      <c r="G76" s="1906"/>
      <c r="H76" s="1906"/>
      <c r="I76" s="1906"/>
      <c r="J76" s="1906"/>
      <c r="K76" s="1906"/>
      <c r="L76" s="1906"/>
      <c r="M76" s="1906"/>
      <c r="N76" s="1906"/>
      <c r="O76" s="1906"/>
      <c r="P76" s="1906"/>
      <c r="Q76" s="1906"/>
      <c r="R76" s="1906"/>
      <c r="S76" s="1906"/>
      <c r="T76" s="1906"/>
      <c r="U76" s="1906"/>
      <c r="V76" s="1906"/>
      <c r="W76" s="1906"/>
      <c r="X76" s="1906"/>
      <c r="Y76" s="1906"/>
      <c r="Z76" s="1906"/>
      <c r="AA76" s="1906"/>
      <c r="AB76" s="1906"/>
      <c r="AC76" s="1906"/>
      <c r="AD76" s="1906"/>
      <c r="AE76" s="1906"/>
      <c r="AF76" s="1906"/>
      <c r="AG76" s="1906"/>
      <c r="AH76" s="1906"/>
      <c r="AI76" s="1906"/>
      <c r="AJ76" s="190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31">
        <f>IF(AK56&gt;0,0,AO65)</f>
        <v>10</v>
      </c>
      <c r="AL78" s="1932"/>
      <c r="AM78" s="193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1" t="s">
        <v>1414</v>
      </c>
      <c r="AF81" s="1911"/>
      <c r="AG81" s="1911"/>
      <c r="AH81" s="1911"/>
      <c r="AI81" s="1911"/>
      <c r="AJ81" s="1911"/>
      <c r="AK81" s="191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901" t="s">
        <v>599</v>
      </c>
      <c r="C84" s="1901"/>
      <c r="D84" s="581" t="s">
        <v>1424</v>
      </c>
      <c r="E84" s="1912" t="s">
        <v>1434</v>
      </c>
      <c r="F84" s="1913"/>
      <c r="G84" s="1913"/>
      <c r="H84" s="1913"/>
      <c r="I84" s="1913"/>
      <c r="J84" s="1913"/>
      <c r="K84" s="1913"/>
      <c r="L84" s="1913"/>
      <c r="M84" s="1913"/>
      <c r="N84" s="1913"/>
      <c r="O84" s="1913"/>
      <c r="P84" s="1913"/>
      <c r="Q84" s="1913"/>
      <c r="R84" s="1913"/>
      <c r="S84" s="1913"/>
      <c r="T84" s="1913"/>
      <c r="U84" s="1913"/>
      <c r="V84" s="1913"/>
      <c r="W84" s="1913"/>
      <c r="X84" s="1913"/>
      <c r="Y84" s="1913"/>
      <c r="Z84" s="1913"/>
      <c r="AA84" s="1913"/>
      <c r="AB84" s="1913"/>
      <c r="AC84" s="1913"/>
      <c r="AD84" s="1913"/>
      <c r="AE84" s="1913"/>
      <c r="AF84" s="1913"/>
      <c r="AG84" s="1913"/>
      <c r="AH84" s="1913"/>
      <c r="AI84" s="1913"/>
      <c r="AJ84" s="1914"/>
      <c r="AK84" s="577"/>
      <c r="AL84" s="574"/>
      <c r="AM84" s="574"/>
      <c r="AN84" s="569"/>
    </row>
    <row r="85" spans="1:43" s="570" customFormat="1" ht="12.75" customHeight="1">
      <c r="A85" s="572"/>
      <c r="B85" s="573"/>
      <c r="C85" s="573"/>
      <c r="D85" s="573"/>
      <c r="E85" s="1915"/>
      <c r="F85" s="1916"/>
      <c r="G85" s="1916"/>
      <c r="H85" s="1916"/>
      <c r="I85" s="1916"/>
      <c r="J85" s="1916"/>
      <c r="K85" s="1916"/>
      <c r="L85" s="1916"/>
      <c r="M85" s="1916"/>
      <c r="N85" s="1916"/>
      <c r="O85" s="1916"/>
      <c r="P85" s="1916"/>
      <c r="Q85" s="1916"/>
      <c r="R85" s="1916"/>
      <c r="S85" s="1916"/>
      <c r="T85" s="1916"/>
      <c r="U85" s="1916"/>
      <c r="V85" s="1916"/>
      <c r="W85" s="1916"/>
      <c r="X85" s="1916"/>
      <c r="Y85" s="1916"/>
      <c r="Z85" s="1916"/>
      <c r="AA85" s="1916"/>
      <c r="AB85" s="1916"/>
      <c r="AC85" s="1916"/>
      <c r="AD85" s="1916"/>
      <c r="AE85" s="1916"/>
      <c r="AF85" s="1916"/>
      <c r="AG85" s="1916"/>
      <c r="AH85" s="1916"/>
      <c r="AI85" s="1916"/>
      <c r="AJ85" s="191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5">
        <f>Application!AC753</f>
        <v>0.48346456692913392</v>
      </c>
      <c r="F87" s="1896"/>
      <c r="G87" s="1896"/>
      <c r="H87" s="1896"/>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7">
        <f>0.6-ROUNDUP(E87,2)</f>
        <v>0.10999999999999999</v>
      </c>
      <c r="F88" s="1898"/>
      <c r="G88" s="1898"/>
      <c r="H88" s="1898"/>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5">
        <f>IF(E88*200&gt;20,20,E88*200)</f>
        <v>20</v>
      </c>
      <c r="F89" s="1926"/>
      <c r="G89" s="1926"/>
      <c r="H89" s="1926"/>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901" t="s">
        <v>553</v>
      </c>
      <c r="C92" s="1901"/>
      <c r="D92" s="581" t="s">
        <v>1426</v>
      </c>
      <c r="E92" s="1912" t="s">
        <v>1913</v>
      </c>
      <c r="F92" s="1913"/>
      <c r="G92" s="1913"/>
      <c r="H92" s="1913"/>
      <c r="I92" s="1913"/>
      <c r="J92" s="1913"/>
      <c r="K92" s="1913"/>
      <c r="L92" s="1913"/>
      <c r="M92" s="1913"/>
      <c r="N92" s="1913"/>
      <c r="O92" s="1913"/>
      <c r="P92" s="1913"/>
      <c r="Q92" s="1913"/>
      <c r="R92" s="1913"/>
      <c r="S92" s="1913"/>
      <c r="T92" s="1913"/>
      <c r="U92" s="1913"/>
      <c r="V92" s="1913"/>
      <c r="W92" s="1913"/>
      <c r="X92" s="1913"/>
      <c r="Y92" s="1913"/>
      <c r="Z92" s="1913"/>
      <c r="AA92" s="1913"/>
      <c r="AB92" s="1913"/>
      <c r="AC92" s="1913"/>
      <c r="AD92" s="1913"/>
      <c r="AE92" s="1913"/>
      <c r="AF92" s="1913"/>
      <c r="AG92" s="1913"/>
      <c r="AH92" s="1913"/>
      <c r="AI92" s="1913"/>
      <c r="AJ92" s="1914"/>
      <c r="AK92" s="577"/>
      <c r="AL92" s="574"/>
      <c r="AM92" s="574"/>
      <c r="AN92" s="569"/>
    </row>
    <row r="93" spans="1:43" s="570" customFormat="1" ht="12.75" customHeight="1">
      <c r="A93" s="572"/>
      <c r="B93" s="573"/>
      <c r="C93" s="573"/>
      <c r="D93" s="573"/>
      <c r="E93" s="1915"/>
      <c r="F93" s="1916"/>
      <c r="G93" s="1916"/>
      <c r="H93" s="1916"/>
      <c r="I93" s="1916"/>
      <c r="J93" s="1916"/>
      <c r="K93" s="1916"/>
      <c r="L93" s="1916"/>
      <c r="M93" s="1916"/>
      <c r="N93" s="1916"/>
      <c r="O93" s="1916"/>
      <c r="P93" s="1916"/>
      <c r="Q93" s="1916"/>
      <c r="R93" s="1916"/>
      <c r="S93" s="1916"/>
      <c r="T93" s="1916"/>
      <c r="U93" s="1916"/>
      <c r="V93" s="1916"/>
      <c r="W93" s="1916"/>
      <c r="X93" s="1916"/>
      <c r="Y93" s="1916"/>
      <c r="Z93" s="1916"/>
      <c r="AA93" s="1916"/>
      <c r="AB93" s="1916"/>
      <c r="AC93" s="1916"/>
      <c r="AD93" s="1916"/>
      <c r="AE93" s="1916"/>
      <c r="AF93" s="1916"/>
      <c r="AG93" s="1916"/>
      <c r="AH93" s="1916"/>
      <c r="AI93" s="1916"/>
      <c r="AJ93" s="1917"/>
      <c r="AK93" s="577"/>
      <c r="AL93" s="574"/>
      <c r="AM93" s="574"/>
      <c r="AN93" s="569"/>
    </row>
    <row r="94" spans="1:43" s="570" customFormat="1" ht="12.75" customHeight="1">
      <c r="A94" s="572"/>
      <c r="B94" s="573"/>
      <c r="C94" s="573"/>
      <c r="D94" s="573"/>
      <c r="E94" s="1915"/>
      <c r="F94" s="1916"/>
      <c r="G94" s="1916"/>
      <c r="H94" s="1916"/>
      <c r="I94" s="1916"/>
      <c r="J94" s="1916"/>
      <c r="K94" s="1916"/>
      <c r="L94" s="1916"/>
      <c r="M94" s="1916"/>
      <c r="N94" s="1916"/>
      <c r="O94" s="1916"/>
      <c r="P94" s="1916"/>
      <c r="Q94" s="1916"/>
      <c r="R94" s="1916"/>
      <c r="S94" s="1916"/>
      <c r="T94" s="1916"/>
      <c r="U94" s="1916"/>
      <c r="V94" s="1916"/>
      <c r="W94" s="1916"/>
      <c r="X94" s="1916"/>
      <c r="Y94" s="1916"/>
      <c r="Z94" s="1916"/>
      <c r="AA94" s="1916"/>
      <c r="AB94" s="1916"/>
      <c r="AC94" s="1916"/>
      <c r="AD94" s="1916"/>
      <c r="AE94" s="1916"/>
      <c r="AF94" s="1916"/>
      <c r="AG94" s="1916"/>
      <c r="AH94" s="1916"/>
      <c r="AI94" s="1916"/>
      <c r="AJ94" s="1917"/>
      <c r="AK94" s="577"/>
      <c r="AL94" s="574"/>
      <c r="AM94" s="574"/>
      <c r="AN94" s="569"/>
    </row>
    <row r="95" spans="1:43" s="570" customFormat="1" ht="12.75" customHeight="1">
      <c r="A95" s="572"/>
      <c r="B95" s="573"/>
      <c r="C95" s="573"/>
      <c r="D95" s="573"/>
      <c r="E95" s="1915"/>
      <c r="F95" s="1916"/>
      <c r="G95" s="1916"/>
      <c r="H95" s="1916"/>
      <c r="I95" s="1916"/>
      <c r="J95" s="1916"/>
      <c r="K95" s="1916"/>
      <c r="L95" s="1916"/>
      <c r="M95" s="1916"/>
      <c r="N95" s="1916"/>
      <c r="O95" s="1916"/>
      <c r="P95" s="1916"/>
      <c r="Q95" s="1916"/>
      <c r="R95" s="1916"/>
      <c r="S95" s="1916"/>
      <c r="T95" s="1916"/>
      <c r="U95" s="1916"/>
      <c r="V95" s="1916"/>
      <c r="W95" s="1916"/>
      <c r="X95" s="1916"/>
      <c r="Y95" s="1916"/>
      <c r="Z95" s="1916"/>
      <c r="AA95" s="1916"/>
      <c r="AB95" s="1916"/>
      <c r="AC95" s="1916"/>
      <c r="AD95" s="1916"/>
      <c r="AE95" s="1916"/>
      <c r="AF95" s="1916"/>
      <c r="AG95" s="1916"/>
      <c r="AH95" s="1916"/>
      <c r="AI95" s="1916"/>
      <c r="AJ95" s="191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5">
        <f>Application!AC753</f>
        <v>0.48346456692913392</v>
      </c>
      <c r="F97" s="1896"/>
      <c r="G97" s="1896"/>
      <c r="H97" s="1896"/>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5">
        <f ca="1">SUMIF(Application!AC718:AG752,0.2,Application!G718:J752)/Application!G753+SUMIF(Application!AC718:AG752,0.25,Application!G718:J752)/Application!G753+SUMIF(Application!AC718:AG752,0.3,Application!G718:J752)/Application!G753</f>
        <v>0.19685039370078741</v>
      </c>
      <c r="F98" s="1896"/>
      <c r="G98" s="1896"/>
      <c r="H98" s="1896"/>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5">
        <f ca="1">SUMIF(Application!AC718:AG752,0.35,Application!G718:J752)/Application!G753+SUMIF(Application!AC718:AG752,0.4,Application!G718:J752)/Application!G753+SUMIF(Application!AC718:AG752,0.45,Application!G718:J752)/Application!G753+SUMIF(Application!AC718:AG752,0.5,Application!G718:J752)/Application!G753</f>
        <v>0.34645669291338582</v>
      </c>
      <c r="F99" s="1896"/>
      <c r="G99" s="1896"/>
      <c r="H99" s="1896"/>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50">
        <f ca="1">IF(AND(E97&lt;=0.6,OR(AND(E98&gt;=0.1,E99&gt;=0.1),AND(E98&gt;0.1,(E98+E99)&gt;=0.2))),20,0)</f>
        <v>20</v>
      </c>
      <c r="F100" s="1951"/>
      <c r="G100" s="1951"/>
      <c r="H100" s="195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31">
        <f ca="1">MAX(AP89,AP100)</f>
        <v>20</v>
      </c>
      <c r="AL103" s="1932"/>
      <c r="AM103" s="193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1" t="s">
        <v>1423</v>
      </c>
      <c r="AF106" s="1911"/>
      <c r="AG106" s="1911"/>
      <c r="AH106" s="1911"/>
      <c r="AI106" s="1911"/>
      <c r="AJ106" s="1911"/>
      <c r="AK106" s="1911"/>
      <c r="AL106" s="574"/>
      <c r="AM106" s="574"/>
      <c r="AN106" s="569"/>
      <c r="AO106" s="570" t="str">
        <f>Application!B718</f>
        <v>1 Bedroom</v>
      </c>
      <c r="AQ106" s="570">
        <f>Application!O718</f>
        <v>513</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955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1066</v>
      </c>
    </row>
    <row r="109" spans="1:49" s="570" customFormat="1" ht="12.75" customHeight="1">
      <c r="A109" s="574"/>
      <c r="B109" s="1901" t="s">
        <v>553</v>
      </c>
      <c r="C109" s="1901"/>
      <c r="D109" s="581" t="s">
        <v>1424</v>
      </c>
      <c r="E109" s="1912" t="s">
        <v>2047</v>
      </c>
      <c r="F109" s="1913"/>
      <c r="G109" s="1913"/>
      <c r="H109" s="1913"/>
      <c r="I109" s="1913"/>
      <c r="J109" s="1913"/>
      <c r="K109" s="1913"/>
      <c r="L109" s="1913"/>
      <c r="M109" s="1913"/>
      <c r="N109" s="1913"/>
      <c r="O109" s="1913"/>
      <c r="P109" s="1913"/>
      <c r="Q109" s="1913"/>
      <c r="R109" s="1913"/>
      <c r="S109" s="1913"/>
      <c r="T109" s="1913"/>
      <c r="U109" s="1913"/>
      <c r="V109" s="1913"/>
      <c r="W109" s="1913"/>
      <c r="X109" s="1913"/>
      <c r="Y109" s="1913"/>
      <c r="Z109" s="1913"/>
      <c r="AA109" s="1913"/>
      <c r="AB109" s="1913"/>
      <c r="AC109" s="1913"/>
      <c r="AD109" s="1913"/>
      <c r="AE109" s="1913"/>
      <c r="AF109" s="1913"/>
      <c r="AG109" s="1913"/>
      <c r="AH109" s="1913"/>
      <c r="AI109" s="1913"/>
      <c r="AJ109" s="1914"/>
      <c r="AK109" s="574"/>
      <c r="AL109" s="574"/>
      <c r="AM109" s="574"/>
      <c r="AN109" s="569"/>
      <c r="AO109" s="570" t="str">
        <f>Application!B721</f>
        <v>2 Bedrooms</v>
      </c>
      <c r="AQ109" s="570">
        <f>Application!O721</f>
        <v>589</v>
      </c>
      <c r="AU109" s="570" t="s">
        <v>2029</v>
      </c>
      <c r="AV109" s="629" t="s">
        <v>2030</v>
      </c>
      <c r="AW109" s="570" t="s">
        <v>2031</v>
      </c>
    </row>
    <row r="110" spans="1:49" s="570" customFormat="1" ht="12.75" customHeight="1">
      <c r="A110" s="574"/>
      <c r="B110" s="573"/>
      <c r="C110" s="573"/>
      <c r="D110" s="573"/>
      <c r="E110" s="1915"/>
      <c r="F110" s="1916"/>
      <c r="G110" s="1916"/>
      <c r="H110" s="1916"/>
      <c r="I110" s="1916"/>
      <c r="J110" s="1916"/>
      <c r="K110" s="1916"/>
      <c r="L110" s="1916"/>
      <c r="M110" s="1916"/>
      <c r="N110" s="1916"/>
      <c r="O110" s="1916"/>
      <c r="P110" s="1916"/>
      <c r="Q110" s="1916"/>
      <c r="R110" s="1916"/>
      <c r="S110" s="1916"/>
      <c r="T110" s="1916"/>
      <c r="U110" s="1916"/>
      <c r="V110" s="1916"/>
      <c r="W110" s="1916"/>
      <c r="X110" s="1916"/>
      <c r="Y110" s="1916"/>
      <c r="Z110" s="1916"/>
      <c r="AA110" s="1916"/>
      <c r="AB110" s="1916"/>
      <c r="AC110" s="1916"/>
      <c r="AD110" s="1916"/>
      <c r="AE110" s="1916"/>
      <c r="AF110" s="1916"/>
      <c r="AG110" s="1916"/>
      <c r="AH110" s="1916"/>
      <c r="AI110" s="1916"/>
      <c r="AJ110" s="1917"/>
      <c r="AK110" s="574"/>
      <c r="AL110" s="574"/>
      <c r="AM110" s="574"/>
      <c r="AN110" s="569"/>
      <c r="AO110" s="570" t="str">
        <f>Application!B722</f>
        <v>2 Bedrooms</v>
      </c>
      <c r="AQ110" s="570">
        <f>Application!O722</f>
        <v>1120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5"/>
      <c r="F111" s="1916"/>
      <c r="G111" s="1916"/>
      <c r="H111" s="1916"/>
      <c r="I111" s="1916"/>
      <c r="J111" s="1916"/>
      <c r="K111" s="1916"/>
      <c r="L111" s="1916"/>
      <c r="M111" s="1916"/>
      <c r="N111" s="1916"/>
      <c r="O111" s="1916"/>
      <c r="P111" s="1916"/>
      <c r="Q111" s="1916"/>
      <c r="R111" s="1916"/>
      <c r="S111" s="1916"/>
      <c r="T111" s="1916"/>
      <c r="U111" s="1916"/>
      <c r="V111" s="1916"/>
      <c r="W111" s="1916"/>
      <c r="X111" s="1916"/>
      <c r="Y111" s="1916"/>
      <c r="Z111" s="1916"/>
      <c r="AA111" s="1916"/>
      <c r="AB111" s="1916"/>
      <c r="AC111" s="1916"/>
      <c r="AD111" s="1916"/>
      <c r="AE111" s="1916"/>
      <c r="AF111" s="1916"/>
      <c r="AG111" s="1916"/>
      <c r="AH111" s="1916"/>
      <c r="AI111" s="1916"/>
      <c r="AJ111" s="1917"/>
      <c r="AK111" s="574"/>
      <c r="AL111" s="574"/>
      <c r="AM111" s="574"/>
      <c r="AN111" s="569"/>
      <c r="AO111" s="570" t="str">
        <f>Application!B723</f>
        <v>2 Bedrooms</v>
      </c>
      <c r="AQ111" s="570">
        <f>Application!O723</f>
        <v>1252</v>
      </c>
      <c r="AU111" s="890" t="str">
        <f>J118</f>
        <v>1-bedroom</v>
      </c>
      <c r="AV111" s="570">
        <f t="array" ref="AV111">SUM(IF(Application!B718:F752="1 Bedroom",Application!G718:J752))</f>
        <v>62</v>
      </c>
      <c r="AW111" s="1046">
        <f>AV111/AV116</f>
        <v>0.48818897637795278</v>
      </c>
    </row>
    <row r="112" spans="1:49" s="570" customFormat="1" ht="12.75" customHeight="1">
      <c r="A112" s="574"/>
      <c r="B112" s="573"/>
      <c r="C112" s="573"/>
      <c r="D112" s="573"/>
      <c r="E112" s="1915"/>
      <c r="F112" s="1916"/>
      <c r="G112" s="1916"/>
      <c r="H112" s="1916"/>
      <c r="I112" s="1916"/>
      <c r="J112" s="1916"/>
      <c r="K112" s="1916"/>
      <c r="L112" s="1916"/>
      <c r="M112" s="1916"/>
      <c r="N112" s="1916"/>
      <c r="O112" s="1916"/>
      <c r="P112" s="1916"/>
      <c r="Q112" s="1916"/>
      <c r="R112" s="1916"/>
      <c r="S112" s="1916"/>
      <c r="T112" s="1916"/>
      <c r="U112" s="1916"/>
      <c r="V112" s="1916"/>
      <c r="W112" s="1916"/>
      <c r="X112" s="1916"/>
      <c r="Y112" s="1916"/>
      <c r="Z112" s="1916"/>
      <c r="AA112" s="1916"/>
      <c r="AB112" s="1916"/>
      <c r="AC112" s="1916"/>
      <c r="AD112" s="1916"/>
      <c r="AE112" s="1916"/>
      <c r="AF112" s="1916"/>
      <c r="AG112" s="1916"/>
      <c r="AH112" s="1916"/>
      <c r="AI112" s="1916"/>
      <c r="AJ112" s="1917"/>
      <c r="AK112" s="574"/>
      <c r="AL112" s="574"/>
      <c r="AM112" s="574"/>
      <c r="AN112" s="569"/>
      <c r="AO112" s="570" t="str">
        <f>Application!B724</f>
        <v>3 Bedrooms</v>
      </c>
      <c r="AQ112" s="570">
        <f>Application!O724</f>
        <v>693</v>
      </c>
      <c r="AU112" s="890" t="str">
        <f>O118</f>
        <v>2-bedroom</v>
      </c>
      <c r="AV112" s="570">
        <f t="array" ref="AV112">SUM(IF(Application!B718:F752="2 Bedrooms",Application!G718:J752))</f>
        <v>32</v>
      </c>
      <c r="AW112" s="1046">
        <f>AV112/AV116</f>
        <v>0.25196850393700787</v>
      </c>
    </row>
    <row r="113" spans="1:52" s="570" customFormat="1" ht="12.75" customHeight="1">
      <c r="A113" s="574"/>
      <c r="B113" s="573"/>
      <c r="C113" s="573"/>
      <c r="D113" s="573"/>
      <c r="E113" s="1915"/>
      <c r="F113" s="1916"/>
      <c r="G113" s="1916"/>
      <c r="H113" s="1916"/>
      <c r="I113" s="1916"/>
      <c r="J113" s="1916"/>
      <c r="K113" s="1916"/>
      <c r="L113" s="1916"/>
      <c r="M113" s="1916"/>
      <c r="N113" s="1916"/>
      <c r="O113" s="1916"/>
      <c r="P113" s="1916"/>
      <c r="Q113" s="1916"/>
      <c r="R113" s="1916"/>
      <c r="S113" s="1916"/>
      <c r="T113" s="1916"/>
      <c r="U113" s="1916"/>
      <c r="V113" s="1916"/>
      <c r="W113" s="1916"/>
      <c r="X113" s="1916"/>
      <c r="Y113" s="1916"/>
      <c r="Z113" s="1916"/>
      <c r="AA113" s="1916"/>
      <c r="AB113" s="1916"/>
      <c r="AC113" s="1916"/>
      <c r="AD113" s="1916"/>
      <c r="AE113" s="1916"/>
      <c r="AF113" s="1916"/>
      <c r="AG113" s="1916"/>
      <c r="AH113" s="1916"/>
      <c r="AI113" s="1916"/>
      <c r="AJ113" s="1917"/>
      <c r="AK113" s="574"/>
      <c r="AL113" s="574"/>
      <c r="AM113" s="574"/>
      <c r="AN113" s="569"/>
      <c r="AO113" s="570" t="str">
        <f>Application!B725</f>
        <v>3 Bedrooms</v>
      </c>
      <c r="AQ113" s="570">
        <f>Application!O725</f>
        <v>1306</v>
      </c>
      <c r="AU113" s="890" t="str">
        <f>T118</f>
        <v>3-bedroom</v>
      </c>
      <c r="AV113" s="570">
        <f t="array" ref="AV113">SUM(IF(Application!B718:F752="3 Bedrooms",Application!G718:J752))</f>
        <v>33</v>
      </c>
      <c r="AW113" s="1046">
        <f>AV113/AV116</f>
        <v>0.25984251968503935</v>
      </c>
    </row>
    <row r="114" spans="1:52" s="570" customFormat="1" ht="12.75" customHeight="1">
      <c r="A114" s="574"/>
      <c r="B114" s="573"/>
      <c r="C114" s="573"/>
      <c r="D114" s="573"/>
      <c r="E114" s="1915"/>
      <c r="F114" s="1916"/>
      <c r="G114" s="1916"/>
      <c r="H114" s="1916"/>
      <c r="I114" s="1916"/>
      <c r="J114" s="1916"/>
      <c r="K114" s="1916"/>
      <c r="L114" s="1916"/>
      <c r="M114" s="1916"/>
      <c r="N114" s="1916"/>
      <c r="O114" s="1916"/>
      <c r="P114" s="1916"/>
      <c r="Q114" s="1916"/>
      <c r="R114" s="1916"/>
      <c r="S114" s="1916"/>
      <c r="T114" s="1916"/>
      <c r="U114" s="1916"/>
      <c r="V114" s="1916"/>
      <c r="W114" s="1916"/>
      <c r="X114" s="1916"/>
      <c r="Y114" s="1916"/>
      <c r="Z114" s="1916"/>
      <c r="AA114" s="1916"/>
      <c r="AB114" s="1916"/>
      <c r="AC114" s="1916"/>
      <c r="AD114" s="1916"/>
      <c r="AE114" s="1916"/>
      <c r="AF114" s="1916"/>
      <c r="AG114" s="1916"/>
      <c r="AH114" s="1916"/>
      <c r="AI114" s="1916"/>
      <c r="AJ114" s="1917"/>
      <c r="AK114" s="574"/>
      <c r="AL114" s="574"/>
      <c r="AM114" s="574"/>
      <c r="AN114" s="569"/>
      <c r="AO114" s="570" t="str">
        <f>Application!B726</f>
        <v>3 Bedrooms</v>
      </c>
      <c r="AQ114" s="570">
        <f>Application!O726</f>
        <v>1459</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5"/>
      <c r="F115" s="1916"/>
      <c r="G115" s="1916"/>
      <c r="H115" s="1916"/>
      <c r="I115" s="1916"/>
      <c r="J115" s="1916"/>
      <c r="K115" s="1916"/>
      <c r="L115" s="1916"/>
      <c r="M115" s="1916"/>
      <c r="N115" s="1916"/>
      <c r="O115" s="1916"/>
      <c r="P115" s="1916"/>
      <c r="Q115" s="1916"/>
      <c r="R115" s="1916"/>
      <c r="S115" s="1916"/>
      <c r="T115" s="1916"/>
      <c r="U115" s="1916"/>
      <c r="V115" s="1916"/>
      <c r="W115" s="1916"/>
      <c r="X115" s="1916"/>
      <c r="Y115" s="1916"/>
      <c r="Z115" s="1916"/>
      <c r="AA115" s="1916"/>
      <c r="AB115" s="1916"/>
      <c r="AC115" s="1916"/>
      <c r="AD115" s="1916"/>
      <c r="AE115" s="1916"/>
      <c r="AF115" s="1916"/>
      <c r="AG115" s="1916"/>
      <c r="AH115" s="1916"/>
      <c r="AI115" s="1916"/>
      <c r="AJ115" s="191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5"/>
      <c r="F116" s="1916"/>
      <c r="G116" s="1916"/>
      <c r="H116" s="1916"/>
      <c r="I116" s="1916"/>
      <c r="J116" s="1916"/>
      <c r="K116" s="1916"/>
      <c r="L116" s="1916"/>
      <c r="M116" s="1916"/>
      <c r="N116" s="1916"/>
      <c r="O116" s="1916"/>
      <c r="P116" s="1916"/>
      <c r="Q116" s="1916"/>
      <c r="R116" s="1916"/>
      <c r="S116" s="1916"/>
      <c r="T116" s="1916"/>
      <c r="U116" s="1916"/>
      <c r="V116" s="1916"/>
      <c r="W116" s="1916"/>
      <c r="X116" s="1916"/>
      <c r="Y116" s="1916"/>
      <c r="Z116" s="1916"/>
      <c r="AA116" s="1916"/>
      <c r="AB116" s="1916"/>
      <c r="AC116" s="1916"/>
      <c r="AD116" s="1916"/>
      <c r="AE116" s="1916"/>
      <c r="AF116" s="1916"/>
      <c r="AG116" s="1916"/>
      <c r="AH116" s="1916"/>
      <c r="AI116" s="1916"/>
      <c r="AJ116" s="1917"/>
      <c r="AK116" s="574"/>
      <c r="AL116" s="574"/>
      <c r="AM116" s="574"/>
      <c r="AN116" s="569"/>
      <c r="AO116" s="570">
        <f>Application!B728</f>
        <v>0</v>
      </c>
      <c r="AQ116" s="570">
        <f>Application!O728</f>
        <v>0</v>
      </c>
      <c r="AV116" s="570">
        <f>SUM(AV110:AV115)</f>
        <v>127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95" t="s">
        <v>1698</v>
      </c>
      <c r="F118" s="1896"/>
      <c r="G118" s="1896"/>
      <c r="H118" s="1896"/>
      <c r="I118" s="611"/>
      <c r="J118" s="1896" t="s">
        <v>1742</v>
      </c>
      <c r="K118" s="1896"/>
      <c r="L118" s="1896"/>
      <c r="M118" s="1896"/>
      <c r="N118" s="611"/>
      <c r="O118" s="1896" t="s">
        <v>1743</v>
      </c>
      <c r="P118" s="1896"/>
      <c r="Q118" s="1896"/>
      <c r="R118" s="1896"/>
      <c r="S118" s="611"/>
      <c r="T118" s="1896" t="s">
        <v>1443</v>
      </c>
      <c r="U118" s="1896"/>
      <c r="V118" s="1896"/>
      <c r="W118" s="1896"/>
      <c r="X118" s="611"/>
      <c r="Y118" s="1896" t="s">
        <v>1744</v>
      </c>
      <c r="Z118" s="1896"/>
      <c r="AA118" s="1896"/>
      <c r="AB118" s="1896"/>
      <c r="AC118" s="611"/>
      <c r="AD118" s="1896" t="s">
        <v>1745</v>
      </c>
      <c r="AE118" s="1896"/>
      <c r="AF118" s="1896"/>
      <c r="AG118" s="189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52"/>
      <c r="F121" s="1953"/>
      <c r="G121" s="1953"/>
      <c r="H121" s="1953"/>
      <c r="I121" s="898"/>
      <c r="J121" s="1953">
        <v>1462</v>
      </c>
      <c r="K121" s="1953"/>
      <c r="L121" s="1953"/>
      <c r="M121" s="1953"/>
      <c r="N121" s="898"/>
      <c r="O121" s="1953">
        <v>1647</v>
      </c>
      <c r="P121" s="1953"/>
      <c r="Q121" s="1953"/>
      <c r="R121" s="1953"/>
      <c r="S121" s="898"/>
      <c r="T121" s="1953">
        <v>1719</v>
      </c>
      <c r="U121" s="1953"/>
      <c r="V121" s="1953"/>
      <c r="W121" s="1953"/>
      <c r="X121" s="898"/>
      <c r="Y121" s="1953"/>
      <c r="Z121" s="1953"/>
      <c r="AA121" s="1953"/>
      <c r="AB121" s="1953"/>
      <c r="AC121" s="898"/>
      <c r="AD121" s="1953"/>
      <c r="AE121" s="1953"/>
      <c r="AF121" s="1953"/>
      <c r="AG121" s="195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5">
        <f>Application!DX670</f>
        <v>0</v>
      </c>
      <c r="F124" s="1946"/>
      <c r="G124" s="1946"/>
      <c r="H124" s="1946"/>
      <c r="I124" s="898"/>
      <c r="J124" s="1946">
        <f>Application!EC670</f>
        <v>864.27419354838707</v>
      </c>
      <c r="K124" s="1946"/>
      <c r="L124" s="1946"/>
      <c r="M124" s="1946"/>
      <c r="N124" s="898"/>
      <c r="O124" s="1946">
        <f>Application!EH670</f>
        <v>1144.46875</v>
      </c>
      <c r="P124" s="1946"/>
      <c r="Q124" s="1946"/>
      <c r="R124" s="1946"/>
      <c r="S124" s="902"/>
      <c r="T124" s="1946">
        <f>Application!EM670</f>
        <v>1319.787878787879</v>
      </c>
      <c r="U124" s="1946"/>
      <c r="V124" s="1946"/>
      <c r="W124" s="1946"/>
      <c r="X124" s="902"/>
      <c r="Y124" s="1946">
        <f>Application!ER670</f>
        <v>0</v>
      </c>
      <c r="Z124" s="1946"/>
      <c r="AA124" s="1946"/>
      <c r="AB124" s="1946"/>
      <c r="AC124" s="902"/>
      <c r="AD124" s="1946">
        <f>Application!EW670</f>
        <v>0</v>
      </c>
      <c r="AE124" s="1946"/>
      <c r="AF124" s="1946"/>
      <c r="AG124" s="194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3" t="e">
        <f>(E121-E124)/E121</f>
        <v>#DIV/0!</v>
      </c>
      <c r="F127" s="1898"/>
      <c r="G127" s="1898"/>
      <c r="H127" s="2144"/>
      <c r="I127" s="611"/>
      <c r="J127" s="2143">
        <f>(J121-J124)/J121</f>
        <v>0.40884118088345617</v>
      </c>
      <c r="K127" s="1898"/>
      <c r="L127" s="1898"/>
      <c r="M127" s="2144"/>
      <c r="N127" s="611"/>
      <c r="O127" s="2143">
        <f>(O121-O124)/O121</f>
        <v>0.3051191560412872</v>
      </c>
      <c r="P127" s="1898"/>
      <c r="Q127" s="1898"/>
      <c r="R127" s="2144"/>
      <c r="S127" s="611"/>
      <c r="T127" s="2143">
        <f>(T121-T124)/T121</f>
        <v>0.2322350908738342</v>
      </c>
      <c r="U127" s="1898"/>
      <c r="V127" s="1898"/>
      <c r="W127" s="2144"/>
      <c r="X127" s="611"/>
      <c r="Y127" s="2143" t="e">
        <f>(Y121-Y124)/Y121</f>
        <v>#DIV/0!</v>
      </c>
      <c r="Z127" s="1898"/>
      <c r="AA127" s="1898"/>
      <c r="AB127" s="2144"/>
      <c r="AC127" s="611"/>
      <c r="AD127" s="2143" t="e">
        <f>(AD121-AD124)/AD121</f>
        <v>#DIV/0!</v>
      </c>
      <c r="AE127" s="1898"/>
      <c r="AF127" s="1898"/>
      <c r="AG127" s="214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7" t="e">
        <f>IF(((E127-0.1)*AW110)&gt;0,((E127-0.1)*AW110),0)</f>
        <v>#DIV/0!</v>
      </c>
      <c r="F130" s="1948"/>
      <c r="G130" s="1948"/>
      <c r="H130" s="1949"/>
      <c r="I130" s="611"/>
      <c r="J130" s="1947">
        <f>IF(((J127-0.1)*AW111)&gt;0,((J127-0.1)*AW111),0)</f>
        <v>0.15077285995885262</v>
      </c>
      <c r="K130" s="1948"/>
      <c r="L130" s="1948"/>
      <c r="M130" s="1949"/>
      <c r="N130" s="611"/>
      <c r="O130" s="1947">
        <f>IF(((O127-0.1)*AW112)&gt;0,((O127-0.1)*AW112),0)</f>
        <v>5.1683566876544802E-2</v>
      </c>
      <c r="P130" s="1948"/>
      <c r="Q130" s="1948"/>
      <c r="R130" s="1949"/>
      <c r="S130" s="611"/>
      <c r="T130" s="1947">
        <f>IF(((T127-0.1)*AW113)&gt;0,((T127-0.1)*AW113),0)</f>
        <v>3.4360299203437229E-2</v>
      </c>
      <c r="U130" s="1948"/>
      <c r="V130" s="1948"/>
      <c r="W130" s="1949"/>
      <c r="X130" s="611"/>
      <c r="Y130" s="1947" t="e">
        <f>IF(((Y127-0.1)*AW114)&gt;0,((Y127-0.1)*AW114),0)</f>
        <v>#DIV/0!</v>
      </c>
      <c r="Z130" s="1948"/>
      <c r="AA130" s="1948"/>
      <c r="AB130" s="1949"/>
      <c r="AC130" s="611"/>
      <c r="AD130" s="1947" t="e">
        <f>IF(((AD127-0.1)*AW115)&gt;0,((AD127-0.1)*AW115),0)</f>
        <v>#DIV/0!</v>
      </c>
      <c r="AE130" s="1948"/>
      <c r="AF130" s="1948"/>
      <c r="AG130" s="194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3">
        <f>ROUNDDOWN(SUMIF(E130:AG130,"&gt;0"),2)</f>
        <v>0.23</v>
      </c>
      <c r="F132" s="1898"/>
      <c r="G132" s="1898"/>
      <c r="H132" s="2144"/>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31">
        <f>IF((E132*100)&gt;10,10,E132*100)</f>
        <v>10</v>
      </c>
      <c r="F133" s="1932"/>
      <c r="G133" s="1932"/>
      <c r="H133" s="1933"/>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31">
        <f>E133</f>
        <v>10</v>
      </c>
      <c r="AL137" s="1932"/>
      <c r="AM137" s="193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11" t="s">
        <v>1423</v>
      </c>
      <c r="AF140" s="1911"/>
      <c r="AG140" s="1911"/>
      <c r="AH140" s="1911"/>
      <c r="AI140" s="1911"/>
      <c r="AJ140" s="1911"/>
      <c r="AK140" s="191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3" t="s">
        <v>1447</v>
      </c>
      <c r="AG142" s="1943"/>
      <c r="AH142" s="1943"/>
      <c r="AI142" s="1943"/>
      <c r="AJ142" s="1943"/>
      <c r="AK142" s="1943"/>
      <c r="AL142" s="1943"/>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4" t="s">
        <v>2657</v>
      </c>
      <c r="C144" s="1944"/>
      <c r="D144" s="1944"/>
      <c r="E144" s="1944"/>
      <c r="F144" s="1944"/>
      <c r="G144" s="1944"/>
      <c r="H144" s="1944"/>
      <c r="I144" s="1944"/>
      <c r="J144" s="1944"/>
      <c r="K144" s="1944"/>
      <c r="L144" s="1944"/>
      <c r="M144" s="1944"/>
      <c r="N144" s="1944"/>
      <c r="O144" s="1944"/>
      <c r="P144" s="1944"/>
      <c r="Q144" s="1944"/>
      <c r="R144" s="1944"/>
      <c r="S144" s="1944"/>
      <c r="T144" s="1944"/>
      <c r="U144" s="1944"/>
      <c r="V144" s="1944"/>
      <c r="W144" s="1944"/>
      <c r="X144" s="1944"/>
      <c r="Y144" s="1944"/>
      <c r="Z144" s="1944"/>
      <c r="AA144" s="1944"/>
      <c r="AB144" s="1944"/>
      <c r="AC144" s="194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69" t="s">
        <v>1450</v>
      </c>
      <c r="C147" s="1969"/>
      <c r="D147" s="1969"/>
      <c r="E147" s="1969"/>
      <c r="F147" s="1969"/>
      <c r="G147" s="1969"/>
      <c r="H147" s="1969"/>
      <c r="I147" s="1969"/>
      <c r="J147" s="1969"/>
      <c r="K147" s="1969"/>
      <c r="L147" s="1969"/>
      <c r="M147" s="1969"/>
      <c r="N147" s="1969"/>
      <c r="O147" s="1969"/>
      <c r="P147" s="1969"/>
      <c r="Q147" s="1969"/>
      <c r="R147" s="1969"/>
      <c r="S147" s="1969"/>
      <c r="T147" s="1969"/>
      <c r="U147" s="1969"/>
      <c r="V147" s="1969"/>
      <c r="W147" s="1969"/>
      <c r="X147" s="1969"/>
      <c r="Y147" s="1969"/>
      <c r="Z147" s="1969"/>
      <c r="AA147" s="1969"/>
      <c r="AB147" s="1969"/>
      <c r="AC147" s="1969"/>
      <c r="AD147" s="1969"/>
      <c r="AE147" s="1969"/>
      <c r="AF147" s="1969"/>
      <c r="AG147" s="1969"/>
      <c r="AH147" s="1969"/>
      <c r="AI147" s="1969"/>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70" t="s">
        <v>599</v>
      </c>
      <c r="AC149" s="197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69" t="s">
        <v>1452</v>
      </c>
      <c r="C152" s="1969"/>
      <c r="D152" s="1969"/>
      <c r="E152" s="1969"/>
      <c r="F152" s="1969"/>
      <c r="G152" s="1969"/>
      <c r="H152" s="1969"/>
      <c r="I152" s="1969"/>
      <c r="J152" s="1969"/>
      <c r="K152" s="1969"/>
      <c r="L152" s="1969"/>
      <c r="M152" s="1969"/>
      <c r="N152" s="1969"/>
      <c r="O152" s="1969"/>
      <c r="P152" s="1969"/>
      <c r="Q152" s="1969"/>
      <c r="R152" s="1969"/>
      <c r="S152" s="1969"/>
      <c r="T152" s="1969"/>
      <c r="U152" s="1969"/>
      <c r="V152" s="1969"/>
      <c r="W152" s="1969"/>
      <c r="X152" s="1969"/>
      <c r="Y152" s="1969"/>
      <c r="Z152" s="1969"/>
      <c r="AA152" s="1969"/>
      <c r="AB152" s="1969"/>
      <c r="AC152" s="1969"/>
      <c r="AD152" s="1969"/>
      <c r="AE152" s="1969"/>
      <c r="AF152" s="1969"/>
      <c r="AG152" s="1969"/>
      <c r="AH152" s="1969"/>
      <c r="AI152" s="1969"/>
      <c r="AJ152" s="1969"/>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73">
        <f>IF($AB$149="N/A",VLOOKUP($B$147,$AO$145:$AP$148,2,FALSE),VLOOKUP($B$152,$AO$150:$AP$152,2,FALSE))</f>
        <v>7</v>
      </c>
      <c r="AK155" s="197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3" t="s">
        <v>1461</v>
      </c>
      <c r="AG157" s="1943"/>
      <c r="AH157" s="1943"/>
      <c r="AI157" s="1943"/>
      <c r="AJ157" s="1943"/>
      <c r="AK157" s="1943"/>
      <c r="AL157" s="1943"/>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9" t="s">
        <v>1459</v>
      </c>
      <c r="D159" s="1969"/>
      <c r="E159" s="1969"/>
      <c r="F159" s="1969"/>
      <c r="G159" s="1969"/>
      <c r="H159" s="1969"/>
      <c r="I159" s="1969"/>
      <c r="J159" s="1969"/>
      <c r="K159" s="1969"/>
      <c r="L159" s="1969"/>
      <c r="M159" s="1969"/>
      <c r="N159" s="1969"/>
      <c r="O159" s="1969"/>
      <c r="P159" s="1969"/>
      <c r="Q159" s="1969"/>
      <c r="R159" s="1969"/>
      <c r="S159" s="1969"/>
      <c r="T159" s="1969"/>
      <c r="U159" s="1969"/>
      <c r="V159" s="1969"/>
      <c r="W159" s="1969"/>
      <c r="X159" s="1969"/>
      <c r="Y159" s="1969"/>
      <c r="Z159" s="1969"/>
      <c r="AA159" s="1969"/>
      <c r="AB159" s="1969"/>
      <c r="AC159" s="1969"/>
      <c r="AD159" s="1969"/>
      <c r="AE159" s="1969"/>
      <c r="AF159" s="1969"/>
      <c r="AG159" s="1969"/>
      <c r="AH159" s="1969"/>
      <c r="AI159" s="1969"/>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70" t="s">
        <v>599</v>
      </c>
      <c r="AG161" s="1970"/>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69" t="s">
        <v>1452</v>
      </c>
      <c r="D163" s="1969"/>
      <c r="E163" s="1969"/>
      <c r="F163" s="1969"/>
      <c r="G163" s="1969"/>
      <c r="H163" s="1969"/>
      <c r="I163" s="1969"/>
      <c r="J163" s="1969"/>
      <c r="K163" s="1969"/>
      <c r="L163" s="1969"/>
      <c r="M163" s="1969"/>
      <c r="N163" s="1969"/>
      <c r="O163" s="1969"/>
      <c r="P163" s="1969"/>
      <c r="Q163" s="1969"/>
      <c r="R163" s="1969"/>
      <c r="S163" s="1969"/>
      <c r="T163" s="1969"/>
      <c r="U163" s="1969"/>
      <c r="V163" s="1969"/>
      <c r="W163" s="1969"/>
      <c r="X163" s="1969"/>
      <c r="Y163" s="1969"/>
      <c r="Z163" s="1969"/>
      <c r="AA163" s="1969"/>
      <c r="AB163" s="1969"/>
      <c r="AC163" s="1969"/>
      <c r="AD163" s="1969"/>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71" t="str">
        <f>Application!AA335</f>
        <v>Solari Enterprises</v>
      </c>
      <c r="D167" s="1971"/>
      <c r="E167" s="1971"/>
      <c r="F167" s="1971"/>
      <c r="G167" s="1971"/>
      <c r="H167" s="1971"/>
      <c r="I167" s="1971"/>
      <c r="J167" s="1971"/>
      <c r="K167" s="1971"/>
      <c r="L167" s="1971"/>
      <c r="M167" s="1971"/>
      <c r="N167" s="1971"/>
      <c r="O167" s="1971"/>
      <c r="P167" s="1971"/>
      <c r="Q167" s="1971"/>
      <c r="R167" s="1971"/>
      <c r="S167" s="1971"/>
      <c r="T167" s="1971"/>
      <c r="U167" s="1971"/>
      <c r="V167" s="1971"/>
      <c r="W167" s="1971"/>
      <c r="X167" s="1971"/>
      <c r="Y167" s="1971"/>
      <c r="Z167" s="1971"/>
      <c r="AA167" s="1971"/>
      <c r="AB167" s="1971"/>
      <c r="AC167" s="1971"/>
      <c r="AD167" s="1971"/>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72">
        <f>IF($AF$161="N/A",VLOOKUP($C$159,$AO$159:$AP$162,2,FALSE),VLOOKUP($C$163,$AO$166:$AP$168,2,FALSE))</f>
        <v>3</v>
      </c>
      <c r="AK169" s="197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31">
        <f>$AJ$155+$AJ$169</f>
        <v>10</v>
      </c>
      <c r="AL172" s="1932"/>
      <c r="AM172" s="193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1" t="s">
        <v>1423</v>
      </c>
      <c r="AF175" s="1911"/>
      <c r="AG175" s="1911"/>
      <c r="AH175" s="1911"/>
      <c r="AI175" s="1911"/>
      <c r="AJ175" s="1911"/>
      <c r="AK175" s="191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67" t="s">
        <v>1065</v>
      </c>
      <c r="C177" s="1967"/>
      <c r="D177" s="1967"/>
      <c r="E177" s="1967"/>
      <c r="F177" s="1967"/>
      <c r="G177" s="1967"/>
      <c r="H177" s="1967"/>
      <c r="I177" s="1967"/>
      <c r="J177" s="1967"/>
      <c r="K177" s="1967"/>
      <c r="L177" s="1967"/>
      <c r="M177" s="1967"/>
      <c r="N177" s="1967"/>
      <c r="O177" s="1967"/>
      <c r="P177" s="1967"/>
      <c r="Q177" s="1967"/>
      <c r="R177" s="1967"/>
      <c r="S177" s="1967"/>
      <c r="T177" s="1967"/>
      <c r="U177" s="1967"/>
      <c r="V177" s="1967"/>
      <c r="W177" s="1967"/>
      <c r="X177" s="1967"/>
      <c r="Y177" s="1967"/>
      <c r="Z177" s="1967"/>
      <c r="AA177" s="1967"/>
      <c r="AB177" s="1967"/>
      <c r="AC177" s="1967"/>
      <c r="AD177" s="570"/>
      <c r="AE177" s="570"/>
      <c r="AF177" s="1943" t="s">
        <v>1472</v>
      </c>
      <c r="AG177" s="1943"/>
      <c r="AH177" s="1943"/>
      <c r="AI177" s="1943"/>
      <c r="AJ177" s="1943"/>
      <c r="AK177" s="1943"/>
      <c r="AL177" s="1943"/>
      <c r="AN177" s="631"/>
      <c r="AP177" s="584" t="s">
        <v>1067</v>
      </c>
      <c r="AQ177" s="584">
        <v>10</v>
      </c>
    </row>
    <row r="178" spans="1:45" s="584" customFormat="1" ht="12.75" customHeight="1">
      <c r="A178" s="570"/>
      <c r="B178" s="1968" t="s">
        <v>1914</v>
      </c>
      <c r="C178" s="1968"/>
      <c r="D178" s="1968"/>
      <c r="E178" s="1968"/>
      <c r="F178" s="1968"/>
      <c r="G178" s="1968"/>
      <c r="H178" s="1968"/>
      <c r="I178" s="1968"/>
      <c r="J178" s="1968"/>
      <c r="K178" s="1968"/>
      <c r="L178" s="1968"/>
      <c r="M178" s="1968"/>
      <c r="N178" s="1968"/>
      <c r="O178" s="1968"/>
      <c r="P178" s="1968"/>
      <c r="Q178" s="1968"/>
      <c r="R178" s="1968"/>
      <c r="S178" s="1968"/>
      <c r="T178" s="1944" t="s">
        <v>599</v>
      </c>
      <c r="U178" s="1944"/>
      <c r="V178" s="1944"/>
      <c r="W178" s="1944"/>
      <c r="X178" s="1944"/>
      <c r="Y178" s="1944"/>
      <c r="Z178" s="1944"/>
      <c r="AA178" s="1944"/>
      <c r="AB178" s="1944"/>
      <c r="AC178" s="1944"/>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77">
        <f>IF(AK78&gt;0,VLOOKUP($B$177,AP174:AQ180,2,FALSE),0)</f>
        <v>10</v>
      </c>
      <c r="AL180" s="1978"/>
      <c r="AM180" s="1979"/>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1" t="s">
        <v>1481</v>
      </c>
      <c r="AF183" s="1911"/>
      <c r="AG183" s="1911"/>
      <c r="AH183" s="1911"/>
      <c r="AI183" s="1911"/>
      <c r="AJ183" s="1911"/>
      <c r="AK183" s="191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5" t="s">
        <v>2727</v>
      </c>
      <c r="C188" s="1955"/>
      <c r="D188" s="1955"/>
      <c r="E188" s="1955"/>
      <c r="F188" s="1955"/>
      <c r="G188" s="1955"/>
      <c r="H188" s="1955"/>
      <c r="I188" s="1955"/>
      <c r="J188" s="1955"/>
      <c r="K188" s="1955"/>
      <c r="L188" s="1955"/>
      <c r="M188" s="1955"/>
      <c r="N188" s="1955"/>
      <c r="O188" s="1955"/>
      <c r="P188" s="1955"/>
      <c r="Q188" s="1955"/>
      <c r="R188" s="1955"/>
      <c r="S188" s="1955"/>
      <c r="T188" s="1955"/>
      <c r="U188" s="1955"/>
      <c r="V188" s="1955"/>
      <c r="W188" s="1955"/>
      <c r="X188" s="1955"/>
      <c r="Y188" s="1955"/>
      <c r="Z188" s="1955"/>
      <c r="AA188" s="1955"/>
      <c r="AB188" s="1955"/>
      <c r="AC188" s="880"/>
      <c r="AD188" s="1956">
        <v>6277300</v>
      </c>
      <c r="AE188" s="1956"/>
      <c r="AF188" s="1956"/>
      <c r="AG188" s="1956"/>
      <c r="AH188" s="1956"/>
      <c r="AI188" s="1956"/>
      <c r="AJ188" s="1956"/>
      <c r="AK188" s="644"/>
    </row>
    <row r="189" spans="1:45">
      <c r="A189" s="639"/>
      <c r="B189" s="1955"/>
      <c r="C189" s="1955"/>
      <c r="D189" s="1955"/>
      <c r="E189" s="1955"/>
      <c r="F189" s="1955"/>
      <c r="G189" s="1955"/>
      <c r="H189" s="1955"/>
      <c r="I189" s="1955"/>
      <c r="J189" s="1955"/>
      <c r="K189" s="1955"/>
      <c r="L189" s="1955"/>
      <c r="M189" s="1955"/>
      <c r="N189" s="1955"/>
      <c r="O189" s="1955"/>
      <c r="P189" s="1955"/>
      <c r="Q189" s="1955"/>
      <c r="R189" s="1955"/>
      <c r="S189" s="1955"/>
      <c r="T189" s="1955"/>
      <c r="U189" s="1955"/>
      <c r="V189" s="1955"/>
      <c r="W189" s="1955"/>
      <c r="X189" s="1955"/>
      <c r="Y189" s="1955"/>
      <c r="Z189" s="1955"/>
      <c r="AA189" s="1955"/>
      <c r="AB189" s="1955"/>
      <c r="AC189" s="880"/>
      <c r="AD189" s="1956"/>
      <c r="AE189" s="1956"/>
      <c r="AF189" s="1956"/>
      <c r="AG189" s="1956"/>
      <c r="AH189" s="1956"/>
      <c r="AI189" s="1956"/>
      <c r="AJ189" s="1956"/>
      <c r="AK189" s="644"/>
    </row>
    <row r="190" spans="1:45">
      <c r="A190" s="639"/>
      <c r="B190" s="1955"/>
      <c r="C190" s="1955"/>
      <c r="D190" s="1955"/>
      <c r="E190" s="1955"/>
      <c r="F190" s="1955"/>
      <c r="G190" s="1955"/>
      <c r="H190" s="1955"/>
      <c r="I190" s="1955"/>
      <c r="J190" s="1955"/>
      <c r="K190" s="1955"/>
      <c r="L190" s="1955"/>
      <c r="M190" s="1955"/>
      <c r="N190" s="1955"/>
      <c r="O190" s="1955"/>
      <c r="P190" s="1955"/>
      <c r="Q190" s="1955"/>
      <c r="R190" s="1955"/>
      <c r="S190" s="1955"/>
      <c r="T190" s="1955"/>
      <c r="U190" s="1955"/>
      <c r="V190" s="1955"/>
      <c r="W190" s="1955"/>
      <c r="X190" s="1955"/>
      <c r="Y190" s="1955"/>
      <c r="Z190" s="1955"/>
      <c r="AA190" s="1955"/>
      <c r="AB190" s="1955"/>
      <c r="AC190" s="880"/>
      <c r="AD190" s="1956"/>
      <c r="AE190" s="1956"/>
      <c r="AF190" s="1956"/>
      <c r="AG190" s="1956"/>
      <c r="AH190" s="1956"/>
      <c r="AI190" s="1956"/>
      <c r="AJ190" s="1956"/>
      <c r="AK190" s="644"/>
    </row>
    <row r="191" spans="1:45">
      <c r="A191" s="639"/>
      <c r="B191" s="1955"/>
      <c r="C191" s="1955"/>
      <c r="D191" s="1955"/>
      <c r="E191" s="1955"/>
      <c r="F191" s="1955"/>
      <c r="G191" s="1955"/>
      <c r="H191" s="1955"/>
      <c r="I191" s="1955"/>
      <c r="J191" s="1955"/>
      <c r="K191" s="1955"/>
      <c r="L191" s="1955"/>
      <c r="M191" s="1955"/>
      <c r="N191" s="1955"/>
      <c r="O191" s="1955"/>
      <c r="P191" s="1955"/>
      <c r="Q191" s="1955"/>
      <c r="R191" s="1955"/>
      <c r="S191" s="1955"/>
      <c r="T191" s="1955"/>
      <c r="U191" s="1955"/>
      <c r="V191" s="1955"/>
      <c r="W191" s="1955"/>
      <c r="X191" s="1955"/>
      <c r="Y191" s="1955"/>
      <c r="Z191" s="1955"/>
      <c r="AA191" s="1955"/>
      <c r="AB191" s="1955"/>
      <c r="AC191" s="880"/>
      <c r="AD191" s="1956"/>
      <c r="AE191" s="1956"/>
      <c r="AF191" s="1956"/>
      <c r="AG191" s="1956"/>
      <c r="AH191" s="1956"/>
      <c r="AI191" s="1956"/>
      <c r="AJ191" s="1956"/>
      <c r="AK191" s="644"/>
    </row>
    <row r="192" spans="1:45">
      <c r="A192" s="639"/>
      <c r="B192" s="1955"/>
      <c r="C192" s="1955"/>
      <c r="D192" s="1955"/>
      <c r="E192" s="1955"/>
      <c r="F192" s="1955"/>
      <c r="G192" s="1955"/>
      <c r="H192" s="1955"/>
      <c r="I192" s="1955"/>
      <c r="J192" s="1955"/>
      <c r="K192" s="1955"/>
      <c r="L192" s="1955"/>
      <c r="M192" s="1955"/>
      <c r="N192" s="1955"/>
      <c r="O192" s="1955"/>
      <c r="P192" s="1955"/>
      <c r="Q192" s="1955"/>
      <c r="R192" s="1955"/>
      <c r="S192" s="1955"/>
      <c r="T192" s="1955"/>
      <c r="U192" s="1955"/>
      <c r="V192" s="1955"/>
      <c r="W192" s="1955"/>
      <c r="X192" s="1955"/>
      <c r="Y192" s="1955"/>
      <c r="Z192" s="1955"/>
      <c r="AA192" s="1955"/>
      <c r="AB192" s="1955"/>
      <c r="AC192" s="880"/>
      <c r="AD192" s="1956"/>
      <c r="AE192" s="1956"/>
      <c r="AF192" s="1956"/>
      <c r="AG192" s="1956"/>
      <c r="AH192" s="1956"/>
      <c r="AI192" s="1956"/>
      <c r="AJ192" s="1956"/>
      <c r="AK192" s="644"/>
    </row>
    <row r="193" spans="1:37">
      <c r="A193" s="639"/>
      <c r="B193" s="1955"/>
      <c r="C193" s="1955"/>
      <c r="D193" s="1955"/>
      <c r="E193" s="1955"/>
      <c r="F193" s="1955"/>
      <c r="G193" s="1955"/>
      <c r="H193" s="1955"/>
      <c r="I193" s="1955"/>
      <c r="J193" s="1955"/>
      <c r="K193" s="1955"/>
      <c r="L193" s="1955"/>
      <c r="M193" s="1955"/>
      <c r="N193" s="1955"/>
      <c r="O193" s="1955"/>
      <c r="P193" s="1955"/>
      <c r="Q193" s="1955"/>
      <c r="R193" s="1955"/>
      <c r="S193" s="1955"/>
      <c r="T193" s="1955"/>
      <c r="U193" s="1955"/>
      <c r="V193" s="1955"/>
      <c r="W193" s="1955"/>
      <c r="X193" s="1955"/>
      <c r="Y193" s="1955"/>
      <c r="Z193" s="1955"/>
      <c r="AA193" s="1955"/>
      <c r="AB193" s="1955"/>
      <c r="AC193" s="880"/>
      <c r="AD193" s="1956"/>
      <c r="AE193" s="1956"/>
      <c r="AF193" s="1956"/>
      <c r="AG193" s="1956"/>
      <c r="AH193" s="1956"/>
      <c r="AI193" s="1956"/>
      <c r="AJ193" s="1956"/>
      <c r="AK193" s="644"/>
    </row>
    <row r="194" spans="1:37">
      <c r="A194" s="639"/>
      <c r="B194" s="1955"/>
      <c r="C194" s="1955"/>
      <c r="D194" s="1955"/>
      <c r="E194" s="1955"/>
      <c r="F194" s="1955"/>
      <c r="G194" s="1955"/>
      <c r="H194" s="1955"/>
      <c r="I194" s="1955"/>
      <c r="J194" s="1955"/>
      <c r="K194" s="1955"/>
      <c r="L194" s="1955"/>
      <c r="M194" s="1955"/>
      <c r="N194" s="1955"/>
      <c r="O194" s="1955"/>
      <c r="P194" s="1955"/>
      <c r="Q194" s="1955"/>
      <c r="R194" s="1955"/>
      <c r="S194" s="1955"/>
      <c r="T194" s="1955"/>
      <c r="U194" s="1955"/>
      <c r="V194" s="1955"/>
      <c r="W194" s="1955"/>
      <c r="X194" s="1955"/>
      <c r="Y194" s="1955"/>
      <c r="Z194" s="1955"/>
      <c r="AA194" s="1955"/>
      <c r="AB194" s="1955"/>
      <c r="AC194" s="880"/>
      <c r="AD194" s="1956"/>
      <c r="AE194" s="1956"/>
      <c r="AF194" s="1956"/>
      <c r="AG194" s="1956"/>
      <c r="AH194" s="1956"/>
      <c r="AI194" s="1956"/>
      <c r="AJ194" s="1956"/>
      <c r="AK194" s="644"/>
    </row>
    <row r="195" spans="1:37">
      <c r="A195" s="639"/>
      <c r="B195" s="1955"/>
      <c r="C195" s="1955"/>
      <c r="D195" s="1955"/>
      <c r="E195" s="1955"/>
      <c r="F195" s="1955"/>
      <c r="G195" s="1955"/>
      <c r="H195" s="1955"/>
      <c r="I195" s="1955"/>
      <c r="J195" s="1955"/>
      <c r="K195" s="1955"/>
      <c r="L195" s="1955"/>
      <c r="M195" s="1955"/>
      <c r="N195" s="1955"/>
      <c r="O195" s="1955"/>
      <c r="P195" s="1955"/>
      <c r="Q195" s="1955"/>
      <c r="R195" s="1955"/>
      <c r="S195" s="1955"/>
      <c r="T195" s="1955"/>
      <c r="U195" s="1955"/>
      <c r="V195" s="1955"/>
      <c r="W195" s="1955"/>
      <c r="X195" s="1955"/>
      <c r="Y195" s="1955"/>
      <c r="Z195" s="1955"/>
      <c r="AA195" s="1955"/>
      <c r="AB195" s="1955"/>
      <c r="AC195" s="880"/>
      <c r="AD195" s="1956"/>
      <c r="AE195" s="1956"/>
      <c r="AF195" s="1956"/>
      <c r="AG195" s="1956"/>
      <c r="AH195" s="1956"/>
      <c r="AI195" s="1956"/>
      <c r="AJ195" s="1956"/>
      <c r="AK195" s="644"/>
    </row>
    <row r="196" spans="1:37">
      <c r="A196" s="639"/>
      <c r="B196" s="1955"/>
      <c r="C196" s="1955"/>
      <c r="D196" s="1955"/>
      <c r="E196" s="1955"/>
      <c r="F196" s="1955"/>
      <c r="G196" s="1955"/>
      <c r="H196" s="1955"/>
      <c r="I196" s="1955"/>
      <c r="J196" s="1955"/>
      <c r="K196" s="1955"/>
      <c r="L196" s="1955"/>
      <c r="M196" s="1955"/>
      <c r="N196" s="1955"/>
      <c r="O196" s="1955"/>
      <c r="P196" s="1955"/>
      <c r="Q196" s="1955"/>
      <c r="R196" s="1955"/>
      <c r="S196" s="1955"/>
      <c r="T196" s="1955"/>
      <c r="U196" s="1955"/>
      <c r="V196" s="1955"/>
      <c r="W196" s="1955"/>
      <c r="X196" s="1955"/>
      <c r="Y196" s="1955"/>
      <c r="Z196" s="1955"/>
      <c r="AA196" s="1955"/>
      <c r="AB196" s="1955"/>
      <c r="AC196" s="880"/>
      <c r="AD196" s="1956"/>
      <c r="AE196" s="1956"/>
      <c r="AF196" s="1956"/>
      <c r="AG196" s="1956"/>
      <c r="AH196" s="1956"/>
      <c r="AI196" s="1956"/>
      <c r="AJ196" s="1956"/>
      <c r="AK196" s="644"/>
    </row>
    <row r="197" spans="1:37">
      <c r="A197" s="639"/>
      <c r="B197" s="1955"/>
      <c r="C197" s="1955"/>
      <c r="D197" s="1955"/>
      <c r="E197" s="1955"/>
      <c r="F197" s="1955"/>
      <c r="G197" s="1955"/>
      <c r="H197" s="1955"/>
      <c r="I197" s="1955"/>
      <c r="J197" s="1955"/>
      <c r="K197" s="1955"/>
      <c r="L197" s="1955"/>
      <c r="M197" s="1955"/>
      <c r="N197" s="1955"/>
      <c r="O197" s="1955"/>
      <c r="P197" s="1955"/>
      <c r="Q197" s="1955"/>
      <c r="R197" s="1955"/>
      <c r="S197" s="1955"/>
      <c r="T197" s="1955"/>
      <c r="U197" s="1955"/>
      <c r="V197" s="1955"/>
      <c r="W197" s="1955"/>
      <c r="X197" s="1955"/>
      <c r="Y197" s="1955"/>
      <c r="Z197" s="1955"/>
      <c r="AA197" s="1955"/>
      <c r="AB197" s="1955"/>
      <c r="AC197" s="880"/>
      <c r="AD197" s="1956"/>
      <c r="AE197" s="1956"/>
      <c r="AF197" s="1956"/>
      <c r="AG197" s="1956"/>
      <c r="AH197" s="1956"/>
      <c r="AI197" s="1956"/>
      <c r="AJ197" s="1956"/>
      <c r="AK197" s="644"/>
    </row>
    <row r="198" spans="1:37">
      <c r="A198" s="639"/>
      <c r="B198" s="2120" t="s">
        <v>1737</v>
      </c>
      <c r="C198" s="2120"/>
      <c r="D198" s="2120"/>
      <c r="E198" s="2120"/>
      <c r="F198" s="2120"/>
      <c r="G198" s="2120"/>
      <c r="H198" s="2120"/>
      <c r="I198" s="2120"/>
      <c r="J198" s="2120"/>
      <c r="K198" s="2120"/>
      <c r="L198" s="2120"/>
      <c r="M198" s="2120"/>
      <c r="N198" s="2120"/>
      <c r="O198" s="2120"/>
      <c r="P198" s="2120"/>
      <c r="Q198" s="2120"/>
      <c r="R198" s="2120"/>
      <c r="S198" s="2120"/>
      <c r="T198" s="2120"/>
      <c r="U198" s="2120"/>
      <c r="V198" s="2120"/>
      <c r="W198" s="2120"/>
      <c r="X198" s="2120"/>
      <c r="Y198" s="2120"/>
      <c r="Z198" s="2120"/>
      <c r="AA198" s="2120"/>
      <c r="AB198" s="2120"/>
      <c r="AC198" s="570"/>
      <c r="AD198" s="1984">
        <f>AB249</f>
        <v>0</v>
      </c>
      <c r="AE198" s="1984"/>
      <c r="AF198" s="1984"/>
      <c r="AG198" s="1984"/>
      <c r="AH198" s="1984"/>
      <c r="AI198" s="1984"/>
      <c r="AJ198" s="1984"/>
      <c r="AK198" s="644"/>
    </row>
    <row r="199" spans="1:37">
      <c r="A199" s="639"/>
      <c r="B199" s="2118" t="s">
        <v>1700</v>
      </c>
      <c r="C199" s="2118"/>
      <c r="D199" s="2118"/>
      <c r="E199" s="2118"/>
      <c r="F199" s="2118"/>
      <c r="G199" s="2118"/>
      <c r="H199" s="2118"/>
      <c r="I199" s="2118"/>
      <c r="J199" s="2118"/>
      <c r="K199" s="2118"/>
      <c r="L199" s="2118"/>
      <c r="M199" s="2118"/>
      <c r="N199" s="2118"/>
      <c r="O199" s="2118"/>
      <c r="P199" s="2118"/>
      <c r="Q199" s="2118"/>
      <c r="R199" s="2118"/>
      <c r="S199" s="2118"/>
      <c r="T199" s="2118"/>
      <c r="U199" s="2118"/>
      <c r="V199" s="2118"/>
      <c r="W199" s="2118"/>
      <c r="X199" s="2118"/>
      <c r="Y199" s="2118"/>
      <c r="Z199" s="2118"/>
      <c r="AA199" s="2118"/>
      <c r="AB199" s="2118"/>
      <c r="AC199" s="880"/>
      <c r="AD199" s="1985">
        <f>'Sources and Uses Budget'!B15</f>
        <v>0</v>
      </c>
      <c r="AE199" s="1985"/>
      <c r="AF199" s="1985"/>
      <c r="AG199" s="1985"/>
      <c r="AH199" s="1985"/>
      <c r="AI199" s="1985"/>
      <c r="AJ199" s="198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9">
        <f>SUM(AD188:AJ198)-AD199</f>
        <v>6277300</v>
      </c>
      <c r="AE200" s="1989"/>
      <c r="AF200" s="1989"/>
      <c r="AG200" s="1989"/>
      <c r="AH200" s="1989"/>
      <c r="AI200" s="1989"/>
      <c r="AJ200" s="198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9" t="s">
        <v>1717</v>
      </c>
      <c r="J211" s="1959"/>
      <c r="K211" s="1959"/>
      <c r="L211" s="570"/>
      <c r="M211" s="570"/>
      <c r="N211" s="570"/>
      <c r="O211" s="570"/>
      <c r="P211" s="570"/>
      <c r="Q211" s="570"/>
      <c r="R211" s="570"/>
      <c r="S211" s="570"/>
      <c r="T211" s="2146" t="s">
        <v>1711</v>
      </c>
      <c r="U211" s="2146"/>
      <c r="V211" s="2146"/>
      <c r="W211" s="2146"/>
      <c r="X211" s="2146"/>
      <c r="Y211" s="2146"/>
      <c r="Z211" s="883"/>
      <c r="AA211" s="523"/>
      <c r="AB211" s="1954" t="s">
        <v>1712</v>
      </c>
      <c r="AC211" s="1954"/>
      <c r="AD211" s="1954"/>
      <c r="AE211" s="1954"/>
      <c r="AF211" s="1954"/>
      <c r="AG211" s="1954"/>
      <c r="AH211" s="861"/>
      <c r="AI211" s="861"/>
      <c r="AJ211" s="861"/>
      <c r="AK211" s="644"/>
    </row>
    <row r="212" spans="1:37">
      <c r="A212" s="639"/>
      <c r="B212" s="1957" t="s">
        <v>1697</v>
      </c>
      <c r="C212" s="1957"/>
      <c r="D212" s="1957"/>
      <c r="E212" s="1957"/>
      <c r="F212" s="1957"/>
      <c r="G212" s="1957"/>
      <c r="I212" s="1958" t="s">
        <v>1718</v>
      </c>
      <c r="J212" s="1958"/>
      <c r="K212" s="1958"/>
      <c r="L212" s="1043"/>
      <c r="N212" s="1964" t="s">
        <v>1713</v>
      </c>
      <c r="O212" s="1964"/>
      <c r="P212" s="1964"/>
      <c r="Q212" s="1964"/>
      <c r="R212" s="1964"/>
      <c r="T212" s="1964" t="s">
        <v>1714</v>
      </c>
      <c r="U212" s="1964"/>
      <c r="V212" s="1964"/>
      <c r="W212" s="1964"/>
      <c r="X212" s="1964"/>
      <c r="Y212" s="1964"/>
      <c r="Z212" s="884"/>
      <c r="AA212" s="523"/>
      <c r="AB212" s="2121" t="s">
        <v>1715</v>
      </c>
      <c r="AC212" s="2121"/>
      <c r="AD212" s="2121"/>
      <c r="AE212" s="2121"/>
      <c r="AF212" s="2121"/>
      <c r="AG212" s="2121"/>
      <c r="AH212" s="861"/>
      <c r="AI212" s="861"/>
      <c r="AJ212" s="861"/>
      <c r="AK212" s="644"/>
    </row>
    <row r="213" spans="1:37">
      <c r="A213" s="639"/>
      <c r="B213" s="1961" t="s">
        <v>1290</v>
      </c>
      <c r="C213" s="1961"/>
      <c r="D213" s="1961"/>
      <c r="E213" s="1961"/>
      <c r="F213" s="1961"/>
      <c r="G213" s="1961"/>
      <c r="H213" s="886"/>
      <c r="I213" s="1960"/>
      <c r="J213" s="1960"/>
      <c r="K213" s="1960"/>
      <c r="L213" s="1043"/>
      <c r="N213" s="1965"/>
      <c r="O213" s="1965"/>
      <c r="P213" s="1965"/>
      <c r="Q213" s="1965"/>
      <c r="R213" s="1965"/>
      <c r="T213" s="2119"/>
      <c r="U213" s="2119"/>
      <c r="V213" s="2119"/>
      <c r="W213" s="2119"/>
      <c r="X213" s="2119"/>
      <c r="Y213" s="2119"/>
      <c r="Z213" s="885"/>
      <c r="AA213" s="885"/>
      <c r="AB213" s="1962">
        <f t="shared" ref="AB213:AB222" si="0">MAX(($T213-$N213)*$I213*12,0)</f>
        <v>0</v>
      </c>
      <c r="AC213" s="1962"/>
      <c r="AD213" s="1962"/>
      <c r="AE213" s="1962"/>
      <c r="AF213" s="1962"/>
      <c r="AG213" s="1962"/>
      <c r="AH213" s="861"/>
      <c r="AI213" s="861"/>
      <c r="AJ213" s="861"/>
      <c r="AK213" s="644"/>
    </row>
    <row r="214" spans="1:37">
      <c r="A214" s="639"/>
      <c r="B214" s="1961" t="s">
        <v>1290</v>
      </c>
      <c r="C214" s="1961"/>
      <c r="D214" s="1961"/>
      <c r="E214" s="1961"/>
      <c r="F214" s="1961"/>
      <c r="G214" s="1961"/>
      <c r="I214" s="1960"/>
      <c r="J214" s="1960"/>
      <c r="K214" s="1960"/>
      <c r="L214" s="1043"/>
      <c r="N214" s="1965"/>
      <c r="O214" s="1965"/>
      <c r="P214" s="1965"/>
      <c r="Q214" s="1965"/>
      <c r="R214" s="1965"/>
      <c r="T214" s="2119"/>
      <c r="U214" s="2119"/>
      <c r="V214" s="2119"/>
      <c r="W214" s="2119"/>
      <c r="X214" s="2119"/>
      <c r="Y214" s="2119"/>
      <c r="Z214" s="885"/>
      <c r="AA214" s="885"/>
      <c r="AB214" s="1962">
        <f t="shared" si="0"/>
        <v>0</v>
      </c>
      <c r="AC214" s="1962"/>
      <c r="AD214" s="1962"/>
      <c r="AE214" s="1962"/>
      <c r="AF214" s="1962"/>
      <c r="AG214" s="1962"/>
      <c r="AH214" s="861"/>
      <c r="AI214" s="861"/>
      <c r="AJ214" s="861"/>
      <c r="AK214" s="644"/>
    </row>
    <row r="215" spans="1:37">
      <c r="A215" s="639"/>
      <c r="B215" s="1961" t="s">
        <v>1290</v>
      </c>
      <c r="C215" s="1961"/>
      <c r="D215" s="1961"/>
      <c r="E215" s="1961"/>
      <c r="F215" s="1961"/>
      <c r="G215" s="1961"/>
      <c r="I215" s="1960"/>
      <c r="J215" s="1960"/>
      <c r="K215" s="1960"/>
      <c r="L215" s="1043"/>
      <c r="N215" s="1965"/>
      <c r="O215" s="1965"/>
      <c r="P215" s="1965"/>
      <c r="Q215" s="1965"/>
      <c r="R215" s="1965"/>
      <c r="T215" s="2119"/>
      <c r="U215" s="2119"/>
      <c r="V215" s="2119"/>
      <c r="W215" s="2119"/>
      <c r="X215" s="2119"/>
      <c r="Y215" s="2119"/>
      <c r="Z215" s="885"/>
      <c r="AA215" s="885"/>
      <c r="AB215" s="1962">
        <f t="shared" si="0"/>
        <v>0</v>
      </c>
      <c r="AC215" s="1962"/>
      <c r="AD215" s="1962"/>
      <c r="AE215" s="1962"/>
      <c r="AF215" s="1962"/>
      <c r="AG215" s="1962"/>
      <c r="AH215" s="861"/>
      <c r="AI215" s="861"/>
      <c r="AJ215" s="861"/>
      <c r="AK215" s="644"/>
    </row>
    <row r="216" spans="1:37">
      <c r="A216" s="639"/>
      <c r="B216" s="1961" t="s">
        <v>1290</v>
      </c>
      <c r="C216" s="1961"/>
      <c r="D216" s="1961"/>
      <c r="E216" s="1961"/>
      <c r="F216" s="1961"/>
      <c r="G216" s="1961"/>
      <c r="I216" s="1960"/>
      <c r="J216" s="1960"/>
      <c r="K216" s="1960"/>
      <c r="L216" s="1043"/>
      <c r="N216" s="1965"/>
      <c r="O216" s="1965"/>
      <c r="P216" s="1965"/>
      <c r="Q216" s="1965"/>
      <c r="R216" s="1965"/>
      <c r="T216" s="2119"/>
      <c r="U216" s="2119"/>
      <c r="V216" s="2119"/>
      <c r="W216" s="2119"/>
      <c r="X216" s="2119"/>
      <c r="Y216" s="2119"/>
      <c r="Z216" s="885"/>
      <c r="AA216" s="885"/>
      <c r="AB216" s="1962">
        <f t="shared" si="0"/>
        <v>0</v>
      </c>
      <c r="AC216" s="1962"/>
      <c r="AD216" s="1962"/>
      <c r="AE216" s="1962"/>
      <c r="AF216" s="1962"/>
      <c r="AG216" s="1962"/>
      <c r="AH216" s="861"/>
      <c r="AI216" s="861"/>
      <c r="AJ216" s="861"/>
      <c r="AK216" s="644"/>
    </row>
    <row r="217" spans="1:37">
      <c r="A217" s="639"/>
      <c r="B217" s="1961" t="s">
        <v>1290</v>
      </c>
      <c r="C217" s="1961"/>
      <c r="D217" s="1961"/>
      <c r="E217" s="1961"/>
      <c r="F217" s="1961"/>
      <c r="G217" s="1961"/>
      <c r="I217" s="1960"/>
      <c r="J217" s="1960"/>
      <c r="K217" s="1960"/>
      <c r="L217" s="1050"/>
      <c r="N217" s="1965"/>
      <c r="O217" s="1965"/>
      <c r="P217" s="1965"/>
      <c r="Q217" s="1965"/>
      <c r="R217" s="1965"/>
      <c r="T217" s="2119"/>
      <c r="U217" s="2119"/>
      <c r="V217" s="2119"/>
      <c r="W217" s="2119"/>
      <c r="X217" s="2119"/>
      <c r="Y217" s="2119"/>
      <c r="Z217" s="885"/>
      <c r="AA217" s="885"/>
      <c r="AB217" s="1962">
        <f t="shared" si="0"/>
        <v>0</v>
      </c>
      <c r="AC217" s="1962"/>
      <c r="AD217" s="1962"/>
      <c r="AE217" s="1962"/>
      <c r="AF217" s="1962"/>
      <c r="AG217" s="1962"/>
      <c r="AH217" s="861"/>
      <c r="AI217" s="861"/>
      <c r="AJ217" s="861"/>
      <c r="AK217" s="644"/>
    </row>
    <row r="218" spans="1:37">
      <c r="A218" s="639"/>
      <c r="B218" s="1961" t="s">
        <v>1290</v>
      </c>
      <c r="C218" s="1961"/>
      <c r="D218" s="1961"/>
      <c r="E218" s="1961"/>
      <c r="F218" s="1961"/>
      <c r="G218" s="1961"/>
      <c r="I218" s="1960"/>
      <c r="J218" s="1960"/>
      <c r="K218" s="1960"/>
      <c r="L218" s="1050"/>
      <c r="N218" s="1965"/>
      <c r="O218" s="1965"/>
      <c r="P218" s="1965"/>
      <c r="Q218" s="1965"/>
      <c r="R218" s="1965"/>
      <c r="T218" s="2119"/>
      <c r="U218" s="2119"/>
      <c r="V218" s="2119"/>
      <c r="W218" s="2119"/>
      <c r="X218" s="2119"/>
      <c r="Y218" s="2119"/>
      <c r="Z218" s="885"/>
      <c r="AA218" s="885"/>
      <c r="AB218" s="1962">
        <f t="shared" si="0"/>
        <v>0</v>
      </c>
      <c r="AC218" s="1962"/>
      <c r="AD218" s="1962"/>
      <c r="AE218" s="1962"/>
      <c r="AF218" s="1962"/>
      <c r="AG218" s="1962"/>
      <c r="AH218" s="861"/>
      <c r="AI218" s="861"/>
      <c r="AJ218" s="861"/>
      <c r="AK218" s="644"/>
    </row>
    <row r="219" spans="1:37">
      <c r="A219" s="639"/>
      <c r="B219" s="1961" t="s">
        <v>1290</v>
      </c>
      <c r="C219" s="1961"/>
      <c r="D219" s="1961"/>
      <c r="E219" s="1961"/>
      <c r="F219" s="1961"/>
      <c r="G219" s="1961"/>
      <c r="I219" s="1960"/>
      <c r="J219" s="1960"/>
      <c r="K219" s="1960"/>
      <c r="L219" s="1050"/>
      <c r="N219" s="1965"/>
      <c r="O219" s="1965"/>
      <c r="P219" s="1965"/>
      <c r="Q219" s="1965"/>
      <c r="R219" s="1965"/>
      <c r="T219" s="2119"/>
      <c r="U219" s="2119"/>
      <c r="V219" s="2119"/>
      <c r="W219" s="2119"/>
      <c r="X219" s="2119"/>
      <c r="Y219" s="2119"/>
      <c r="Z219" s="885"/>
      <c r="AA219" s="885"/>
      <c r="AB219" s="1962">
        <f t="shared" si="0"/>
        <v>0</v>
      </c>
      <c r="AC219" s="1962"/>
      <c r="AD219" s="1962"/>
      <c r="AE219" s="1962"/>
      <c r="AF219" s="1962"/>
      <c r="AG219" s="1962"/>
      <c r="AH219" s="861"/>
      <c r="AI219" s="861"/>
      <c r="AJ219" s="861"/>
      <c r="AK219" s="644"/>
    </row>
    <row r="220" spans="1:37">
      <c r="A220" s="639"/>
      <c r="B220" s="1961" t="s">
        <v>1290</v>
      </c>
      <c r="C220" s="1961"/>
      <c r="D220" s="1961"/>
      <c r="E220" s="1961"/>
      <c r="F220" s="1961"/>
      <c r="G220" s="1961"/>
      <c r="I220" s="1960"/>
      <c r="J220" s="1960"/>
      <c r="K220" s="1960"/>
      <c r="L220" s="1050"/>
      <c r="N220" s="1965"/>
      <c r="O220" s="1965"/>
      <c r="P220" s="1965"/>
      <c r="Q220" s="1965"/>
      <c r="R220" s="1965"/>
      <c r="T220" s="2119"/>
      <c r="U220" s="2119"/>
      <c r="V220" s="2119"/>
      <c r="W220" s="2119"/>
      <c r="X220" s="2119"/>
      <c r="Y220" s="2119"/>
      <c r="Z220" s="885"/>
      <c r="AA220" s="885"/>
      <c r="AB220" s="1962">
        <f t="shared" si="0"/>
        <v>0</v>
      </c>
      <c r="AC220" s="1962"/>
      <c r="AD220" s="1962"/>
      <c r="AE220" s="1962"/>
      <c r="AF220" s="1962"/>
      <c r="AG220" s="1962"/>
      <c r="AH220" s="861"/>
      <c r="AI220" s="861"/>
      <c r="AJ220" s="861"/>
      <c r="AK220" s="644"/>
    </row>
    <row r="221" spans="1:37">
      <c r="A221" s="639"/>
      <c r="B221" s="1961" t="s">
        <v>1290</v>
      </c>
      <c r="C221" s="1961"/>
      <c r="D221" s="1961"/>
      <c r="E221" s="1961"/>
      <c r="F221" s="1961"/>
      <c r="G221" s="1961"/>
      <c r="I221" s="1960"/>
      <c r="J221" s="1960"/>
      <c r="K221" s="1960"/>
      <c r="L221" s="1050"/>
      <c r="N221" s="1965"/>
      <c r="O221" s="1965"/>
      <c r="P221" s="1965"/>
      <c r="Q221" s="1965"/>
      <c r="R221" s="1965"/>
      <c r="T221" s="2119"/>
      <c r="U221" s="2119"/>
      <c r="V221" s="2119"/>
      <c r="W221" s="2119"/>
      <c r="X221" s="2119"/>
      <c r="Y221" s="2119"/>
      <c r="Z221" s="885"/>
      <c r="AA221" s="885"/>
      <c r="AB221" s="1962">
        <f t="shared" si="0"/>
        <v>0</v>
      </c>
      <c r="AC221" s="1962"/>
      <c r="AD221" s="1962"/>
      <c r="AE221" s="1962"/>
      <c r="AF221" s="1962"/>
      <c r="AG221" s="1962"/>
      <c r="AH221" s="861"/>
      <c r="AI221" s="861"/>
      <c r="AJ221" s="861"/>
      <c r="AK221" s="644"/>
    </row>
    <row r="222" spans="1:37">
      <c r="A222" s="639"/>
      <c r="B222" s="1961" t="s">
        <v>1290</v>
      </c>
      <c r="C222" s="1961"/>
      <c r="D222" s="1961"/>
      <c r="E222" s="1961"/>
      <c r="F222" s="1961"/>
      <c r="G222" s="1961"/>
      <c r="I222" s="1963"/>
      <c r="J222" s="1963"/>
      <c r="K222" s="1963"/>
      <c r="L222" s="1050"/>
      <c r="N222" s="1965"/>
      <c r="O222" s="1965"/>
      <c r="P222" s="1965"/>
      <c r="Q222" s="1965"/>
      <c r="R222" s="1965"/>
      <c r="T222" s="2119"/>
      <c r="U222" s="2119"/>
      <c r="V222" s="2119"/>
      <c r="W222" s="2119"/>
      <c r="X222" s="2119"/>
      <c r="Y222" s="2119"/>
      <c r="Z222" s="885"/>
      <c r="AA222" s="885"/>
      <c r="AB222" s="2117">
        <f t="shared" si="0"/>
        <v>0</v>
      </c>
      <c r="AC222" s="2117"/>
      <c r="AD222" s="2117"/>
      <c r="AE222" s="2117"/>
      <c r="AF222" s="2117"/>
      <c r="AG222" s="211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62">
        <f>SUM(AB213:AB222)</f>
        <v>0</v>
      </c>
      <c r="AC223" s="1962"/>
      <c r="AD223" s="1962"/>
      <c r="AE223" s="1962"/>
      <c r="AF223" s="1962"/>
      <c r="AG223" s="196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22" t="s">
        <v>599</v>
      </c>
      <c r="AC229" s="2122"/>
      <c r="AD229" s="2122"/>
      <c r="AE229" s="2122"/>
      <c r="AF229" s="2122"/>
      <c r="AG229" s="2122"/>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22" t="s">
        <v>599</v>
      </c>
      <c r="AC232" s="2122"/>
      <c r="AD232" s="2122"/>
      <c r="AE232" s="2122"/>
      <c r="AF232" s="2122"/>
      <c r="AG232" s="2122"/>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5" t="s">
        <v>599</v>
      </c>
      <c r="AC233" s="2145"/>
      <c r="AD233" s="2145"/>
      <c r="AE233" s="2145"/>
      <c r="AF233" s="2145"/>
      <c r="AG233" s="2145"/>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8">
        <f>IFERROR(AB232/AB233,0)</f>
        <v>0</v>
      </c>
      <c r="AC234" s="2128"/>
      <c r="AD234" s="2128"/>
      <c r="AE234" s="2128"/>
      <c r="AF234" s="2128"/>
      <c r="AG234" s="212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7">
        <f>MAX(AB229,AB234)</f>
        <v>0</v>
      </c>
      <c r="AC236" s="2117"/>
      <c r="AD236" s="2117"/>
      <c r="AE236" s="2117"/>
      <c r="AF236" s="2117"/>
      <c r="AG236" s="211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62">
        <f>AB223+AB236</f>
        <v>0</v>
      </c>
      <c r="AC239" s="1962"/>
      <c r="AD239" s="1962"/>
      <c r="AE239" s="1962"/>
      <c r="AF239" s="1962"/>
      <c r="AG239" s="196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3">
        <v>0.05</v>
      </c>
      <c r="AC240" s="1993"/>
      <c r="AD240" s="1993"/>
      <c r="AE240" s="1993"/>
      <c r="AF240" s="1993"/>
      <c r="AG240" s="1993"/>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4">
        <f>AB239-(AB239*AB240)</f>
        <v>0</v>
      </c>
      <c r="AC241" s="1994"/>
      <c r="AD241" s="1994"/>
      <c r="AE241" s="1994"/>
      <c r="AF241" s="1994"/>
      <c r="AG241" s="1994"/>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62">
        <f>AB241/AB247</f>
        <v>0</v>
      </c>
      <c r="AC243" s="1962"/>
      <c r="AD243" s="1962"/>
      <c r="AE243" s="1962"/>
      <c r="AF243" s="1962"/>
      <c r="AG243" s="196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4">
        <v>15</v>
      </c>
      <c r="AC245" s="1954"/>
      <c r="AD245" s="1954"/>
      <c r="AE245" s="1954"/>
      <c r="AF245" s="1954"/>
      <c r="AG245" s="195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5">
        <v>0.04</v>
      </c>
      <c r="AC246" s="1995"/>
      <c r="AD246" s="1995"/>
      <c r="AE246" s="1995"/>
      <c r="AF246" s="1995"/>
      <c r="AG246" s="199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6">
        <v>1.1499999999999999</v>
      </c>
      <c r="AC247" s="1966"/>
      <c r="AD247" s="1966"/>
      <c r="AE247" s="1966"/>
      <c r="AF247" s="1966"/>
      <c r="AG247" s="196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6">
        <f>PV(AB246/12,AB245*12,-AB243/12, ,0)</f>
        <v>0</v>
      </c>
      <c r="AC249" s="1987"/>
      <c r="AD249" s="1987"/>
      <c r="AE249" s="1987"/>
      <c r="AF249" s="1987"/>
      <c r="AG249" s="198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90">
        <f>IFERROR(('Sources and Uses Budget'!D105/'Sources and Uses Budget'!B105),0)</f>
        <v>0</v>
      </c>
      <c r="AC255" s="1991"/>
      <c r="AD255" s="1991"/>
      <c r="AE255" s="1991"/>
      <c r="AF255" s="1991"/>
      <c r="AG255" s="199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80">
        <f>AD200*(1-AB255)</f>
        <v>6277300</v>
      </c>
      <c r="AH257" s="1980"/>
      <c r="AI257" s="1980"/>
      <c r="AJ257" s="1980"/>
      <c r="AK257" s="1980"/>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80">
        <f>'Sources and Uses Budget'!C105</f>
        <v>74451434</v>
      </c>
      <c r="AH258" s="1980"/>
      <c r="AI258" s="1980"/>
      <c r="AJ258" s="1980"/>
      <c r="AK258" s="198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81">
        <f>ROUNDDOWN(IF(AND(C281="Yes",AK78=10),((AG257*2)/AG258),AG257/AG258),2)</f>
        <v>0.16</v>
      </c>
      <c r="AH259" s="1981"/>
      <c r="AI259" s="1981"/>
      <c r="AJ259" s="1981"/>
      <c r="AK259" s="198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82">
        <f>IFERROR(IF(AG259=0,0,IF((AG259*100)&gt;8,8,(AG259*100))),0)</f>
        <v>8</v>
      </c>
      <c r="AL262" s="1982"/>
      <c r="AM262" s="198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74" t="s">
        <v>553</v>
      </c>
      <c r="D267" s="1974"/>
      <c r="E267" s="581"/>
      <c r="F267" s="2131" t="s">
        <v>2337</v>
      </c>
      <c r="G267" s="2132"/>
      <c r="H267" s="2132"/>
      <c r="I267" s="2132"/>
      <c r="J267" s="2132"/>
      <c r="K267" s="2132"/>
      <c r="L267" s="2132"/>
      <c r="M267" s="2132"/>
      <c r="N267" s="2132"/>
      <c r="O267" s="2132"/>
      <c r="P267" s="2132"/>
      <c r="Q267" s="2132"/>
      <c r="R267" s="2132"/>
      <c r="S267" s="2132"/>
      <c r="T267" s="2132"/>
      <c r="U267" s="2132"/>
      <c r="V267" s="2132"/>
      <c r="W267" s="2132"/>
      <c r="X267" s="2132"/>
      <c r="Y267" s="2132"/>
      <c r="Z267" s="2132"/>
      <c r="AA267" s="2132"/>
      <c r="AB267" s="2132"/>
      <c r="AC267" s="2132"/>
      <c r="AD267" s="2133"/>
      <c r="AE267" s="584"/>
      <c r="AF267" s="669"/>
      <c r="AG267" s="1975" t="s">
        <v>1472</v>
      </c>
      <c r="AH267" s="1975"/>
      <c r="AI267" s="1975"/>
      <c r="AJ267" s="1975"/>
      <c r="AK267" s="584"/>
      <c r="AL267" s="584"/>
      <c r="AM267" s="584"/>
      <c r="AO267" s="584"/>
    </row>
    <row r="268" spans="1:52" ht="13.7" customHeight="1">
      <c r="A268" s="584"/>
      <c r="B268" s="630"/>
      <c r="C268" s="670"/>
      <c r="D268" s="584"/>
      <c r="E268" s="581"/>
      <c r="F268" s="2134"/>
      <c r="G268" s="2135"/>
      <c r="H268" s="2135"/>
      <c r="I268" s="2135"/>
      <c r="J268" s="2135"/>
      <c r="K268" s="2135"/>
      <c r="L268" s="2135"/>
      <c r="M268" s="2135"/>
      <c r="N268" s="2135"/>
      <c r="O268" s="2135"/>
      <c r="P268" s="2135"/>
      <c r="Q268" s="2135"/>
      <c r="R268" s="2135"/>
      <c r="S268" s="2135"/>
      <c r="T268" s="2135"/>
      <c r="U268" s="2135"/>
      <c r="V268" s="2135"/>
      <c r="W268" s="2135"/>
      <c r="X268" s="2135"/>
      <c r="Y268" s="2135"/>
      <c r="Z268" s="2135"/>
      <c r="AA268" s="2135"/>
      <c r="AB268" s="2135"/>
      <c r="AC268" s="2135"/>
      <c r="AD268" s="2136"/>
      <c r="AE268" s="584"/>
      <c r="AF268" s="669"/>
      <c r="AG268" s="669"/>
      <c r="AH268" s="669"/>
      <c r="AI268" s="669"/>
      <c r="AJ268" s="584"/>
      <c r="AK268" s="584"/>
      <c r="AL268" s="584"/>
      <c r="AM268" s="584"/>
      <c r="AO268" s="584"/>
    </row>
    <row r="269" spans="1:52">
      <c r="A269" s="584"/>
      <c r="B269" s="630"/>
      <c r="C269" s="670"/>
      <c r="D269" s="584"/>
      <c r="E269" s="581"/>
      <c r="F269" s="2134"/>
      <c r="G269" s="2135"/>
      <c r="H269" s="2135"/>
      <c r="I269" s="2135"/>
      <c r="J269" s="2135"/>
      <c r="K269" s="2135"/>
      <c r="L269" s="2135"/>
      <c r="M269" s="2135"/>
      <c r="N269" s="2135"/>
      <c r="O269" s="2135"/>
      <c r="P269" s="2135"/>
      <c r="Q269" s="2135"/>
      <c r="R269" s="2135"/>
      <c r="S269" s="2135"/>
      <c r="T269" s="2135"/>
      <c r="U269" s="2135"/>
      <c r="V269" s="2135"/>
      <c r="W269" s="2135"/>
      <c r="X269" s="2135"/>
      <c r="Y269" s="2135"/>
      <c r="Z269" s="2135"/>
      <c r="AA269" s="2135"/>
      <c r="AB269" s="2135"/>
      <c r="AC269" s="2135"/>
      <c r="AD269" s="2136"/>
      <c r="AE269" s="584"/>
      <c r="AF269" s="669"/>
      <c r="AG269" s="669"/>
      <c r="AH269" s="669"/>
      <c r="AI269" s="669"/>
      <c r="AJ269" s="584"/>
      <c r="AK269" s="584"/>
      <c r="AL269" s="584"/>
      <c r="AM269" s="584"/>
      <c r="AO269" s="584"/>
      <c r="AP269" s="671"/>
    </row>
    <row r="270" spans="1:52">
      <c r="A270" s="584"/>
      <c r="B270" s="630"/>
      <c r="C270" s="670"/>
      <c r="D270" s="584"/>
      <c r="E270" s="581"/>
      <c r="F270" s="2134"/>
      <c r="G270" s="2135"/>
      <c r="H270" s="2135"/>
      <c r="I270" s="2135"/>
      <c r="J270" s="2135"/>
      <c r="K270" s="2135"/>
      <c r="L270" s="2135"/>
      <c r="M270" s="2135"/>
      <c r="N270" s="2135"/>
      <c r="O270" s="2135"/>
      <c r="P270" s="2135"/>
      <c r="Q270" s="2135"/>
      <c r="R270" s="2135"/>
      <c r="S270" s="2135"/>
      <c r="T270" s="2135"/>
      <c r="U270" s="2135"/>
      <c r="V270" s="2135"/>
      <c r="W270" s="2135"/>
      <c r="X270" s="2135"/>
      <c r="Y270" s="2135"/>
      <c r="Z270" s="2135"/>
      <c r="AA270" s="2135"/>
      <c r="AB270" s="2135"/>
      <c r="AC270" s="2135"/>
      <c r="AD270" s="2136"/>
      <c r="AE270" s="584"/>
      <c r="AF270" s="669"/>
      <c r="AG270" s="669"/>
      <c r="AH270" s="669"/>
      <c r="AI270" s="669"/>
      <c r="AJ270" s="584"/>
      <c r="AK270" s="584"/>
      <c r="AL270" s="584"/>
      <c r="AM270" s="584"/>
      <c r="AO270" s="584"/>
      <c r="AP270" s="671"/>
    </row>
    <row r="271" spans="1:52" ht="13.7" customHeight="1">
      <c r="A271" s="584"/>
      <c r="B271" s="630"/>
      <c r="C271" s="1976"/>
      <c r="D271" s="1976"/>
      <c r="E271" s="581"/>
      <c r="F271" s="2137"/>
      <c r="G271" s="2138"/>
      <c r="H271" s="2138"/>
      <c r="I271" s="2138"/>
      <c r="J271" s="2138"/>
      <c r="K271" s="2138"/>
      <c r="L271" s="2138"/>
      <c r="M271" s="2138"/>
      <c r="N271" s="2138"/>
      <c r="O271" s="2138"/>
      <c r="P271" s="2138"/>
      <c r="Q271" s="2138"/>
      <c r="R271" s="2138"/>
      <c r="S271" s="2138"/>
      <c r="T271" s="2138"/>
      <c r="U271" s="2138"/>
      <c r="V271" s="2138"/>
      <c r="W271" s="2138"/>
      <c r="X271" s="2138"/>
      <c r="Y271" s="2138"/>
      <c r="Z271" s="2138"/>
      <c r="AA271" s="2138"/>
      <c r="AB271" s="2138"/>
      <c r="AC271" s="2138"/>
      <c r="AD271" s="2139"/>
      <c r="AE271" s="584"/>
      <c r="AF271" s="669"/>
      <c r="AG271" s="1975"/>
      <c r="AH271" s="1975"/>
      <c r="AI271" s="1975"/>
      <c r="AJ271" s="197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82">
        <f>IF($C$267="yes",10,0)</f>
        <v>10</v>
      </c>
      <c r="AL274" s="1982"/>
      <c r="AM274" s="198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0" t="s">
        <v>1491</v>
      </c>
      <c r="B281" s="1670"/>
      <c r="C281" s="1970" t="s">
        <v>553</v>
      </c>
      <c r="D281" s="1974"/>
      <c r="E281" s="581"/>
      <c r="F281" s="2002" t="s">
        <v>1492</v>
      </c>
      <c r="G281" s="2003"/>
      <c r="H281" s="2003"/>
      <c r="I281" s="2003"/>
      <c r="J281" s="2003"/>
      <c r="K281" s="2003"/>
      <c r="L281" s="2003"/>
      <c r="M281" s="2003"/>
      <c r="N281" s="2003"/>
      <c r="O281" s="2003"/>
      <c r="P281" s="2003"/>
      <c r="Q281" s="2003"/>
      <c r="R281" s="2003"/>
      <c r="S281" s="2003"/>
      <c r="T281" s="2003"/>
      <c r="U281" s="2003"/>
      <c r="V281" s="2003"/>
      <c r="W281" s="2003"/>
      <c r="X281" s="2003"/>
      <c r="Y281" s="2003"/>
      <c r="Z281" s="2003"/>
      <c r="AA281" s="2003"/>
      <c r="AB281" s="2003"/>
      <c r="AC281" s="2003"/>
      <c r="AD281" s="2004"/>
      <c r="AE281" s="676"/>
      <c r="AF281" s="584"/>
      <c r="AG281" s="2005" t="s">
        <v>2330</v>
      </c>
      <c r="AH281" s="2005"/>
      <c r="AI281" s="2005"/>
      <c r="AJ281" s="2005"/>
      <c r="AK281" s="2005"/>
      <c r="AL281" s="584"/>
      <c r="AM281" s="584"/>
      <c r="AN281" s="73"/>
      <c r="AO281" s="14"/>
      <c r="AP281" s="30"/>
      <c r="AS281" s="604"/>
      <c r="AT281" s="604"/>
      <c r="AU281" s="604"/>
      <c r="AV281" s="32"/>
      <c r="AW281" s="32"/>
    </row>
    <row r="282" spans="1:49">
      <c r="A282" s="674"/>
      <c r="B282" s="630"/>
      <c r="F282" s="1996"/>
      <c r="G282" s="1997"/>
      <c r="H282" s="1997"/>
      <c r="I282" s="1997"/>
      <c r="J282" s="1997"/>
      <c r="K282" s="1997"/>
      <c r="L282" s="1997"/>
      <c r="M282" s="1997"/>
      <c r="N282" s="1997"/>
      <c r="O282" s="1997"/>
      <c r="P282" s="1997"/>
      <c r="Q282" s="1997"/>
      <c r="R282" s="1997"/>
      <c r="S282" s="1997"/>
      <c r="T282" s="1997"/>
      <c r="U282" s="1997"/>
      <c r="V282" s="1997"/>
      <c r="W282" s="1997"/>
      <c r="X282" s="1997"/>
      <c r="Y282" s="1997"/>
      <c r="Z282" s="1997"/>
      <c r="AA282" s="1997"/>
      <c r="AB282" s="1997"/>
      <c r="AC282" s="1997"/>
      <c r="AD282" s="199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96"/>
      <c r="G283" s="1997"/>
      <c r="H283" s="1997"/>
      <c r="I283" s="1997"/>
      <c r="J283" s="1997"/>
      <c r="K283" s="1997"/>
      <c r="L283" s="1997"/>
      <c r="M283" s="1997"/>
      <c r="N283" s="1997"/>
      <c r="O283" s="1997"/>
      <c r="P283" s="1997"/>
      <c r="Q283" s="1997"/>
      <c r="R283" s="1997"/>
      <c r="S283" s="1997"/>
      <c r="T283" s="1997"/>
      <c r="U283" s="1997"/>
      <c r="V283" s="1997"/>
      <c r="W283" s="1997"/>
      <c r="X283" s="1997"/>
      <c r="Y283" s="1997"/>
      <c r="Z283" s="1997"/>
      <c r="AA283" s="1997"/>
      <c r="AB283" s="1997"/>
      <c r="AC283" s="1997"/>
      <c r="AD283" s="199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96" t="s">
        <v>2338</v>
      </c>
      <c r="G284" s="1997"/>
      <c r="H284" s="1997"/>
      <c r="I284" s="1997"/>
      <c r="J284" s="1997"/>
      <c r="K284" s="1997"/>
      <c r="L284" s="1997"/>
      <c r="M284" s="1997"/>
      <c r="N284" s="1997"/>
      <c r="O284" s="1997"/>
      <c r="P284" s="1997"/>
      <c r="Q284" s="1997"/>
      <c r="R284" s="1997"/>
      <c r="S284" s="1997"/>
      <c r="T284" s="1997"/>
      <c r="U284" s="1997"/>
      <c r="V284" s="1997"/>
      <c r="W284" s="1997"/>
      <c r="X284" s="1997"/>
      <c r="Y284" s="1997"/>
      <c r="Z284" s="1997"/>
      <c r="AA284" s="1997"/>
      <c r="AB284" s="1997"/>
      <c r="AC284" s="1997"/>
      <c r="AD284" s="1998"/>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96"/>
      <c r="G285" s="1997"/>
      <c r="H285" s="1997"/>
      <c r="I285" s="1997"/>
      <c r="J285" s="1997"/>
      <c r="K285" s="1997"/>
      <c r="L285" s="1997"/>
      <c r="M285" s="1997"/>
      <c r="N285" s="1997"/>
      <c r="O285" s="1997"/>
      <c r="P285" s="1997"/>
      <c r="Q285" s="1997"/>
      <c r="R285" s="1997"/>
      <c r="S285" s="1997"/>
      <c r="T285" s="1997"/>
      <c r="U285" s="1997"/>
      <c r="V285" s="1997"/>
      <c r="W285" s="1997"/>
      <c r="X285" s="1997"/>
      <c r="Y285" s="1997"/>
      <c r="Z285" s="1997"/>
      <c r="AA285" s="1997"/>
      <c r="AB285" s="1997"/>
      <c r="AC285" s="1997"/>
      <c r="AD285" s="199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6" t="s">
        <v>1493</v>
      </c>
      <c r="G286" s="1997"/>
      <c r="H286" s="1997"/>
      <c r="I286" s="1997"/>
      <c r="J286" s="1997"/>
      <c r="K286" s="1997"/>
      <c r="L286" s="1997"/>
      <c r="M286" s="1997"/>
      <c r="N286" s="1997"/>
      <c r="O286" s="1997"/>
      <c r="P286" s="1997"/>
      <c r="Q286" s="1997"/>
      <c r="R286" s="1997"/>
      <c r="S286" s="1997"/>
      <c r="T286" s="1997"/>
      <c r="U286" s="1997"/>
      <c r="V286" s="1997"/>
      <c r="W286" s="1997"/>
      <c r="X286" s="1997"/>
      <c r="Y286" s="1997"/>
      <c r="Z286" s="1997"/>
      <c r="AA286" s="1997"/>
      <c r="AB286" s="1997"/>
      <c r="AC286" s="1997"/>
      <c r="AD286" s="199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6"/>
      <c r="G287" s="1997"/>
      <c r="H287" s="1997"/>
      <c r="I287" s="1997"/>
      <c r="J287" s="1997"/>
      <c r="K287" s="1997"/>
      <c r="L287" s="1997"/>
      <c r="M287" s="1997"/>
      <c r="N287" s="1997"/>
      <c r="O287" s="1997"/>
      <c r="P287" s="1997"/>
      <c r="Q287" s="1997"/>
      <c r="R287" s="1997"/>
      <c r="S287" s="1997"/>
      <c r="T287" s="1997"/>
      <c r="U287" s="1997"/>
      <c r="V287" s="1997"/>
      <c r="W287" s="1997"/>
      <c r="X287" s="1997"/>
      <c r="Y287" s="1997"/>
      <c r="Z287" s="1997"/>
      <c r="AA287" s="1997"/>
      <c r="AB287" s="1997"/>
      <c r="AC287" s="1997"/>
      <c r="AD287" s="199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6" t="s">
        <v>1494</v>
      </c>
      <c r="G288" s="1997"/>
      <c r="H288" s="1997"/>
      <c r="I288" s="1997"/>
      <c r="J288" s="1997"/>
      <c r="K288" s="1997"/>
      <c r="L288" s="1997"/>
      <c r="M288" s="1997"/>
      <c r="N288" s="1997"/>
      <c r="O288" s="1997"/>
      <c r="P288" s="1997"/>
      <c r="Q288" s="1997"/>
      <c r="R288" s="1997"/>
      <c r="S288" s="1997"/>
      <c r="T288" s="1997"/>
      <c r="U288" s="1997"/>
      <c r="V288" s="1997"/>
      <c r="W288" s="1997"/>
      <c r="X288" s="1997"/>
      <c r="Y288" s="1997"/>
      <c r="Z288" s="1997"/>
      <c r="AA288" s="1997"/>
      <c r="AB288" s="1997"/>
      <c r="AC288" s="1997"/>
      <c r="AD288" s="199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9"/>
      <c r="G289" s="2000"/>
      <c r="H289" s="2000"/>
      <c r="I289" s="2000"/>
      <c r="J289" s="2000"/>
      <c r="K289" s="2000"/>
      <c r="L289" s="2000"/>
      <c r="M289" s="2000"/>
      <c r="N289" s="2000"/>
      <c r="O289" s="2000"/>
      <c r="P289" s="2000"/>
      <c r="Q289" s="2000"/>
      <c r="R289" s="2000"/>
      <c r="S289" s="2000"/>
      <c r="T289" s="2000"/>
      <c r="U289" s="2000"/>
      <c r="V289" s="2000"/>
      <c r="W289" s="2000"/>
      <c r="X289" s="2000"/>
      <c r="Y289" s="2000"/>
      <c r="Z289" s="2000"/>
      <c r="AA289" s="2000"/>
      <c r="AB289" s="2000"/>
      <c r="AC289" s="2000"/>
      <c r="AD289" s="200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0" t="s">
        <v>1495</v>
      </c>
      <c r="B291" s="1670"/>
      <c r="C291" s="1974" t="s">
        <v>599</v>
      </c>
      <c r="D291" s="1974"/>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908" t="s">
        <v>2332</v>
      </c>
      <c r="G292" s="1909"/>
      <c r="H292" s="1909"/>
      <c r="I292" s="1909"/>
      <c r="J292" s="1909"/>
      <c r="K292" s="1909"/>
      <c r="L292" s="1909"/>
      <c r="M292" s="1909"/>
      <c r="N292" s="1909"/>
      <c r="O292" s="1909"/>
      <c r="P292" s="1909"/>
      <c r="Q292" s="1909"/>
      <c r="R292" s="1909"/>
      <c r="S292" s="1909"/>
      <c r="T292" s="1909"/>
      <c r="U292" s="1909"/>
      <c r="V292" s="1909"/>
      <c r="W292" s="1909"/>
      <c r="X292" s="1909"/>
      <c r="Y292" s="1909"/>
      <c r="Z292" s="1909"/>
      <c r="AA292" s="1909"/>
      <c r="AB292" s="1909"/>
      <c r="AC292" s="1909"/>
      <c r="AD292" s="1910"/>
      <c r="AE292" s="585"/>
      <c r="AF292" s="585"/>
      <c r="AG292" s="585"/>
      <c r="AH292" s="585"/>
      <c r="AI292" s="585"/>
      <c r="AJ292" s="584"/>
      <c r="AK292" s="584"/>
      <c r="AL292" s="584"/>
      <c r="AM292" s="584"/>
      <c r="AR292" s="682"/>
    </row>
    <row r="293" spans="1:49" ht="15" customHeight="1">
      <c r="A293" s="584"/>
      <c r="B293" s="585"/>
      <c r="C293" s="584"/>
      <c r="D293" s="585"/>
      <c r="E293" s="584"/>
      <c r="F293" s="1908"/>
      <c r="G293" s="1909"/>
      <c r="H293" s="1909"/>
      <c r="I293" s="1909"/>
      <c r="J293" s="1909"/>
      <c r="K293" s="1909"/>
      <c r="L293" s="1909"/>
      <c r="M293" s="1909"/>
      <c r="N293" s="1909"/>
      <c r="O293" s="1909"/>
      <c r="P293" s="1909"/>
      <c r="Q293" s="1909"/>
      <c r="R293" s="1909"/>
      <c r="S293" s="1909"/>
      <c r="T293" s="1909"/>
      <c r="U293" s="1909"/>
      <c r="V293" s="1909"/>
      <c r="W293" s="1909"/>
      <c r="X293" s="1909"/>
      <c r="Y293" s="1909"/>
      <c r="Z293" s="1909"/>
      <c r="AA293" s="1909"/>
      <c r="AB293" s="1909"/>
      <c r="AC293" s="1909"/>
      <c r="AD293" s="1910"/>
      <c r="AE293" s="585"/>
      <c r="AF293" s="585"/>
      <c r="AG293" s="585"/>
      <c r="AH293" s="585"/>
      <c r="AI293" s="585"/>
      <c r="AJ293" s="584"/>
      <c r="AK293" s="584"/>
      <c r="AL293" s="584"/>
      <c r="AM293" s="584"/>
      <c r="AR293" s="682"/>
    </row>
    <row r="294" spans="1:49">
      <c r="A294" s="584"/>
      <c r="B294" s="585"/>
      <c r="C294" s="584"/>
      <c r="D294" s="585"/>
      <c r="E294" s="584"/>
      <c r="F294" s="1908"/>
      <c r="G294" s="1909"/>
      <c r="H294" s="1909"/>
      <c r="I294" s="1909"/>
      <c r="J294" s="1909"/>
      <c r="K294" s="1909"/>
      <c r="L294" s="1909"/>
      <c r="M294" s="1909"/>
      <c r="N294" s="1909"/>
      <c r="O294" s="1909"/>
      <c r="P294" s="1909"/>
      <c r="Q294" s="1909"/>
      <c r="R294" s="1909"/>
      <c r="S294" s="1909"/>
      <c r="T294" s="1909"/>
      <c r="U294" s="1909"/>
      <c r="V294" s="1909"/>
      <c r="W294" s="1909"/>
      <c r="X294" s="1909"/>
      <c r="Y294" s="1909"/>
      <c r="Z294" s="1909"/>
      <c r="AA294" s="1909"/>
      <c r="AB294" s="1909"/>
      <c r="AC294" s="1909"/>
      <c r="AD294" s="191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5"/>
      <c r="G295" s="1906"/>
      <c r="H295" s="1906"/>
      <c r="I295" s="1906"/>
      <c r="J295" s="1906"/>
      <c r="K295" s="1906"/>
      <c r="L295" s="1906"/>
      <c r="M295" s="1906"/>
      <c r="N295" s="1906"/>
      <c r="O295" s="1906"/>
      <c r="P295" s="1906"/>
      <c r="Q295" s="1906"/>
      <c r="R295" s="1906"/>
      <c r="S295" s="1906"/>
      <c r="T295" s="1906"/>
      <c r="U295" s="1906"/>
      <c r="V295" s="1906"/>
      <c r="W295" s="1906"/>
      <c r="X295" s="1906"/>
      <c r="Y295" s="1906"/>
      <c r="Z295" s="1906"/>
      <c r="AA295" s="1906"/>
      <c r="AB295" s="1906"/>
      <c r="AC295" s="1906"/>
      <c r="AD295" s="190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0" t="s">
        <v>1498</v>
      </c>
      <c r="B299" s="1670"/>
      <c r="C299" s="1974" t="s">
        <v>599</v>
      </c>
      <c r="D299" s="1974"/>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96" t="s">
        <v>2339</v>
      </c>
      <c r="G300" s="1997"/>
      <c r="H300" s="1997"/>
      <c r="I300" s="1997"/>
      <c r="J300" s="1997"/>
      <c r="K300" s="1997"/>
      <c r="L300" s="1997"/>
      <c r="M300" s="1997"/>
      <c r="N300" s="1997"/>
      <c r="O300" s="1997"/>
      <c r="P300" s="1997"/>
      <c r="Q300" s="1997"/>
      <c r="R300" s="1997"/>
      <c r="S300" s="1997"/>
      <c r="T300" s="1997"/>
      <c r="U300" s="1997"/>
      <c r="V300" s="1997"/>
      <c r="W300" s="1997"/>
      <c r="X300" s="1997"/>
      <c r="Y300" s="1997"/>
      <c r="Z300" s="1997"/>
      <c r="AA300" s="1997"/>
      <c r="AB300" s="1997"/>
      <c r="AC300" s="1997"/>
      <c r="AD300" s="1998"/>
      <c r="AE300" s="585"/>
      <c r="AF300" s="585"/>
      <c r="AG300" s="573"/>
      <c r="AH300" s="585"/>
      <c r="AI300" s="585"/>
      <c r="AJ300" s="584"/>
      <c r="AK300" s="584"/>
      <c r="AL300" s="584"/>
      <c r="AM300" s="584"/>
      <c r="AN300" s="73"/>
      <c r="AO300" s="14"/>
      <c r="AP300" s="591" t="s">
        <v>1290</v>
      </c>
    </row>
    <row r="301" spans="1:49" hidden="1">
      <c r="F301" s="1996"/>
      <c r="G301" s="1997"/>
      <c r="H301" s="1997"/>
      <c r="I301" s="1997"/>
      <c r="J301" s="1997"/>
      <c r="K301" s="1997"/>
      <c r="L301" s="1997"/>
      <c r="M301" s="1997"/>
      <c r="N301" s="1997"/>
      <c r="O301" s="1997"/>
      <c r="P301" s="1997"/>
      <c r="Q301" s="1997"/>
      <c r="R301" s="1997"/>
      <c r="S301" s="1997"/>
      <c r="T301" s="1997"/>
      <c r="U301" s="1997"/>
      <c r="V301" s="1997"/>
      <c r="W301" s="1997"/>
      <c r="X301" s="1997"/>
      <c r="Y301" s="1997"/>
      <c r="Z301" s="1997"/>
      <c r="AA301" s="1997"/>
      <c r="AB301" s="1997"/>
      <c r="AC301" s="1997"/>
      <c r="AD301" s="199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6" t="s">
        <v>1290</v>
      </c>
      <c r="G305" s="2007"/>
      <c r="H305" s="2007"/>
      <c r="I305" s="2007"/>
      <c r="J305" s="2007"/>
      <c r="K305" s="2007"/>
      <c r="L305" s="2007"/>
      <c r="M305" s="2007"/>
      <c r="N305" s="2007"/>
      <c r="O305" s="2007"/>
      <c r="P305" s="2007"/>
      <c r="Q305" s="2007"/>
      <c r="R305" s="2007"/>
      <c r="S305" s="2007"/>
      <c r="T305" s="2007"/>
      <c r="U305" s="2007"/>
      <c r="V305" s="2007"/>
      <c r="W305" s="2007"/>
      <c r="X305" s="2007"/>
      <c r="Y305" s="2007"/>
      <c r="Z305" s="2007"/>
      <c r="AA305" s="2007"/>
      <c r="AB305" s="2007"/>
      <c r="AC305" s="2007"/>
      <c r="AD305" s="2008"/>
      <c r="AE305" s="676"/>
      <c r="AF305" s="676"/>
      <c r="AG305" s="676"/>
      <c r="AH305" s="676"/>
      <c r="AI305" s="676"/>
      <c r="AJ305" s="676"/>
      <c r="AK305" s="676"/>
      <c r="AL305" s="584"/>
      <c r="AM305" s="584"/>
      <c r="AN305" s="73"/>
      <c r="AO305" s="14"/>
      <c r="AP305" s="30"/>
    </row>
    <row r="306" spans="1:42" hidden="1">
      <c r="A306" s="584"/>
      <c r="B306" s="585"/>
      <c r="C306" s="764"/>
      <c r="D306" s="764"/>
      <c r="E306" s="581"/>
      <c r="F306" s="2006"/>
      <c r="G306" s="2007"/>
      <c r="H306" s="2007"/>
      <c r="I306" s="2007"/>
      <c r="J306" s="2007"/>
      <c r="K306" s="2007"/>
      <c r="L306" s="2007"/>
      <c r="M306" s="2007"/>
      <c r="N306" s="2007"/>
      <c r="O306" s="2007"/>
      <c r="P306" s="2007"/>
      <c r="Q306" s="2007"/>
      <c r="R306" s="2007"/>
      <c r="S306" s="2007"/>
      <c r="T306" s="2007"/>
      <c r="U306" s="2007"/>
      <c r="V306" s="2007"/>
      <c r="W306" s="2007"/>
      <c r="X306" s="2007"/>
      <c r="Y306" s="2007"/>
      <c r="Z306" s="2007"/>
      <c r="AA306" s="2007"/>
      <c r="AB306" s="2007"/>
      <c r="AC306" s="2007"/>
      <c r="AD306" s="2008"/>
      <c r="AE306" s="585"/>
      <c r="AF306" s="585"/>
      <c r="AG306" s="573"/>
      <c r="AH306" s="585"/>
      <c r="AI306" s="585"/>
      <c r="AJ306" s="584"/>
      <c r="AK306" s="584"/>
      <c r="AL306" s="584"/>
      <c r="AM306" s="584"/>
      <c r="AN306" s="73"/>
      <c r="AO306" s="14"/>
      <c r="AP306" s="30"/>
    </row>
    <row r="307" spans="1:42" hidden="1">
      <c r="A307" s="584"/>
      <c r="B307" s="585"/>
      <c r="C307" s="764"/>
      <c r="D307" s="764"/>
      <c r="E307" s="581"/>
      <c r="F307" s="2006"/>
      <c r="G307" s="2007"/>
      <c r="H307" s="2007"/>
      <c r="I307" s="2007"/>
      <c r="J307" s="2007"/>
      <c r="K307" s="2007"/>
      <c r="L307" s="2007"/>
      <c r="M307" s="2007"/>
      <c r="N307" s="2007"/>
      <c r="O307" s="2007"/>
      <c r="P307" s="2007"/>
      <c r="Q307" s="2007"/>
      <c r="R307" s="2007"/>
      <c r="S307" s="2007"/>
      <c r="T307" s="2007"/>
      <c r="U307" s="2007"/>
      <c r="V307" s="2007"/>
      <c r="W307" s="2007"/>
      <c r="X307" s="2007"/>
      <c r="Y307" s="2007"/>
      <c r="Z307" s="2007"/>
      <c r="AA307" s="2007"/>
      <c r="AB307" s="2007"/>
      <c r="AC307" s="2007"/>
      <c r="AD307" s="2008"/>
      <c r="AE307" s="585"/>
      <c r="AF307" s="585"/>
      <c r="AG307" s="573"/>
      <c r="AH307" s="585"/>
      <c r="AI307" s="585"/>
      <c r="AJ307" s="584"/>
      <c r="AK307" s="584"/>
      <c r="AL307" s="584"/>
      <c r="AM307" s="584"/>
      <c r="AN307" s="73"/>
      <c r="AO307" s="14"/>
      <c r="AP307" s="30"/>
    </row>
    <row r="308" spans="1:42" hidden="1">
      <c r="A308" s="584"/>
      <c r="B308" s="585"/>
      <c r="C308" s="764"/>
      <c r="D308" s="764"/>
      <c r="E308" s="581"/>
      <c r="F308" s="2006"/>
      <c r="G308" s="2007"/>
      <c r="H308" s="2007"/>
      <c r="I308" s="2007"/>
      <c r="J308" s="2007"/>
      <c r="K308" s="2007"/>
      <c r="L308" s="2007"/>
      <c r="M308" s="2007"/>
      <c r="N308" s="2007"/>
      <c r="O308" s="2007"/>
      <c r="P308" s="2007"/>
      <c r="Q308" s="2007"/>
      <c r="R308" s="2007"/>
      <c r="S308" s="2007"/>
      <c r="T308" s="2007"/>
      <c r="U308" s="2007"/>
      <c r="V308" s="2007"/>
      <c r="W308" s="2007"/>
      <c r="X308" s="2007"/>
      <c r="Y308" s="2007"/>
      <c r="Z308" s="2007"/>
      <c r="AA308" s="2007"/>
      <c r="AB308" s="2007"/>
      <c r="AC308" s="2007"/>
      <c r="AD308" s="2008"/>
      <c r="AE308" s="585"/>
      <c r="AF308" s="585"/>
      <c r="AG308" s="573"/>
      <c r="AH308" s="585"/>
      <c r="AI308" s="585"/>
      <c r="AJ308" s="584"/>
      <c r="AK308" s="584"/>
      <c r="AL308" s="584"/>
      <c r="AM308" s="584"/>
      <c r="AN308" s="73"/>
      <c r="AO308" s="14"/>
      <c r="AP308" s="30"/>
    </row>
    <row r="309" spans="1:42" hidden="1">
      <c r="A309" s="584"/>
      <c r="B309" s="585"/>
      <c r="C309" s="764"/>
      <c r="D309" s="764"/>
      <c r="E309" s="581"/>
      <c r="F309" s="2009"/>
      <c r="G309" s="2010"/>
      <c r="H309" s="2010"/>
      <c r="I309" s="2010"/>
      <c r="J309" s="2010"/>
      <c r="K309" s="2010"/>
      <c r="L309" s="2010"/>
      <c r="M309" s="2010"/>
      <c r="N309" s="2010"/>
      <c r="O309" s="2010"/>
      <c r="P309" s="2010"/>
      <c r="Q309" s="2010"/>
      <c r="R309" s="2010"/>
      <c r="S309" s="2010"/>
      <c r="T309" s="2010"/>
      <c r="U309" s="2010"/>
      <c r="V309" s="2010"/>
      <c r="W309" s="2010"/>
      <c r="X309" s="2010"/>
      <c r="Y309" s="2010"/>
      <c r="Z309" s="2010"/>
      <c r="AA309" s="2010"/>
      <c r="AB309" s="2010"/>
      <c r="AC309" s="2010"/>
      <c r="AD309" s="201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12" t="s">
        <v>1290</v>
      </c>
      <c r="J313" s="2012"/>
      <c r="K313" s="2012"/>
      <c r="L313" s="2012"/>
      <c r="M313" s="2012"/>
      <c r="N313" s="2012"/>
      <c r="O313" s="2012"/>
      <c r="P313" s="2012"/>
      <c r="Q313" s="2012"/>
      <c r="R313" s="2012"/>
      <c r="S313" s="2012"/>
      <c r="T313" s="2012"/>
      <c r="U313" s="2012"/>
      <c r="V313" s="2012"/>
      <c r="W313" s="2012"/>
      <c r="X313" s="2012"/>
      <c r="Y313" s="2012"/>
      <c r="Z313" s="2012"/>
      <c r="AA313" s="2012"/>
      <c r="AB313" s="2012"/>
      <c r="AC313" s="2012"/>
      <c r="AD313" s="201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12"/>
      <c r="J314" s="2012"/>
      <c r="K314" s="2012"/>
      <c r="L314" s="2012"/>
      <c r="M314" s="2012"/>
      <c r="N314" s="2012"/>
      <c r="O314" s="2012"/>
      <c r="P314" s="2012"/>
      <c r="Q314" s="2012"/>
      <c r="R314" s="2012"/>
      <c r="S314" s="2012"/>
      <c r="T314" s="2012"/>
      <c r="U314" s="2012"/>
      <c r="V314" s="2012"/>
      <c r="W314" s="2012"/>
      <c r="X314" s="2012"/>
      <c r="Y314" s="2012"/>
      <c r="Z314" s="2012"/>
      <c r="AA314" s="2012"/>
      <c r="AB314" s="2012"/>
      <c r="AC314" s="2012"/>
      <c r="AD314" s="201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12"/>
      <c r="J315" s="2012"/>
      <c r="K315" s="2012"/>
      <c r="L315" s="2012"/>
      <c r="M315" s="2012"/>
      <c r="N315" s="2012"/>
      <c r="O315" s="2012"/>
      <c r="P315" s="2012"/>
      <c r="Q315" s="2012"/>
      <c r="R315" s="2012"/>
      <c r="S315" s="2012"/>
      <c r="T315" s="2012"/>
      <c r="U315" s="2012"/>
      <c r="V315" s="2012"/>
      <c r="W315" s="2012"/>
      <c r="X315" s="2012"/>
      <c r="Y315" s="2012"/>
      <c r="Z315" s="2012"/>
      <c r="AA315" s="2012"/>
      <c r="AB315" s="2012"/>
      <c r="AC315" s="2012"/>
      <c r="AD315" s="201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14"/>
      <c r="J316" s="2014"/>
      <c r="K316" s="2014"/>
      <c r="L316" s="2014"/>
      <c r="M316" s="2014"/>
      <c r="N316" s="2014"/>
      <c r="O316" s="2014"/>
      <c r="P316" s="2014"/>
      <c r="Q316" s="2014"/>
      <c r="R316" s="2014"/>
      <c r="S316" s="2014"/>
      <c r="T316" s="2014"/>
      <c r="U316" s="2014"/>
      <c r="V316" s="2014"/>
      <c r="W316" s="2014"/>
      <c r="X316" s="2014"/>
      <c r="Y316" s="2014"/>
      <c r="Z316" s="2014"/>
      <c r="AA316" s="2014"/>
      <c r="AB316" s="2014"/>
      <c r="AC316" s="2014"/>
      <c r="AD316" s="201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12" t="s">
        <v>1290</v>
      </c>
      <c r="J318" s="2012"/>
      <c r="K318" s="2012"/>
      <c r="L318" s="2012"/>
      <c r="M318" s="2012"/>
      <c r="N318" s="2012"/>
      <c r="O318" s="2012"/>
      <c r="P318" s="2012"/>
      <c r="Q318" s="2012"/>
      <c r="R318" s="2012"/>
      <c r="S318" s="2012"/>
      <c r="T318" s="2012"/>
      <c r="U318" s="2012"/>
      <c r="V318" s="2012"/>
      <c r="W318" s="2012"/>
      <c r="X318" s="2012"/>
      <c r="Y318" s="2012"/>
      <c r="Z318" s="2012"/>
      <c r="AA318" s="2012"/>
      <c r="AB318" s="2012"/>
      <c r="AC318" s="2012"/>
      <c r="AD318" s="201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12"/>
      <c r="J319" s="2012"/>
      <c r="K319" s="2012"/>
      <c r="L319" s="2012"/>
      <c r="M319" s="2012"/>
      <c r="N319" s="2012"/>
      <c r="O319" s="2012"/>
      <c r="P319" s="2012"/>
      <c r="Q319" s="2012"/>
      <c r="R319" s="2012"/>
      <c r="S319" s="2012"/>
      <c r="T319" s="2012"/>
      <c r="U319" s="2012"/>
      <c r="V319" s="2012"/>
      <c r="W319" s="2012"/>
      <c r="X319" s="2012"/>
      <c r="Y319" s="2012"/>
      <c r="Z319" s="2012"/>
      <c r="AA319" s="2012"/>
      <c r="AB319" s="2012"/>
      <c r="AC319" s="2012"/>
      <c r="AD319" s="201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14"/>
      <c r="J320" s="2014"/>
      <c r="K320" s="2014"/>
      <c r="L320" s="2014"/>
      <c r="M320" s="2014"/>
      <c r="N320" s="2014"/>
      <c r="O320" s="2014"/>
      <c r="P320" s="2014"/>
      <c r="Q320" s="2014"/>
      <c r="R320" s="2014"/>
      <c r="S320" s="2014"/>
      <c r="T320" s="2014"/>
      <c r="U320" s="2014"/>
      <c r="V320" s="2014"/>
      <c r="W320" s="2014"/>
      <c r="X320" s="2014"/>
      <c r="Y320" s="2014"/>
      <c r="Z320" s="2014"/>
      <c r="AA320" s="2014"/>
      <c r="AB320" s="2014"/>
      <c r="AC320" s="2014"/>
      <c r="AD320" s="201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70" t="s">
        <v>1501</v>
      </c>
      <c r="B322" s="1670"/>
      <c r="C322" s="1974" t="s">
        <v>599</v>
      </c>
      <c r="D322" s="1974"/>
      <c r="E322" s="581"/>
      <c r="F322" s="1902" t="s">
        <v>2340</v>
      </c>
      <c r="G322" s="1903"/>
      <c r="H322" s="1903"/>
      <c r="I322" s="1903"/>
      <c r="J322" s="1903"/>
      <c r="K322" s="1903"/>
      <c r="L322" s="1903"/>
      <c r="M322" s="1903"/>
      <c r="N322" s="1903"/>
      <c r="O322" s="1903"/>
      <c r="P322" s="1903"/>
      <c r="Q322" s="1903"/>
      <c r="R322" s="1903"/>
      <c r="S322" s="1903"/>
      <c r="T322" s="1903"/>
      <c r="U322" s="1903"/>
      <c r="V322" s="1903"/>
      <c r="W322" s="1903"/>
      <c r="X322" s="1903"/>
      <c r="Y322" s="1903"/>
      <c r="Z322" s="1903"/>
      <c r="AA322" s="1903"/>
      <c r="AB322" s="1903"/>
      <c r="AC322" s="1903"/>
      <c r="AD322" s="1904"/>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908"/>
      <c r="G323" s="1909"/>
      <c r="H323" s="1909"/>
      <c r="I323" s="1909"/>
      <c r="J323" s="1909"/>
      <c r="K323" s="1909"/>
      <c r="L323" s="1909"/>
      <c r="M323" s="1909"/>
      <c r="N323" s="1909"/>
      <c r="O323" s="1909"/>
      <c r="P323" s="1909"/>
      <c r="Q323" s="1909"/>
      <c r="R323" s="1909"/>
      <c r="S323" s="1909"/>
      <c r="T323" s="1909"/>
      <c r="U323" s="1909"/>
      <c r="V323" s="1909"/>
      <c r="W323" s="1909"/>
      <c r="X323" s="1909"/>
      <c r="Y323" s="1909"/>
      <c r="Z323" s="1909"/>
      <c r="AA323" s="1909"/>
      <c r="AB323" s="1909"/>
      <c r="AC323" s="1909"/>
      <c r="AD323" s="1910"/>
      <c r="AE323" s="585"/>
      <c r="AF323" s="585"/>
      <c r="AG323" s="585"/>
      <c r="AH323" s="585"/>
      <c r="AI323" s="585"/>
      <c r="AJ323" s="584"/>
      <c r="AK323" s="584"/>
      <c r="AL323" s="584"/>
      <c r="AM323" s="584"/>
      <c r="AN323" s="73"/>
      <c r="AO323" s="14"/>
    </row>
    <row r="324" spans="1:44" ht="15" hidden="1" customHeight="1">
      <c r="A324" s="584"/>
      <c r="B324" s="585"/>
      <c r="C324" s="585"/>
      <c r="D324" s="585"/>
      <c r="E324" s="585"/>
      <c r="F324" s="1908"/>
      <c r="G324" s="1909"/>
      <c r="H324" s="1909"/>
      <c r="I324" s="1909"/>
      <c r="J324" s="1909"/>
      <c r="K324" s="1909"/>
      <c r="L324" s="1909"/>
      <c r="M324" s="1909"/>
      <c r="N324" s="1909"/>
      <c r="O324" s="1909"/>
      <c r="P324" s="1909"/>
      <c r="Q324" s="1909"/>
      <c r="R324" s="1909"/>
      <c r="S324" s="1909"/>
      <c r="T324" s="1909"/>
      <c r="U324" s="1909"/>
      <c r="V324" s="1909"/>
      <c r="W324" s="1909"/>
      <c r="X324" s="1909"/>
      <c r="Y324" s="1909"/>
      <c r="Z324" s="1909"/>
      <c r="AA324" s="1909"/>
      <c r="AB324" s="1909"/>
      <c r="AC324" s="1909"/>
      <c r="AD324" s="1910"/>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77">
        <f>IF(NOT(OR(Application!M355="Yes",Application!M356="Yes")),0,AP284)</f>
        <v>10</v>
      </c>
      <c r="AL327" s="1978"/>
      <c r="AM327" s="197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11" t="s">
        <v>1423</v>
      </c>
      <c r="AF330" s="1911"/>
      <c r="AG330" s="1911"/>
      <c r="AH330" s="1911"/>
      <c r="AI330" s="1911"/>
      <c r="AJ330" s="1911"/>
      <c r="AK330" s="191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6" t="s">
        <v>1563</v>
      </c>
      <c r="D332" s="2016"/>
      <c r="E332" s="2016"/>
      <c r="F332" s="2016"/>
      <c r="G332" s="2016"/>
      <c r="H332" s="2016"/>
      <c r="I332" s="2016"/>
      <c r="J332" s="2016"/>
      <c r="K332" s="2016"/>
      <c r="L332" s="2016"/>
      <c r="M332" s="2016"/>
      <c r="N332" s="2016"/>
      <c r="O332" s="2016"/>
      <c r="P332" s="2016"/>
      <c r="Q332" s="2016"/>
      <c r="R332" s="2016"/>
      <c r="S332" s="2016"/>
      <c r="T332" s="2016"/>
      <c r="U332" s="2016"/>
      <c r="V332" s="2016"/>
      <c r="W332" s="2016"/>
      <c r="X332" s="2016"/>
      <c r="Y332" s="2016"/>
      <c r="Z332" s="2016"/>
      <c r="AA332" s="2016"/>
      <c r="AB332" s="2016"/>
      <c r="AC332" s="2016"/>
      <c r="AD332" s="2016"/>
      <c r="AE332" s="2016"/>
      <c r="AF332" s="2016"/>
      <c r="AG332" s="2016"/>
      <c r="AH332" s="2016"/>
      <c r="AI332" s="2016"/>
      <c r="AJ332" s="2016"/>
      <c r="AK332" s="637"/>
      <c r="AL332" s="637"/>
      <c r="AM332" s="637"/>
      <c r="AN332" s="631"/>
    </row>
    <row r="333" spans="1:44" s="584" customFormat="1" ht="12.75" customHeight="1">
      <c r="A333" s="637"/>
      <c r="B333" s="645"/>
      <c r="C333" s="2016"/>
      <c r="D333" s="2016"/>
      <c r="E333" s="2016"/>
      <c r="F333" s="2016"/>
      <c r="G333" s="2016"/>
      <c r="H333" s="2016"/>
      <c r="I333" s="2016"/>
      <c r="J333" s="2016"/>
      <c r="K333" s="2016"/>
      <c r="L333" s="2016"/>
      <c r="M333" s="2016"/>
      <c r="N333" s="2016"/>
      <c r="O333" s="2016"/>
      <c r="P333" s="2016"/>
      <c r="Q333" s="2016"/>
      <c r="R333" s="2016"/>
      <c r="S333" s="2016"/>
      <c r="T333" s="2016"/>
      <c r="U333" s="2016"/>
      <c r="V333" s="2016"/>
      <c r="W333" s="2016"/>
      <c r="X333" s="2016"/>
      <c r="Y333" s="2016"/>
      <c r="Z333" s="2016"/>
      <c r="AA333" s="2016"/>
      <c r="AB333" s="2016"/>
      <c r="AC333" s="2016"/>
      <c r="AD333" s="2016"/>
      <c r="AE333" s="2016"/>
      <c r="AF333" s="2016"/>
      <c r="AG333" s="2016"/>
      <c r="AH333" s="2016"/>
      <c r="AI333" s="2016"/>
      <c r="AJ333" s="2016"/>
      <c r="AK333" s="637"/>
      <c r="AL333" s="637"/>
      <c r="AM333" s="637"/>
      <c r="AN333" s="631"/>
    </row>
    <row r="334" spans="1:44" s="584" customFormat="1" ht="12.75" customHeight="1">
      <c r="A334" s="637"/>
      <c r="B334" s="645"/>
      <c r="C334" s="2016"/>
      <c r="D334" s="2016"/>
      <c r="E334" s="2016"/>
      <c r="F334" s="2016"/>
      <c r="G334" s="2016"/>
      <c r="H334" s="2016"/>
      <c r="I334" s="2016"/>
      <c r="J334" s="2016"/>
      <c r="K334" s="2016"/>
      <c r="L334" s="2016"/>
      <c r="M334" s="2016"/>
      <c r="N334" s="2016"/>
      <c r="O334" s="2016"/>
      <c r="P334" s="2016"/>
      <c r="Q334" s="2016"/>
      <c r="R334" s="2016"/>
      <c r="S334" s="2016"/>
      <c r="T334" s="2016"/>
      <c r="U334" s="2016"/>
      <c r="V334" s="2016"/>
      <c r="W334" s="2016"/>
      <c r="X334" s="2016"/>
      <c r="Y334" s="2016"/>
      <c r="Z334" s="2016"/>
      <c r="AA334" s="2016"/>
      <c r="AB334" s="2016"/>
      <c r="AC334" s="2016"/>
      <c r="AD334" s="2016"/>
      <c r="AE334" s="2016"/>
      <c r="AF334" s="2016"/>
      <c r="AG334" s="2016"/>
      <c r="AH334" s="2016"/>
      <c r="AI334" s="2016"/>
      <c r="AJ334" s="2016"/>
      <c r="AK334" s="637"/>
      <c r="AL334" s="637"/>
      <c r="AM334" s="637"/>
      <c r="AN334" s="631"/>
      <c r="AQ334" s="604"/>
    </row>
    <row r="335" spans="1:44" s="584" customFormat="1" ht="12.75" customHeight="1">
      <c r="A335" s="637"/>
      <c r="B335" s="645"/>
      <c r="C335" s="2016"/>
      <c r="D335" s="2016"/>
      <c r="E335" s="2016"/>
      <c r="F335" s="2016"/>
      <c r="G335" s="2016"/>
      <c r="H335" s="2016"/>
      <c r="I335" s="2016"/>
      <c r="J335" s="2016"/>
      <c r="K335" s="2016"/>
      <c r="L335" s="2016"/>
      <c r="M335" s="2016"/>
      <c r="N335" s="2016"/>
      <c r="O335" s="2016"/>
      <c r="P335" s="2016"/>
      <c r="Q335" s="2016"/>
      <c r="R335" s="2016"/>
      <c r="S335" s="2016"/>
      <c r="T335" s="2016"/>
      <c r="U335" s="2016"/>
      <c r="V335" s="2016"/>
      <c r="W335" s="2016"/>
      <c r="X335" s="2016"/>
      <c r="Y335" s="2016"/>
      <c r="Z335" s="2016"/>
      <c r="AA335" s="2016"/>
      <c r="AB335" s="2016"/>
      <c r="AC335" s="2016"/>
      <c r="AD335" s="2016"/>
      <c r="AE335" s="2016"/>
      <c r="AF335" s="2016"/>
      <c r="AG335" s="2016"/>
      <c r="AH335" s="2016"/>
      <c r="AI335" s="2016"/>
      <c r="AJ335" s="2016"/>
      <c r="AK335" s="637"/>
      <c r="AL335" s="637"/>
      <c r="AM335" s="637"/>
      <c r="AN335" s="631"/>
      <c r="AQ335" s="604"/>
    </row>
    <row r="336" spans="1:44" s="584" customFormat="1" ht="12.4" customHeight="1">
      <c r="A336" s="637"/>
      <c r="B336" s="645"/>
      <c r="C336" s="2016"/>
      <c r="D336" s="2016"/>
      <c r="E336" s="2016"/>
      <c r="F336" s="2016"/>
      <c r="G336" s="2016"/>
      <c r="H336" s="2016"/>
      <c r="I336" s="2016"/>
      <c r="J336" s="2016"/>
      <c r="K336" s="2016"/>
      <c r="L336" s="2016"/>
      <c r="M336" s="2016"/>
      <c r="N336" s="2016"/>
      <c r="O336" s="2016"/>
      <c r="P336" s="2016"/>
      <c r="Q336" s="2016"/>
      <c r="R336" s="2016"/>
      <c r="S336" s="2016"/>
      <c r="T336" s="2016"/>
      <c r="U336" s="2016"/>
      <c r="V336" s="2016"/>
      <c r="W336" s="2016"/>
      <c r="X336" s="2016"/>
      <c r="Y336" s="2016"/>
      <c r="Z336" s="2016"/>
      <c r="AA336" s="2016"/>
      <c r="AB336" s="2016"/>
      <c r="AC336" s="2016"/>
      <c r="AD336" s="2016"/>
      <c r="AE336" s="2016"/>
      <c r="AF336" s="2016"/>
      <c r="AG336" s="2016"/>
      <c r="AH336" s="2016"/>
      <c r="AI336" s="2016"/>
      <c r="AJ336" s="2016"/>
      <c r="AK336" s="637"/>
      <c r="AL336" s="637"/>
      <c r="AM336" s="637"/>
      <c r="AN336" s="631"/>
      <c r="AQ336" s="604"/>
      <c r="AR336" s="604"/>
    </row>
    <row r="337" spans="1:46" s="584" customFormat="1" ht="45.75" customHeight="1">
      <c r="A337" s="637"/>
      <c r="B337" s="645"/>
      <c r="C337" s="2016" t="s">
        <v>2407</v>
      </c>
      <c r="D337" s="2016"/>
      <c r="E337" s="2016"/>
      <c r="F337" s="2016"/>
      <c r="G337" s="2016"/>
      <c r="H337" s="2016"/>
      <c r="I337" s="2016"/>
      <c r="J337" s="2016"/>
      <c r="K337" s="2016"/>
      <c r="L337" s="2016"/>
      <c r="M337" s="2016"/>
      <c r="N337" s="2016"/>
      <c r="O337" s="2016"/>
      <c r="P337" s="2016"/>
      <c r="Q337" s="2016"/>
      <c r="R337" s="2016"/>
      <c r="S337" s="2016"/>
      <c r="T337" s="2016"/>
      <c r="U337" s="2016"/>
      <c r="V337" s="2016"/>
      <c r="W337" s="2016"/>
      <c r="X337" s="2016"/>
      <c r="Y337" s="2016"/>
      <c r="Z337" s="2016"/>
      <c r="AA337" s="2016"/>
      <c r="AB337" s="2016"/>
      <c r="AC337" s="2016"/>
      <c r="AD337" s="2016"/>
      <c r="AE337" s="2016"/>
      <c r="AF337" s="2016"/>
      <c r="AG337" s="2016"/>
      <c r="AH337" s="2016"/>
      <c r="AI337" s="2016"/>
      <c r="AJ337" s="2016"/>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6" t="s">
        <v>2569</v>
      </c>
      <c r="D339" s="2016"/>
      <c r="E339" s="2016"/>
      <c r="F339" s="2016"/>
      <c r="G339" s="2016"/>
      <c r="H339" s="2016"/>
      <c r="I339" s="2016"/>
      <c r="J339" s="2016"/>
      <c r="K339" s="2016"/>
      <c r="L339" s="2016"/>
      <c r="M339" s="2016"/>
      <c r="N339" s="2016"/>
      <c r="O339" s="2016"/>
      <c r="P339" s="2016"/>
      <c r="Q339" s="2016"/>
      <c r="R339" s="2016"/>
      <c r="S339" s="2016"/>
      <c r="T339" s="2016"/>
      <c r="U339" s="2016"/>
      <c r="V339" s="2016"/>
      <c r="W339" s="2016"/>
      <c r="X339" s="2016"/>
      <c r="Y339" s="2016"/>
      <c r="Z339" s="2016"/>
      <c r="AA339" s="2016"/>
      <c r="AB339" s="2016"/>
      <c r="AC339" s="2016"/>
      <c r="AD339" s="2016"/>
      <c r="AE339" s="2016"/>
      <c r="AF339" s="2016"/>
      <c r="AG339" s="2016"/>
      <c r="AH339" s="2016"/>
      <c r="AI339" s="2016"/>
      <c r="AJ339" s="2016"/>
      <c r="AK339" s="637"/>
      <c r="AL339" s="637"/>
      <c r="AM339" s="637"/>
      <c r="AN339" s="631"/>
      <c r="AQ339" s="604"/>
      <c r="AR339" s="604"/>
    </row>
    <row r="340" spans="1:46" s="584" customFormat="1" ht="30" customHeight="1">
      <c r="A340" s="637"/>
      <c r="B340" s="645"/>
      <c r="C340" s="2016"/>
      <c r="D340" s="2016"/>
      <c r="E340" s="2016"/>
      <c r="F340" s="2016"/>
      <c r="G340" s="2016"/>
      <c r="H340" s="2016"/>
      <c r="I340" s="2016"/>
      <c r="J340" s="2016"/>
      <c r="K340" s="2016"/>
      <c r="L340" s="2016"/>
      <c r="M340" s="2016"/>
      <c r="N340" s="2016"/>
      <c r="O340" s="2016"/>
      <c r="P340" s="2016"/>
      <c r="Q340" s="2016"/>
      <c r="R340" s="2016"/>
      <c r="S340" s="2016"/>
      <c r="T340" s="2016"/>
      <c r="U340" s="2016"/>
      <c r="V340" s="2016"/>
      <c r="W340" s="2016"/>
      <c r="X340" s="2016"/>
      <c r="Y340" s="2016"/>
      <c r="Z340" s="2016"/>
      <c r="AA340" s="2016"/>
      <c r="AB340" s="2016"/>
      <c r="AC340" s="2016"/>
      <c r="AD340" s="2016"/>
      <c r="AE340" s="2016"/>
      <c r="AF340" s="2016"/>
      <c r="AG340" s="2016"/>
      <c r="AH340" s="2016"/>
      <c r="AI340" s="2016"/>
      <c r="AJ340" s="2016"/>
      <c r="AK340" s="637"/>
      <c r="AL340" s="637"/>
      <c r="AM340" s="637"/>
      <c r="AN340" s="631"/>
      <c r="AR340" s="604"/>
    </row>
    <row r="341" spans="1:46" s="584" customFormat="1" ht="12.75" customHeight="1">
      <c r="A341" s="637"/>
      <c r="B341" s="645"/>
      <c r="C341" s="2016"/>
      <c r="D341" s="2016"/>
      <c r="E341" s="2016"/>
      <c r="F341" s="2016"/>
      <c r="G341" s="2016"/>
      <c r="H341" s="2016"/>
      <c r="I341" s="2016"/>
      <c r="J341" s="2016"/>
      <c r="K341" s="2016"/>
      <c r="L341" s="2016"/>
      <c r="M341" s="2016"/>
      <c r="N341" s="2016"/>
      <c r="O341" s="2016"/>
      <c r="P341" s="2016"/>
      <c r="Q341" s="2016"/>
      <c r="R341" s="2016"/>
      <c r="S341" s="2016"/>
      <c r="T341" s="2016"/>
      <c r="U341" s="2016"/>
      <c r="V341" s="2016"/>
      <c r="W341" s="2016"/>
      <c r="X341" s="2016"/>
      <c r="Y341" s="2016"/>
      <c r="Z341" s="2016"/>
      <c r="AA341" s="2016"/>
      <c r="AB341" s="2016"/>
      <c r="AC341" s="2016"/>
      <c r="AD341" s="2016"/>
      <c r="AE341" s="2016"/>
      <c r="AF341" s="2016"/>
      <c r="AG341" s="2016"/>
      <c r="AH341" s="2016"/>
      <c r="AI341" s="2016"/>
      <c r="AJ341" s="2016"/>
      <c r="AK341" s="637"/>
      <c r="AL341" s="637"/>
      <c r="AM341" s="637"/>
      <c r="AN341" s="631"/>
      <c r="AR341" s="604"/>
    </row>
    <row r="342" spans="1:46" s="584" customFormat="1" ht="12.75" customHeight="1">
      <c r="A342" s="637"/>
      <c r="B342" s="645"/>
      <c r="C342" s="2016" t="s">
        <v>1564</v>
      </c>
      <c r="D342" s="2016"/>
      <c r="E342" s="2016"/>
      <c r="F342" s="2016"/>
      <c r="G342" s="2016"/>
      <c r="H342" s="2016"/>
      <c r="I342" s="2016"/>
      <c r="J342" s="2016"/>
      <c r="K342" s="2016"/>
      <c r="L342" s="2016"/>
      <c r="M342" s="2016"/>
      <c r="N342" s="2016"/>
      <c r="O342" s="2016"/>
      <c r="P342" s="2016"/>
      <c r="Q342" s="2016"/>
      <c r="R342" s="2016"/>
      <c r="S342" s="2016"/>
      <c r="T342" s="2016"/>
      <c r="U342" s="2016"/>
      <c r="V342" s="2016"/>
      <c r="W342" s="2016"/>
      <c r="X342" s="2016"/>
      <c r="Y342" s="2016"/>
      <c r="Z342" s="2016"/>
      <c r="AA342" s="2016"/>
      <c r="AB342" s="2016"/>
      <c r="AC342" s="2016"/>
      <c r="AD342" s="2016"/>
      <c r="AE342" s="2016"/>
      <c r="AF342" s="2016"/>
      <c r="AG342" s="2016"/>
      <c r="AH342" s="2016"/>
      <c r="AI342" s="2016"/>
      <c r="AJ342" s="2016"/>
      <c r="AK342" s="637"/>
      <c r="AL342" s="637"/>
      <c r="AM342" s="637"/>
      <c r="AN342" s="631"/>
      <c r="AQ342" s="604"/>
      <c r="AR342" s="604"/>
    </row>
    <row r="343" spans="1:46" s="584" customFormat="1" ht="12.75" customHeight="1">
      <c r="A343" s="637"/>
      <c r="B343" s="645"/>
      <c r="C343" s="2016"/>
      <c r="D343" s="2016"/>
      <c r="E343" s="2016"/>
      <c r="F343" s="2016"/>
      <c r="G343" s="2016"/>
      <c r="H343" s="2016"/>
      <c r="I343" s="2016"/>
      <c r="J343" s="2016"/>
      <c r="K343" s="2016"/>
      <c r="L343" s="2016"/>
      <c r="M343" s="2016"/>
      <c r="N343" s="2016"/>
      <c r="O343" s="2016"/>
      <c r="P343" s="2016"/>
      <c r="Q343" s="2016"/>
      <c r="R343" s="2016"/>
      <c r="S343" s="2016"/>
      <c r="T343" s="2016"/>
      <c r="U343" s="2016"/>
      <c r="V343" s="2016"/>
      <c r="W343" s="2016"/>
      <c r="X343" s="2016"/>
      <c r="Y343" s="2016"/>
      <c r="Z343" s="2016"/>
      <c r="AA343" s="2016"/>
      <c r="AB343" s="2016"/>
      <c r="AC343" s="2016"/>
      <c r="AD343" s="2016"/>
      <c r="AE343" s="2016"/>
      <c r="AF343" s="2016"/>
      <c r="AG343" s="2016"/>
      <c r="AH343" s="2016"/>
      <c r="AI343" s="2016"/>
      <c r="AJ343" s="2016"/>
      <c r="AK343" s="637"/>
      <c r="AL343" s="637"/>
      <c r="AM343" s="637"/>
      <c r="AN343" s="631"/>
      <c r="AQ343" s="604"/>
      <c r="AR343" s="604"/>
    </row>
    <row r="344" spans="1:46" s="584" customFormat="1" ht="13.15" customHeight="1">
      <c r="A344" s="637"/>
      <c r="B344" s="645"/>
      <c r="C344" s="2016"/>
      <c r="D344" s="2016"/>
      <c r="E344" s="2016"/>
      <c r="F344" s="2016"/>
      <c r="G344" s="2016"/>
      <c r="H344" s="2016"/>
      <c r="I344" s="2016"/>
      <c r="J344" s="2016"/>
      <c r="K344" s="2016"/>
      <c r="L344" s="2016"/>
      <c r="M344" s="2016"/>
      <c r="N344" s="2016"/>
      <c r="O344" s="2016"/>
      <c r="P344" s="2016"/>
      <c r="Q344" s="2016"/>
      <c r="R344" s="2016"/>
      <c r="S344" s="2016"/>
      <c r="T344" s="2016"/>
      <c r="U344" s="2016"/>
      <c r="V344" s="2016"/>
      <c r="W344" s="2016"/>
      <c r="X344" s="2016"/>
      <c r="Y344" s="2016"/>
      <c r="Z344" s="2016"/>
      <c r="AA344" s="2016"/>
      <c r="AB344" s="2016"/>
      <c r="AC344" s="2016"/>
      <c r="AD344" s="2016"/>
      <c r="AE344" s="2016"/>
      <c r="AF344" s="2016"/>
      <c r="AG344" s="2016"/>
      <c r="AH344" s="2016"/>
      <c r="AI344" s="2016"/>
      <c r="AJ344" s="2016"/>
      <c r="AK344" s="637"/>
      <c r="AL344" s="637"/>
      <c r="AM344" s="637"/>
      <c r="AN344" s="631"/>
      <c r="AQ344" s="604"/>
      <c r="AR344" s="604"/>
    </row>
    <row r="345" spans="1:46" s="584" customFormat="1" ht="12.75" customHeight="1">
      <c r="A345" s="637"/>
      <c r="B345" s="645"/>
      <c r="C345" s="2016"/>
      <c r="D345" s="2016"/>
      <c r="E345" s="2016"/>
      <c r="F345" s="2016"/>
      <c r="G345" s="2016"/>
      <c r="H345" s="2016"/>
      <c r="I345" s="2016"/>
      <c r="J345" s="2016"/>
      <c r="K345" s="2016"/>
      <c r="L345" s="2016"/>
      <c r="M345" s="2016"/>
      <c r="N345" s="2016"/>
      <c r="O345" s="2016"/>
      <c r="P345" s="2016"/>
      <c r="Q345" s="2016"/>
      <c r="R345" s="2016"/>
      <c r="S345" s="2016"/>
      <c r="T345" s="2016"/>
      <c r="U345" s="2016"/>
      <c r="V345" s="2016"/>
      <c r="W345" s="2016"/>
      <c r="X345" s="2016"/>
      <c r="Y345" s="2016"/>
      <c r="Z345" s="2016"/>
      <c r="AA345" s="2016"/>
      <c r="AB345" s="2016"/>
      <c r="AC345" s="2016"/>
      <c r="AD345" s="2016"/>
      <c r="AE345" s="2016"/>
      <c r="AF345" s="2016"/>
      <c r="AG345" s="2016"/>
      <c r="AH345" s="2016"/>
      <c r="AI345" s="2016"/>
      <c r="AJ345" s="2016"/>
      <c r="AK345" s="637"/>
      <c r="AL345" s="637"/>
      <c r="AM345" s="637"/>
      <c r="AN345" s="631"/>
      <c r="AO345" s="728"/>
      <c r="AP345" s="728"/>
      <c r="AQ345" s="604"/>
    </row>
    <row r="346" spans="1:46" s="584" customFormat="1" ht="11.85" customHeight="1">
      <c r="A346" s="637"/>
      <c r="B346" s="645"/>
      <c r="C346" s="2016"/>
      <c r="D346" s="2016"/>
      <c r="E346" s="2016"/>
      <c r="F346" s="2016"/>
      <c r="G346" s="2016"/>
      <c r="H346" s="2016"/>
      <c r="I346" s="2016"/>
      <c r="J346" s="2016"/>
      <c r="K346" s="2016"/>
      <c r="L346" s="2016"/>
      <c r="M346" s="2016"/>
      <c r="N346" s="2016"/>
      <c r="O346" s="2016"/>
      <c r="P346" s="2016"/>
      <c r="Q346" s="2016"/>
      <c r="R346" s="2016"/>
      <c r="S346" s="2016"/>
      <c r="T346" s="2016"/>
      <c r="U346" s="2016"/>
      <c r="V346" s="2016"/>
      <c r="W346" s="2016"/>
      <c r="X346" s="2016"/>
      <c r="Y346" s="2016"/>
      <c r="Z346" s="2016"/>
      <c r="AA346" s="2016"/>
      <c r="AB346" s="2016"/>
      <c r="AC346" s="2016"/>
      <c r="AD346" s="2016"/>
      <c r="AE346" s="2016"/>
      <c r="AF346" s="2016"/>
      <c r="AG346" s="2016"/>
      <c r="AH346" s="2016"/>
      <c r="AI346" s="2016"/>
      <c r="AJ346" s="2016"/>
      <c r="AK346" s="637"/>
      <c r="AL346" s="637"/>
      <c r="AM346" s="637"/>
      <c r="AN346" s="631"/>
      <c r="AO346" s="729" t="s">
        <v>112</v>
      </c>
      <c r="AP346" s="730">
        <f>IF(C370="Yes",5,0)</f>
        <v>5</v>
      </c>
      <c r="AS346" s="573" t="s">
        <v>1565</v>
      </c>
    </row>
    <row r="347" spans="1:46" s="584" customFormat="1" ht="12.75" customHeight="1">
      <c r="A347" s="637"/>
      <c r="B347" s="645"/>
      <c r="C347" s="2016"/>
      <c r="D347" s="2016"/>
      <c r="E347" s="2016"/>
      <c r="F347" s="2016"/>
      <c r="G347" s="2016"/>
      <c r="H347" s="2016"/>
      <c r="I347" s="2016"/>
      <c r="J347" s="2016"/>
      <c r="K347" s="2016"/>
      <c r="L347" s="2016"/>
      <c r="M347" s="2016"/>
      <c r="N347" s="2016"/>
      <c r="O347" s="2016"/>
      <c r="P347" s="2016"/>
      <c r="Q347" s="2016"/>
      <c r="R347" s="2016"/>
      <c r="S347" s="2016"/>
      <c r="T347" s="2016"/>
      <c r="U347" s="2016"/>
      <c r="V347" s="2016"/>
      <c r="W347" s="2016"/>
      <c r="X347" s="2016"/>
      <c r="Y347" s="2016"/>
      <c r="Z347" s="2016"/>
      <c r="AA347" s="2016"/>
      <c r="AB347" s="2016"/>
      <c r="AC347" s="2016"/>
      <c r="AD347" s="2016"/>
      <c r="AE347" s="2016"/>
      <c r="AF347" s="2016"/>
      <c r="AG347" s="2016"/>
      <c r="AH347" s="2016"/>
      <c r="AI347" s="2016"/>
      <c r="AJ347" s="2016"/>
      <c r="AK347" s="637"/>
      <c r="AL347" s="637"/>
      <c r="AM347" s="637"/>
      <c r="AN347" s="631"/>
      <c r="AO347" s="729" t="s">
        <v>113</v>
      </c>
      <c r="AP347" s="730">
        <f>IF(C378="Yes",5,0)</f>
        <v>0</v>
      </c>
      <c r="AS347" s="2037">
        <f>IF(Application!D211="Non-Targeted",(SUM(AQ355+AQ364)),AS351)</f>
        <v>10</v>
      </c>
      <c r="AT347" s="2037"/>
    </row>
    <row r="348" spans="1:46" s="584" customFormat="1" ht="12.75" customHeight="1">
      <c r="A348" s="637"/>
      <c r="B348" s="645"/>
      <c r="C348" s="2016"/>
      <c r="D348" s="2016"/>
      <c r="E348" s="2016"/>
      <c r="F348" s="2016"/>
      <c r="G348" s="2016"/>
      <c r="H348" s="2016"/>
      <c r="I348" s="2016"/>
      <c r="J348" s="2016"/>
      <c r="K348" s="2016"/>
      <c r="L348" s="2016"/>
      <c r="M348" s="2016"/>
      <c r="N348" s="2016"/>
      <c r="O348" s="2016"/>
      <c r="P348" s="2016"/>
      <c r="Q348" s="2016"/>
      <c r="R348" s="2016"/>
      <c r="S348" s="2016"/>
      <c r="T348" s="2016"/>
      <c r="U348" s="2016"/>
      <c r="V348" s="2016"/>
      <c r="W348" s="2016"/>
      <c r="X348" s="2016"/>
      <c r="Y348" s="2016"/>
      <c r="Z348" s="2016"/>
      <c r="AA348" s="2016"/>
      <c r="AB348" s="2016"/>
      <c r="AC348" s="2016"/>
      <c r="AD348" s="2016"/>
      <c r="AE348" s="2016"/>
      <c r="AF348" s="2016"/>
      <c r="AG348" s="2016"/>
      <c r="AH348" s="2016"/>
      <c r="AI348" s="2016"/>
      <c r="AJ348" s="2016"/>
      <c r="AK348" s="637"/>
      <c r="AL348" s="637"/>
      <c r="AM348" s="637"/>
      <c r="AN348" s="631"/>
      <c r="AO348" s="729" t="s">
        <v>119</v>
      </c>
      <c r="AP348" s="730">
        <f>IF(C386="Yes",7,0)</f>
        <v>0</v>
      </c>
      <c r="AS348" s="573" t="s">
        <v>1566</v>
      </c>
    </row>
    <row r="349" spans="1:46" s="584" customFormat="1" ht="12.75" customHeight="1">
      <c r="A349" s="637"/>
      <c r="B349" s="645"/>
      <c r="C349" s="2016"/>
      <c r="D349" s="2016"/>
      <c r="E349" s="2016"/>
      <c r="F349" s="2016"/>
      <c r="G349" s="2016"/>
      <c r="H349" s="2016"/>
      <c r="I349" s="2016"/>
      <c r="J349" s="2016"/>
      <c r="K349" s="2016"/>
      <c r="L349" s="2016"/>
      <c r="M349" s="2016"/>
      <c r="N349" s="2016"/>
      <c r="O349" s="2016"/>
      <c r="P349" s="2016"/>
      <c r="Q349" s="2016"/>
      <c r="R349" s="2016"/>
      <c r="S349" s="2016"/>
      <c r="T349" s="2016"/>
      <c r="U349" s="2016"/>
      <c r="V349" s="2016"/>
      <c r="W349" s="2016"/>
      <c r="X349" s="2016"/>
      <c r="Y349" s="2016"/>
      <c r="Z349" s="2016"/>
      <c r="AA349" s="2016"/>
      <c r="AB349" s="2016"/>
      <c r="AC349" s="2016"/>
      <c r="AD349" s="2016"/>
      <c r="AE349" s="2016"/>
      <c r="AF349" s="2016"/>
      <c r="AG349" s="2016"/>
      <c r="AH349" s="2016"/>
      <c r="AI349" s="2016"/>
      <c r="AJ349" s="2016"/>
      <c r="AK349" s="637"/>
      <c r="AL349" s="637"/>
      <c r="AM349" s="637"/>
      <c r="AN349" s="631"/>
      <c r="AO349" s="631"/>
      <c r="AP349" s="730">
        <f>IF(C388="Yes",5,0)</f>
        <v>5</v>
      </c>
      <c r="AS349" s="2037">
        <f>IF(AND(AQ355&gt;0,AQ364&gt;0),(AQ355+AQ364)/2,0)</f>
        <v>0</v>
      </c>
      <c r="AT349" s="2037"/>
    </row>
    <row r="350" spans="1:46" s="584" customFormat="1" ht="12.75" customHeight="1">
      <c r="A350" s="637"/>
      <c r="B350" s="645"/>
      <c r="C350" s="2016"/>
      <c r="D350" s="2016"/>
      <c r="E350" s="2016"/>
      <c r="F350" s="2016"/>
      <c r="G350" s="2016"/>
      <c r="H350" s="2016"/>
      <c r="I350" s="2016"/>
      <c r="J350" s="2016"/>
      <c r="K350" s="2016"/>
      <c r="L350" s="2016"/>
      <c r="M350" s="2016"/>
      <c r="N350" s="2016"/>
      <c r="O350" s="2016"/>
      <c r="P350" s="2016"/>
      <c r="Q350" s="2016"/>
      <c r="R350" s="2016"/>
      <c r="S350" s="2016"/>
      <c r="T350" s="2016"/>
      <c r="U350" s="2016"/>
      <c r="V350" s="2016"/>
      <c r="W350" s="2016"/>
      <c r="X350" s="2016"/>
      <c r="Y350" s="2016"/>
      <c r="Z350" s="2016"/>
      <c r="AA350" s="2016"/>
      <c r="AB350" s="2016"/>
      <c r="AC350" s="2016"/>
      <c r="AD350" s="2016"/>
      <c r="AE350" s="2016"/>
      <c r="AF350" s="2016"/>
      <c r="AG350" s="2016"/>
      <c r="AH350" s="2016"/>
      <c r="AI350" s="2016"/>
      <c r="AJ350" s="2016"/>
      <c r="AK350" s="637"/>
      <c r="AL350" s="637"/>
      <c r="AM350" s="637"/>
      <c r="AN350" s="631"/>
      <c r="AO350" s="729" t="s">
        <v>589</v>
      </c>
      <c r="AP350" s="730">
        <f>IF(C396="Yes",5,0)</f>
        <v>0</v>
      </c>
      <c r="AS350" s="573" t="s">
        <v>2068</v>
      </c>
    </row>
    <row r="351" spans="1:46" s="584" customFormat="1" ht="12.75" customHeight="1">
      <c r="A351" s="637"/>
      <c r="B351" s="645"/>
      <c r="C351" s="2038" t="s">
        <v>1567</v>
      </c>
      <c r="D351" s="2038"/>
      <c r="E351" s="2038"/>
      <c r="F351" s="2038"/>
      <c r="G351" s="2038"/>
      <c r="H351" s="2038"/>
      <c r="I351" s="2038"/>
      <c r="J351" s="2038"/>
      <c r="K351" s="2038"/>
      <c r="L351" s="2038"/>
      <c r="M351" s="2038"/>
      <c r="N351" s="2038"/>
      <c r="O351" s="2038"/>
      <c r="P351" s="2038"/>
      <c r="Q351" s="2038"/>
      <c r="R351" s="2038"/>
      <c r="S351" s="2038"/>
      <c r="T351" s="2038"/>
      <c r="U351" s="2038"/>
      <c r="V351" s="2038"/>
      <c r="W351" s="2038"/>
      <c r="X351" s="2038"/>
      <c r="Y351" s="2038"/>
      <c r="Z351" s="2038"/>
      <c r="AA351" s="2038"/>
      <c r="AB351" s="2038"/>
      <c r="AC351" s="2038"/>
      <c r="AD351" s="2038"/>
      <c r="AE351" s="2038"/>
      <c r="AF351" s="2038"/>
      <c r="AG351" s="2038"/>
      <c r="AH351" s="2038"/>
      <c r="AI351" s="2038"/>
      <c r="AJ351" s="2038"/>
      <c r="AK351" s="637"/>
      <c r="AL351" s="637"/>
      <c r="AM351" s="637"/>
      <c r="AN351" s="631"/>
      <c r="AO351" s="631"/>
      <c r="AP351" s="730">
        <f>IF(C398="Yes",3,0)</f>
        <v>0</v>
      </c>
      <c r="AS351" s="2037">
        <f>IF(AQ355=0,AQ364,AQ355)</f>
        <v>10</v>
      </c>
      <c r="AT351" s="2037"/>
    </row>
    <row r="352" spans="1:46" s="584" customFormat="1" ht="12.75" customHeight="1">
      <c r="A352" s="637"/>
      <c r="B352" s="645"/>
      <c r="C352" s="2038"/>
      <c r="D352" s="2038"/>
      <c r="E352" s="2038"/>
      <c r="F352" s="2038"/>
      <c r="G352" s="2038"/>
      <c r="H352" s="2038"/>
      <c r="I352" s="2038"/>
      <c r="J352" s="2038"/>
      <c r="K352" s="2038"/>
      <c r="L352" s="2038"/>
      <c r="M352" s="2038"/>
      <c r="N352" s="2038"/>
      <c r="O352" s="2038"/>
      <c r="P352" s="2038"/>
      <c r="Q352" s="2038"/>
      <c r="R352" s="2038"/>
      <c r="S352" s="2038"/>
      <c r="T352" s="2038"/>
      <c r="U352" s="2038"/>
      <c r="V352" s="2038"/>
      <c r="W352" s="2038"/>
      <c r="X352" s="2038"/>
      <c r="Y352" s="2038"/>
      <c r="Z352" s="2038"/>
      <c r="AA352" s="2038"/>
      <c r="AB352" s="2038"/>
      <c r="AC352" s="2038"/>
      <c r="AD352" s="2038"/>
      <c r="AE352" s="2038"/>
      <c r="AF352" s="2038"/>
      <c r="AG352" s="2038"/>
      <c r="AH352" s="2038"/>
      <c r="AI352" s="2038"/>
      <c r="AJ352" s="2038"/>
      <c r="AK352" s="637"/>
      <c r="AL352" s="637"/>
      <c r="AM352" s="637"/>
      <c r="AN352" s="631"/>
      <c r="AO352" s="729" t="s">
        <v>772</v>
      </c>
      <c r="AP352" s="730">
        <f>IF(C401="Yes",5,0)</f>
        <v>0</v>
      </c>
    </row>
    <row r="353" spans="1:81" s="584" customFormat="1" ht="12.75" customHeight="1">
      <c r="A353" s="637"/>
      <c r="B353" s="645"/>
      <c r="C353" s="2038"/>
      <c r="D353" s="2038"/>
      <c r="E353" s="2038"/>
      <c r="F353" s="2038"/>
      <c r="G353" s="2038"/>
      <c r="H353" s="2038"/>
      <c r="I353" s="2038"/>
      <c r="J353" s="2038"/>
      <c r="K353" s="2038"/>
      <c r="L353" s="2038"/>
      <c r="M353" s="2038"/>
      <c r="N353" s="2038"/>
      <c r="O353" s="2038"/>
      <c r="P353" s="2038"/>
      <c r="Q353" s="2038"/>
      <c r="R353" s="2038"/>
      <c r="S353" s="2038"/>
      <c r="T353" s="2038"/>
      <c r="U353" s="2038"/>
      <c r="V353" s="2038"/>
      <c r="W353" s="2038"/>
      <c r="X353" s="2038"/>
      <c r="Y353" s="2038"/>
      <c r="Z353" s="2038"/>
      <c r="AA353" s="2038"/>
      <c r="AB353" s="2038"/>
      <c r="AC353" s="2038"/>
      <c r="AD353" s="2038"/>
      <c r="AE353" s="2038"/>
      <c r="AF353" s="2038"/>
      <c r="AG353" s="2038"/>
      <c r="AH353" s="2038"/>
      <c r="AI353" s="2038"/>
      <c r="AJ353" s="2038"/>
      <c r="AK353" s="637"/>
      <c r="AL353" s="637"/>
      <c r="AM353" s="637"/>
      <c r="AN353" s="631"/>
      <c r="AO353" s="729" t="s">
        <v>592</v>
      </c>
      <c r="AP353" s="730">
        <f>IF(C410="Yes",5,0)</f>
        <v>0</v>
      </c>
    </row>
    <row r="354" spans="1:81" s="584" customFormat="1" ht="11.85" customHeight="1">
      <c r="A354" s="637"/>
      <c r="B354" s="645"/>
      <c r="C354" s="2038"/>
      <c r="D354" s="2038"/>
      <c r="E354" s="2038"/>
      <c r="F354" s="2038"/>
      <c r="G354" s="2038"/>
      <c r="H354" s="2038"/>
      <c r="I354" s="2038"/>
      <c r="J354" s="2038"/>
      <c r="K354" s="2038"/>
      <c r="L354" s="2038"/>
      <c r="M354" s="2038"/>
      <c r="N354" s="2038"/>
      <c r="O354" s="2038"/>
      <c r="P354" s="2038"/>
      <c r="Q354" s="2038"/>
      <c r="R354" s="2038"/>
      <c r="S354" s="2038"/>
      <c r="T354" s="2038"/>
      <c r="U354" s="2038"/>
      <c r="V354" s="2038"/>
      <c r="W354" s="2038"/>
      <c r="X354" s="2038"/>
      <c r="Y354" s="2038"/>
      <c r="Z354" s="2038"/>
      <c r="AA354" s="2038"/>
      <c r="AB354" s="2038"/>
      <c r="AC354" s="2038"/>
      <c r="AD354" s="2038"/>
      <c r="AE354" s="2038"/>
      <c r="AF354" s="2038"/>
      <c r="AG354" s="2038"/>
      <c r="AH354" s="2038"/>
      <c r="AI354" s="2038"/>
      <c r="AJ354" s="2038"/>
      <c r="AK354" s="637"/>
      <c r="AL354" s="637"/>
      <c r="AM354" s="637"/>
      <c r="AN354" s="631"/>
      <c r="AO354" s="731"/>
      <c r="AP354" s="732">
        <f>IF(C412="Yes",3,0)</f>
        <v>0</v>
      </c>
    </row>
    <row r="355" spans="1:81" s="584" customFormat="1" ht="12.4" customHeight="1">
      <c r="A355" s="637"/>
      <c r="B355" s="645"/>
      <c r="C355" s="2038"/>
      <c r="D355" s="2038"/>
      <c r="E355" s="2038"/>
      <c r="F355" s="2038"/>
      <c r="G355" s="2038"/>
      <c r="H355" s="2038"/>
      <c r="I355" s="2038"/>
      <c r="J355" s="2038"/>
      <c r="K355" s="2038"/>
      <c r="L355" s="2038"/>
      <c r="M355" s="2038"/>
      <c r="N355" s="2038"/>
      <c r="O355" s="2038"/>
      <c r="P355" s="2038"/>
      <c r="Q355" s="2038"/>
      <c r="R355" s="2038"/>
      <c r="S355" s="2038"/>
      <c r="T355" s="2038"/>
      <c r="U355" s="2038"/>
      <c r="V355" s="2038"/>
      <c r="W355" s="2038"/>
      <c r="X355" s="2038"/>
      <c r="Y355" s="2038"/>
      <c r="Z355" s="2038"/>
      <c r="AA355" s="2038"/>
      <c r="AB355" s="2038"/>
      <c r="AC355" s="2038"/>
      <c r="AD355" s="2038"/>
      <c r="AE355" s="2038"/>
      <c r="AF355" s="2038"/>
      <c r="AG355" s="2038"/>
      <c r="AH355" s="2038"/>
      <c r="AI355" s="2038"/>
      <c r="AJ355" s="2038"/>
      <c r="AK355" s="637"/>
      <c r="AL355" s="637"/>
      <c r="AM355" s="637"/>
      <c r="AN355" s="631"/>
      <c r="AO355" s="733" t="s">
        <v>228</v>
      </c>
      <c r="AP355" s="734">
        <f>SUM(AP346:AP354)</f>
        <v>10</v>
      </c>
      <c r="AQ355" s="2039">
        <f>IF(AP355&gt;0,AP355,0)</f>
        <v>10</v>
      </c>
      <c r="AR355" s="2039"/>
    </row>
    <row r="356" spans="1:81" s="584" customFormat="1" ht="12.75" customHeight="1">
      <c r="A356" s="637"/>
      <c r="B356" s="645"/>
      <c r="C356" s="2038"/>
      <c r="D356" s="2038"/>
      <c r="E356" s="2038"/>
      <c r="F356" s="2038"/>
      <c r="G356" s="2038"/>
      <c r="H356" s="2038"/>
      <c r="I356" s="2038"/>
      <c r="J356" s="2038"/>
      <c r="K356" s="2038"/>
      <c r="L356" s="2038"/>
      <c r="M356" s="2038"/>
      <c r="N356" s="2038"/>
      <c r="O356" s="2038"/>
      <c r="P356" s="2038"/>
      <c r="Q356" s="2038"/>
      <c r="R356" s="2038"/>
      <c r="S356" s="2038"/>
      <c r="T356" s="2038"/>
      <c r="U356" s="2038"/>
      <c r="V356" s="2038"/>
      <c r="W356" s="2038"/>
      <c r="X356" s="2038"/>
      <c r="Y356" s="2038"/>
      <c r="Z356" s="2038"/>
      <c r="AA356" s="2038"/>
      <c r="AB356" s="2038"/>
      <c r="AC356" s="2038"/>
      <c r="AD356" s="2038"/>
      <c r="AE356" s="2038"/>
      <c r="AF356" s="2038"/>
      <c r="AG356" s="2038"/>
      <c r="AH356" s="2038"/>
      <c r="AI356" s="2038"/>
      <c r="AJ356" s="203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6" t="s">
        <v>1568</v>
      </c>
      <c r="D358" s="2016"/>
      <c r="E358" s="2016"/>
      <c r="F358" s="2016"/>
      <c r="G358" s="2016"/>
      <c r="H358" s="2016"/>
      <c r="I358" s="2016"/>
      <c r="J358" s="2016"/>
      <c r="K358" s="2016"/>
      <c r="L358" s="2016"/>
      <c r="M358" s="2016"/>
      <c r="N358" s="2016"/>
      <c r="O358" s="2016"/>
      <c r="P358" s="2016"/>
      <c r="Q358" s="2016"/>
      <c r="R358" s="2016"/>
      <c r="S358" s="2016"/>
      <c r="T358" s="2016"/>
      <c r="U358" s="2016"/>
      <c r="V358" s="2016"/>
      <c r="W358" s="2016"/>
      <c r="X358" s="2016"/>
      <c r="Y358" s="2016"/>
      <c r="Z358" s="2016"/>
      <c r="AA358" s="2016"/>
      <c r="AB358" s="2016"/>
      <c r="AC358" s="2016"/>
      <c r="AD358" s="2016"/>
      <c r="AE358" s="2016"/>
      <c r="AF358" s="2016"/>
      <c r="AG358" s="2016"/>
      <c r="AH358" s="2016"/>
      <c r="AI358" s="2016"/>
      <c r="AJ358" s="2016"/>
      <c r="AK358" s="637"/>
      <c r="AL358" s="637"/>
      <c r="AM358" s="637"/>
      <c r="AN358" s="631"/>
      <c r="AO358" s="729" t="s">
        <v>464</v>
      </c>
      <c r="AP358" s="730">
        <f>IF(C431="Yes",5,0)</f>
        <v>0</v>
      </c>
    </row>
    <row r="359" spans="1:81" s="584" customFormat="1" ht="12.75" customHeight="1">
      <c r="A359" s="637"/>
      <c r="B359" s="645"/>
      <c r="C359" s="2016"/>
      <c r="D359" s="2016"/>
      <c r="E359" s="2016"/>
      <c r="F359" s="2016"/>
      <c r="G359" s="2016"/>
      <c r="H359" s="2016"/>
      <c r="I359" s="2016"/>
      <c r="J359" s="2016"/>
      <c r="K359" s="2016"/>
      <c r="L359" s="2016"/>
      <c r="M359" s="2016"/>
      <c r="N359" s="2016"/>
      <c r="O359" s="2016"/>
      <c r="P359" s="2016"/>
      <c r="Q359" s="2016"/>
      <c r="R359" s="2016"/>
      <c r="S359" s="2016"/>
      <c r="T359" s="2016"/>
      <c r="U359" s="2016"/>
      <c r="V359" s="2016"/>
      <c r="W359" s="2016"/>
      <c r="X359" s="2016"/>
      <c r="Y359" s="2016"/>
      <c r="Z359" s="2016"/>
      <c r="AA359" s="2016"/>
      <c r="AB359" s="2016"/>
      <c r="AC359" s="2016"/>
      <c r="AD359" s="2016"/>
      <c r="AE359" s="2016"/>
      <c r="AF359" s="2016"/>
      <c r="AG359" s="2016"/>
      <c r="AH359" s="2016"/>
      <c r="AI359" s="2016"/>
      <c r="AJ359" s="2016"/>
      <c r="AK359" s="637"/>
      <c r="AL359" s="637"/>
      <c r="AM359" s="637"/>
      <c r="AN359" s="631"/>
      <c r="AO359" s="729" t="s">
        <v>469</v>
      </c>
      <c r="AP359" s="730">
        <f>IF(C438="Yes",5,0)</f>
        <v>0</v>
      </c>
    </row>
    <row r="360" spans="1:81" s="584" customFormat="1" ht="68.099999999999994" customHeight="1">
      <c r="A360" s="637"/>
      <c r="B360" s="645"/>
      <c r="C360" s="2016"/>
      <c r="D360" s="2016"/>
      <c r="E360" s="2016"/>
      <c r="F360" s="2016"/>
      <c r="G360" s="2016"/>
      <c r="H360" s="2016"/>
      <c r="I360" s="2016"/>
      <c r="J360" s="2016"/>
      <c r="K360" s="2016"/>
      <c r="L360" s="2016"/>
      <c r="M360" s="2016"/>
      <c r="N360" s="2016"/>
      <c r="O360" s="2016"/>
      <c r="P360" s="2016"/>
      <c r="Q360" s="2016"/>
      <c r="R360" s="2016"/>
      <c r="S360" s="2016"/>
      <c r="T360" s="2016"/>
      <c r="U360" s="2016"/>
      <c r="V360" s="2016"/>
      <c r="W360" s="2016"/>
      <c r="X360" s="2016"/>
      <c r="Y360" s="2016"/>
      <c r="Z360" s="2016"/>
      <c r="AA360" s="2016"/>
      <c r="AB360" s="2016"/>
      <c r="AC360" s="2016"/>
      <c r="AD360" s="2016"/>
      <c r="AE360" s="2016"/>
      <c r="AF360" s="2016"/>
      <c r="AG360" s="2016"/>
      <c r="AH360" s="2016"/>
      <c r="AI360" s="2016"/>
      <c r="AJ360" s="2016"/>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25">
        <f>Application!CS660-U363</f>
        <v>225</v>
      </c>
      <c r="V362" s="2125"/>
      <c r="W362" s="21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26">
        <f>IF(Application!D211="SRO",Application!CS634,Application!AG756)</f>
        <v>0</v>
      </c>
      <c r="V363" s="2126"/>
      <c r="W363" s="21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9">
        <f>IF(AP364&gt;0,AP364,0)</f>
        <v>0</v>
      </c>
      <c r="AR364" s="2039"/>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20" t="s">
        <v>1570</v>
      </c>
      <c r="G366" s="2020"/>
      <c r="H366" s="2020"/>
      <c r="I366" s="2020"/>
      <c r="J366" s="2020"/>
      <c r="K366" s="2020"/>
      <c r="L366" s="2020"/>
      <c r="M366" s="2020"/>
      <c r="N366" s="2020"/>
      <c r="O366" s="2020"/>
      <c r="P366" s="2020"/>
      <c r="Q366" s="2020"/>
      <c r="R366" s="2020"/>
      <c r="S366" s="2020"/>
      <c r="T366" s="2020"/>
      <c r="U366" s="2020"/>
      <c r="V366" s="2020"/>
      <c r="W366" s="2020"/>
      <c r="X366" s="2020"/>
      <c r="Y366" s="2020"/>
      <c r="Z366" s="2020"/>
      <c r="AA366" s="2020"/>
      <c r="AB366" s="2020"/>
      <c r="AC366" s="2020"/>
      <c r="AD366" s="2020"/>
      <c r="AE366" s="2020"/>
      <c r="AF366" s="20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21"/>
      <c r="G367" s="2021"/>
      <c r="H367" s="2021"/>
      <c r="I367" s="2021"/>
      <c r="J367" s="2021"/>
      <c r="K367" s="2021"/>
      <c r="L367" s="2021"/>
      <c r="M367" s="2021"/>
      <c r="N367" s="2021"/>
      <c r="O367" s="2021"/>
      <c r="P367" s="2021"/>
      <c r="Q367" s="2021"/>
      <c r="R367" s="2021"/>
      <c r="S367" s="2021"/>
      <c r="T367" s="2021"/>
      <c r="U367" s="2021"/>
      <c r="V367" s="2021"/>
      <c r="W367" s="2021"/>
      <c r="X367" s="2021"/>
      <c r="Y367" s="2021"/>
      <c r="Z367" s="2021"/>
      <c r="AA367" s="2021"/>
      <c r="AB367" s="2021"/>
      <c r="AC367" s="2021"/>
      <c r="AD367" s="2021"/>
      <c r="AE367" s="2021"/>
      <c r="AF367" s="20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21"/>
      <c r="G368" s="2021"/>
      <c r="H368" s="2021"/>
      <c r="I368" s="2021"/>
      <c r="J368" s="2021"/>
      <c r="K368" s="2021"/>
      <c r="L368" s="2021"/>
      <c r="M368" s="2021"/>
      <c r="N368" s="2021"/>
      <c r="O368" s="2021"/>
      <c r="P368" s="2021"/>
      <c r="Q368" s="2021"/>
      <c r="R368" s="2021"/>
      <c r="S368" s="2021"/>
      <c r="T368" s="2021"/>
      <c r="U368" s="2021"/>
      <c r="V368" s="2021"/>
      <c r="W368" s="2021"/>
      <c r="X368" s="2021"/>
      <c r="Y368" s="2021"/>
      <c r="Z368" s="2021"/>
      <c r="AA368" s="2021"/>
      <c r="AB368" s="2021"/>
      <c r="AC368" s="2021"/>
      <c r="AD368" s="2021"/>
      <c r="AE368" s="2021"/>
      <c r="AF368" s="20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21"/>
      <c r="G369" s="2021"/>
      <c r="H369" s="2021"/>
      <c r="I369" s="2021"/>
      <c r="J369" s="2021"/>
      <c r="K369" s="2021"/>
      <c r="L369" s="2021"/>
      <c r="M369" s="2021"/>
      <c r="N369" s="2021"/>
      <c r="O369" s="2021"/>
      <c r="P369" s="2021"/>
      <c r="Q369" s="2021"/>
      <c r="R369" s="2021"/>
      <c r="S369" s="2021"/>
      <c r="T369" s="2021"/>
      <c r="U369" s="2021"/>
      <c r="V369" s="2021"/>
      <c r="W369" s="2021"/>
      <c r="X369" s="2021"/>
      <c r="Y369" s="2021"/>
      <c r="Z369" s="2021"/>
      <c r="AA369" s="2021"/>
      <c r="AB369" s="2021"/>
      <c r="AC369" s="2021"/>
      <c r="AD369" s="2021"/>
      <c r="AE369" s="2021"/>
      <c r="AF369" s="20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7" t="s">
        <v>553</v>
      </c>
      <c r="D370" s="1974"/>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8" t="s">
        <v>1572</v>
      </c>
      <c r="AG370" s="2018"/>
      <c r="AH370" s="2018"/>
      <c r="AI370" s="2018"/>
      <c r="AJ370" s="2018"/>
      <c r="AK370" s="2018"/>
      <c r="AL370" s="201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20" t="s">
        <v>1573</v>
      </c>
      <c r="G373" s="2020"/>
      <c r="H373" s="2020"/>
      <c r="I373" s="2020"/>
      <c r="J373" s="2020"/>
      <c r="K373" s="2020"/>
      <c r="L373" s="2020"/>
      <c r="M373" s="2020"/>
      <c r="N373" s="2020"/>
      <c r="O373" s="2020"/>
      <c r="P373" s="2020"/>
      <c r="Q373" s="2020"/>
      <c r="R373" s="2020"/>
      <c r="S373" s="2020"/>
      <c r="T373" s="2020"/>
      <c r="U373" s="2020"/>
      <c r="V373" s="2020"/>
      <c r="W373" s="2020"/>
      <c r="X373" s="2020"/>
      <c r="Y373" s="2020"/>
      <c r="Z373" s="2020"/>
      <c r="AA373" s="2020"/>
      <c r="AB373" s="2020"/>
      <c r="AC373" s="2020"/>
      <c r="AD373" s="2020"/>
      <c r="AE373" s="2020"/>
      <c r="AF373" s="20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21"/>
      <c r="G374" s="2021"/>
      <c r="H374" s="2021"/>
      <c r="I374" s="2021"/>
      <c r="J374" s="2021"/>
      <c r="K374" s="2021"/>
      <c r="L374" s="2021"/>
      <c r="M374" s="2021"/>
      <c r="N374" s="2021"/>
      <c r="O374" s="2021"/>
      <c r="P374" s="2021"/>
      <c r="Q374" s="2021"/>
      <c r="R374" s="2021"/>
      <c r="S374" s="2021"/>
      <c r="T374" s="2021"/>
      <c r="U374" s="2021"/>
      <c r="V374" s="2021"/>
      <c r="W374" s="2021"/>
      <c r="X374" s="2021"/>
      <c r="Y374" s="2021"/>
      <c r="Z374" s="2021"/>
      <c r="AA374" s="2021"/>
      <c r="AB374" s="2021"/>
      <c r="AC374" s="2021"/>
      <c r="AD374" s="2021"/>
      <c r="AE374" s="2021"/>
      <c r="AF374" s="20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21"/>
      <c r="G375" s="2021"/>
      <c r="H375" s="2021"/>
      <c r="I375" s="2021"/>
      <c r="J375" s="2021"/>
      <c r="K375" s="2021"/>
      <c r="L375" s="2021"/>
      <c r="M375" s="2021"/>
      <c r="N375" s="2021"/>
      <c r="O375" s="2021"/>
      <c r="P375" s="2021"/>
      <c r="Q375" s="2021"/>
      <c r="R375" s="2021"/>
      <c r="S375" s="2021"/>
      <c r="T375" s="2021"/>
      <c r="U375" s="2021"/>
      <c r="V375" s="2021"/>
      <c r="W375" s="2021"/>
      <c r="X375" s="2021"/>
      <c r="Y375" s="2021"/>
      <c r="Z375" s="2021"/>
      <c r="AA375" s="2021"/>
      <c r="AB375" s="2021"/>
      <c r="AC375" s="2021"/>
      <c r="AD375" s="2021"/>
      <c r="AE375" s="2021"/>
      <c r="AF375" s="20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21"/>
      <c r="G376" s="2021"/>
      <c r="H376" s="2021"/>
      <c r="I376" s="2021"/>
      <c r="J376" s="2021"/>
      <c r="K376" s="2021"/>
      <c r="L376" s="2021"/>
      <c r="M376" s="2021"/>
      <c r="N376" s="2021"/>
      <c r="O376" s="2021"/>
      <c r="P376" s="2021"/>
      <c r="Q376" s="2021"/>
      <c r="R376" s="2021"/>
      <c r="S376" s="2021"/>
      <c r="T376" s="2021"/>
      <c r="U376" s="2021"/>
      <c r="V376" s="2021"/>
      <c r="W376" s="2021"/>
      <c r="X376" s="2021"/>
      <c r="Y376" s="2021"/>
      <c r="Z376" s="2021"/>
      <c r="AA376" s="2021"/>
      <c r="AB376" s="2021"/>
      <c r="AC376" s="2021"/>
      <c r="AD376" s="2021"/>
      <c r="AE376" s="2021"/>
      <c r="AF376" s="20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21"/>
      <c r="G377" s="2021"/>
      <c r="H377" s="2021"/>
      <c r="I377" s="2021"/>
      <c r="J377" s="2021"/>
      <c r="K377" s="2021"/>
      <c r="L377" s="2021"/>
      <c r="M377" s="2021"/>
      <c r="N377" s="2021"/>
      <c r="O377" s="2021"/>
      <c r="P377" s="2021"/>
      <c r="Q377" s="2021"/>
      <c r="R377" s="2021"/>
      <c r="S377" s="2021"/>
      <c r="T377" s="2021"/>
      <c r="U377" s="2021"/>
      <c r="V377" s="2021"/>
      <c r="W377" s="2021"/>
      <c r="X377" s="2021"/>
      <c r="Y377" s="2021"/>
      <c r="Z377" s="2021"/>
      <c r="AA377" s="2021"/>
      <c r="AB377" s="2021"/>
      <c r="AC377" s="2021"/>
      <c r="AD377" s="2021"/>
      <c r="AE377" s="2021"/>
      <c r="AF377" s="2021"/>
      <c r="AL377" s="766"/>
      <c r="AN377" s="631"/>
      <c r="BS377" s="30"/>
      <c r="BT377" s="30"/>
      <c r="BU377" s="14"/>
      <c r="BV377" s="14"/>
      <c r="BW377" s="14"/>
      <c r="BX377" s="14"/>
      <c r="BY377" s="14"/>
      <c r="BZ377" s="14"/>
      <c r="CA377" s="14"/>
      <c r="CB377" s="14"/>
      <c r="CC377" s="14"/>
    </row>
    <row r="378" spans="1:81" s="584" customFormat="1" ht="12.75" customHeight="1">
      <c r="A378" s="570"/>
      <c r="B378" s="14"/>
      <c r="C378" s="2017" t="s">
        <v>599</v>
      </c>
      <c r="D378" s="1974"/>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8" t="s">
        <v>1572</v>
      </c>
      <c r="AG378" s="2018"/>
      <c r="AH378" s="2018"/>
      <c r="AI378" s="2018"/>
      <c r="AJ378" s="2018"/>
      <c r="AK378" s="2018"/>
      <c r="AL378" s="201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20" t="s">
        <v>1575</v>
      </c>
      <c r="G381" s="2020"/>
      <c r="H381" s="2020"/>
      <c r="I381" s="2020"/>
      <c r="J381" s="2020"/>
      <c r="K381" s="2020"/>
      <c r="L381" s="2020"/>
      <c r="M381" s="2020"/>
      <c r="N381" s="2020"/>
      <c r="O381" s="2020"/>
      <c r="P381" s="2020"/>
      <c r="Q381" s="2020"/>
      <c r="R381" s="2020"/>
      <c r="S381" s="2020"/>
      <c r="T381" s="2020"/>
      <c r="U381" s="2020"/>
      <c r="V381" s="2020"/>
      <c r="W381" s="2020"/>
      <c r="X381" s="2020"/>
      <c r="Y381" s="2020"/>
      <c r="Z381" s="2020"/>
      <c r="AA381" s="2020"/>
      <c r="AB381" s="2020"/>
      <c r="AC381" s="2020"/>
      <c r="AD381" s="2020"/>
      <c r="AE381" s="2020"/>
      <c r="AF381" s="20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21"/>
      <c r="G382" s="2021"/>
      <c r="H382" s="2021"/>
      <c r="I382" s="2021"/>
      <c r="J382" s="2021"/>
      <c r="K382" s="2021"/>
      <c r="L382" s="2021"/>
      <c r="M382" s="2021"/>
      <c r="N382" s="2021"/>
      <c r="O382" s="2021"/>
      <c r="P382" s="2021"/>
      <c r="Q382" s="2021"/>
      <c r="R382" s="2021"/>
      <c r="S382" s="2021"/>
      <c r="T382" s="2021"/>
      <c r="U382" s="2021"/>
      <c r="V382" s="2021"/>
      <c r="W382" s="2021"/>
      <c r="X382" s="2021"/>
      <c r="Y382" s="2021"/>
      <c r="Z382" s="2021"/>
      <c r="AA382" s="2021"/>
      <c r="AB382" s="2021"/>
      <c r="AC382" s="2021"/>
      <c r="AD382" s="2021"/>
      <c r="AE382" s="2021"/>
      <c r="AF382" s="20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21"/>
      <c r="G383" s="2021"/>
      <c r="H383" s="2021"/>
      <c r="I383" s="2021"/>
      <c r="J383" s="2021"/>
      <c r="K383" s="2021"/>
      <c r="L383" s="2021"/>
      <c r="M383" s="2021"/>
      <c r="N383" s="2021"/>
      <c r="O383" s="2021"/>
      <c r="P383" s="2021"/>
      <c r="Q383" s="2021"/>
      <c r="R383" s="2021"/>
      <c r="S383" s="2021"/>
      <c r="T383" s="2021"/>
      <c r="U383" s="2021"/>
      <c r="V383" s="2021"/>
      <c r="W383" s="2021"/>
      <c r="X383" s="2021"/>
      <c r="Y383" s="2021"/>
      <c r="Z383" s="2021"/>
      <c r="AA383" s="2021"/>
      <c r="AB383" s="2021"/>
      <c r="AC383" s="2021"/>
      <c r="AD383" s="2021"/>
      <c r="AE383" s="2021"/>
      <c r="AF383" s="20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21"/>
      <c r="G384" s="2021"/>
      <c r="H384" s="2021"/>
      <c r="I384" s="2021"/>
      <c r="J384" s="2021"/>
      <c r="K384" s="2021"/>
      <c r="L384" s="2021"/>
      <c r="M384" s="2021"/>
      <c r="N384" s="2021"/>
      <c r="O384" s="2021"/>
      <c r="P384" s="2021"/>
      <c r="Q384" s="2021"/>
      <c r="R384" s="2021"/>
      <c r="S384" s="2021"/>
      <c r="T384" s="2021"/>
      <c r="U384" s="2021"/>
      <c r="V384" s="2021"/>
      <c r="W384" s="2021"/>
      <c r="X384" s="2021"/>
      <c r="Y384" s="2021"/>
      <c r="Z384" s="2021"/>
      <c r="AA384" s="2021"/>
      <c r="AB384" s="2021"/>
      <c r="AC384" s="2021"/>
      <c r="AD384" s="2021"/>
      <c r="AE384" s="2021"/>
      <c r="AF384" s="20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21"/>
      <c r="G385" s="2021"/>
      <c r="H385" s="2021"/>
      <c r="I385" s="2021"/>
      <c r="J385" s="2021"/>
      <c r="K385" s="2021"/>
      <c r="L385" s="2021"/>
      <c r="M385" s="2021"/>
      <c r="N385" s="2021"/>
      <c r="O385" s="2021"/>
      <c r="P385" s="2021"/>
      <c r="Q385" s="2021"/>
      <c r="R385" s="2021"/>
      <c r="S385" s="2021"/>
      <c r="T385" s="2021"/>
      <c r="U385" s="2021"/>
      <c r="V385" s="2021"/>
      <c r="W385" s="2021"/>
      <c r="X385" s="2021"/>
      <c r="Y385" s="2021"/>
      <c r="Z385" s="2021"/>
      <c r="AA385" s="2021"/>
      <c r="AB385" s="2021"/>
      <c r="AC385" s="2021"/>
      <c r="AD385" s="2021"/>
      <c r="AE385" s="2021"/>
      <c r="AF385" s="20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7" t="s">
        <v>599</v>
      </c>
      <c r="D386" s="1974"/>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8" t="s">
        <v>1577</v>
      </c>
      <c r="AG386" s="2018"/>
      <c r="AH386" s="2018"/>
      <c r="AI386" s="2018"/>
      <c r="AJ386" s="2018"/>
      <c r="AK386" s="2018"/>
      <c r="AL386" s="201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7" t="s">
        <v>553</v>
      </c>
      <c r="D388" s="1974"/>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8" t="s">
        <v>1572</v>
      </c>
      <c r="AG388" s="2018"/>
      <c r="AH388" s="2018"/>
      <c r="AI388" s="2018"/>
      <c r="AJ388" s="2018"/>
      <c r="AK388" s="2018"/>
      <c r="AL388" s="201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20" t="s">
        <v>1581</v>
      </c>
      <c r="G392" s="2020"/>
      <c r="H392" s="2020"/>
      <c r="I392" s="2020"/>
      <c r="J392" s="2020"/>
      <c r="K392" s="2020"/>
      <c r="L392" s="2020"/>
      <c r="M392" s="2020"/>
      <c r="N392" s="2020"/>
      <c r="O392" s="2020"/>
      <c r="P392" s="2020"/>
      <c r="Q392" s="2020"/>
      <c r="R392" s="2020"/>
      <c r="S392" s="2020"/>
      <c r="T392" s="2020"/>
      <c r="U392" s="2020"/>
      <c r="V392" s="2020"/>
      <c r="W392" s="2020"/>
      <c r="X392" s="2020"/>
      <c r="Y392" s="2020"/>
      <c r="Z392" s="2020"/>
      <c r="AA392" s="2020"/>
      <c r="AB392" s="2020"/>
      <c r="AC392" s="2020"/>
      <c r="AD392" s="2020"/>
      <c r="AE392" s="2020"/>
      <c r="AF392" s="20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21"/>
      <c r="G393" s="2021"/>
      <c r="H393" s="2021"/>
      <c r="I393" s="2021"/>
      <c r="J393" s="2021"/>
      <c r="K393" s="2021"/>
      <c r="L393" s="2021"/>
      <c r="M393" s="2021"/>
      <c r="N393" s="2021"/>
      <c r="O393" s="2021"/>
      <c r="P393" s="2021"/>
      <c r="Q393" s="2021"/>
      <c r="R393" s="2021"/>
      <c r="S393" s="2021"/>
      <c r="T393" s="2021"/>
      <c r="U393" s="2021"/>
      <c r="V393" s="2021"/>
      <c r="W393" s="2021"/>
      <c r="X393" s="2021"/>
      <c r="Y393" s="2021"/>
      <c r="Z393" s="2021"/>
      <c r="AA393" s="2021"/>
      <c r="AB393" s="2021"/>
      <c r="AC393" s="2021"/>
      <c r="AD393" s="2021"/>
      <c r="AE393" s="2021"/>
      <c r="AF393" s="20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21"/>
      <c r="G394" s="2021"/>
      <c r="H394" s="2021"/>
      <c r="I394" s="2021"/>
      <c r="J394" s="2021"/>
      <c r="K394" s="2021"/>
      <c r="L394" s="2021"/>
      <c r="M394" s="2021"/>
      <c r="N394" s="2021"/>
      <c r="O394" s="2021"/>
      <c r="P394" s="2021"/>
      <c r="Q394" s="2021"/>
      <c r="R394" s="2021"/>
      <c r="S394" s="2021"/>
      <c r="T394" s="2021"/>
      <c r="U394" s="2021"/>
      <c r="V394" s="2021"/>
      <c r="W394" s="2021"/>
      <c r="X394" s="2021"/>
      <c r="Y394" s="2021"/>
      <c r="Z394" s="2021"/>
      <c r="AA394" s="2021"/>
      <c r="AB394" s="2021"/>
      <c r="AC394" s="2021"/>
      <c r="AD394" s="2021"/>
      <c r="AE394" s="2021"/>
      <c r="AF394" s="20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21"/>
      <c r="G395" s="2021"/>
      <c r="H395" s="2021"/>
      <c r="I395" s="2021"/>
      <c r="J395" s="2021"/>
      <c r="K395" s="2021"/>
      <c r="L395" s="2021"/>
      <c r="M395" s="2021"/>
      <c r="N395" s="2021"/>
      <c r="O395" s="2021"/>
      <c r="P395" s="2021"/>
      <c r="Q395" s="2021"/>
      <c r="R395" s="2021"/>
      <c r="S395" s="2021"/>
      <c r="T395" s="2021"/>
      <c r="U395" s="2021"/>
      <c r="V395" s="2021"/>
      <c r="W395" s="2021"/>
      <c r="X395" s="2021"/>
      <c r="Y395" s="2021"/>
      <c r="Z395" s="2021"/>
      <c r="AA395" s="2021"/>
      <c r="AB395" s="2021"/>
      <c r="AC395" s="2021"/>
      <c r="AD395" s="2021"/>
      <c r="AE395" s="2021"/>
      <c r="AF395" s="2021"/>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7" t="s">
        <v>599</v>
      </c>
      <c r="D396" s="1974"/>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8" t="s">
        <v>1572</v>
      </c>
      <c r="AG396" s="2018"/>
      <c r="AH396" s="2018"/>
      <c r="AI396" s="2018"/>
      <c r="AJ396" s="2018"/>
      <c r="AK396" s="2018"/>
      <c r="AL396" s="201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7" t="s">
        <v>599</v>
      </c>
      <c r="D398" s="1974"/>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8" t="s">
        <v>1584</v>
      </c>
      <c r="AG398" s="2018"/>
      <c r="AH398" s="2018"/>
      <c r="AI398" s="2018"/>
      <c r="AJ398" s="2018"/>
      <c r="AK398" s="2018"/>
      <c r="AL398" s="201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7" t="s">
        <v>599</v>
      </c>
      <c r="D401" s="1974"/>
      <c r="E401" s="749" t="s">
        <v>1585</v>
      </c>
      <c r="F401" s="2020" t="s">
        <v>1586</v>
      </c>
      <c r="G401" s="2020"/>
      <c r="H401" s="2020"/>
      <c r="I401" s="2020"/>
      <c r="J401" s="2020"/>
      <c r="K401" s="2020"/>
      <c r="L401" s="2020"/>
      <c r="M401" s="2020"/>
      <c r="N401" s="2020"/>
      <c r="O401" s="2020"/>
      <c r="P401" s="2020"/>
      <c r="Q401" s="2020"/>
      <c r="R401" s="2020"/>
      <c r="S401" s="2020"/>
      <c r="T401" s="2020"/>
      <c r="U401" s="2020"/>
      <c r="V401" s="2020"/>
      <c r="W401" s="2020"/>
      <c r="X401" s="2020"/>
      <c r="Y401" s="2020"/>
      <c r="Z401" s="2020"/>
      <c r="AA401" s="2020"/>
      <c r="AB401" s="2020"/>
      <c r="AC401" s="2020"/>
      <c r="AD401" s="2020"/>
      <c r="AE401" s="2020"/>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21"/>
      <c r="G402" s="2021"/>
      <c r="H402" s="2021"/>
      <c r="I402" s="2021"/>
      <c r="J402" s="2021"/>
      <c r="K402" s="2021"/>
      <c r="L402" s="2021"/>
      <c r="M402" s="2021"/>
      <c r="N402" s="2021"/>
      <c r="O402" s="2021"/>
      <c r="P402" s="2021"/>
      <c r="Q402" s="2021"/>
      <c r="R402" s="2021"/>
      <c r="S402" s="2021"/>
      <c r="T402" s="2021"/>
      <c r="U402" s="2021"/>
      <c r="V402" s="2021"/>
      <c r="W402" s="2021"/>
      <c r="X402" s="2021"/>
      <c r="Y402" s="2021"/>
      <c r="Z402" s="2021"/>
      <c r="AA402" s="2021"/>
      <c r="AB402" s="2021"/>
      <c r="AC402" s="2021"/>
      <c r="AD402" s="2021"/>
      <c r="AE402" s="2021"/>
      <c r="AF402" s="1943" t="s">
        <v>1572</v>
      </c>
      <c r="AG402" s="1943"/>
      <c r="AH402" s="1943"/>
      <c r="AI402" s="1943"/>
      <c r="AJ402" s="1943"/>
      <c r="AK402" s="1943"/>
      <c r="AL402" s="2022"/>
      <c r="AM402" s="604"/>
      <c r="AN402" s="631"/>
      <c r="BS402" s="604"/>
      <c r="BT402" s="604"/>
      <c r="BY402" s="604"/>
      <c r="BZ402" s="604"/>
      <c r="CA402" s="604"/>
      <c r="CB402" s="604"/>
      <c r="CC402" s="604"/>
    </row>
    <row r="403" spans="1:81" s="584" customFormat="1" ht="12.75" customHeight="1">
      <c r="A403" s="570"/>
      <c r="B403" s="14"/>
      <c r="C403" s="765"/>
      <c r="D403" s="14"/>
      <c r="E403" s="725"/>
      <c r="F403" s="2021"/>
      <c r="G403" s="2021"/>
      <c r="H403" s="2021"/>
      <c r="I403" s="2021"/>
      <c r="J403" s="2021"/>
      <c r="K403" s="2021"/>
      <c r="L403" s="2021"/>
      <c r="M403" s="2021"/>
      <c r="N403" s="2021"/>
      <c r="O403" s="2021"/>
      <c r="P403" s="2021"/>
      <c r="Q403" s="2021"/>
      <c r="R403" s="2021"/>
      <c r="S403" s="2021"/>
      <c r="T403" s="2021"/>
      <c r="U403" s="2021"/>
      <c r="V403" s="2021"/>
      <c r="W403" s="2021"/>
      <c r="X403" s="2021"/>
      <c r="Y403" s="2021"/>
      <c r="Z403" s="2021"/>
      <c r="AA403" s="2021"/>
      <c r="AB403" s="2021"/>
      <c r="AC403" s="2021"/>
      <c r="AD403" s="2021"/>
      <c r="AE403" s="2021"/>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40"/>
      <c r="G404" s="2040"/>
      <c r="H404" s="2040"/>
      <c r="I404" s="2040"/>
      <c r="J404" s="2040"/>
      <c r="K404" s="2040"/>
      <c r="L404" s="2040"/>
      <c r="M404" s="2040"/>
      <c r="N404" s="2040"/>
      <c r="O404" s="2040"/>
      <c r="P404" s="2040"/>
      <c r="Q404" s="2040"/>
      <c r="R404" s="2040"/>
      <c r="S404" s="2040"/>
      <c r="T404" s="2040"/>
      <c r="U404" s="2040"/>
      <c r="V404" s="2040"/>
      <c r="W404" s="2040"/>
      <c r="X404" s="2040"/>
      <c r="Y404" s="2040"/>
      <c r="Z404" s="2040"/>
      <c r="AA404" s="2040"/>
      <c r="AB404" s="2040"/>
      <c r="AC404" s="2040"/>
      <c r="AD404" s="2040"/>
      <c r="AE404" s="2040"/>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20" t="s">
        <v>1588</v>
      </c>
      <c r="G406" s="2020"/>
      <c r="H406" s="2020"/>
      <c r="I406" s="2020"/>
      <c r="J406" s="2020"/>
      <c r="K406" s="2020"/>
      <c r="L406" s="2020"/>
      <c r="M406" s="2020"/>
      <c r="N406" s="2020"/>
      <c r="O406" s="2020"/>
      <c r="P406" s="2020"/>
      <c r="Q406" s="2020"/>
      <c r="R406" s="2020"/>
      <c r="S406" s="2020"/>
      <c r="T406" s="2020"/>
      <c r="U406" s="2020"/>
      <c r="V406" s="2020"/>
      <c r="W406" s="2020"/>
      <c r="X406" s="2020"/>
      <c r="Y406" s="2020"/>
      <c r="Z406" s="2020"/>
      <c r="AA406" s="2020"/>
      <c r="AB406" s="2020"/>
      <c r="AC406" s="2020"/>
      <c r="AD406" s="2020"/>
      <c r="AE406" s="2020"/>
      <c r="AF406" s="781"/>
      <c r="AG406" s="781"/>
      <c r="AH406" s="781"/>
      <c r="AI406" s="781"/>
      <c r="AJ406" s="781"/>
      <c r="AK406" s="781"/>
      <c r="AL406" s="782"/>
      <c r="AM406" s="604"/>
    </row>
    <row r="407" spans="1:81">
      <c r="A407" s="570"/>
      <c r="C407" s="765"/>
      <c r="E407" s="725"/>
      <c r="F407" s="2021"/>
      <c r="G407" s="2021"/>
      <c r="H407" s="2021"/>
      <c r="I407" s="2021"/>
      <c r="J407" s="2021"/>
      <c r="K407" s="2021"/>
      <c r="L407" s="2021"/>
      <c r="M407" s="2021"/>
      <c r="N407" s="2021"/>
      <c r="O407" s="2021"/>
      <c r="P407" s="2021"/>
      <c r="Q407" s="2021"/>
      <c r="R407" s="2021"/>
      <c r="S407" s="2021"/>
      <c r="T407" s="2021"/>
      <c r="U407" s="2021"/>
      <c r="V407" s="2021"/>
      <c r="W407" s="2021"/>
      <c r="X407" s="2021"/>
      <c r="Y407" s="2021"/>
      <c r="Z407" s="2021"/>
      <c r="AA407" s="2021"/>
      <c r="AB407" s="2021"/>
      <c r="AC407" s="2021"/>
      <c r="AD407" s="2021"/>
      <c r="AE407" s="2021"/>
      <c r="AF407" s="573"/>
      <c r="AG407" s="570"/>
      <c r="AH407" s="584"/>
      <c r="AI407" s="584"/>
      <c r="AJ407" s="584"/>
      <c r="AK407" s="584"/>
      <c r="AL407" s="766"/>
      <c r="AM407" s="604"/>
    </row>
    <row r="408" spans="1:81" s="584" customFormat="1" ht="12.75" customHeight="1">
      <c r="A408" s="570"/>
      <c r="B408" s="14"/>
      <c r="C408" s="765"/>
      <c r="D408" s="14"/>
      <c r="E408" s="725"/>
      <c r="F408" s="2021"/>
      <c r="G408" s="2021"/>
      <c r="H408" s="2021"/>
      <c r="I408" s="2021"/>
      <c r="J408" s="2021"/>
      <c r="K408" s="2021"/>
      <c r="L408" s="2021"/>
      <c r="M408" s="2021"/>
      <c r="N408" s="2021"/>
      <c r="O408" s="2021"/>
      <c r="P408" s="2021"/>
      <c r="Q408" s="2021"/>
      <c r="R408" s="2021"/>
      <c r="S408" s="2021"/>
      <c r="T408" s="2021"/>
      <c r="U408" s="2021"/>
      <c r="V408" s="2021"/>
      <c r="W408" s="2021"/>
      <c r="X408" s="2021"/>
      <c r="Y408" s="2021"/>
      <c r="Z408" s="2021"/>
      <c r="AA408" s="2021"/>
      <c r="AB408" s="2021"/>
      <c r="AC408" s="2021"/>
      <c r="AD408" s="2021"/>
      <c r="AE408" s="2021"/>
      <c r="AL408" s="766"/>
      <c r="AM408" s="604"/>
      <c r="AN408" s="631"/>
    </row>
    <row r="409" spans="1:81" s="584" customFormat="1" ht="12.75" customHeight="1">
      <c r="A409" s="570"/>
      <c r="B409" s="14"/>
      <c r="C409" s="773"/>
      <c r="F409" s="2021"/>
      <c r="G409" s="2021"/>
      <c r="H409" s="2021"/>
      <c r="I409" s="2021"/>
      <c r="J409" s="2021"/>
      <c r="K409" s="2021"/>
      <c r="L409" s="2021"/>
      <c r="M409" s="2021"/>
      <c r="N409" s="2021"/>
      <c r="O409" s="2021"/>
      <c r="P409" s="2021"/>
      <c r="Q409" s="2021"/>
      <c r="R409" s="2021"/>
      <c r="S409" s="2021"/>
      <c r="T409" s="2021"/>
      <c r="U409" s="2021"/>
      <c r="V409" s="2021"/>
      <c r="W409" s="2021"/>
      <c r="X409" s="2021"/>
      <c r="Y409" s="2021"/>
      <c r="Z409" s="2021"/>
      <c r="AA409" s="2021"/>
      <c r="AB409" s="2021"/>
      <c r="AC409" s="2021"/>
      <c r="AD409" s="2021"/>
      <c r="AE409" s="2021"/>
      <c r="AL409" s="766"/>
      <c r="AM409" s="604"/>
      <c r="AN409" s="631"/>
    </row>
    <row r="410" spans="1:81" s="584" customFormat="1" ht="12.75" customHeight="1">
      <c r="A410" s="570"/>
      <c r="B410" s="14"/>
      <c r="C410" s="2017" t="s">
        <v>599</v>
      </c>
      <c r="D410" s="1974"/>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3" t="s">
        <v>1572</v>
      </c>
      <c r="AG410" s="1943"/>
      <c r="AH410" s="1943"/>
      <c r="AI410" s="1943"/>
      <c r="AJ410" s="1943"/>
      <c r="AK410" s="1943"/>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2017" t="s">
        <v>599</v>
      </c>
      <c r="D412" s="1974"/>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3" t="s">
        <v>1584</v>
      </c>
      <c r="AG412" s="1943"/>
      <c r="AH412" s="1943"/>
      <c r="AI412" s="1943"/>
      <c r="AJ412" s="1943"/>
      <c r="AK412" s="1943"/>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20" t="s">
        <v>1592</v>
      </c>
      <c r="G416" s="2020"/>
      <c r="H416" s="2020"/>
      <c r="I416" s="2020"/>
      <c r="J416" s="2020"/>
      <c r="K416" s="2020"/>
      <c r="L416" s="2020"/>
      <c r="M416" s="2020"/>
      <c r="N416" s="2020"/>
      <c r="O416" s="2020"/>
      <c r="P416" s="2020"/>
      <c r="Q416" s="2020"/>
      <c r="R416" s="2020"/>
      <c r="S416" s="2020"/>
      <c r="T416" s="2020"/>
      <c r="U416" s="2020"/>
      <c r="V416" s="2020"/>
      <c r="W416" s="2020"/>
      <c r="X416" s="2020"/>
      <c r="Y416" s="2020"/>
      <c r="Z416" s="2020"/>
      <c r="AA416" s="2020"/>
      <c r="AB416" s="2020"/>
      <c r="AC416" s="2020"/>
      <c r="AD416" s="2020"/>
      <c r="AE416" s="2020"/>
      <c r="AF416" s="748"/>
      <c r="AG416" s="748"/>
      <c r="AH416" s="748"/>
      <c r="AI416" s="748"/>
      <c r="AJ416" s="748"/>
      <c r="AK416" s="748"/>
      <c r="AL416" s="779"/>
      <c r="AM416" s="604"/>
      <c r="AN416" s="631"/>
    </row>
    <row r="417" spans="1:60" s="584" customFormat="1" ht="12.75" customHeight="1">
      <c r="A417" s="570"/>
      <c r="B417" s="14"/>
      <c r="C417" s="765"/>
      <c r="D417" s="14"/>
      <c r="E417" s="725"/>
      <c r="F417" s="2021"/>
      <c r="G417" s="2021"/>
      <c r="H417" s="2021"/>
      <c r="I417" s="2021"/>
      <c r="J417" s="2021"/>
      <c r="K417" s="2021"/>
      <c r="L417" s="2021"/>
      <c r="M417" s="2021"/>
      <c r="N417" s="2021"/>
      <c r="O417" s="2021"/>
      <c r="P417" s="2021"/>
      <c r="Q417" s="2021"/>
      <c r="R417" s="2021"/>
      <c r="S417" s="2021"/>
      <c r="T417" s="2021"/>
      <c r="U417" s="2021"/>
      <c r="V417" s="2021"/>
      <c r="W417" s="2021"/>
      <c r="X417" s="2021"/>
      <c r="Y417" s="2021"/>
      <c r="Z417" s="2021"/>
      <c r="AA417" s="2021"/>
      <c r="AB417" s="2021"/>
      <c r="AC417" s="2021"/>
      <c r="AD417" s="2021"/>
      <c r="AE417" s="2021"/>
      <c r="AF417" s="573"/>
      <c r="AG417" s="570"/>
      <c r="AL417" s="766"/>
      <c r="AM417" s="604"/>
      <c r="AN417" s="631"/>
    </row>
    <row r="418" spans="1:60" s="584" customFormat="1" ht="12.4" customHeight="1">
      <c r="A418" s="570"/>
      <c r="B418" s="14"/>
      <c r="C418" s="765"/>
      <c r="D418" s="14"/>
      <c r="E418" s="725"/>
      <c r="F418" s="2021"/>
      <c r="G418" s="2021"/>
      <c r="H418" s="2021"/>
      <c r="I418" s="2021"/>
      <c r="J418" s="2021"/>
      <c r="K418" s="2021"/>
      <c r="L418" s="2021"/>
      <c r="M418" s="2021"/>
      <c r="N418" s="2021"/>
      <c r="O418" s="2021"/>
      <c r="P418" s="2021"/>
      <c r="Q418" s="2021"/>
      <c r="R418" s="2021"/>
      <c r="S418" s="2021"/>
      <c r="T418" s="2021"/>
      <c r="U418" s="2021"/>
      <c r="V418" s="2021"/>
      <c r="W418" s="2021"/>
      <c r="X418" s="2021"/>
      <c r="Y418" s="2021"/>
      <c r="Z418" s="2021"/>
      <c r="AA418" s="2021"/>
      <c r="AB418" s="2021"/>
      <c r="AC418" s="2021"/>
      <c r="AD418" s="2021"/>
      <c r="AE418" s="2021"/>
      <c r="AL418" s="766"/>
      <c r="AM418" s="604"/>
      <c r="AN418" s="631"/>
    </row>
    <row r="419" spans="1:60" s="584" customFormat="1" ht="12.75" customHeight="1">
      <c r="A419" s="570"/>
      <c r="B419" s="14"/>
      <c r="C419" s="2017" t="s">
        <v>599</v>
      </c>
      <c r="D419" s="1974"/>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3" t="s">
        <v>1572</v>
      </c>
      <c r="AG419" s="1943"/>
      <c r="AH419" s="1943"/>
      <c r="AI419" s="1943"/>
      <c r="AJ419" s="1943"/>
      <c r="AK419" s="1943"/>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20" t="s">
        <v>1595</v>
      </c>
      <c r="G422" s="2020"/>
      <c r="H422" s="2020"/>
      <c r="I422" s="2020"/>
      <c r="J422" s="2020"/>
      <c r="K422" s="2020"/>
      <c r="L422" s="2020"/>
      <c r="M422" s="2020"/>
      <c r="N422" s="2020"/>
      <c r="O422" s="2020"/>
      <c r="P422" s="2020"/>
      <c r="Q422" s="2020"/>
      <c r="R422" s="2020"/>
      <c r="S422" s="2020"/>
      <c r="T422" s="2020"/>
      <c r="U422" s="2020"/>
      <c r="V422" s="2020"/>
      <c r="W422" s="2020"/>
      <c r="X422" s="2020"/>
      <c r="Y422" s="2020"/>
      <c r="Z422" s="2020"/>
      <c r="AA422" s="2020"/>
      <c r="AB422" s="2020"/>
      <c r="AC422" s="2020"/>
      <c r="AD422" s="2020"/>
      <c r="AE422" s="2020"/>
      <c r="AF422" s="781"/>
      <c r="AG422" s="781"/>
      <c r="AH422" s="781"/>
      <c r="AI422" s="781"/>
      <c r="AJ422" s="781"/>
      <c r="AK422" s="781"/>
      <c r="AL422" s="782"/>
      <c r="AM422" s="604"/>
      <c r="AO422" s="584"/>
      <c r="AP422" s="584"/>
      <c r="BD422" s="14"/>
      <c r="BE422" s="14"/>
      <c r="BF422" s="14"/>
      <c r="BG422" s="14"/>
      <c r="BH422" s="14"/>
    </row>
    <row r="423" spans="1:60">
      <c r="A423" s="570"/>
      <c r="C423" s="765"/>
      <c r="E423" s="725"/>
      <c r="F423" s="2021"/>
      <c r="G423" s="2021"/>
      <c r="H423" s="2021"/>
      <c r="I423" s="2021"/>
      <c r="J423" s="2021"/>
      <c r="K423" s="2021"/>
      <c r="L423" s="2021"/>
      <c r="M423" s="2021"/>
      <c r="N423" s="2021"/>
      <c r="O423" s="2021"/>
      <c r="P423" s="2021"/>
      <c r="Q423" s="2021"/>
      <c r="R423" s="2021"/>
      <c r="S423" s="2021"/>
      <c r="T423" s="2021"/>
      <c r="U423" s="2021"/>
      <c r="V423" s="2021"/>
      <c r="W423" s="2021"/>
      <c r="X423" s="2021"/>
      <c r="Y423" s="2021"/>
      <c r="Z423" s="2021"/>
      <c r="AA423" s="2021"/>
      <c r="AB423" s="2021"/>
      <c r="AC423" s="2021"/>
      <c r="AD423" s="2021"/>
      <c r="AE423" s="2021"/>
      <c r="AF423" s="628"/>
      <c r="AG423" s="628"/>
      <c r="AH423" s="628"/>
      <c r="AI423" s="628"/>
      <c r="AJ423" s="628"/>
      <c r="AK423" s="628"/>
      <c r="AL423" s="784"/>
      <c r="AM423" s="604"/>
      <c r="AO423" s="584"/>
      <c r="AP423" s="584"/>
    </row>
    <row r="424" spans="1:60" s="584" customFormat="1" ht="12.75" customHeight="1">
      <c r="A424" s="570"/>
      <c r="B424" s="14"/>
      <c r="C424" s="765"/>
      <c r="D424" s="14"/>
      <c r="E424" s="725"/>
      <c r="F424" s="2021"/>
      <c r="G424" s="2021"/>
      <c r="H424" s="2021"/>
      <c r="I424" s="2021"/>
      <c r="J424" s="2021"/>
      <c r="K424" s="2021"/>
      <c r="L424" s="2021"/>
      <c r="M424" s="2021"/>
      <c r="N424" s="2021"/>
      <c r="O424" s="2021"/>
      <c r="P424" s="2021"/>
      <c r="Q424" s="2021"/>
      <c r="R424" s="2021"/>
      <c r="S424" s="2021"/>
      <c r="T424" s="2021"/>
      <c r="U424" s="2021"/>
      <c r="V424" s="2021"/>
      <c r="W424" s="2021"/>
      <c r="X424" s="2021"/>
      <c r="Y424" s="2021"/>
      <c r="Z424" s="2021"/>
      <c r="AA424" s="2021"/>
      <c r="AB424" s="2021"/>
      <c r="AC424" s="2021"/>
      <c r="AD424" s="2021"/>
      <c r="AE424" s="2021"/>
      <c r="AF424" s="628"/>
      <c r="AG424" s="628"/>
      <c r="AH424" s="628"/>
      <c r="AI424" s="628"/>
      <c r="AJ424" s="628"/>
      <c r="AK424" s="628"/>
      <c r="AL424" s="784"/>
      <c r="AM424" s="604"/>
      <c r="AN424" s="631"/>
    </row>
    <row r="425" spans="1:60" s="584" customFormat="1" ht="12.75" customHeight="1">
      <c r="A425" s="570"/>
      <c r="B425" s="14"/>
      <c r="C425" s="785"/>
      <c r="D425" s="764"/>
      <c r="E425" s="753"/>
      <c r="F425" s="2021"/>
      <c r="G425" s="2021"/>
      <c r="H425" s="2021"/>
      <c r="I425" s="2021"/>
      <c r="J425" s="2021"/>
      <c r="K425" s="2021"/>
      <c r="L425" s="2021"/>
      <c r="M425" s="2021"/>
      <c r="N425" s="2021"/>
      <c r="O425" s="2021"/>
      <c r="P425" s="2021"/>
      <c r="Q425" s="2021"/>
      <c r="R425" s="2021"/>
      <c r="S425" s="2021"/>
      <c r="T425" s="2021"/>
      <c r="U425" s="2021"/>
      <c r="V425" s="2021"/>
      <c r="W425" s="2021"/>
      <c r="X425" s="2021"/>
      <c r="Y425" s="2021"/>
      <c r="Z425" s="2021"/>
      <c r="AA425" s="2021"/>
      <c r="AB425" s="2021"/>
      <c r="AC425" s="2021"/>
      <c r="AD425" s="2021"/>
      <c r="AE425" s="2021"/>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21"/>
      <c r="G426" s="2021"/>
      <c r="H426" s="2021"/>
      <c r="I426" s="2021"/>
      <c r="J426" s="2021"/>
      <c r="K426" s="2021"/>
      <c r="L426" s="2021"/>
      <c r="M426" s="2021"/>
      <c r="N426" s="2021"/>
      <c r="O426" s="2021"/>
      <c r="P426" s="2021"/>
      <c r="Q426" s="2021"/>
      <c r="R426" s="2021"/>
      <c r="S426" s="2021"/>
      <c r="T426" s="2021"/>
      <c r="U426" s="2021"/>
      <c r="V426" s="2021"/>
      <c r="W426" s="2021"/>
      <c r="X426" s="2021"/>
      <c r="Y426" s="2021"/>
      <c r="Z426" s="2021"/>
      <c r="AA426" s="2021"/>
      <c r="AB426" s="2021"/>
      <c r="AC426" s="2021"/>
      <c r="AD426" s="2021"/>
      <c r="AE426" s="2021"/>
      <c r="AF426" s="628"/>
      <c r="AG426" s="628"/>
      <c r="AH426" s="628"/>
      <c r="AI426" s="628"/>
      <c r="AJ426" s="628"/>
      <c r="AK426" s="628"/>
      <c r="AL426" s="784"/>
      <c r="AM426" s="604"/>
      <c r="AN426" s="631"/>
    </row>
    <row r="427" spans="1:60" s="584" customFormat="1" ht="12.75" customHeight="1">
      <c r="A427" s="570"/>
      <c r="B427" s="14"/>
      <c r="C427" s="785"/>
      <c r="D427" s="764"/>
      <c r="E427" s="753"/>
      <c r="F427" s="2021"/>
      <c r="G427" s="2021"/>
      <c r="H427" s="2021"/>
      <c r="I427" s="2021"/>
      <c r="J427" s="2021"/>
      <c r="K427" s="2021"/>
      <c r="L427" s="2021"/>
      <c r="M427" s="2021"/>
      <c r="N427" s="2021"/>
      <c r="O427" s="2021"/>
      <c r="P427" s="2021"/>
      <c r="Q427" s="2021"/>
      <c r="R427" s="2021"/>
      <c r="S427" s="2021"/>
      <c r="T427" s="2021"/>
      <c r="U427" s="2021"/>
      <c r="V427" s="2021"/>
      <c r="W427" s="2021"/>
      <c r="X427" s="2021"/>
      <c r="Y427" s="2021"/>
      <c r="Z427" s="2021"/>
      <c r="AA427" s="2021"/>
      <c r="AB427" s="2021"/>
      <c r="AC427" s="2021"/>
      <c r="AD427" s="2021"/>
      <c r="AE427" s="2021"/>
      <c r="AF427" s="628"/>
      <c r="AG427" s="628"/>
      <c r="AH427" s="628"/>
      <c r="AI427" s="628"/>
      <c r="AJ427" s="628"/>
      <c r="AK427" s="628"/>
      <c r="AL427" s="784"/>
      <c r="AM427" s="604"/>
      <c r="AN427" s="631"/>
    </row>
    <row r="428" spans="1:60" s="584" customFormat="1" ht="12.75" customHeight="1">
      <c r="A428" s="570"/>
      <c r="B428" s="14"/>
      <c r="C428" s="785"/>
      <c r="D428" s="764"/>
      <c r="E428" s="753"/>
      <c r="F428" s="2021"/>
      <c r="G428" s="2021"/>
      <c r="H428" s="2021"/>
      <c r="I428" s="2021"/>
      <c r="J428" s="2021"/>
      <c r="K428" s="2021"/>
      <c r="L428" s="2021"/>
      <c r="M428" s="2021"/>
      <c r="N428" s="2021"/>
      <c r="O428" s="2021"/>
      <c r="P428" s="2021"/>
      <c r="Q428" s="2021"/>
      <c r="R428" s="2021"/>
      <c r="S428" s="2021"/>
      <c r="T428" s="2021"/>
      <c r="U428" s="2021"/>
      <c r="V428" s="2021"/>
      <c r="W428" s="2021"/>
      <c r="X428" s="2021"/>
      <c r="Y428" s="2021"/>
      <c r="Z428" s="2021"/>
      <c r="AA428" s="2021"/>
      <c r="AB428" s="2021"/>
      <c r="AC428" s="2021"/>
      <c r="AD428" s="2021"/>
      <c r="AE428" s="2021"/>
      <c r="AF428" s="628"/>
      <c r="AG428" s="628"/>
      <c r="AH428" s="628"/>
      <c r="AI428" s="628"/>
      <c r="AJ428" s="628"/>
      <c r="AK428" s="628"/>
      <c r="AL428" s="784"/>
      <c r="AM428" s="604"/>
      <c r="AN428" s="631"/>
    </row>
    <row r="429" spans="1:60" s="584" customFormat="1" ht="12.75" customHeight="1">
      <c r="A429" s="570"/>
      <c r="B429" s="14"/>
      <c r="C429" s="785"/>
      <c r="D429" s="764"/>
      <c r="E429" s="753"/>
      <c r="F429" s="2021"/>
      <c r="G429" s="2021"/>
      <c r="H429" s="2021"/>
      <c r="I429" s="2021"/>
      <c r="J429" s="2021"/>
      <c r="K429" s="2021"/>
      <c r="L429" s="2021"/>
      <c r="M429" s="2021"/>
      <c r="N429" s="2021"/>
      <c r="O429" s="2021"/>
      <c r="P429" s="2021"/>
      <c r="Q429" s="2021"/>
      <c r="R429" s="2021"/>
      <c r="S429" s="2021"/>
      <c r="T429" s="2021"/>
      <c r="U429" s="2021"/>
      <c r="V429" s="2021"/>
      <c r="W429" s="2021"/>
      <c r="X429" s="2021"/>
      <c r="Y429" s="2021"/>
      <c r="Z429" s="2021"/>
      <c r="AA429" s="2021"/>
      <c r="AB429" s="2021"/>
      <c r="AC429" s="2021"/>
      <c r="AD429" s="2021"/>
      <c r="AE429" s="2021"/>
      <c r="AF429" s="628"/>
      <c r="AG429" s="628"/>
      <c r="AH429" s="628"/>
      <c r="AI429" s="628"/>
      <c r="AJ429" s="628"/>
      <c r="AK429" s="628"/>
      <c r="AL429" s="784"/>
      <c r="AM429" s="604"/>
      <c r="AN429" s="631"/>
    </row>
    <row r="430" spans="1:60" s="584" customFormat="1" ht="17.25" customHeight="1">
      <c r="A430" s="570"/>
      <c r="B430" s="14"/>
      <c r="C430" s="785"/>
      <c r="D430" s="764"/>
      <c r="E430" s="753"/>
      <c r="F430" s="2021"/>
      <c r="G430" s="2021"/>
      <c r="H430" s="2021"/>
      <c r="I430" s="2021"/>
      <c r="J430" s="2021"/>
      <c r="K430" s="2021"/>
      <c r="L430" s="2021"/>
      <c r="M430" s="2021"/>
      <c r="N430" s="2021"/>
      <c r="O430" s="2021"/>
      <c r="P430" s="2021"/>
      <c r="Q430" s="2021"/>
      <c r="R430" s="2021"/>
      <c r="S430" s="2021"/>
      <c r="T430" s="2021"/>
      <c r="U430" s="2021"/>
      <c r="V430" s="2021"/>
      <c r="W430" s="2021"/>
      <c r="X430" s="2021"/>
      <c r="Y430" s="2021"/>
      <c r="Z430" s="2021"/>
      <c r="AA430" s="2021"/>
      <c r="AB430" s="2021"/>
      <c r="AC430" s="2021"/>
      <c r="AD430" s="2021"/>
      <c r="AE430" s="2021"/>
      <c r="AL430" s="766"/>
      <c r="AM430" s="604"/>
      <c r="AN430" s="631"/>
    </row>
    <row r="431" spans="1:60" s="584" customFormat="1" ht="12.75" customHeight="1">
      <c r="A431" s="570"/>
      <c r="B431" s="14"/>
      <c r="C431" s="2017" t="s">
        <v>599</v>
      </c>
      <c r="D431" s="1974"/>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3" t="s">
        <v>1572</v>
      </c>
      <c r="AG431" s="1943"/>
      <c r="AH431" s="1943"/>
      <c r="AI431" s="1943"/>
      <c r="AJ431" s="1943"/>
      <c r="AK431" s="1943"/>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20" t="s">
        <v>1598</v>
      </c>
      <c r="G434" s="2020"/>
      <c r="H434" s="2020"/>
      <c r="I434" s="2020"/>
      <c r="J434" s="2020"/>
      <c r="K434" s="2020"/>
      <c r="L434" s="2020"/>
      <c r="M434" s="2020"/>
      <c r="N434" s="2020"/>
      <c r="O434" s="2020"/>
      <c r="P434" s="2020"/>
      <c r="Q434" s="2020"/>
      <c r="R434" s="2020"/>
      <c r="S434" s="2020"/>
      <c r="T434" s="2020"/>
      <c r="U434" s="2020"/>
      <c r="V434" s="2020"/>
      <c r="W434" s="2020"/>
      <c r="X434" s="2020"/>
      <c r="Y434" s="2020"/>
      <c r="Z434" s="2020"/>
      <c r="AA434" s="2020"/>
      <c r="AB434" s="2020"/>
      <c r="AC434" s="2020"/>
      <c r="AD434" s="2020"/>
      <c r="AE434" s="2020"/>
      <c r="AF434" s="748"/>
      <c r="AG434" s="748"/>
      <c r="AH434" s="748"/>
      <c r="AI434" s="748"/>
      <c r="AJ434" s="748"/>
      <c r="AK434" s="748"/>
      <c r="AL434" s="779"/>
      <c r="AM434" s="604"/>
      <c r="AN434" s="631"/>
    </row>
    <row r="435" spans="1:40" s="584" customFormat="1" ht="12.75" customHeight="1">
      <c r="A435" s="570"/>
      <c r="B435" s="14"/>
      <c r="C435" s="785"/>
      <c r="D435" s="764"/>
      <c r="E435" s="753"/>
      <c r="F435" s="2021"/>
      <c r="G435" s="2021"/>
      <c r="H435" s="2021"/>
      <c r="I435" s="2021"/>
      <c r="J435" s="2021"/>
      <c r="K435" s="2021"/>
      <c r="L435" s="2021"/>
      <c r="M435" s="2021"/>
      <c r="N435" s="2021"/>
      <c r="O435" s="2021"/>
      <c r="P435" s="2021"/>
      <c r="Q435" s="2021"/>
      <c r="R435" s="2021"/>
      <c r="S435" s="2021"/>
      <c r="T435" s="2021"/>
      <c r="U435" s="2021"/>
      <c r="V435" s="2021"/>
      <c r="W435" s="2021"/>
      <c r="X435" s="2021"/>
      <c r="Y435" s="2021"/>
      <c r="Z435" s="2021"/>
      <c r="AA435" s="2021"/>
      <c r="AB435" s="2021"/>
      <c r="AC435" s="2021"/>
      <c r="AD435" s="2021"/>
      <c r="AE435" s="2021"/>
      <c r="AF435" s="625"/>
      <c r="AG435" s="625"/>
      <c r="AH435" s="625"/>
      <c r="AI435" s="625"/>
      <c r="AJ435" s="625"/>
      <c r="AK435" s="625"/>
      <c r="AL435" s="754"/>
      <c r="AM435" s="604"/>
      <c r="AN435" s="631"/>
    </row>
    <row r="436" spans="1:40" s="584" customFormat="1" ht="12.75" customHeight="1">
      <c r="A436" s="570"/>
      <c r="B436" s="14"/>
      <c r="C436" s="785"/>
      <c r="D436" s="764"/>
      <c r="E436" s="753"/>
      <c r="F436" s="2021"/>
      <c r="G436" s="2021"/>
      <c r="H436" s="2021"/>
      <c r="I436" s="2021"/>
      <c r="J436" s="2021"/>
      <c r="K436" s="2021"/>
      <c r="L436" s="2021"/>
      <c r="M436" s="2021"/>
      <c r="N436" s="2021"/>
      <c r="O436" s="2021"/>
      <c r="P436" s="2021"/>
      <c r="Q436" s="2021"/>
      <c r="R436" s="2021"/>
      <c r="S436" s="2021"/>
      <c r="T436" s="2021"/>
      <c r="U436" s="2021"/>
      <c r="V436" s="2021"/>
      <c r="W436" s="2021"/>
      <c r="X436" s="2021"/>
      <c r="Y436" s="2021"/>
      <c r="Z436" s="2021"/>
      <c r="AA436" s="2021"/>
      <c r="AB436" s="2021"/>
      <c r="AC436" s="2021"/>
      <c r="AD436" s="2021"/>
      <c r="AE436" s="2021"/>
      <c r="AF436" s="625"/>
      <c r="AG436" s="625"/>
      <c r="AH436" s="625"/>
      <c r="AI436" s="625"/>
      <c r="AJ436" s="625"/>
      <c r="AK436" s="625"/>
      <c r="AL436" s="754"/>
      <c r="AM436" s="604"/>
      <c r="AN436" s="631"/>
    </row>
    <row r="437" spans="1:40" s="584" customFormat="1" ht="12.75" customHeight="1">
      <c r="A437" s="570"/>
      <c r="B437" s="14"/>
      <c r="C437" s="785"/>
      <c r="D437" s="764"/>
      <c r="E437" s="753"/>
      <c r="F437" s="2021"/>
      <c r="G437" s="2021"/>
      <c r="H437" s="2021"/>
      <c r="I437" s="2021"/>
      <c r="J437" s="2021"/>
      <c r="K437" s="2021"/>
      <c r="L437" s="2021"/>
      <c r="M437" s="2021"/>
      <c r="N437" s="2021"/>
      <c r="O437" s="2021"/>
      <c r="P437" s="2021"/>
      <c r="Q437" s="2021"/>
      <c r="R437" s="2021"/>
      <c r="S437" s="2021"/>
      <c r="T437" s="2021"/>
      <c r="U437" s="2021"/>
      <c r="V437" s="2021"/>
      <c r="W437" s="2021"/>
      <c r="X437" s="2021"/>
      <c r="Y437" s="2021"/>
      <c r="Z437" s="2021"/>
      <c r="AA437" s="2021"/>
      <c r="AB437" s="2021"/>
      <c r="AC437" s="2021"/>
      <c r="AD437" s="2021"/>
      <c r="AE437" s="2021"/>
      <c r="AL437" s="766"/>
      <c r="AM437" s="604"/>
      <c r="AN437" s="631"/>
    </row>
    <row r="438" spans="1:40" s="584" customFormat="1" ht="12.75" customHeight="1">
      <c r="A438" s="570"/>
      <c r="B438" s="14"/>
      <c r="C438" s="2017" t="s">
        <v>599</v>
      </c>
      <c r="D438" s="1974"/>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3" t="s">
        <v>1572</v>
      </c>
      <c r="AG438" s="1943"/>
      <c r="AH438" s="1943"/>
      <c r="AI438" s="1943"/>
      <c r="AJ438" s="1943"/>
      <c r="AK438" s="1943"/>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3" t="s">
        <v>599</v>
      </c>
      <c r="D442" s="2024"/>
      <c r="E442" s="749" t="s">
        <v>1607</v>
      </c>
      <c r="F442" s="2020" t="s">
        <v>1608</v>
      </c>
      <c r="G442" s="2020"/>
      <c r="H442" s="2020"/>
      <c r="I442" s="2020"/>
      <c r="J442" s="2020"/>
      <c r="K442" s="2020"/>
      <c r="L442" s="2020"/>
      <c r="M442" s="2020"/>
      <c r="N442" s="2020"/>
      <c r="O442" s="2020"/>
      <c r="P442" s="2020"/>
      <c r="Q442" s="2020"/>
      <c r="R442" s="2020"/>
      <c r="S442" s="2020"/>
      <c r="T442" s="2020"/>
      <c r="U442" s="2020"/>
      <c r="V442" s="2020"/>
      <c r="W442" s="2020"/>
      <c r="X442" s="2020"/>
      <c r="Y442" s="2020"/>
      <c r="Z442" s="2020"/>
      <c r="AA442" s="2020"/>
      <c r="AB442" s="2020"/>
      <c r="AC442" s="2020"/>
      <c r="AD442" s="2020"/>
      <c r="AE442" s="2020"/>
      <c r="AF442" s="2041" t="s">
        <v>1572</v>
      </c>
      <c r="AG442" s="2041"/>
      <c r="AH442" s="2041"/>
      <c r="AI442" s="2041"/>
      <c r="AJ442" s="2041"/>
      <c r="AK442" s="2041"/>
      <c r="AL442" s="2042"/>
      <c r="AM442" s="604"/>
      <c r="AN442" s="787"/>
    </row>
    <row r="443" spans="1:40" s="584" customFormat="1" ht="12.75" customHeight="1">
      <c r="A443" s="570"/>
      <c r="B443" s="14"/>
      <c r="C443" s="785"/>
      <c r="D443" s="764"/>
      <c r="E443" s="753"/>
      <c r="F443" s="2021"/>
      <c r="G443" s="2021"/>
      <c r="H443" s="2021"/>
      <c r="I443" s="2021"/>
      <c r="J443" s="2021"/>
      <c r="K443" s="2021"/>
      <c r="L443" s="2021"/>
      <c r="M443" s="2021"/>
      <c r="N443" s="2021"/>
      <c r="O443" s="2021"/>
      <c r="P443" s="2021"/>
      <c r="Q443" s="2021"/>
      <c r="R443" s="2021"/>
      <c r="S443" s="2021"/>
      <c r="T443" s="2021"/>
      <c r="U443" s="2021"/>
      <c r="V443" s="2021"/>
      <c r="W443" s="2021"/>
      <c r="X443" s="2021"/>
      <c r="Y443" s="2021"/>
      <c r="Z443" s="2021"/>
      <c r="AA443" s="2021"/>
      <c r="AB443" s="2021"/>
      <c r="AC443" s="2021"/>
      <c r="AD443" s="2021"/>
      <c r="AE443" s="2021"/>
      <c r="AF443" s="625"/>
      <c r="AG443" s="625"/>
      <c r="AH443" s="625"/>
      <c r="AI443" s="625"/>
      <c r="AJ443" s="625"/>
      <c r="AK443" s="625"/>
      <c r="AL443" s="754"/>
      <c r="AM443" s="604"/>
      <c r="AN443" s="788"/>
    </row>
    <row r="444" spans="1:40" s="584" customFormat="1" ht="17.649999999999999" customHeight="1">
      <c r="A444" s="570"/>
      <c r="B444" s="14"/>
      <c r="C444" s="790"/>
      <c r="D444" s="757"/>
      <c r="E444" s="758"/>
      <c r="F444" s="2040"/>
      <c r="G444" s="2040"/>
      <c r="H444" s="2040"/>
      <c r="I444" s="2040"/>
      <c r="J444" s="2040"/>
      <c r="K444" s="2040"/>
      <c r="L444" s="2040"/>
      <c r="M444" s="2040"/>
      <c r="N444" s="2040"/>
      <c r="O444" s="2040"/>
      <c r="P444" s="2040"/>
      <c r="Q444" s="2040"/>
      <c r="R444" s="2040"/>
      <c r="S444" s="2040"/>
      <c r="T444" s="2040"/>
      <c r="U444" s="2040"/>
      <c r="V444" s="2040"/>
      <c r="W444" s="2040"/>
      <c r="X444" s="2040"/>
      <c r="Y444" s="2040"/>
      <c r="Z444" s="2040"/>
      <c r="AA444" s="2040"/>
      <c r="AB444" s="2040"/>
      <c r="AC444" s="2040"/>
      <c r="AD444" s="2040"/>
      <c r="AE444" s="204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7" t="s">
        <v>599</v>
      </c>
      <c r="D446" s="1974"/>
      <c r="E446" s="749" t="s">
        <v>1613</v>
      </c>
      <c r="F446" s="2020" t="s">
        <v>1614</v>
      </c>
      <c r="G446" s="2020"/>
      <c r="H446" s="2020"/>
      <c r="I446" s="2020"/>
      <c r="J446" s="2020"/>
      <c r="K446" s="2020"/>
      <c r="L446" s="2020"/>
      <c r="M446" s="2020"/>
      <c r="N446" s="2020"/>
      <c r="O446" s="2020"/>
      <c r="P446" s="2020"/>
      <c r="Q446" s="2020"/>
      <c r="R446" s="2020"/>
      <c r="S446" s="2020"/>
      <c r="T446" s="2020"/>
      <c r="U446" s="2020"/>
      <c r="V446" s="2020"/>
      <c r="W446" s="2020"/>
      <c r="X446" s="2020"/>
      <c r="Y446" s="2020"/>
      <c r="Z446" s="2020"/>
      <c r="AA446" s="2020"/>
      <c r="AB446" s="2020"/>
      <c r="AC446" s="2020"/>
      <c r="AD446" s="2020"/>
      <c r="AE446" s="2020"/>
      <c r="AF446" s="2041" t="s">
        <v>1572</v>
      </c>
      <c r="AG446" s="2041"/>
      <c r="AH446" s="2041"/>
      <c r="AI446" s="2041"/>
      <c r="AJ446" s="2041"/>
      <c r="AK446" s="2041"/>
      <c r="AL446" s="2042"/>
      <c r="AM446" s="604"/>
      <c r="AN446" s="569"/>
    </row>
    <row r="447" spans="1:40" s="584" customFormat="1" ht="12.75" customHeight="1">
      <c r="A447" s="570"/>
      <c r="B447" s="14"/>
      <c r="C447" s="765"/>
      <c r="D447" s="14"/>
      <c r="E447" s="725"/>
      <c r="F447" s="2021"/>
      <c r="G447" s="2021"/>
      <c r="H447" s="2021"/>
      <c r="I447" s="2021"/>
      <c r="J447" s="2021"/>
      <c r="K447" s="2021"/>
      <c r="L447" s="2021"/>
      <c r="M447" s="2021"/>
      <c r="N447" s="2021"/>
      <c r="O447" s="2021"/>
      <c r="P447" s="2021"/>
      <c r="Q447" s="2021"/>
      <c r="R447" s="2021"/>
      <c r="S447" s="2021"/>
      <c r="T447" s="2021"/>
      <c r="U447" s="2021"/>
      <c r="V447" s="2021"/>
      <c r="W447" s="2021"/>
      <c r="X447" s="2021"/>
      <c r="Y447" s="2021"/>
      <c r="Z447" s="2021"/>
      <c r="AA447" s="2021"/>
      <c r="AB447" s="2021"/>
      <c r="AC447" s="2021"/>
      <c r="AD447" s="2021"/>
      <c r="AE447" s="2021"/>
      <c r="AF447" s="573"/>
      <c r="AG447" s="570"/>
      <c r="AL447" s="766"/>
      <c r="AM447" s="604"/>
      <c r="AN447" s="569"/>
    </row>
    <row r="448" spans="1:40" s="584" customFormat="1" ht="12.75" customHeight="1">
      <c r="A448" s="570"/>
      <c r="B448" s="14"/>
      <c r="C448" s="765"/>
      <c r="D448" s="14"/>
      <c r="E448" s="725"/>
      <c r="F448" s="2021"/>
      <c r="G448" s="2021"/>
      <c r="H448" s="2021"/>
      <c r="I448" s="2021"/>
      <c r="J448" s="2021"/>
      <c r="K448" s="2021"/>
      <c r="L448" s="2021"/>
      <c r="M448" s="2021"/>
      <c r="N448" s="2021"/>
      <c r="O448" s="2021"/>
      <c r="P448" s="2021"/>
      <c r="Q448" s="2021"/>
      <c r="R448" s="2021"/>
      <c r="S448" s="2021"/>
      <c r="T448" s="2021"/>
      <c r="U448" s="2021"/>
      <c r="V448" s="2021"/>
      <c r="W448" s="2021"/>
      <c r="X448" s="2021"/>
      <c r="Y448" s="2021"/>
      <c r="Z448" s="2021"/>
      <c r="AA448" s="2021"/>
      <c r="AB448" s="2021"/>
      <c r="AC448" s="2021"/>
      <c r="AD448" s="2021"/>
      <c r="AE448" s="2021"/>
      <c r="AF448" s="573"/>
      <c r="AG448" s="570"/>
      <c r="AL448" s="766"/>
      <c r="AM448" s="604"/>
      <c r="AN448" s="569"/>
    </row>
    <row r="449" spans="1:48" s="584" customFormat="1" ht="12.75" customHeight="1">
      <c r="A449" s="570"/>
      <c r="B449" s="14"/>
      <c r="C449" s="790"/>
      <c r="D449" s="757"/>
      <c r="E449" s="758"/>
      <c r="F449" s="2040"/>
      <c r="G449" s="2040"/>
      <c r="H449" s="2040"/>
      <c r="I449" s="2040"/>
      <c r="J449" s="2040"/>
      <c r="K449" s="2040"/>
      <c r="L449" s="2040"/>
      <c r="M449" s="2040"/>
      <c r="N449" s="2040"/>
      <c r="O449" s="2040"/>
      <c r="P449" s="2040"/>
      <c r="Q449" s="2040"/>
      <c r="R449" s="2040"/>
      <c r="S449" s="2040"/>
      <c r="T449" s="2040"/>
      <c r="U449" s="2040"/>
      <c r="V449" s="2040"/>
      <c r="W449" s="2040"/>
      <c r="X449" s="2040"/>
      <c r="Y449" s="2040"/>
      <c r="Z449" s="2040"/>
      <c r="AA449" s="2040"/>
      <c r="AB449" s="2040"/>
      <c r="AC449" s="2040"/>
      <c r="AD449" s="2040"/>
      <c r="AE449" s="204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20" t="s">
        <v>1617</v>
      </c>
      <c r="G451" s="2020"/>
      <c r="H451" s="2020"/>
      <c r="I451" s="2020"/>
      <c r="J451" s="2020"/>
      <c r="K451" s="2020"/>
      <c r="L451" s="2020"/>
      <c r="M451" s="2020"/>
      <c r="N451" s="2020"/>
      <c r="O451" s="2020"/>
      <c r="P451" s="2020"/>
      <c r="Q451" s="2020"/>
      <c r="R451" s="2020"/>
      <c r="S451" s="2020"/>
      <c r="T451" s="2020"/>
      <c r="U451" s="2020"/>
      <c r="V451" s="2020"/>
      <c r="W451" s="2020"/>
      <c r="X451" s="2020"/>
      <c r="Y451" s="2020"/>
      <c r="Z451" s="2020"/>
      <c r="AA451" s="2020"/>
      <c r="AB451" s="2020"/>
      <c r="AC451" s="2020"/>
      <c r="AD451" s="2020"/>
      <c r="AE451" s="2020"/>
      <c r="AF451" s="2020"/>
      <c r="AG451" s="778"/>
      <c r="AH451" s="748"/>
      <c r="AI451" s="748"/>
      <c r="AJ451" s="748"/>
      <c r="AK451" s="748"/>
      <c r="AL451" s="779"/>
      <c r="AM451" s="604"/>
      <c r="AN451" s="631"/>
    </row>
    <row r="452" spans="1:48" s="584" customFormat="1" ht="12.75" customHeight="1">
      <c r="A452" s="570"/>
      <c r="B452" s="14"/>
      <c r="C452" s="765"/>
      <c r="D452" s="14"/>
      <c r="E452" s="725"/>
      <c r="F452" s="2021"/>
      <c r="G452" s="2021"/>
      <c r="H452" s="2021"/>
      <c r="I452" s="2021"/>
      <c r="J452" s="2021"/>
      <c r="K452" s="2021"/>
      <c r="L452" s="2021"/>
      <c r="M452" s="2021"/>
      <c r="N452" s="2021"/>
      <c r="O452" s="2021"/>
      <c r="P452" s="2021"/>
      <c r="Q452" s="2021"/>
      <c r="R452" s="2021"/>
      <c r="S452" s="2021"/>
      <c r="T452" s="2021"/>
      <c r="U452" s="2021"/>
      <c r="V452" s="2021"/>
      <c r="W452" s="2021"/>
      <c r="X452" s="2021"/>
      <c r="Y452" s="2021"/>
      <c r="Z452" s="2021"/>
      <c r="AA452" s="2021"/>
      <c r="AB452" s="2021"/>
      <c r="AC452" s="2021"/>
      <c r="AD452" s="2021"/>
      <c r="AE452" s="2021"/>
      <c r="AF452" s="2021"/>
      <c r="AL452" s="766"/>
      <c r="AM452" s="604"/>
      <c r="AN452" s="631"/>
    </row>
    <row r="453" spans="1:48" s="584" customFormat="1" ht="12.75" customHeight="1">
      <c r="A453" s="570"/>
      <c r="B453" s="14"/>
      <c r="C453" s="773"/>
      <c r="F453" s="2021"/>
      <c r="G453" s="2021"/>
      <c r="H453" s="2021"/>
      <c r="I453" s="2021"/>
      <c r="J453" s="2021"/>
      <c r="K453" s="2021"/>
      <c r="L453" s="2021"/>
      <c r="M453" s="2021"/>
      <c r="N453" s="2021"/>
      <c r="O453" s="2021"/>
      <c r="P453" s="2021"/>
      <c r="Q453" s="2021"/>
      <c r="R453" s="2021"/>
      <c r="S453" s="2021"/>
      <c r="T453" s="2021"/>
      <c r="U453" s="2021"/>
      <c r="V453" s="2021"/>
      <c r="W453" s="2021"/>
      <c r="X453" s="2021"/>
      <c r="Y453" s="2021"/>
      <c r="Z453" s="2021"/>
      <c r="AA453" s="2021"/>
      <c r="AB453" s="2021"/>
      <c r="AC453" s="2021"/>
      <c r="AD453" s="2021"/>
      <c r="AE453" s="2021"/>
      <c r="AF453" s="2021"/>
      <c r="AL453" s="766"/>
      <c r="AM453" s="604"/>
      <c r="AN453" s="631"/>
    </row>
    <row r="454" spans="1:48" s="584" customFormat="1" ht="12.75" customHeight="1">
      <c r="A454" s="570"/>
      <c r="B454" s="14"/>
      <c r="C454" s="773"/>
      <c r="F454" s="2021"/>
      <c r="G454" s="2021"/>
      <c r="H454" s="2021"/>
      <c r="I454" s="2021"/>
      <c r="J454" s="2021"/>
      <c r="K454" s="2021"/>
      <c r="L454" s="2021"/>
      <c r="M454" s="2021"/>
      <c r="N454" s="2021"/>
      <c r="O454" s="2021"/>
      <c r="P454" s="2021"/>
      <c r="Q454" s="2021"/>
      <c r="R454" s="2021"/>
      <c r="S454" s="2021"/>
      <c r="T454" s="2021"/>
      <c r="U454" s="2021"/>
      <c r="V454" s="2021"/>
      <c r="W454" s="2021"/>
      <c r="X454" s="2021"/>
      <c r="Y454" s="2021"/>
      <c r="Z454" s="2021"/>
      <c r="AA454" s="2021"/>
      <c r="AB454" s="2021"/>
      <c r="AC454" s="2021"/>
      <c r="AD454" s="2021"/>
      <c r="AE454" s="2021"/>
      <c r="AF454" s="2021"/>
      <c r="AL454" s="766"/>
      <c r="AM454" s="604"/>
      <c r="AN454" s="631"/>
    </row>
    <row r="455" spans="1:48" s="584" customFormat="1" ht="12.75" customHeight="1">
      <c r="A455" s="570"/>
      <c r="B455" s="14"/>
      <c r="C455" s="2017" t="s">
        <v>599</v>
      </c>
      <c r="D455" s="1974"/>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8" t="s">
        <v>1572</v>
      </c>
      <c r="AG455" s="2018"/>
      <c r="AH455" s="2018"/>
      <c r="AI455" s="2018"/>
      <c r="AJ455" s="2018"/>
      <c r="AK455" s="2018"/>
      <c r="AL455" s="201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77">
        <f>IF(Application!D214="N/A",AS347,AS349)</f>
        <v>10</v>
      </c>
      <c r="AL458" s="1978"/>
      <c r="AM458" s="197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18" t="s">
        <v>1621</v>
      </c>
      <c r="AF461" s="2018"/>
      <c r="AG461" s="2018"/>
      <c r="AH461" s="2018"/>
      <c r="AI461" s="2018"/>
      <c r="AJ461" s="2018"/>
      <c r="AK461" s="201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43" t="s">
        <v>599</v>
      </c>
      <c r="D467" s="2044"/>
      <c r="E467" s="795" t="s">
        <v>515</v>
      </c>
      <c r="F467" s="2045" t="s">
        <v>1627</v>
      </c>
      <c r="G467" s="2045"/>
      <c r="H467" s="2045"/>
      <c r="I467" s="2045"/>
      <c r="J467" s="2045"/>
      <c r="K467" s="2045"/>
      <c r="L467" s="2045"/>
      <c r="M467" s="2045"/>
      <c r="N467" s="2045"/>
      <c r="O467" s="2045"/>
      <c r="P467" s="2045"/>
      <c r="Q467" s="2045"/>
      <c r="R467" s="2045"/>
      <c r="S467" s="2045"/>
      <c r="T467" s="2045"/>
      <c r="U467" s="2045"/>
      <c r="V467" s="2045"/>
      <c r="W467" s="2045"/>
      <c r="X467" s="2045"/>
      <c r="Y467" s="2045"/>
      <c r="Z467" s="2045"/>
      <c r="AA467" s="2045"/>
      <c r="AB467" s="2045"/>
      <c r="AC467" s="2045"/>
      <c r="AD467" s="2045"/>
      <c r="AE467" s="204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46"/>
      <c r="G468" s="2046"/>
      <c r="H468" s="2046"/>
      <c r="I468" s="2046"/>
      <c r="J468" s="2046"/>
      <c r="K468" s="2046"/>
      <c r="L468" s="2046"/>
      <c r="M468" s="2046"/>
      <c r="N468" s="2046"/>
      <c r="O468" s="2046"/>
      <c r="P468" s="2046"/>
      <c r="Q468" s="2046"/>
      <c r="R468" s="2046"/>
      <c r="S468" s="2046"/>
      <c r="T468" s="2046"/>
      <c r="U468" s="2046"/>
      <c r="V468" s="2046"/>
      <c r="W468" s="2046"/>
      <c r="X468" s="2046"/>
      <c r="Y468" s="2046"/>
      <c r="Z468" s="2046"/>
      <c r="AA468" s="2046"/>
      <c r="AB468" s="2046"/>
      <c r="AC468" s="2046"/>
      <c r="AD468" s="2046"/>
      <c r="AE468" s="204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47" t="s">
        <v>599</v>
      </c>
      <c r="G469" s="2047"/>
      <c r="H469" s="2047"/>
      <c r="I469" s="2047"/>
      <c r="J469" s="2047"/>
      <c r="K469" s="2047"/>
      <c r="L469" s="2047"/>
      <c r="M469" s="2047"/>
      <c r="N469" s="2047"/>
      <c r="O469" s="2047"/>
      <c r="P469" s="2047"/>
      <c r="Q469" s="2047"/>
      <c r="R469" s="2047"/>
      <c r="S469" s="2047"/>
      <c r="T469" s="2047"/>
      <c r="U469" s="2047"/>
      <c r="V469" s="2047"/>
      <c r="W469" s="2047"/>
      <c r="X469" s="2047"/>
      <c r="Y469" s="2047"/>
      <c r="Z469" s="2047"/>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8" t="s">
        <v>553</v>
      </c>
      <c r="D471" s="2049"/>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55" t="s">
        <v>599</v>
      </c>
      <c r="W474" s="2055"/>
      <c r="X474" s="2055"/>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55" t="s">
        <v>599</v>
      </c>
      <c r="W476" s="2055"/>
      <c r="X476" s="2055"/>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55" t="s">
        <v>599</v>
      </c>
      <c r="W481" s="2055"/>
      <c r="X481" s="2055"/>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4"/>
      <c r="E484" s="2054"/>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55" t="s">
        <v>599</v>
      </c>
      <c r="W485" s="2055"/>
      <c r="X485" s="2055"/>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55" t="s">
        <v>599</v>
      </c>
      <c r="W487" s="2055"/>
      <c r="X487" s="2055"/>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3" t="s">
        <v>599</v>
      </c>
      <c r="D490" s="2044"/>
      <c r="E490" s="795" t="s">
        <v>515</v>
      </c>
      <c r="F490" s="2045" t="s">
        <v>1627</v>
      </c>
      <c r="G490" s="2045"/>
      <c r="H490" s="2045"/>
      <c r="I490" s="2045"/>
      <c r="J490" s="2045"/>
      <c r="K490" s="2045"/>
      <c r="L490" s="2045"/>
      <c r="M490" s="2045"/>
      <c r="N490" s="2045"/>
      <c r="O490" s="2045"/>
      <c r="P490" s="2045"/>
      <c r="Q490" s="2045"/>
      <c r="R490" s="2045"/>
      <c r="S490" s="2045"/>
      <c r="T490" s="2045"/>
      <c r="U490" s="2045"/>
      <c r="V490" s="2045"/>
      <c r="W490" s="2045"/>
      <c r="X490" s="2045"/>
      <c r="Y490" s="2045"/>
      <c r="Z490" s="2045"/>
      <c r="AA490" s="2045"/>
      <c r="AB490" s="2045"/>
      <c r="AC490" s="2045"/>
      <c r="AD490" s="2045"/>
      <c r="AE490" s="204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6"/>
      <c r="G491" s="2046"/>
      <c r="H491" s="2046"/>
      <c r="I491" s="2046"/>
      <c r="J491" s="2046"/>
      <c r="K491" s="2046"/>
      <c r="L491" s="2046"/>
      <c r="M491" s="2046"/>
      <c r="N491" s="2046"/>
      <c r="O491" s="2046"/>
      <c r="P491" s="2046"/>
      <c r="Q491" s="2046"/>
      <c r="R491" s="2046"/>
      <c r="S491" s="2046"/>
      <c r="T491" s="2046"/>
      <c r="U491" s="2046"/>
      <c r="V491" s="2046"/>
      <c r="W491" s="2046"/>
      <c r="X491" s="2046"/>
      <c r="Y491" s="2046"/>
      <c r="Z491" s="2046"/>
      <c r="AA491" s="2046"/>
      <c r="AB491" s="2046"/>
      <c r="AC491" s="2046"/>
      <c r="AD491" s="2046"/>
      <c r="AE491" s="204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50" t="s">
        <v>599</v>
      </c>
      <c r="G492" s="2050"/>
      <c r="H492" s="2050"/>
      <c r="I492" s="2050"/>
      <c r="J492" s="2050"/>
      <c r="K492" s="2050"/>
      <c r="L492" s="2050"/>
      <c r="M492" s="2050"/>
      <c r="N492" s="2050"/>
      <c r="O492" s="2050"/>
      <c r="P492" s="2050"/>
      <c r="Q492" s="2050"/>
      <c r="R492" s="2050"/>
      <c r="S492" s="2050"/>
      <c r="T492" s="2050"/>
      <c r="U492" s="2050"/>
      <c r="V492" s="2050"/>
      <c r="W492" s="2050"/>
      <c r="X492" s="2050"/>
      <c r="Y492" s="2050"/>
      <c r="Z492" s="2050"/>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3" t="s">
        <v>599</v>
      </c>
      <c r="D494" s="2044"/>
      <c r="E494" s="795" t="s">
        <v>766</v>
      </c>
      <c r="F494" s="2051" t="s">
        <v>1649</v>
      </c>
      <c r="G494" s="2051"/>
      <c r="H494" s="2051"/>
      <c r="I494" s="2051"/>
      <c r="J494" s="2051"/>
      <c r="K494" s="2051"/>
      <c r="L494" s="2051"/>
      <c r="M494" s="2051"/>
      <c r="N494" s="2051"/>
      <c r="O494" s="2051"/>
      <c r="P494" s="2051"/>
      <c r="Q494" s="2051"/>
      <c r="R494" s="2051"/>
      <c r="S494" s="2051"/>
      <c r="T494" s="2051"/>
      <c r="U494" s="2051"/>
      <c r="V494" s="2051"/>
      <c r="W494" s="2051"/>
      <c r="X494" s="2051"/>
      <c r="Y494" s="2051"/>
      <c r="Z494" s="2051"/>
      <c r="AA494" s="2051"/>
      <c r="AB494" s="2051"/>
      <c r="AC494" s="2051"/>
      <c r="AD494" s="2051"/>
      <c r="AE494" s="205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52"/>
      <c r="G495" s="2052"/>
      <c r="H495" s="2052"/>
      <c r="I495" s="2052"/>
      <c r="J495" s="2052"/>
      <c r="K495" s="2052"/>
      <c r="L495" s="2052"/>
      <c r="M495" s="2052"/>
      <c r="N495" s="2052"/>
      <c r="O495" s="2052"/>
      <c r="P495" s="2052"/>
      <c r="Q495" s="2052"/>
      <c r="R495" s="2052"/>
      <c r="S495" s="2052"/>
      <c r="T495" s="2052"/>
      <c r="U495" s="2052"/>
      <c r="V495" s="2052"/>
      <c r="W495" s="2052"/>
      <c r="X495" s="2052"/>
      <c r="Y495" s="2052"/>
      <c r="Z495" s="2052"/>
      <c r="AA495" s="2052"/>
      <c r="AB495" s="2052"/>
      <c r="AC495" s="2052"/>
      <c r="AD495" s="2052"/>
      <c r="AE495" s="205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3" t="s">
        <v>599</v>
      </c>
      <c r="G497" s="2053"/>
      <c r="H497" s="205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3" t="s">
        <v>599</v>
      </c>
      <c r="D499" s="2044"/>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6"/>
      <c r="D501" s="2054"/>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7" t="s">
        <v>599</v>
      </c>
      <c r="H502" s="2067"/>
      <c r="I502" s="2067"/>
      <c r="J502" s="2067"/>
      <c r="K502" s="2067"/>
      <c r="L502" s="2067"/>
      <c r="M502" s="2067"/>
      <c r="N502" s="2067"/>
      <c r="O502" s="2067"/>
      <c r="P502" s="2067"/>
      <c r="Q502" s="2067"/>
      <c r="R502" s="2067"/>
      <c r="S502" s="2067"/>
      <c r="T502" s="2067"/>
      <c r="U502" s="2067"/>
      <c r="V502" s="2067"/>
      <c r="W502" s="2067"/>
      <c r="X502" s="2067"/>
      <c r="Y502" s="2067"/>
      <c r="Z502" s="2067"/>
      <c r="AA502" s="2067"/>
      <c r="AB502" s="2067"/>
      <c r="AC502" s="2067"/>
      <c r="AD502" s="2067"/>
      <c r="AE502" s="2067"/>
      <c r="AF502" s="206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8" t="s">
        <v>599</v>
      </c>
      <c r="D504" s="2069"/>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8" t="s">
        <v>599</v>
      </c>
      <c r="D508" s="2069"/>
      <c r="F508" s="829" t="s">
        <v>1657</v>
      </c>
      <c r="G508" s="2021" t="s">
        <v>1658</v>
      </c>
      <c r="H508" s="2021"/>
      <c r="I508" s="2021"/>
      <c r="J508" s="2021"/>
      <c r="K508" s="2021"/>
      <c r="L508" s="2021"/>
      <c r="M508" s="2021"/>
      <c r="N508" s="2021"/>
      <c r="O508" s="2021"/>
      <c r="P508" s="2021"/>
      <c r="Q508" s="2021"/>
      <c r="R508" s="2021"/>
      <c r="S508" s="2021"/>
      <c r="T508" s="2021"/>
      <c r="U508" s="2021"/>
      <c r="V508" s="2021"/>
      <c r="W508" s="2021"/>
      <c r="X508" s="2021"/>
      <c r="Y508" s="2021"/>
      <c r="Z508" s="2021"/>
      <c r="AA508" s="2021"/>
      <c r="AB508" s="2021"/>
      <c r="AC508" s="2021"/>
      <c r="AD508" s="2021"/>
      <c r="AE508" s="2021"/>
      <c r="AF508" s="2021"/>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40"/>
      <c r="H509" s="2040"/>
      <c r="I509" s="2040"/>
      <c r="J509" s="2040"/>
      <c r="K509" s="2040"/>
      <c r="L509" s="2040"/>
      <c r="M509" s="2040"/>
      <c r="N509" s="2040"/>
      <c r="O509" s="2040"/>
      <c r="P509" s="2040"/>
      <c r="Q509" s="2040"/>
      <c r="R509" s="2040"/>
      <c r="S509" s="2040"/>
      <c r="T509" s="2040"/>
      <c r="U509" s="2040"/>
      <c r="V509" s="2040"/>
      <c r="W509" s="2040"/>
      <c r="X509" s="2040"/>
      <c r="Y509" s="2040"/>
      <c r="Z509" s="2040"/>
      <c r="AA509" s="2040"/>
      <c r="AB509" s="2040"/>
      <c r="AC509" s="2040"/>
      <c r="AD509" s="2040"/>
      <c r="AE509" s="2040"/>
      <c r="AF509" s="204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6" t="s">
        <v>599</v>
      </c>
      <c r="D512" s="205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8" t="s">
        <v>599</v>
      </c>
      <c r="G513" s="2058"/>
      <c r="H513" s="2058"/>
      <c r="I513" s="2058"/>
      <c r="J513" s="2058"/>
      <c r="K513" s="2058"/>
      <c r="L513" s="2058"/>
      <c r="M513" s="2058"/>
      <c r="N513" s="2058"/>
      <c r="O513" s="2058"/>
      <c r="P513" s="2058"/>
      <c r="Q513" s="2058"/>
      <c r="R513" s="2058"/>
      <c r="S513" s="2058"/>
      <c r="T513" s="2058"/>
      <c r="U513" s="2058"/>
      <c r="V513" s="2058"/>
      <c r="W513" s="2058"/>
      <c r="X513" s="2058"/>
      <c r="Y513" s="2058"/>
      <c r="Z513" s="2058"/>
      <c r="AA513" s="2058"/>
      <c r="AB513" s="2058"/>
      <c r="AC513" s="2058"/>
      <c r="AD513" s="2058"/>
      <c r="AE513" s="2058"/>
      <c r="AF513" s="205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9"/>
      <c r="G514" s="2059"/>
      <c r="H514" s="2059"/>
      <c r="I514" s="2059"/>
      <c r="J514" s="2059"/>
      <c r="K514" s="2059"/>
      <c r="L514" s="2059"/>
      <c r="M514" s="2059"/>
      <c r="N514" s="2059"/>
      <c r="O514" s="2059"/>
      <c r="P514" s="2059"/>
      <c r="Q514" s="2059"/>
      <c r="R514" s="2059"/>
      <c r="S514" s="2059"/>
      <c r="T514" s="2059"/>
      <c r="U514" s="2059"/>
      <c r="V514" s="2059"/>
      <c r="W514" s="2059"/>
      <c r="X514" s="2059"/>
      <c r="Y514" s="2059"/>
      <c r="Z514" s="2059"/>
      <c r="AA514" s="2059"/>
      <c r="AB514" s="2059"/>
      <c r="AC514" s="2059"/>
      <c r="AD514" s="2059"/>
      <c r="AE514" s="2059"/>
      <c r="AF514" s="205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77">
        <f>SUM(AG468:AG513)</f>
        <v>0</v>
      </c>
      <c r="AL524" s="1978"/>
      <c r="AM524" s="197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1" t="s">
        <v>1670</v>
      </c>
      <c r="AF527" s="1911"/>
      <c r="AG527" s="1911"/>
      <c r="AH527" s="1911"/>
      <c r="AI527" s="1911"/>
      <c r="AJ527" s="1911"/>
      <c r="AK527" s="191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4" t="s">
        <v>553</v>
      </c>
      <c r="D530" s="1974"/>
      <c r="E530" s="585"/>
      <c r="F530" s="2060" t="s">
        <v>1671</v>
      </c>
      <c r="G530" s="2061"/>
      <c r="H530" s="2061"/>
      <c r="I530" s="2061"/>
      <c r="J530" s="2061"/>
      <c r="K530" s="2061"/>
      <c r="L530" s="2061"/>
      <c r="M530" s="2061"/>
      <c r="N530" s="2061"/>
      <c r="O530" s="2061"/>
      <c r="P530" s="2061"/>
      <c r="Q530" s="2061"/>
      <c r="R530" s="2061"/>
      <c r="S530" s="2061"/>
      <c r="T530" s="2061"/>
      <c r="U530" s="2061"/>
      <c r="V530" s="2061"/>
      <c r="W530" s="2061"/>
      <c r="X530" s="2061"/>
      <c r="Y530" s="2061"/>
      <c r="Z530" s="2061"/>
      <c r="AA530" s="2061"/>
      <c r="AB530" s="2061"/>
      <c r="AC530" s="2061"/>
      <c r="AD530" s="2061"/>
      <c r="AE530" s="2061"/>
      <c r="AF530" s="2061"/>
      <c r="AG530" s="2061"/>
      <c r="AH530" s="2061"/>
      <c r="AI530" s="2061"/>
      <c r="AJ530" s="2061"/>
      <c r="AK530" s="2061"/>
      <c r="AL530" s="2062"/>
      <c r="AM530" s="629"/>
      <c r="AN530" s="631"/>
    </row>
    <row r="531" spans="1:49" s="584" customFormat="1" ht="12.75" customHeight="1">
      <c r="A531" s="573"/>
      <c r="B531" s="573"/>
      <c r="C531" s="585"/>
      <c r="D531" s="585"/>
      <c r="E531" s="585"/>
      <c r="F531" s="2063"/>
      <c r="G531" s="2064"/>
      <c r="H531" s="2064"/>
      <c r="I531" s="2064"/>
      <c r="J531" s="2064"/>
      <c r="K531" s="2064"/>
      <c r="L531" s="2064"/>
      <c r="M531" s="2064"/>
      <c r="N531" s="2064"/>
      <c r="O531" s="2064"/>
      <c r="P531" s="2064"/>
      <c r="Q531" s="2064"/>
      <c r="R531" s="2064"/>
      <c r="S531" s="2064"/>
      <c r="T531" s="2064"/>
      <c r="U531" s="2064"/>
      <c r="V531" s="2064"/>
      <c r="W531" s="2064"/>
      <c r="X531" s="2064"/>
      <c r="Y531" s="2064"/>
      <c r="Z531" s="2064"/>
      <c r="AA531" s="2064"/>
      <c r="AB531" s="2064"/>
      <c r="AC531" s="2064"/>
      <c r="AD531" s="2064"/>
      <c r="AE531" s="2064"/>
      <c r="AF531" s="2064"/>
      <c r="AG531" s="2064"/>
      <c r="AH531" s="2064"/>
      <c r="AI531" s="2064"/>
      <c r="AJ531" s="2064"/>
      <c r="AK531" s="2064"/>
      <c r="AL531" s="2065"/>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4" t="s">
        <v>599</v>
      </c>
      <c r="D533" s="1974"/>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6" t="s">
        <v>1673</v>
      </c>
      <c r="G534" s="1997"/>
      <c r="H534" s="1997"/>
      <c r="I534" s="1997"/>
      <c r="J534" s="1997"/>
      <c r="K534" s="1997"/>
      <c r="L534" s="1997"/>
      <c r="M534" s="1997"/>
      <c r="N534" s="1997"/>
      <c r="O534" s="1997"/>
      <c r="P534" s="1997"/>
      <c r="Q534" s="1997"/>
      <c r="R534" s="1997"/>
      <c r="S534" s="1997"/>
      <c r="T534" s="1997"/>
      <c r="U534" s="1997"/>
      <c r="V534" s="1997"/>
      <c r="W534" s="1997"/>
      <c r="X534" s="1997"/>
      <c r="Y534" s="1997"/>
      <c r="Z534" s="1997"/>
      <c r="AA534" s="1997"/>
      <c r="AB534" s="1997"/>
      <c r="AC534" s="1997"/>
      <c r="AD534" s="1997"/>
      <c r="AE534" s="1997"/>
      <c r="AF534" s="1997"/>
      <c r="AG534" s="1997"/>
      <c r="AH534" s="1997"/>
      <c r="AI534" s="1997"/>
      <c r="AJ534" s="1997"/>
      <c r="AK534" s="1997"/>
      <c r="AL534" s="1998"/>
      <c r="AM534" s="629"/>
      <c r="AN534" s="631"/>
      <c r="AS534" s="904"/>
      <c r="AT534" s="904"/>
      <c r="AU534" s="904"/>
      <c r="AV534" s="904"/>
      <c r="AW534" s="904"/>
    </row>
    <row r="535" spans="1:49" s="584" customFormat="1" ht="12.75" customHeight="1">
      <c r="B535" s="840"/>
      <c r="C535" s="840"/>
      <c r="D535" s="840"/>
      <c r="E535" s="840"/>
      <c r="F535" s="1996"/>
      <c r="G535" s="1997"/>
      <c r="H535" s="1997"/>
      <c r="I535" s="1997"/>
      <c r="J535" s="1997"/>
      <c r="K535" s="1997"/>
      <c r="L535" s="1997"/>
      <c r="M535" s="1997"/>
      <c r="N535" s="1997"/>
      <c r="O535" s="1997"/>
      <c r="P535" s="1997"/>
      <c r="Q535" s="1997"/>
      <c r="R535" s="1997"/>
      <c r="S535" s="1997"/>
      <c r="T535" s="1997"/>
      <c r="U535" s="1997"/>
      <c r="V535" s="1997"/>
      <c r="W535" s="1997"/>
      <c r="X535" s="1997"/>
      <c r="Y535" s="1997"/>
      <c r="Z535" s="1997"/>
      <c r="AA535" s="1997"/>
      <c r="AB535" s="1997"/>
      <c r="AC535" s="1997"/>
      <c r="AD535" s="1997"/>
      <c r="AE535" s="1997"/>
      <c r="AF535" s="1997"/>
      <c r="AG535" s="1997"/>
      <c r="AH535" s="1997"/>
      <c r="AI535" s="1997"/>
      <c r="AJ535" s="1997"/>
      <c r="AK535" s="1997"/>
      <c r="AL535" s="199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6" t="s">
        <v>1674</v>
      </c>
      <c r="G537" s="1997"/>
      <c r="H537" s="1997"/>
      <c r="I537" s="1997"/>
      <c r="J537" s="1997"/>
      <c r="K537" s="1997"/>
      <c r="L537" s="1997"/>
      <c r="M537" s="1997"/>
      <c r="N537" s="1997"/>
      <c r="O537" s="1997"/>
      <c r="P537" s="1997"/>
      <c r="Q537" s="1997"/>
      <c r="R537" s="1997"/>
      <c r="S537" s="1997"/>
      <c r="T537" s="1997"/>
      <c r="U537" s="1997"/>
      <c r="V537" s="1997"/>
      <c r="W537" s="1997"/>
      <c r="X537" s="1997"/>
      <c r="Y537" s="1997"/>
      <c r="Z537" s="1997"/>
      <c r="AA537" s="1997"/>
      <c r="AB537" s="1997"/>
      <c r="AC537" s="1997"/>
      <c r="AD537" s="1997"/>
      <c r="AE537" s="1997"/>
      <c r="AF537" s="1997"/>
      <c r="AG537" s="1997"/>
      <c r="AH537" s="1997"/>
      <c r="AI537" s="1997"/>
      <c r="AJ537" s="1997"/>
      <c r="AK537" s="1997"/>
      <c r="AL537" s="847"/>
      <c r="AM537" s="629"/>
      <c r="AN537" s="631"/>
    </row>
    <row r="538" spans="1:49" s="584" customFormat="1" ht="12.75" customHeight="1">
      <c r="B538" s="840"/>
      <c r="C538" s="840"/>
      <c r="D538" s="840"/>
      <c r="E538" s="840"/>
      <c r="F538" s="1999"/>
      <c r="G538" s="2000"/>
      <c r="H538" s="2000"/>
      <c r="I538" s="2000"/>
      <c r="J538" s="2000"/>
      <c r="K538" s="2000"/>
      <c r="L538" s="2000"/>
      <c r="M538" s="2000"/>
      <c r="N538" s="2000"/>
      <c r="O538" s="2000"/>
      <c r="P538" s="2000"/>
      <c r="Q538" s="2000"/>
      <c r="R538" s="2000"/>
      <c r="S538" s="2000"/>
      <c r="T538" s="2000"/>
      <c r="U538" s="2000"/>
      <c r="V538" s="2000"/>
      <c r="W538" s="2000"/>
      <c r="X538" s="2000"/>
      <c r="Y538" s="2000"/>
      <c r="Z538" s="2000"/>
      <c r="AA538" s="2000"/>
      <c r="AB538" s="2000"/>
      <c r="AC538" s="2000"/>
      <c r="AD538" s="2000"/>
      <c r="AE538" s="2000"/>
      <c r="AF538" s="2000"/>
      <c r="AG538" s="2000"/>
      <c r="AH538" s="2000"/>
      <c r="AI538" s="2000"/>
      <c r="AJ538" s="2000"/>
      <c r="AK538" s="200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4">
        <f>Application!AJ991</f>
        <v>58585324</v>
      </c>
      <c r="AQ539" s="2124"/>
      <c r="AR539" s="2124"/>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80">
        <f>'Sources and Uses Budget'!S107+'Sources and Uses Budget'!T107</f>
        <v>71083031</v>
      </c>
      <c r="AG540" s="1980"/>
      <c r="AH540" s="1980"/>
      <c r="AI540" s="1980"/>
      <c r="AJ540" s="1980"/>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9">
        <f>IFERROR(AP548,0)</f>
        <v>120342354.28</v>
      </c>
      <c r="AG541" s="2129"/>
      <c r="AH541" s="2129"/>
      <c r="AI541" s="2129"/>
      <c r="AJ541" s="2129"/>
      <c r="AK541" s="629"/>
      <c r="AL541" s="629"/>
      <c r="AM541" s="629"/>
      <c r="AN541" s="631"/>
      <c r="AP541" s="2124">
        <f>Application!AJ1044</f>
        <v>19919010.16</v>
      </c>
      <c r="AQ541" s="2124"/>
      <c r="AR541" s="2124"/>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30">
        <f>IFERROR(ROUNDDOWN(IF(C533="YES",((1-(AF540/AF541))*2),(1-(AF540/AF541))),2),0)</f>
        <v>0.4</v>
      </c>
      <c r="AG542" s="2130"/>
      <c r="AH542" s="2130"/>
      <c r="AI542" s="2130"/>
      <c r="AJ542" s="2130"/>
      <c r="AK542" s="629"/>
      <c r="AL542" s="629"/>
      <c r="AM542" s="629"/>
      <c r="AN542" s="631"/>
      <c r="AP542" s="2127">
        <f>Application!AJ1048</f>
        <v>22262423.120000001</v>
      </c>
      <c r="AQ542" s="2127"/>
      <c r="AR542" s="2127"/>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3">
        <f>IF(((AP541+AP542)/AP539)&gt;0.8,0.8,((AP541+AP542)/AP539))</f>
        <v>0.72</v>
      </c>
      <c r="AQ543" s="2123"/>
      <c r="AR543" s="2123"/>
      <c r="AS543" s="584" t="s">
        <v>2532</v>
      </c>
    </row>
    <row r="544" spans="1:49" s="584" customFormat="1" ht="12.75" customHeight="1">
      <c r="A544" s="658"/>
      <c r="B544" s="2076" t="s">
        <v>2344</v>
      </c>
      <c r="C544" s="2077"/>
      <c r="D544" s="2077"/>
      <c r="E544" s="2077"/>
      <c r="F544" s="2077"/>
      <c r="G544" s="2077"/>
      <c r="H544" s="2077"/>
      <c r="I544" s="2077"/>
      <c r="J544" s="2077"/>
      <c r="K544" s="2077"/>
      <c r="L544" s="2077"/>
      <c r="M544" s="2077"/>
      <c r="N544" s="2077"/>
      <c r="O544" s="2077"/>
      <c r="P544" s="2077"/>
      <c r="Q544" s="2077"/>
      <c r="R544" s="2077"/>
      <c r="S544" s="2077"/>
      <c r="T544" s="2077"/>
      <c r="U544" s="2077"/>
      <c r="V544" s="2077"/>
      <c r="W544" s="2077"/>
      <c r="X544" s="2077"/>
      <c r="Y544" s="2077"/>
      <c r="Z544" s="2077"/>
      <c r="AA544" s="2077"/>
      <c r="AB544" s="2077"/>
      <c r="AC544" s="2077"/>
      <c r="AD544" s="2077"/>
      <c r="AE544" s="2077"/>
      <c r="AF544" s="2077"/>
      <c r="AG544" s="2077"/>
      <c r="AH544" s="2077"/>
      <c r="AI544" s="2077"/>
      <c r="AJ544" s="2078"/>
      <c r="AK544" s="629"/>
      <c r="AL544" s="629"/>
      <c r="AM544" s="629"/>
      <c r="AN544" s="631"/>
    </row>
    <row r="545" spans="1:45" s="584" customFormat="1" ht="12.75" customHeight="1">
      <c r="A545" s="658"/>
      <c r="B545" s="2079"/>
      <c r="C545" s="2080"/>
      <c r="D545" s="2080"/>
      <c r="E545" s="2080"/>
      <c r="F545" s="2080"/>
      <c r="G545" s="2080"/>
      <c r="H545" s="2080"/>
      <c r="I545" s="2080"/>
      <c r="J545" s="2080"/>
      <c r="K545" s="2080"/>
      <c r="L545" s="2080"/>
      <c r="M545" s="2080"/>
      <c r="N545" s="2080"/>
      <c r="O545" s="2080"/>
      <c r="P545" s="2080"/>
      <c r="Q545" s="2080"/>
      <c r="R545" s="2080"/>
      <c r="S545" s="2080"/>
      <c r="T545" s="2080"/>
      <c r="U545" s="2080"/>
      <c r="V545" s="2080"/>
      <c r="W545" s="2080"/>
      <c r="X545" s="2080"/>
      <c r="Y545" s="2080"/>
      <c r="Z545" s="2080"/>
      <c r="AA545" s="2080"/>
      <c r="AB545" s="2080"/>
      <c r="AC545" s="2080"/>
      <c r="AD545" s="2080"/>
      <c r="AE545" s="2080"/>
      <c r="AF545" s="2080"/>
      <c r="AG545" s="2080"/>
      <c r="AH545" s="2080"/>
      <c r="AI545" s="2080"/>
      <c r="AJ545" s="2081"/>
      <c r="AK545" s="629"/>
      <c r="AL545" s="629"/>
      <c r="AM545" s="629"/>
      <c r="AN545" s="631"/>
      <c r="AP545" s="2124">
        <f>AP546-AP541-AP542</f>
        <v>78160921</v>
      </c>
      <c r="AQ545" s="2032"/>
      <c r="AR545" s="2032"/>
      <c r="AS545" s="584" t="s">
        <v>2534</v>
      </c>
    </row>
    <row r="546" spans="1:45" s="584" customFormat="1" ht="12.75" customHeight="1">
      <c r="A546" s="658"/>
      <c r="B546" s="2082"/>
      <c r="C546" s="2083"/>
      <c r="D546" s="2083"/>
      <c r="E546" s="2083"/>
      <c r="F546" s="2083"/>
      <c r="G546" s="2083"/>
      <c r="H546" s="2083"/>
      <c r="I546" s="2083"/>
      <c r="J546" s="2083"/>
      <c r="K546" s="2083"/>
      <c r="L546" s="2083"/>
      <c r="M546" s="2083"/>
      <c r="N546" s="2083"/>
      <c r="O546" s="2083"/>
      <c r="P546" s="2083"/>
      <c r="Q546" s="2083"/>
      <c r="R546" s="2083"/>
      <c r="S546" s="2083"/>
      <c r="T546" s="2083"/>
      <c r="U546" s="2083"/>
      <c r="V546" s="2083"/>
      <c r="W546" s="2083"/>
      <c r="X546" s="2083"/>
      <c r="Y546" s="2083"/>
      <c r="Z546" s="2083"/>
      <c r="AA546" s="2083"/>
      <c r="AB546" s="2083"/>
      <c r="AC546" s="2083"/>
      <c r="AD546" s="2083"/>
      <c r="AE546" s="2083"/>
      <c r="AF546" s="2083"/>
      <c r="AG546" s="2083"/>
      <c r="AH546" s="2083"/>
      <c r="AI546" s="2083"/>
      <c r="AJ546" s="2084"/>
      <c r="AK546" s="629"/>
      <c r="AL546" s="629"/>
      <c r="AM546" s="629"/>
      <c r="AN546" s="631"/>
      <c r="AP546" s="2124">
        <f>Application!AJ1052</f>
        <v>120342354.28</v>
      </c>
      <c r="AQ546" s="2124"/>
      <c r="AR546" s="2124"/>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85">
        <f>IFERROR(IF(AND(C530="N/A",C533="N/A"),0,IF(AF542=0,0,IF((AF542*100)&gt;12,12,(AF542*100)))),0)</f>
        <v>12</v>
      </c>
      <c r="AL548" s="2085"/>
      <c r="AM548" s="2086"/>
      <c r="AN548" s="631"/>
      <c r="AP548" s="2140">
        <f>AP545+(AP539*AP543)</f>
        <v>120342354.28</v>
      </c>
      <c r="AQ548" s="2141"/>
      <c r="AR548" s="214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1" t="s">
        <v>1423</v>
      </c>
      <c r="AF551" s="1911"/>
      <c r="AG551" s="1911"/>
      <c r="AH551" s="1911"/>
      <c r="AI551" s="1911"/>
      <c r="AJ551" s="1911"/>
      <c r="AK551" s="191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7" t="s">
        <v>2335</v>
      </c>
      <c r="C553" s="1997"/>
      <c r="D553" s="1997"/>
      <c r="E553" s="1997"/>
      <c r="F553" s="1997"/>
      <c r="G553" s="1997"/>
      <c r="H553" s="1997"/>
      <c r="I553" s="1997"/>
      <c r="J553" s="1997"/>
      <c r="K553" s="1997"/>
      <c r="L553" s="1997"/>
      <c r="M553" s="1997"/>
      <c r="N553" s="1997"/>
      <c r="O553" s="1997"/>
      <c r="P553" s="1997"/>
      <c r="Q553" s="1997"/>
      <c r="R553" s="1997"/>
      <c r="S553" s="1997"/>
      <c r="T553" s="1997"/>
      <c r="U553" s="1997"/>
      <c r="V553" s="1997"/>
      <c r="W553" s="1997"/>
      <c r="X553" s="1997"/>
      <c r="Y553" s="1997"/>
      <c r="Z553" s="1997"/>
      <c r="AA553" s="1997"/>
      <c r="AB553" s="1997"/>
      <c r="AC553" s="1997"/>
      <c r="AD553" s="1997"/>
      <c r="AE553" s="1997"/>
      <c r="AF553" s="1997"/>
      <c r="AG553" s="1997"/>
      <c r="AH553" s="1997"/>
      <c r="AI553" s="1997"/>
      <c r="AJ553" s="1997"/>
      <c r="AK553" s="676"/>
      <c r="AL553" s="607"/>
      <c r="AM553" s="637"/>
      <c r="AN553" s="631"/>
    </row>
    <row r="554" spans="1:45" s="584" customFormat="1" ht="12.75" customHeight="1">
      <c r="A554" s="637"/>
      <c r="B554" s="1997"/>
      <c r="C554" s="1997"/>
      <c r="D554" s="1997"/>
      <c r="E554" s="1997"/>
      <c r="F554" s="1997"/>
      <c r="G554" s="1997"/>
      <c r="H554" s="1997"/>
      <c r="I554" s="1997"/>
      <c r="J554" s="1997"/>
      <c r="K554" s="1997"/>
      <c r="L554" s="1997"/>
      <c r="M554" s="1997"/>
      <c r="N554" s="1997"/>
      <c r="O554" s="1997"/>
      <c r="P554" s="1997"/>
      <c r="Q554" s="1997"/>
      <c r="R554" s="1997"/>
      <c r="S554" s="1997"/>
      <c r="T554" s="1997"/>
      <c r="U554" s="1997"/>
      <c r="V554" s="1997"/>
      <c r="W554" s="1997"/>
      <c r="X554" s="1997"/>
      <c r="Y554" s="1997"/>
      <c r="Z554" s="1997"/>
      <c r="AA554" s="1997"/>
      <c r="AB554" s="1997"/>
      <c r="AC554" s="1997"/>
      <c r="AD554" s="1997"/>
      <c r="AE554" s="1997"/>
      <c r="AF554" s="1997"/>
      <c r="AG554" s="1997"/>
      <c r="AH554" s="1997"/>
      <c r="AI554" s="1997"/>
      <c r="AJ554" s="1997"/>
      <c r="AK554" s="676"/>
      <c r="AL554" s="607"/>
      <c r="AM554" s="637"/>
      <c r="AN554" s="631"/>
    </row>
    <row r="555" spans="1:45" s="584" customFormat="1" ht="12.75" customHeight="1">
      <c r="A555" s="637"/>
      <c r="B555" s="1997"/>
      <c r="C555" s="1997"/>
      <c r="D555" s="1997"/>
      <c r="E555" s="1997"/>
      <c r="F555" s="1997"/>
      <c r="G555" s="1997"/>
      <c r="H555" s="1997"/>
      <c r="I555" s="1997"/>
      <c r="J555" s="1997"/>
      <c r="K555" s="1997"/>
      <c r="L555" s="1997"/>
      <c r="M555" s="1997"/>
      <c r="N555" s="1997"/>
      <c r="O555" s="1997"/>
      <c r="P555" s="1997"/>
      <c r="Q555" s="1997"/>
      <c r="R555" s="1997"/>
      <c r="S555" s="1997"/>
      <c r="T555" s="1997"/>
      <c r="U555" s="1997"/>
      <c r="V555" s="1997"/>
      <c r="W555" s="1997"/>
      <c r="X555" s="1997"/>
      <c r="Y555" s="1997"/>
      <c r="Z555" s="1997"/>
      <c r="AA555" s="1997"/>
      <c r="AB555" s="1997"/>
      <c r="AC555" s="1997"/>
      <c r="AD555" s="1997"/>
      <c r="AE555" s="1997"/>
      <c r="AF555" s="1997"/>
      <c r="AG555" s="1997"/>
      <c r="AH555" s="1997"/>
      <c r="AI555" s="1997"/>
      <c r="AJ555" s="1997"/>
      <c r="AK555" s="676"/>
      <c r="AL555" s="607"/>
      <c r="AM555" s="637"/>
      <c r="AN555" s="631"/>
    </row>
    <row r="556" spans="1:45" s="584" customFormat="1" ht="12.75" customHeight="1">
      <c r="A556" s="637"/>
      <c r="B556" s="1997"/>
      <c r="C556" s="1997"/>
      <c r="D556" s="1997"/>
      <c r="E556" s="1997"/>
      <c r="F556" s="1997"/>
      <c r="G556" s="1997"/>
      <c r="H556" s="1997"/>
      <c r="I556" s="1997"/>
      <c r="J556" s="1997"/>
      <c r="K556" s="1997"/>
      <c r="L556" s="1997"/>
      <c r="M556" s="1997"/>
      <c r="N556" s="1997"/>
      <c r="O556" s="1997"/>
      <c r="P556" s="1997"/>
      <c r="Q556" s="1997"/>
      <c r="R556" s="1997"/>
      <c r="S556" s="1997"/>
      <c r="T556" s="1997"/>
      <c r="U556" s="1997"/>
      <c r="V556" s="1997"/>
      <c r="W556" s="1997"/>
      <c r="X556" s="1997"/>
      <c r="Y556" s="1997"/>
      <c r="Z556" s="1997"/>
      <c r="AA556" s="1997"/>
      <c r="AB556" s="1997"/>
      <c r="AC556" s="1997"/>
      <c r="AD556" s="1997"/>
      <c r="AE556" s="1997"/>
      <c r="AF556" s="1997"/>
      <c r="AG556" s="1997"/>
      <c r="AH556" s="1997"/>
      <c r="AI556" s="1997"/>
      <c r="AJ556" s="1997"/>
      <c r="AK556" s="676"/>
      <c r="AL556" s="607"/>
      <c r="AM556" s="637"/>
      <c r="AN556" s="631"/>
    </row>
    <row r="557" spans="1:45" s="584" customFormat="1" ht="12.75" customHeight="1">
      <c r="A557" s="637"/>
      <c r="B557" s="1997"/>
      <c r="C557" s="1997"/>
      <c r="D557" s="1997"/>
      <c r="E557" s="1997"/>
      <c r="F557" s="1997"/>
      <c r="G557" s="1997"/>
      <c r="H557" s="1997"/>
      <c r="I557" s="1997"/>
      <c r="J557" s="1997"/>
      <c r="K557" s="1997"/>
      <c r="L557" s="1997"/>
      <c r="M557" s="1997"/>
      <c r="N557" s="1997"/>
      <c r="O557" s="1997"/>
      <c r="P557" s="1997"/>
      <c r="Q557" s="1997"/>
      <c r="R557" s="1997"/>
      <c r="S557" s="1997"/>
      <c r="T557" s="1997"/>
      <c r="U557" s="1997"/>
      <c r="V557" s="1997"/>
      <c r="W557" s="1997"/>
      <c r="X557" s="1997"/>
      <c r="Y557" s="1997"/>
      <c r="Z557" s="1997"/>
      <c r="AA557" s="1997"/>
      <c r="AB557" s="1997"/>
      <c r="AC557" s="1997"/>
      <c r="AD557" s="1997"/>
      <c r="AE557" s="1997"/>
      <c r="AF557" s="1997"/>
      <c r="AG557" s="1997"/>
      <c r="AH557" s="1997"/>
      <c r="AI557" s="1997"/>
      <c r="AJ557" s="1997"/>
      <c r="AK557" s="676"/>
      <c r="AL557" s="607"/>
      <c r="AM557" s="637"/>
      <c r="AN557" s="631"/>
    </row>
    <row r="558" spans="1:45" s="584" customFormat="1" ht="12.75" customHeight="1">
      <c r="A558" s="637"/>
      <c r="B558" s="1997"/>
      <c r="C558" s="1997"/>
      <c r="D558" s="1997"/>
      <c r="E558" s="1997"/>
      <c r="F558" s="1997"/>
      <c r="G558" s="1997"/>
      <c r="H558" s="1997"/>
      <c r="I558" s="1997"/>
      <c r="J558" s="1997"/>
      <c r="K558" s="1997"/>
      <c r="L558" s="1997"/>
      <c r="M558" s="1997"/>
      <c r="N558" s="1997"/>
      <c r="O558" s="1997"/>
      <c r="P558" s="1997"/>
      <c r="Q558" s="1997"/>
      <c r="R558" s="1997"/>
      <c r="S558" s="1997"/>
      <c r="T558" s="1997"/>
      <c r="U558" s="1997"/>
      <c r="V558" s="1997"/>
      <c r="W558" s="1997"/>
      <c r="X558" s="1997"/>
      <c r="Y558" s="1997"/>
      <c r="Z558" s="1997"/>
      <c r="AA558" s="1997"/>
      <c r="AB558" s="1997"/>
      <c r="AC558" s="1997"/>
      <c r="AD558" s="1997"/>
      <c r="AE558" s="1997"/>
      <c r="AF558" s="1997"/>
      <c r="AG558" s="1997"/>
      <c r="AH558" s="1997"/>
      <c r="AI558" s="1997"/>
      <c r="AJ558" s="1997"/>
      <c r="AK558" s="676"/>
      <c r="AL558" s="607"/>
      <c r="AM558" s="637"/>
      <c r="AN558" s="631"/>
    </row>
    <row r="559" spans="1:45" s="584" customFormat="1" ht="12.75" customHeight="1">
      <c r="A559" s="637"/>
      <c r="B559" s="1997"/>
      <c r="C559" s="1997"/>
      <c r="D559" s="1997"/>
      <c r="E559" s="1997"/>
      <c r="F559" s="1997"/>
      <c r="G559" s="1997"/>
      <c r="H559" s="1997"/>
      <c r="I559" s="1997"/>
      <c r="J559" s="1997"/>
      <c r="K559" s="1997"/>
      <c r="L559" s="1997"/>
      <c r="M559" s="1997"/>
      <c r="N559" s="1997"/>
      <c r="O559" s="1997"/>
      <c r="P559" s="1997"/>
      <c r="Q559" s="1997"/>
      <c r="R559" s="1997"/>
      <c r="S559" s="1997"/>
      <c r="T559" s="1997"/>
      <c r="U559" s="1997"/>
      <c r="V559" s="1997"/>
      <c r="W559" s="1997"/>
      <c r="X559" s="1997"/>
      <c r="Y559" s="1997"/>
      <c r="Z559" s="1997"/>
      <c r="AA559" s="1997"/>
      <c r="AB559" s="1997"/>
      <c r="AC559" s="1997"/>
      <c r="AD559" s="1997"/>
      <c r="AE559" s="1997"/>
      <c r="AF559" s="1997"/>
      <c r="AG559" s="1997"/>
      <c r="AH559" s="1997"/>
      <c r="AI559" s="1997"/>
      <c r="AJ559" s="1997"/>
      <c r="AK559" s="676"/>
      <c r="AL559" s="607"/>
      <c r="AM559" s="637"/>
      <c r="AN559" s="631"/>
    </row>
    <row r="560" spans="1:45" ht="12.75" customHeight="1">
      <c r="A560" s="637"/>
      <c r="B560" s="1997"/>
      <c r="C560" s="1997"/>
      <c r="D560" s="1997"/>
      <c r="E560" s="1997"/>
      <c r="F560" s="1997"/>
      <c r="G560" s="1997"/>
      <c r="H560" s="1997"/>
      <c r="I560" s="1997"/>
      <c r="J560" s="1997"/>
      <c r="K560" s="1997"/>
      <c r="L560" s="1997"/>
      <c r="M560" s="1997"/>
      <c r="N560" s="1997"/>
      <c r="O560" s="1997"/>
      <c r="P560" s="1997"/>
      <c r="Q560" s="1997"/>
      <c r="R560" s="1997"/>
      <c r="S560" s="1997"/>
      <c r="T560" s="1997"/>
      <c r="U560" s="1997"/>
      <c r="V560" s="1997"/>
      <c r="W560" s="1997"/>
      <c r="X560" s="1997"/>
      <c r="Y560" s="1997"/>
      <c r="Z560" s="1997"/>
      <c r="AA560" s="1997"/>
      <c r="AB560" s="1997"/>
      <c r="AC560" s="1997"/>
      <c r="AD560" s="1997"/>
      <c r="AE560" s="1997"/>
      <c r="AF560" s="1997"/>
      <c r="AG560" s="1997"/>
      <c r="AH560" s="1997"/>
      <c r="AI560" s="1997"/>
      <c r="AJ560" s="1997"/>
      <c r="AK560" s="676"/>
      <c r="AL560" s="607"/>
      <c r="AM560" s="637"/>
    </row>
    <row r="561" spans="1:42" s="584" customFormat="1" ht="12.75" customHeight="1">
      <c r="B561" s="1997"/>
      <c r="C561" s="1997"/>
      <c r="D561" s="1997"/>
      <c r="E561" s="1997"/>
      <c r="F561" s="1997"/>
      <c r="G561" s="1997"/>
      <c r="H561" s="1997"/>
      <c r="I561" s="1997"/>
      <c r="J561" s="1997"/>
      <c r="K561" s="1997"/>
      <c r="L561" s="1997"/>
      <c r="M561" s="1997"/>
      <c r="N561" s="1997"/>
      <c r="O561" s="1997"/>
      <c r="P561" s="1997"/>
      <c r="Q561" s="1997"/>
      <c r="R561" s="1997"/>
      <c r="S561" s="1997"/>
      <c r="T561" s="1997"/>
      <c r="U561" s="1997"/>
      <c r="V561" s="1997"/>
      <c r="W561" s="1997"/>
      <c r="X561" s="1997"/>
      <c r="Y561" s="1997"/>
      <c r="Z561" s="1997"/>
      <c r="AA561" s="1997"/>
      <c r="AB561" s="1997"/>
      <c r="AC561" s="1997"/>
      <c r="AD561" s="1997"/>
      <c r="AE561" s="1997"/>
      <c r="AF561" s="1997"/>
      <c r="AG561" s="1997"/>
      <c r="AH561" s="1997"/>
      <c r="AI561" s="1997"/>
      <c r="AJ561" s="199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3" t="s">
        <v>1447</v>
      </c>
      <c r="AG567" s="1943"/>
      <c r="AH567" s="1943"/>
      <c r="AI567" s="1943"/>
      <c r="AJ567" s="1943"/>
      <c r="AK567" s="1943"/>
      <c r="AL567" s="1943"/>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3" t="s">
        <v>1505</v>
      </c>
      <c r="AG574" s="1943"/>
      <c r="AH574" s="1943"/>
      <c r="AI574" s="1943"/>
      <c r="AJ574" s="1943"/>
      <c r="AK574" s="1943"/>
      <c r="AL574" s="1943"/>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3" t="s">
        <v>1487</v>
      </c>
      <c r="AG580" s="1943"/>
      <c r="AH580" s="1943"/>
      <c r="AI580" s="1943"/>
      <c r="AJ580" s="1943"/>
      <c r="AK580" s="1943"/>
      <c r="AL580" s="1943"/>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3" t="s">
        <v>1508</v>
      </c>
      <c r="AG586" s="1943"/>
      <c r="AH586" s="1943"/>
      <c r="AI586" s="1943"/>
      <c r="AJ586" s="1943"/>
      <c r="AK586" s="1943"/>
      <c r="AL586" s="1943"/>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8" t="s">
        <v>1290</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3" t="s">
        <v>1461</v>
      </c>
      <c r="AG592" s="1943"/>
      <c r="AH592" s="1943"/>
      <c r="AI592" s="1943"/>
      <c r="AJ592" s="1943"/>
      <c r="AK592" s="1943"/>
      <c r="AL592" s="1943"/>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26" t="s">
        <v>1507</v>
      </c>
      <c r="I595" s="2026"/>
      <c r="J595" s="971"/>
      <c r="K595" s="971"/>
      <c r="L595" s="971"/>
      <c r="N595" s="22"/>
      <c r="O595" s="22"/>
      <c r="P595" s="22"/>
      <c r="Q595" s="1195" t="s">
        <v>2537</v>
      </c>
      <c r="R595" s="2029" t="s">
        <v>2540</v>
      </c>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7" t="s">
        <v>599</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70" t="s">
        <v>599</v>
      </c>
      <c r="C605" s="1970"/>
      <c r="D605" s="676"/>
      <c r="E605" s="1997" t="s">
        <v>1512</v>
      </c>
      <c r="F605" s="1997"/>
      <c r="G605" s="1997"/>
      <c r="H605" s="1997"/>
      <c r="I605" s="1997"/>
      <c r="J605" s="1997"/>
      <c r="K605" s="1997"/>
      <c r="L605" s="1997"/>
      <c r="M605" s="1997"/>
      <c r="N605" s="1997"/>
      <c r="O605" s="1997"/>
      <c r="P605" s="1997"/>
      <c r="Q605" s="1997"/>
      <c r="R605" s="1997"/>
      <c r="S605" s="1997"/>
      <c r="T605" s="1997"/>
      <c r="U605" s="1997"/>
      <c r="V605" s="1997"/>
      <c r="W605" s="1997"/>
      <c r="X605" s="1997"/>
      <c r="Y605" s="1997"/>
      <c r="Z605" s="1997"/>
      <c r="AA605" s="1997"/>
      <c r="AB605" s="1997"/>
      <c r="AC605" s="1997"/>
      <c r="AD605" s="1997"/>
      <c r="AE605" s="1997"/>
      <c r="AF605" s="1997"/>
      <c r="AG605" s="1997"/>
      <c r="AH605" s="676"/>
      <c r="AI605" s="676"/>
      <c r="AJ605" s="676"/>
      <c r="AK605" s="676"/>
      <c r="AL605" s="676"/>
      <c r="AN605" s="631"/>
    </row>
    <row r="606" spans="2:47" s="584" customFormat="1" ht="12.75" customHeight="1">
      <c r="B606" s="570"/>
      <c r="C606" s="968"/>
      <c r="D606" s="676"/>
      <c r="E606" s="1997"/>
      <c r="F606" s="1997"/>
      <c r="G606" s="1997"/>
      <c r="H606" s="1997"/>
      <c r="I606" s="1997"/>
      <c r="J606" s="1997"/>
      <c r="K606" s="1997"/>
      <c r="L606" s="1997"/>
      <c r="M606" s="1997"/>
      <c r="N606" s="1997"/>
      <c r="O606" s="1997"/>
      <c r="P606" s="1997"/>
      <c r="Q606" s="1997"/>
      <c r="R606" s="1997"/>
      <c r="S606" s="1997"/>
      <c r="T606" s="1997"/>
      <c r="U606" s="1997"/>
      <c r="V606" s="1997"/>
      <c r="W606" s="1997"/>
      <c r="X606" s="1997"/>
      <c r="Y606" s="1997"/>
      <c r="Z606" s="1997"/>
      <c r="AA606" s="1997"/>
      <c r="AB606" s="1997"/>
      <c r="AC606" s="1997"/>
      <c r="AD606" s="1997"/>
      <c r="AE606" s="1997"/>
      <c r="AF606" s="1997"/>
      <c r="AG606" s="1997"/>
      <c r="AH606" s="676"/>
      <c r="AI606" s="676"/>
      <c r="AJ606" s="676"/>
      <c r="AK606" s="676"/>
      <c r="AL606" s="676"/>
      <c r="AN606" s="631"/>
    </row>
    <row r="607" spans="2:47" s="584" customFormat="1" ht="12.75" customHeight="1">
      <c r="B607" s="570"/>
      <c r="C607" s="968"/>
      <c r="D607" s="676"/>
      <c r="E607" s="1997"/>
      <c r="F607" s="1997"/>
      <c r="G607" s="1997"/>
      <c r="H607" s="1997"/>
      <c r="I607" s="1997"/>
      <c r="J607" s="1997"/>
      <c r="K607" s="1997"/>
      <c r="L607" s="1997"/>
      <c r="M607" s="1997"/>
      <c r="N607" s="1997"/>
      <c r="O607" s="1997"/>
      <c r="P607" s="1997"/>
      <c r="Q607" s="1997"/>
      <c r="R607" s="1997"/>
      <c r="S607" s="1997"/>
      <c r="T607" s="1997"/>
      <c r="U607" s="1997"/>
      <c r="V607" s="1997"/>
      <c r="W607" s="1997"/>
      <c r="X607" s="1997"/>
      <c r="Y607" s="1997"/>
      <c r="Z607" s="1997"/>
      <c r="AA607" s="1997"/>
      <c r="AB607" s="1997"/>
      <c r="AC607" s="1997"/>
      <c r="AD607" s="1997"/>
      <c r="AE607" s="1997"/>
      <c r="AF607" s="1997"/>
      <c r="AG607" s="1997"/>
      <c r="AH607" s="676"/>
      <c r="AI607" s="676"/>
      <c r="AJ607" s="676"/>
      <c r="AK607" s="676"/>
      <c r="AL607" s="676"/>
      <c r="AN607" s="631"/>
    </row>
    <row r="608" spans="2:47" s="584" customFormat="1" ht="12.75" customHeight="1">
      <c r="B608" s="570"/>
      <c r="C608" s="968"/>
      <c r="D608" s="676"/>
      <c r="E608" s="1997"/>
      <c r="F608" s="1997"/>
      <c r="G608" s="1997"/>
      <c r="H608" s="1997"/>
      <c r="I608" s="1997"/>
      <c r="J608" s="1997"/>
      <c r="K608" s="1997"/>
      <c r="L608" s="1997"/>
      <c r="M608" s="1997"/>
      <c r="N608" s="1997"/>
      <c r="O608" s="1997"/>
      <c r="P608" s="1997"/>
      <c r="Q608" s="1997"/>
      <c r="R608" s="1997"/>
      <c r="S608" s="1997"/>
      <c r="T608" s="1997"/>
      <c r="U608" s="1997"/>
      <c r="V608" s="1997"/>
      <c r="W608" s="1997"/>
      <c r="X608" s="1997"/>
      <c r="Y608" s="1997"/>
      <c r="Z608" s="1997"/>
      <c r="AA608" s="1997"/>
      <c r="AB608" s="1997"/>
      <c r="AC608" s="1997"/>
      <c r="AD608" s="1997"/>
      <c r="AE608" s="1997"/>
      <c r="AF608" s="1997"/>
      <c r="AG608" s="199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77">
        <f>VLOOKUP($H$595,$AO$575:$AP$580,2,FALSE)+IF(R595=AO583,0,VLOOKUP($I$603,$AO$602:$AP$604,2,FALSE))</f>
        <v>3</v>
      </c>
      <c r="AK610" s="197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5" t="s">
        <v>1882</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43" t="s">
        <v>1461</v>
      </c>
      <c r="AG614" s="1943"/>
      <c r="AH614" s="1943"/>
      <c r="AI614" s="1943"/>
      <c r="AJ614" s="1943"/>
      <c r="AK614" s="1943"/>
      <c r="AL614" s="1943"/>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70" t="s">
        <v>599</v>
      </c>
      <c r="Y623" s="1970"/>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3" t="s">
        <v>1517</v>
      </c>
      <c r="AG625" s="1943"/>
      <c r="AH625" s="1943"/>
      <c r="AI625" s="1943"/>
      <c r="AJ625" s="1943"/>
      <c r="AK625" s="1943"/>
      <c r="AL625" s="1943"/>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26" t="s">
        <v>696</v>
      </c>
      <c r="I627" s="202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77">
        <f>VLOOKUP($H$627,$AO$594:$AP$596,2,FALSE)</f>
        <v>3</v>
      </c>
      <c r="AK629" s="1979"/>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7" t="s">
        <v>2414</v>
      </c>
      <c r="F633" s="1997"/>
      <c r="G633" s="1997"/>
      <c r="H633" s="1997"/>
      <c r="I633" s="1997"/>
      <c r="J633" s="1997"/>
      <c r="K633" s="1997"/>
      <c r="L633" s="1997"/>
      <c r="M633" s="1997"/>
      <c r="N633" s="1997"/>
      <c r="O633" s="1997"/>
      <c r="P633" s="1997"/>
      <c r="Q633" s="1997"/>
      <c r="R633" s="1997"/>
      <c r="S633" s="1997"/>
      <c r="T633" s="1997"/>
      <c r="U633" s="1997"/>
      <c r="V633" s="1997"/>
      <c r="W633" s="1997"/>
      <c r="X633" s="1997"/>
      <c r="Y633" s="1997"/>
      <c r="Z633" s="1997"/>
      <c r="AA633" s="1997"/>
      <c r="AB633" s="1997"/>
      <c r="AC633" s="1997"/>
      <c r="AD633" s="1997"/>
      <c r="AE633" s="570"/>
      <c r="AF633" s="1943" t="s">
        <v>1461</v>
      </c>
      <c r="AG633" s="1943"/>
      <c r="AH633" s="1943"/>
      <c r="AI633" s="1943"/>
      <c r="AJ633" s="1943"/>
      <c r="AK633" s="1943"/>
      <c r="AL633" s="1943"/>
      <c r="AN633" s="631"/>
    </row>
    <row r="634" spans="1:42" s="584" customFormat="1" ht="12.75" customHeight="1">
      <c r="B634" s="570"/>
      <c r="C634" s="570"/>
      <c r="D634" s="697"/>
      <c r="E634" s="1997"/>
      <c r="F634" s="1997"/>
      <c r="G634" s="1997"/>
      <c r="H634" s="1997"/>
      <c r="I634" s="1997"/>
      <c r="J634" s="1997"/>
      <c r="K634" s="1997"/>
      <c r="L634" s="1997"/>
      <c r="M634" s="1997"/>
      <c r="N634" s="1997"/>
      <c r="O634" s="1997"/>
      <c r="P634" s="1997"/>
      <c r="Q634" s="1997"/>
      <c r="R634" s="1997"/>
      <c r="S634" s="1997"/>
      <c r="T634" s="1997"/>
      <c r="U634" s="1997"/>
      <c r="V634" s="1997"/>
      <c r="W634" s="1997"/>
      <c r="X634" s="1997"/>
      <c r="Y634" s="1997"/>
      <c r="Z634" s="1997"/>
      <c r="AA634" s="1997"/>
      <c r="AB634" s="1997"/>
      <c r="AC634" s="1997"/>
      <c r="AD634" s="199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3" t="s">
        <v>1517</v>
      </c>
      <c r="AG636" s="1943"/>
      <c r="AH636" s="1943"/>
      <c r="AI636" s="1943"/>
      <c r="AJ636" s="1943"/>
      <c r="AK636" s="1943"/>
      <c r="AL636" s="1943"/>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26" t="s">
        <v>599</v>
      </c>
      <c r="I639" s="202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77">
        <f>VLOOKUP(H639,AT594:AU596,2,FALSE)</f>
        <v>0</v>
      </c>
      <c r="AK641" s="197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7" t="s">
        <v>1527</v>
      </c>
      <c r="F646" s="1997"/>
      <c r="G646" s="1997"/>
      <c r="H646" s="1997"/>
      <c r="I646" s="1997"/>
      <c r="J646" s="1997"/>
      <c r="K646" s="1997"/>
      <c r="L646" s="1997"/>
      <c r="M646" s="1997"/>
      <c r="N646" s="1997"/>
      <c r="O646" s="1997"/>
      <c r="P646" s="1997"/>
      <c r="Q646" s="1997"/>
      <c r="R646" s="1997"/>
      <c r="S646" s="1997"/>
      <c r="T646" s="1997"/>
      <c r="U646" s="1997"/>
      <c r="V646" s="1997"/>
      <c r="W646" s="1997"/>
      <c r="X646" s="1997"/>
      <c r="Y646" s="1997"/>
      <c r="Z646" s="1997"/>
      <c r="AA646" s="1997"/>
      <c r="AB646" s="1997"/>
      <c r="AC646" s="1997"/>
      <c r="AD646" s="570"/>
      <c r="AE646" s="570"/>
      <c r="AF646" s="1943" t="s">
        <v>1487</v>
      </c>
      <c r="AG646" s="1943"/>
      <c r="AH646" s="1943"/>
      <c r="AI646" s="1943"/>
      <c r="AJ646" s="1943"/>
      <c r="AK646" s="1943"/>
      <c r="AL646" s="1943"/>
      <c r="AN646" s="631"/>
    </row>
    <row r="647" spans="1:42" s="584" customFormat="1" ht="12.75" customHeight="1">
      <c r="B647" s="570"/>
      <c r="C647" s="573"/>
      <c r="D647" s="570"/>
      <c r="E647" s="1997"/>
      <c r="F647" s="1997"/>
      <c r="G647" s="1997"/>
      <c r="H647" s="1997"/>
      <c r="I647" s="1997"/>
      <c r="J647" s="1997"/>
      <c r="K647" s="1997"/>
      <c r="L647" s="1997"/>
      <c r="M647" s="1997"/>
      <c r="N647" s="1997"/>
      <c r="O647" s="1997"/>
      <c r="P647" s="1997"/>
      <c r="Q647" s="1997"/>
      <c r="R647" s="1997"/>
      <c r="S647" s="1997"/>
      <c r="T647" s="1997"/>
      <c r="U647" s="1997"/>
      <c r="V647" s="1997"/>
      <c r="W647" s="1997"/>
      <c r="X647" s="1997"/>
      <c r="Y647" s="1997"/>
      <c r="Z647" s="1997"/>
      <c r="AA647" s="1997"/>
      <c r="AB647" s="1997"/>
      <c r="AC647" s="1997"/>
      <c r="AD647" s="570"/>
      <c r="AE647" s="570"/>
      <c r="AF647" s="570"/>
      <c r="AG647" s="570"/>
      <c r="AH647" s="570"/>
      <c r="AI647" s="570"/>
      <c r="AJ647" s="570"/>
      <c r="AK647" s="570"/>
      <c r="AL647" s="570"/>
      <c r="AN647" s="631"/>
    </row>
    <row r="648" spans="1:42" s="584" customFormat="1" ht="12.75" customHeight="1">
      <c r="B648" s="570"/>
      <c r="C648" s="573"/>
      <c r="D648" s="697"/>
      <c r="E648" s="1997"/>
      <c r="F648" s="1997"/>
      <c r="G648" s="1997"/>
      <c r="H648" s="1997"/>
      <c r="I648" s="1997"/>
      <c r="J648" s="1997"/>
      <c r="K648" s="1997"/>
      <c r="L648" s="1997"/>
      <c r="M648" s="1997"/>
      <c r="N648" s="1997"/>
      <c r="O648" s="1997"/>
      <c r="P648" s="1997"/>
      <c r="Q648" s="1997"/>
      <c r="R648" s="1997"/>
      <c r="S648" s="1997"/>
      <c r="T648" s="1997"/>
      <c r="U648" s="1997"/>
      <c r="V648" s="1997"/>
      <c r="W648" s="1997"/>
      <c r="X648" s="1997"/>
      <c r="Y648" s="1997"/>
      <c r="Z648" s="1997"/>
      <c r="AA648" s="1997"/>
      <c r="AB648" s="1997"/>
      <c r="AC648" s="199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7" t="s">
        <v>1528</v>
      </c>
      <c r="F650" s="1997"/>
      <c r="G650" s="1997"/>
      <c r="H650" s="1997"/>
      <c r="I650" s="1997"/>
      <c r="J650" s="1997"/>
      <c r="K650" s="1997"/>
      <c r="L650" s="1997"/>
      <c r="M650" s="1997"/>
      <c r="N650" s="1997"/>
      <c r="O650" s="1997"/>
      <c r="P650" s="1997"/>
      <c r="Q650" s="1997"/>
      <c r="R650" s="1997"/>
      <c r="S650" s="1997"/>
      <c r="T650" s="1997"/>
      <c r="U650" s="1997"/>
      <c r="V650" s="1997"/>
      <c r="W650" s="1997"/>
      <c r="X650" s="1997"/>
      <c r="Y650" s="1997"/>
      <c r="Z650" s="1997"/>
      <c r="AA650" s="1997"/>
      <c r="AB650" s="1997"/>
      <c r="AC650" s="1997"/>
      <c r="AD650" s="570"/>
      <c r="AE650" s="570"/>
      <c r="AF650" s="1943" t="s">
        <v>1508</v>
      </c>
      <c r="AG650" s="1943"/>
      <c r="AH650" s="1943"/>
      <c r="AI650" s="1943"/>
      <c r="AJ650" s="1943"/>
      <c r="AK650" s="1943"/>
      <c r="AL650" s="1943"/>
      <c r="AN650" s="631"/>
    </row>
    <row r="651" spans="1:42" s="584" customFormat="1" ht="12.75" customHeight="1">
      <c r="B651" s="570"/>
      <c r="C651" s="573"/>
      <c r="D651" s="570"/>
      <c r="E651" s="1997"/>
      <c r="F651" s="1997"/>
      <c r="G651" s="1997"/>
      <c r="H651" s="1997"/>
      <c r="I651" s="1997"/>
      <c r="J651" s="1997"/>
      <c r="K651" s="1997"/>
      <c r="L651" s="1997"/>
      <c r="M651" s="1997"/>
      <c r="N651" s="1997"/>
      <c r="O651" s="1997"/>
      <c r="P651" s="1997"/>
      <c r="Q651" s="1997"/>
      <c r="R651" s="1997"/>
      <c r="S651" s="1997"/>
      <c r="T651" s="1997"/>
      <c r="U651" s="1997"/>
      <c r="V651" s="1997"/>
      <c r="W651" s="1997"/>
      <c r="X651" s="1997"/>
      <c r="Y651" s="1997"/>
      <c r="Z651" s="1997"/>
      <c r="AA651" s="1997"/>
      <c r="AB651" s="1997"/>
      <c r="AC651" s="1997"/>
      <c r="AD651" s="570"/>
      <c r="AE651" s="570"/>
      <c r="AF651" s="570"/>
      <c r="AG651" s="570"/>
      <c r="AH651" s="570"/>
      <c r="AI651" s="570"/>
      <c r="AJ651" s="570"/>
      <c r="AK651" s="570"/>
      <c r="AL651" s="570"/>
      <c r="AN651" s="631"/>
    </row>
    <row r="652" spans="1:42" s="584" customFormat="1" ht="15" customHeight="1">
      <c r="B652" s="570"/>
      <c r="C652" s="573"/>
      <c r="D652" s="697"/>
      <c r="E652" s="1997"/>
      <c r="F652" s="1997"/>
      <c r="G652" s="1997"/>
      <c r="H652" s="1997"/>
      <c r="I652" s="1997"/>
      <c r="J652" s="1997"/>
      <c r="K652" s="1997"/>
      <c r="L652" s="1997"/>
      <c r="M652" s="1997"/>
      <c r="N652" s="1997"/>
      <c r="O652" s="1997"/>
      <c r="P652" s="1997"/>
      <c r="Q652" s="1997"/>
      <c r="R652" s="1997"/>
      <c r="S652" s="1997"/>
      <c r="T652" s="1997"/>
      <c r="U652" s="1997"/>
      <c r="V652" s="1997"/>
      <c r="W652" s="1997"/>
      <c r="X652" s="1997"/>
      <c r="Y652" s="1997"/>
      <c r="Z652" s="1997"/>
      <c r="AA652" s="1997"/>
      <c r="AB652" s="1997"/>
      <c r="AC652" s="199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7" t="s">
        <v>1529</v>
      </c>
      <c r="F654" s="1997"/>
      <c r="G654" s="1997"/>
      <c r="H654" s="1997"/>
      <c r="I654" s="1997"/>
      <c r="J654" s="1997"/>
      <c r="K654" s="1997"/>
      <c r="L654" s="1997"/>
      <c r="M654" s="1997"/>
      <c r="N654" s="1997"/>
      <c r="O654" s="1997"/>
      <c r="P654" s="1997"/>
      <c r="Q654" s="1997"/>
      <c r="R654" s="1997"/>
      <c r="S654" s="1997"/>
      <c r="T654" s="1997"/>
      <c r="U654" s="1997"/>
      <c r="V654" s="1997"/>
      <c r="W654" s="1997"/>
      <c r="X654" s="1997"/>
      <c r="Y654" s="1997"/>
      <c r="Z654" s="1997"/>
      <c r="AA654" s="1997"/>
      <c r="AB654" s="1997"/>
      <c r="AC654" s="1997"/>
      <c r="AD654" s="570"/>
      <c r="AE654" s="570"/>
      <c r="AF654" s="1943" t="s">
        <v>1461</v>
      </c>
      <c r="AG654" s="1943"/>
      <c r="AH654" s="1943"/>
      <c r="AI654" s="1943"/>
      <c r="AJ654" s="1943"/>
      <c r="AK654" s="1943"/>
      <c r="AL654" s="1943"/>
      <c r="AN654" s="631"/>
    </row>
    <row r="655" spans="1:42" s="584" customFormat="1" ht="12.75" customHeight="1">
      <c r="B655" s="570"/>
      <c r="C655" s="966"/>
      <c r="D655" s="570"/>
      <c r="E655" s="1997"/>
      <c r="F655" s="1997"/>
      <c r="G655" s="1997"/>
      <c r="H655" s="1997"/>
      <c r="I655" s="1997"/>
      <c r="J655" s="1997"/>
      <c r="K655" s="1997"/>
      <c r="L655" s="1997"/>
      <c r="M655" s="1997"/>
      <c r="N655" s="1997"/>
      <c r="O655" s="1997"/>
      <c r="P655" s="1997"/>
      <c r="Q655" s="1997"/>
      <c r="R655" s="1997"/>
      <c r="S655" s="1997"/>
      <c r="T655" s="1997"/>
      <c r="U655" s="1997"/>
      <c r="V655" s="1997"/>
      <c r="W655" s="1997"/>
      <c r="X655" s="1997"/>
      <c r="Y655" s="1997"/>
      <c r="Z655" s="1997"/>
      <c r="AA655" s="1997"/>
      <c r="AB655" s="1997"/>
      <c r="AC655" s="1997"/>
      <c r="AD655" s="570"/>
      <c r="AE655" s="1943"/>
      <c r="AF655" s="1943"/>
      <c r="AG655" s="1943"/>
      <c r="AH655" s="1943"/>
      <c r="AI655" s="1943"/>
      <c r="AJ655" s="1943"/>
      <c r="AK655" s="1943"/>
      <c r="AL655" s="628"/>
      <c r="AN655" s="631"/>
      <c r="AO655" s="584" t="s">
        <v>599</v>
      </c>
      <c r="AP655" s="707">
        <v>0</v>
      </c>
    </row>
    <row r="656" spans="1:42" s="584" customFormat="1" ht="12.75" customHeight="1">
      <c r="A656" s="713"/>
      <c r="B656" s="570"/>
      <c r="C656" s="570"/>
      <c r="D656" s="697"/>
      <c r="E656" s="1997"/>
      <c r="F656" s="1997"/>
      <c r="G656" s="1997"/>
      <c r="H656" s="1997"/>
      <c r="I656" s="1997"/>
      <c r="J656" s="1997"/>
      <c r="K656" s="1997"/>
      <c r="L656" s="1997"/>
      <c r="M656" s="1997"/>
      <c r="N656" s="1997"/>
      <c r="O656" s="1997"/>
      <c r="P656" s="1997"/>
      <c r="Q656" s="1997"/>
      <c r="R656" s="1997"/>
      <c r="S656" s="1997"/>
      <c r="T656" s="1997"/>
      <c r="U656" s="1997"/>
      <c r="V656" s="1997"/>
      <c r="W656" s="1997"/>
      <c r="X656" s="1997"/>
      <c r="Y656" s="1997"/>
      <c r="Z656" s="1997"/>
      <c r="AA656" s="1997"/>
      <c r="AB656" s="1997"/>
      <c r="AC656" s="199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97" t="s">
        <v>1530</v>
      </c>
      <c r="F658" s="1997"/>
      <c r="G658" s="1997"/>
      <c r="H658" s="1997"/>
      <c r="I658" s="1997"/>
      <c r="J658" s="1997"/>
      <c r="K658" s="1997"/>
      <c r="L658" s="1997"/>
      <c r="M658" s="1997"/>
      <c r="N658" s="1997"/>
      <c r="O658" s="1997"/>
      <c r="P658" s="1997"/>
      <c r="Q658" s="1997"/>
      <c r="R658" s="1997"/>
      <c r="S658" s="1997"/>
      <c r="T658" s="1997"/>
      <c r="U658" s="1997"/>
      <c r="V658" s="1997"/>
      <c r="W658" s="1997"/>
      <c r="X658" s="1997"/>
      <c r="Y658" s="1997"/>
      <c r="Z658" s="1997"/>
      <c r="AA658" s="1997"/>
      <c r="AB658" s="1997"/>
      <c r="AC658" s="1997"/>
      <c r="AD658" s="570"/>
      <c r="AE658" s="570"/>
      <c r="AF658" s="1943" t="s">
        <v>1508</v>
      </c>
      <c r="AG658" s="1943"/>
      <c r="AH658" s="1943"/>
      <c r="AI658" s="1943"/>
      <c r="AJ658" s="1943"/>
      <c r="AK658" s="1943"/>
      <c r="AL658" s="1943"/>
      <c r="AN658" s="631"/>
    </row>
    <row r="659" spans="1:42" s="584" customFormat="1" ht="12.75" customHeight="1">
      <c r="A659" s="704"/>
      <c r="B659" s="570"/>
      <c r="C659" s="982"/>
      <c r="D659" s="697"/>
      <c r="E659" s="1997"/>
      <c r="F659" s="1997"/>
      <c r="G659" s="1997"/>
      <c r="H659" s="1997"/>
      <c r="I659" s="1997"/>
      <c r="J659" s="1997"/>
      <c r="K659" s="1997"/>
      <c r="L659" s="1997"/>
      <c r="M659" s="1997"/>
      <c r="N659" s="1997"/>
      <c r="O659" s="1997"/>
      <c r="P659" s="1997"/>
      <c r="Q659" s="1997"/>
      <c r="R659" s="1997"/>
      <c r="S659" s="1997"/>
      <c r="T659" s="1997"/>
      <c r="U659" s="1997"/>
      <c r="V659" s="1997"/>
      <c r="W659" s="1997"/>
      <c r="X659" s="1997"/>
      <c r="Y659" s="1997"/>
      <c r="Z659" s="1997"/>
      <c r="AA659" s="1997"/>
      <c r="AB659" s="1997"/>
      <c r="AC659" s="199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7"/>
      <c r="F660" s="1997"/>
      <c r="G660" s="1997"/>
      <c r="H660" s="1997"/>
      <c r="I660" s="1997"/>
      <c r="J660" s="1997"/>
      <c r="K660" s="1997"/>
      <c r="L660" s="1997"/>
      <c r="M660" s="1997"/>
      <c r="N660" s="1997"/>
      <c r="O660" s="1997"/>
      <c r="P660" s="1997"/>
      <c r="Q660" s="1997"/>
      <c r="R660" s="1997"/>
      <c r="S660" s="1997"/>
      <c r="T660" s="1997"/>
      <c r="U660" s="1997"/>
      <c r="V660" s="1997"/>
      <c r="W660" s="1997"/>
      <c r="X660" s="1997"/>
      <c r="Y660" s="1997"/>
      <c r="Z660" s="1997"/>
      <c r="AA660" s="1997"/>
      <c r="AB660" s="1997"/>
      <c r="AC660" s="199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97" t="s">
        <v>1531</v>
      </c>
      <c r="F662" s="1997"/>
      <c r="G662" s="1997"/>
      <c r="H662" s="1997"/>
      <c r="I662" s="1997"/>
      <c r="J662" s="1997"/>
      <c r="K662" s="1997"/>
      <c r="L662" s="1997"/>
      <c r="M662" s="1997"/>
      <c r="N662" s="1997"/>
      <c r="O662" s="1997"/>
      <c r="P662" s="1997"/>
      <c r="Q662" s="1997"/>
      <c r="R662" s="1997"/>
      <c r="S662" s="1997"/>
      <c r="T662" s="1997"/>
      <c r="U662" s="1997"/>
      <c r="V662" s="1997"/>
      <c r="W662" s="1997"/>
      <c r="X662" s="1997"/>
      <c r="Y662" s="1997"/>
      <c r="Z662" s="1997"/>
      <c r="AA662" s="1997"/>
      <c r="AB662" s="1997"/>
      <c r="AC662" s="1997"/>
      <c r="AD662" s="570"/>
      <c r="AE662" s="570"/>
      <c r="AF662" s="1943" t="s">
        <v>1461</v>
      </c>
      <c r="AG662" s="1943"/>
      <c r="AH662" s="1943"/>
      <c r="AI662" s="1943"/>
      <c r="AJ662" s="1943"/>
      <c r="AK662" s="1943"/>
      <c r="AL662" s="1943"/>
      <c r="AM662" s="630"/>
      <c r="AN662" s="631"/>
    </row>
    <row r="663" spans="1:42" s="584" customFormat="1" ht="12.75" customHeight="1">
      <c r="B663" s="570"/>
      <c r="C663" s="966"/>
      <c r="D663" s="697"/>
      <c r="E663" s="1997"/>
      <c r="F663" s="1997"/>
      <c r="G663" s="1997"/>
      <c r="H663" s="1997"/>
      <c r="I663" s="1997"/>
      <c r="J663" s="1997"/>
      <c r="K663" s="1997"/>
      <c r="L663" s="1997"/>
      <c r="M663" s="1997"/>
      <c r="N663" s="1997"/>
      <c r="O663" s="1997"/>
      <c r="P663" s="1997"/>
      <c r="Q663" s="1997"/>
      <c r="R663" s="1997"/>
      <c r="S663" s="1997"/>
      <c r="T663" s="1997"/>
      <c r="U663" s="1997"/>
      <c r="V663" s="1997"/>
      <c r="W663" s="1997"/>
      <c r="X663" s="1997"/>
      <c r="Y663" s="1997"/>
      <c r="Z663" s="1997"/>
      <c r="AA663" s="1997"/>
      <c r="AB663" s="1997"/>
      <c r="AC663" s="1997"/>
      <c r="AD663" s="570"/>
      <c r="AE663" s="570"/>
      <c r="AF663" s="570"/>
      <c r="AG663" s="570"/>
      <c r="AH663" s="570"/>
      <c r="AI663" s="570"/>
      <c r="AJ663" s="570"/>
      <c r="AK663" s="570"/>
      <c r="AL663" s="570"/>
      <c r="AM663" s="630"/>
      <c r="AN663" s="631"/>
    </row>
    <row r="664" spans="1:42" s="584" customFormat="1" ht="12.75" customHeight="1">
      <c r="B664" s="570"/>
      <c r="C664" s="966"/>
      <c r="D664" s="697"/>
      <c r="E664" s="1997"/>
      <c r="F664" s="1997"/>
      <c r="G664" s="1997"/>
      <c r="H664" s="1997"/>
      <c r="I664" s="1997"/>
      <c r="J664" s="1997"/>
      <c r="K664" s="1997"/>
      <c r="L664" s="1997"/>
      <c r="M664" s="1997"/>
      <c r="N664" s="1997"/>
      <c r="O664" s="1997"/>
      <c r="P664" s="1997"/>
      <c r="Q664" s="1997"/>
      <c r="R664" s="1997"/>
      <c r="S664" s="1997"/>
      <c r="T664" s="1997"/>
      <c r="U664" s="1997"/>
      <c r="V664" s="1997"/>
      <c r="W664" s="1997"/>
      <c r="X664" s="1997"/>
      <c r="Y664" s="1997"/>
      <c r="Z664" s="1997"/>
      <c r="AA664" s="1997"/>
      <c r="AB664" s="1997"/>
      <c r="AC664" s="199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97" t="s">
        <v>1532</v>
      </c>
      <c r="F666" s="1997"/>
      <c r="G666" s="1997"/>
      <c r="H666" s="1997"/>
      <c r="I666" s="1997"/>
      <c r="J666" s="1997"/>
      <c r="K666" s="1997"/>
      <c r="L666" s="1997"/>
      <c r="M666" s="1997"/>
      <c r="N666" s="1997"/>
      <c r="O666" s="1997"/>
      <c r="P666" s="1997"/>
      <c r="Q666" s="1997"/>
      <c r="R666" s="1997"/>
      <c r="S666" s="1997"/>
      <c r="T666" s="1997"/>
      <c r="U666" s="1997"/>
      <c r="V666" s="1997"/>
      <c r="W666" s="1997"/>
      <c r="X666" s="1997"/>
      <c r="Y666" s="1997"/>
      <c r="Z666" s="1997"/>
      <c r="AA666" s="1997"/>
      <c r="AB666" s="1997"/>
      <c r="AC666" s="1997"/>
      <c r="AD666" s="570"/>
      <c r="AE666" s="570"/>
      <c r="AF666" s="1943" t="s">
        <v>1517</v>
      </c>
      <c r="AG666" s="1943"/>
      <c r="AH666" s="1943"/>
      <c r="AI666" s="1943"/>
      <c r="AJ666" s="1943"/>
      <c r="AK666" s="1943"/>
      <c r="AL666" s="1943"/>
      <c r="AM666" s="630"/>
      <c r="AN666" s="631"/>
    </row>
    <row r="667" spans="1:42" s="584" customFormat="1" ht="12.75" customHeight="1">
      <c r="A667" s="713"/>
      <c r="B667" s="570"/>
      <c r="C667" s="966"/>
      <c r="D667" s="697"/>
      <c r="E667" s="1997"/>
      <c r="F667" s="1997"/>
      <c r="G667" s="1997"/>
      <c r="H667" s="1997"/>
      <c r="I667" s="1997"/>
      <c r="J667" s="1997"/>
      <c r="K667" s="1997"/>
      <c r="L667" s="1997"/>
      <c r="M667" s="1997"/>
      <c r="N667" s="1997"/>
      <c r="O667" s="1997"/>
      <c r="P667" s="1997"/>
      <c r="Q667" s="1997"/>
      <c r="R667" s="1997"/>
      <c r="S667" s="1997"/>
      <c r="T667" s="1997"/>
      <c r="U667" s="1997"/>
      <c r="V667" s="1997"/>
      <c r="W667" s="1997"/>
      <c r="X667" s="1997"/>
      <c r="Y667" s="1997"/>
      <c r="Z667" s="1997"/>
      <c r="AA667" s="1997"/>
      <c r="AB667" s="1997"/>
      <c r="AC667" s="199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7"/>
      <c r="F668" s="1997"/>
      <c r="G668" s="1997"/>
      <c r="H668" s="1997"/>
      <c r="I668" s="1997"/>
      <c r="J668" s="1997"/>
      <c r="K668" s="1997"/>
      <c r="L668" s="1997"/>
      <c r="M668" s="1997"/>
      <c r="N668" s="1997"/>
      <c r="O668" s="1997"/>
      <c r="P668" s="1997"/>
      <c r="Q668" s="1997"/>
      <c r="R668" s="1997"/>
      <c r="S668" s="1997"/>
      <c r="T668" s="1997"/>
      <c r="U668" s="1997"/>
      <c r="V668" s="1997"/>
      <c r="W668" s="1997"/>
      <c r="X668" s="1997"/>
      <c r="Y668" s="1997"/>
      <c r="Z668" s="1997"/>
      <c r="AA668" s="1997"/>
      <c r="AB668" s="1997"/>
      <c r="AC668" s="199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97" t="s">
        <v>1533</v>
      </c>
      <c r="F670" s="1997"/>
      <c r="G670" s="1997"/>
      <c r="H670" s="1997"/>
      <c r="I670" s="1997"/>
      <c r="J670" s="1997"/>
      <c r="K670" s="1997"/>
      <c r="L670" s="1997"/>
      <c r="M670" s="1997"/>
      <c r="N670" s="1997"/>
      <c r="O670" s="1997"/>
      <c r="P670" s="1997"/>
      <c r="Q670" s="1997"/>
      <c r="R670" s="1997"/>
      <c r="S670" s="1997"/>
      <c r="T670" s="1997"/>
      <c r="U670" s="1997"/>
      <c r="V670" s="1997"/>
      <c r="W670" s="1997"/>
      <c r="X670" s="1997"/>
      <c r="Y670" s="1997"/>
      <c r="Z670" s="1997"/>
      <c r="AA670" s="1997"/>
      <c r="AB670" s="1997"/>
      <c r="AC670" s="1997"/>
      <c r="AD670" s="570"/>
      <c r="AE670" s="570"/>
      <c r="AF670" s="1943" t="s">
        <v>1534</v>
      </c>
      <c r="AG670" s="1943"/>
      <c r="AH670" s="1943"/>
      <c r="AI670" s="1943"/>
      <c r="AJ670" s="1943"/>
      <c r="AK670" s="1943"/>
      <c r="AL670" s="1943"/>
      <c r="AM670" s="630"/>
      <c r="AN670" s="631"/>
      <c r="AO670" s="645" t="s">
        <v>696</v>
      </c>
      <c r="AP670" s="584">
        <v>3</v>
      </c>
    </row>
    <row r="671" spans="1:42" s="584" customFormat="1" ht="12.75" customHeight="1">
      <c r="A671" s="713"/>
      <c r="B671" s="570"/>
      <c r="C671" s="966"/>
      <c r="D671" s="697"/>
      <c r="E671" s="1997"/>
      <c r="F671" s="1997"/>
      <c r="G671" s="1997"/>
      <c r="H671" s="1997"/>
      <c r="I671" s="1997"/>
      <c r="J671" s="1997"/>
      <c r="K671" s="1997"/>
      <c r="L671" s="1997"/>
      <c r="M671" s="1997"/>
      <c r="N671" s="1997"/>
      <c r="O671" s="1997"/>
      <c r="P671" s="1997"/>
      <c r="Q671" s="1997"/>
      <c r="R671" s="1997"/>
      <c r="S671" s="1997"/>
      <c r="T671" s="1997"/>
      <c r="U671" s="1997"/>
      <c r="V671" s="1997"/>
      <c r="W671" s="1997"/>
      <c r="X671" s="1997"/>
      <c r="Y671" s="1997"/>
      <c r="Z671" s="1997"/>
      <c r="AA671" s="1997"/>
      <c r="AB671" s="1997"/>
      <c r="AC671" s="199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7"/>
      <c r="F672" s="1997"/>
      <c r="G672" s="1997"/>
      <c r="H672" s="1997"/>
      <c r="I672" s="1997"/>
      <c r="J672" s="1997"/>
      <c r="K672" s="1997"/>
      <c r="L672" s="1997"/>
      <c r="M672" s="1997"/>
      <c r="N672" s="1997"/>
      <c r="O672" s="1997"/>
      <c r="P672" s="1997"/>
      <c r="Q672" s="1997"/>
      <c r="R672" s="1997"/>
      <c r="S672" s="1997"/>
      <c r="T672" s="1997"/>
      <c r="U672" s="1997"/>
      <c r="V672" s="1997"/>
      <c r="W672" s="1997"/>
      <c r="X672" s="1997"/>
      <c r="Y672" s="1997"/>
      <c r="Z672" s="1997"/>
      <c r="AA672" s="1997"/>
      <c r="AB672" s="1997"/>
      <c r="AC672" s="199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26" t="s">
        <v>517</v>
      </c>
      <c r="I674" s="202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77">
        <f>VLOOKUP($H$674,$AO$622:$AP$629,2,FALSE)</f>
        <v>4</v>
      </c>
      <c r="AK676" s="197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127</v>
      </c>
    </row>
    <row r="680" spans="1:51" s="584" customFormat="1" ht="12.75" customHeight="1">
      <c r="A680" s="713"/>
      <c r="B680" s="570"/>
      <c r="C680" s="983"/>
      <c r="D680" s="697" t="s">
        <v>696</v>
      </c>
      <c r="E680" s="2033" t="s">
        <v>2550</v>
      </c>
      <c r="F680" s="2033"/>
      <c r="G680" s="2033"/>
      <c r="H680" s="2033"/>
      <c r="I680" s="2033"/>
      <c r="J680" s="2033"/>
      <c r="K680" s="2033"/>
      <c r="L680" s="2033"/>
      <c r="M680" s="2033"/>
      <c r="N680" s="2033"/>
      <c r="O680" s="2033"/>
      <c r="P680" s="2033"/>
      <c r="Q680" s="2033"/>
      <c r="R680" s="2033"/>
      <c r="S680" s="2033"/>
      <c r="T680" s="2033"/>
      <c r="U680" s="2033"/>
      <c r="V680" s="2033"/>
      <c r="W680" s="2033"/>
      <c r="X680" s="2033"/>
      <c r="Y680" s="2033"/>
      <c r="Z680" s="2033"/>
      <c r="AA680" s="2033"/>
      <c r="AB680" s="2033"/>
      <c r="AC680" s="570"/>
      <c r="AD680" s="570"/>
      <c r="AE680" s="570"/>
      <c r="AF680" s="1943" t="s">
        <v>1461</v>
      </c>
      <c r="AG680" s="1943"/>
      <c r="AH680" s="1943"/>
      <c r="AI680" s="1943"/>
      <c r="AJ680" s="1943"/>
      <c r="AK680" s="1943"/>
      <c r="AL680" s="1943"/>
      <c r="AN680" s="631"/>
      <c r="AW680" s="22" t="s">
        <v>2545</v>
      </c>
      <c r="AX680" s="584">
        <f>Application!CC632</f>
        <v>33</v>
      </c>
    </row>
    <row r="681" spans="1:51" s="584" customFormat="1" ht="12.75" customHeight="1">
      <c r="A681" s="713"/>
      <c r="B681" s="570"/>
      <c r="C681" s="983"/>
      <c r="D681" s="697"/>
      <c r="E681" s="2033"/>
      <c r="F681" s="2033"/>
      <c r="G681" s="2033"/>
      <c r="H681" s="2033"/>
      <c r="I681" s="2033"/>
      <c r="J681" s="2033"/>
      <c r="K681" s="2033"/>
      <c r="L681" s="2033"/>
      <c r="M681" s="2033"/>
      <c r="N681" s="2033"/>
      <c r="O681" s="2033"/>
      <c r="P681" s="2033"/>
      <c r="Q681" s="2033"/>
      <c r="R681" s="2033"/>
      <c r="S681" s="2033"/>
      <c r="T681" s="2033"/>
      <c r="U681" s="2033"/>
      <c r="V681" s="2033"/>
      <c r="W681" s="2033"/>
      <c r="X681" s="2033"/>
      <c r="Y681" s="2033"/>
      <c r="Z681" s="2033"/>
      <c r="AA681" s="2033"/>
      <c r="AB681" s="203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97" t="s">
        <v>2451</v>
      </c>
      <c r="F683" s="1997"/>
      <c r="G683" s="1997"/>
      <c r="H683" s="1997"/>
      <c r="I683" s="1997"/>
      <c r="J683" s="1997"/>
      <c r="K683" s="1997"/>
      <c r="L683" s="1997"/>
      <c r="M683" s="1997"/>
      <c r="N683" s="1997"/>
      <c r="O683" s="1997"/>
      <c r="P683" s="1997"/>
      <c r="Q683" s="1997"/>
      <c r="R683" s="1997"/>
      <c r="S683" s="1997"/>
      <c r="T683" s="1997"/>
      <c r="U683" s="1997"/>
      <c r="V683" s="1997"/>
      <c r="W683" s="1997"/>
      <c r="X683" s="1997"/>
      <c r="Y683" s="1997"/>
      <c r="Z683" s="1997"/>
      <c r="AA683" s="1997"/>
      <c r="AB683" s="1997"/>
      <c r="AC683" s="570"/>
      <c r="AD683" s="570"/>
      <c r="AE683" s="570"/>
      <c r="AF683" s="1943" t="s">
        <v>1461</v>
      </c>
      <c r="AG683" s="1943"/>
      <c r="AH683" s="1943"/>
      <c r="AI683" s="1943"/>
      <c r="AJ683" s="1943"/>
      <c r="AK683" s="1943"/>
      <c r="AL683" s="1943"/>
      <c r="AN683" s="631"/>
      <c r="AW683" s="22" t="s">
        <v>2548</v>
      </c>
      <c r="AX683" s="584">
        <f>AX680+AX681+AX682</f>
        <v>33</v>
      </c>
    </row>
    <row r="684" spans="1:51" s="584" customFormat="1" ht="12.75" customHeight="1">
      <c r="B684" s="570"/>
      <c r="C684" s="975"/>
      <c r="D684" s="697"/>
      <c r="E684" s="1997"/>
      <c r="F684" s="1997"/>
      <c r="G684" s="1997"/>
      <c r="H684" s="1997"/>
      <c r="I684" s="1997"/>
      <c r="J684" s="1997"/>
      <c r="K684" s="1997"/>
      <c r="L684" s="1997"/>
      <c r="M684" s="1997"/>
      <c r="N684" s="1997"/>
      <c r="O684" s="1997"/>
      <c r="P684" s="1997"/>
      <c r="Q684" s="1997"/>
      <c r="R684" s="1997"/>
      <c r="S684" s="1997"/>
      <c r="T684" s="1997"/>
      <c r="U684" s="1997"/>
      <c r="V684" s="1997"/>
      <c r="W684" s="1997"/>
      <c r="X684" s="1997"/>
      <c r="Y684" s="1997"/>
      <c r="Z684" s="1997"/>
      <c r="AA684" s="1997"/>
      <c r="AB684" s="1997"/>
      <c r="AC684" s="570"/>
      <c r="AD684" s="570"/>
      <c r="AE684" s="650"/>
      <c r="AF684" s="570"/>
      <c r="AG684" s="570"/>
      <c r="AH684" s="570"/>
      <c r="AI684" s="570"/>
      <c r="AJ684" s="570"/>
      <c r="AK684" s="570"/>
      <c r="AL684" s="570"/>
      <c r="AN684" s="631"/>
      <c r="AO684" s="2032" t="b">
        <f>IF(Application!D211="Special Needs",IF(AY684&gt;=0.25,TRUE,FALSE),IF(AX684&gt;=0.25,TRUE,FALSE))</f>
        <v>1</v>
      </c>
      <c r="AP684" s="2032"/>
      <c r="AW684" s="22" t="s">
        <v>2549</v>
      </c>
      <c r="AX684" s="584">
        <f>IFERROR(AX683/AX679,0)</f>
        <v>0.25984251968503935</v>
      </c>
      <c r="AY684" s="584">
        <f>IFERROR(AX683/(AX679-AX678),0)</f>
        <v>0.25984251968503935</v>
      </c>
    </row>
    <row r="685" spans="1:51" s="584" customFormat="1" ht="12.75" customHeight="1">
      <c r="B685" s="570"/>
      <c r="C685" s="975"/>
      <c r="E685" s="1997"/>
      <c r="F685" s="1997"/>
      <c r="G685" s="1997"/>
      <c r="H685" s="1997"/>
      <c r="I685" s="1997"/>
      <c r="J685" s="1997"/>
      <c r="K685" s="1997"/>
      <c r="L685" s="1997"/>
      <c r="M685" s="1997"/>
      <c r="N685" s="1997"/>
      <c r="O685" s="1997"/>
      <c r="P685" s="1997"/>
      <c r="Q685" s="1997"/>
      <c r="R685" s="1997"/>
      <c r="S685" s="1997"/>
      <c r="T685" s="1997"/>
      <c r="U685" s="1997"/>
      <c r="V685" s="1997"/>
      <c r="W685" s="1997"/>
      <c r="X685" s="1997"/>
      <c r="Y685" s="1997"/>
      <c r="Z685" s="1997"/>
      <c r="AA685" s="1997"/>
      <c r="AB685" s="199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7"/>
      <c r="F686" s="1997"/>
      <c r="G686" s="1997"/>
      <c r="H686" s="1997"/>
      <c r="I686" s="1997"/>
      <c r="J686" s="1997"/>
      <c r="K686" s="1997"/>
      <c r="L686" s="1997"/>
      <c r="M686" s="1997"/>
      <c r="N686" s="1997"/>
      <c r="O686" s="1997"/>
      <c r="P686" s="1997"/>
      <c r="Q686" s="1997"/>
      <c r="R686" s="1997"/>
      <c r="S686" s="1997"/>
      <c r="T686" s="1997"/>
      <c r="U686" s="1997"/>
      <c r="V686" s="1997"/>
      <c r="W686" s="1997"/>
      <c r="X686" s="1997"/>
      <c r="Y686" s="1997"/>
      <c r="Z686" s="1997"/>
      <c r="AA686" s="1997"/>
      <c r="AB686" s="199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97" t="s">
        <v>2452</v>
      </c>
      <c r="F688" s="1997"/>
      <c r="G688" s="1997"/>
      <c r="H688" s="1997"/>
      <c r="I688" s="1997"/>
      <c r="J688" s="1997"/>
      <c r="K688" s="1997"/>
      <c r="L688" s="1997"/>
      <c r="M688" s="1997"/>
      <c r="N688" s="1997"/>
      <c r="O688" s="1997"/>
      <c r="P688" s="1997"/>
      <c r="Q688" s="1997"/>
      <c r="R688" s="1997"/>
      <c r="S688" s="1997"/>
      <c r="T688" s="1997"/>
      <c r="U688" s="1997"/>
      <c r="V688" s="1997"/>
      <c r="W688" s="1997"/>
      <c r="X688" s="1997"/>
      <c r="Y688" s="1997"/>
      <c r="Z688" s="1997"/>
      <c r="AA688" s="1997"/>
      <c r="AB688" s="1997"/>
      <c r="AC688" s="570"/>
      <c r="AD688" s="570"/>
      <c r="AE688" s="570"/>
      <c r="AF688" s="1943" t="s">
        <v>1517</v>
      </c>
      <c r="AG688" s="1943"/>
      <c r="AH688" s="1943"/>
      <c r="AI688" s="1943"/>
      <c r="AJ688" s="1943"/>
      <c r="AK688" s="1943"/>
      <c r="AL688" s="1943"/>
      <c r="AN688" s="631"/>
      <c r="AO688" s="645" t="s">
        <v>517</v>
      </c>
      <c r="AP688" s="584">
        <v>1</v>
      </c>
    </row>
    <row r="689" spans="1:42" s="584" customFormat="1" ht="12" customHeight="1">
      <c r="B689" s="570"/>
      <c r="C689" s="966"/>
      <c r="E689" s="1997"/>
      <c r="F689" s="1997"/>
      <c r="G689" s="1997"/>
      <c r="H689" s="1997"/>
      <c r="I689" s="1997"/>
      <c r="J689" s="1997"/>
      <c r="K689" s="1997"/>
      <c r="L689" s="1997"/>
      <c r="M689" s="1997"/>
      <c r="N689" s="1997"/>
      <c r="O689" s="1997"/>
      <c r="P689" s="1997"/>
      <c r="Q689" s="1997"/>
      <c r="R689" s="1997"/>
      <c r="S689" s="1997"/>
      <c r="T689" s="1997"/>
      <c r="U689" s="1997"/>
      <c r="V689" s="1997"/>
      <c r="W689" s="1997"/>
      <c r="X689" s="1997"/>
      <c r="Y689" s="1997"/>
      <c r="Z689" s="1997"/>
      <c r="AA689" s="1997"/>
      <c r="AB689" s="1997"/>
      <c r="AC689" s="570"/>
      <c r="AD689" s="570"/>
      <c r="AE689" s="650"/>
      <c r="AF689" s="570"/>
      <c r="AG689" s="570"/>
      <c r="AH689" s="570"/>
      <c r="AI689" s="570"/>
      <c r="AJ689" s="570"/>
      <c r="AK689" s="570"/>
      <c r="AL689" s="570"/>
      <c r="AN689" s="631"/>
    </row>
    <row r="690" spans="1:42" s="584" customFormat="1" ht="12" customHeight="1">
      <c r="B690" s="570"/>
      <c r="C690" s="966"/>
      <c r="D690" s="570"/>
      <c r="E690" s="1997"/>
      <c r="F690" s="1997"/>
      <c r="G690" s="1997"/>
      <c r="H690" s="1997"/>
      <c r="I690" s="1997"/>
      <c r="J690" s="1997"/>
      <c r="K690" s="1997"/>
      <c r="L690" s="1997"/>
      <c r="M690" s="1997"/>
      <c r="N690" s="1997"/>
      <c r="O690" s="1997"/>
      <c r="P690" s="1997"/>
      <c r="Q690" s="1997"/>
      <c r="R690" s="1997"/>
      <c r="S690" s="1997"/>
      <c r="T690" s="1997"/>
      <c r="U690" s="1997"/>
      <c r="V690" s="1997"/>
      <c r="W690" s="1997"/>
      <c r="X690" s="1997"/>
      <c r="Y690" s="1997"/>
      <c r="Z690" s="1997"/>
      <c r="AA690" s="1997"/>
      <c r="AB690" s="1997"/>
      <c r="AC690" s="570"/>
      <c r="AD690" s="570"/>
      <c r="AE690" s="650"/>
      <c r="AF690" s="570"/>
      <c r="AG690" s="570"/>
      <c r="AH690" s="570"/>
      <c r="AI690" s="570"/>
      <c r="AJ690" s="570"/>
      <c r="AK690" s="570"/>
      <c r="AL690" s="570"/>
      <c r="AN690" s="631"/>
    </row>
    <row r="691" spans="1:42" s="584" customFormat="1" ht="12" customHeight="1">
      <c r="B691" s="570"/>
      <c r="C691" s="966"/>
      <c r="D691" s="570"/>
      <c r="E691" s="1997"/>
      <c r="F691" s="1997"/>
      <c r="G691" s="1997"/>
      <c r="H691" s="1997"/>
      <c r="I691" s="1997"/>
      <c r="J691" s="1997"/>
      <c r="K691" s="1997"/>
      <c r="L691" s="1997"/>
      <c r="M691" s="1997"/>
      <c r="N691" s="1997"/>
      <c r="O691" s="1997"/>
      <c r="P691" s="1997"/>
      <c r="Q691" s="1997"/>
      <c r="R691" s="1997"/>
      <c r="S691" s="1997"/>
      <c r="T691" s="1997"/>
      <c r="U691" s="1997"/>
      <c r="V691" s="1997"/>
      <c r="W691" s="1997"/>
      <c r="X691" s="1997"/>
      <c r="Y691" s="1997"/>
      <c r="Z691" s="1997"/>
      <c r="AA691" s="1997"/>
      <c r="AB691" s="199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97"/>
      <c r="F692" s="1997"/>
      <c r="G692" s="1997"/>
      <c r="H692" s="1997"/>
      <c r="I692" s="1997"/>
      <c r="J692" s="1997"/>
      <c r="K692" s="1997"/>
      <c r="L692" s="1997"/>
      <c r="M692" s="1997"/>
      <c r="N692" s="1997"/>
      <c r="O692" s="1997"/>
      <c r="P692" s="1997"/>
      <c r="Q692" s="1997"/>
      <c r="R692" s="1997"/>
      <c r="S692" s="1997"/>
      <c r="T692" s="1997"/>
      <c r="U692" s="1997"/>
      <c r="V692" s="1997"/>
      <c r="W692" s="1997"/>
      <c r="X692" s="1997"/>
      <c r="Y692" s="1997"/>
      <c r="Z692" s="1997"/>
      <c r="AA692" s="1997"/>
      <c r="AB692" s="199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7" t="s">
        <v>1881</v>
      </c>
      <c r="F694" s="1997"/>
      <c r="G694" s="1997"/>
      <c r="H694" s="1997"/>
      <c r="I694" s="1997"/>
      <c r="J694" s="1997"/>
      <c r="K694" s="1997"/>
      <c r="L694" s="1997"/>
      <c r="M694" s="1997"/>
      <c r="N694" s="1997"/>
      <c r="O694" s="1997"/>
      <c r="P694" s="1997"/>
      <c r="Q694" s="1997"/>
      <c r="R694" s="1997"/>
      <c r="S694" s="1997"/>
      <c r="T694" s="1997"/>
      <c r="U694" s="1997"/>
      <c r="V694" s="1997"/>
      <c r="W694" s="1997"/>
      <c r="X694" s="1997"/>
      <c r="Y694" s="1997"/>
      <c r="Z694" s="1997"/>
      <c r="AA694" s="1997"/>
      <c r="AB694" s="1997"/>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97"/>
      <c r="F695" s="1997"/>
      <c r="G695" s="1997"/>
      <c r="H695" s="1997"/>
      <c r="I695" s="1997"/>
      <c r="J695" s="1997"/>
      <c r="K695" s="1997"/>
      <c r="L695" s="1997"/>
      <c r="M695" s="1997"/>
      <c r="N695" s="1997"/>
      <c r="O695" s="1997"/>
      <c r="P695" s="1997"/>
      <c r="Q695" s="1997"/>
      <c r="R695" s="1997"/>
      <c r="S695" s="1997"/>
      <c r="T695" s="1997"/>
      <c r="U695" s="1997"/>
      <c r="V695" s="1997"/>
      <c r="W695" s="1997"/>
      <c r="X695" s="1997"/>
      <c r="Y695" s="1997"/>
      <c r="Z695" s="1997"/>
      <c r="AA695" s="1997"/>
      <c r="AB695" s="1997"/>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97"/>
      <c r="F696" s="1997"/>
      <c r="G696" s="1997"/>
      <c r="H696" s="1997"/>
      <c r="I696" s="1997"/>
      <c r="J696" s="1997"/>
      <c r="K696" s="1997"/>
      <c r="L696" s="1997"/>
      <c r="M696" s="1997"/>
      <c r="N696" s="1997"/>
      <c r="O696" s="1997"/>
      <c r="P696" s="1997"/>
      <c r="Q696" s="1997"/>
      <c r="R696" s="1997"/>
      <c r="S696" s="1997"/>
      <c r="T696" s="1997"/>
      <c r="U696" s="1997"/>
      <c r="V696" s="1997"/>
      <c r="W696" s="1997"/>
      <c r="X696" s="1997"/>
      <c r="Y696" s="1997"/>
      <c r="Z696" s="1997"/>
      <c r="AA696" s="1997"/>
      <c r="AB696" s="199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26" t="s">
        <v>517</v>
      </c>
      <c r="I698" s="202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77">
        <f>VLOOKUP($H$698,$AO$692:$AP$695,2,FALSE)</f>
        <v>3</v>
      </c>
      <c r="AK700" s="1979"/>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34" t="s">
        <v>1883</v>
      </c>
      <c r="F704" s="2034"/>
      <c r="G704" s="2034"/>
      <c r="H704" s="2034"/>
      <c r="I704" s="2034"/>
      <c r="J704" s="2034"/>
      <c r="K704" s="2034"/>
      <c r="L704" s="2034"/>
      <c r="M704" s="2034"/>
      <c r="N704" s="2034"/>
      <c r="O704" s="2034"/>
      <c r="P704" s="2034"/>
      <c r="Q704" s="2034"/>
      <c r="R704" s="2034"/>
      <c r="S704" s="2034"/>
      <c r="T704" s="2034"/>
      <c r="U704" s="2034"/>
      <c r="V704" s="2034"/>
      <c r="W704" s="2034"/>
      <c r="X704" s="2034"/>
      <c r="Y704" s="2034"/>
      <c r="Z704" s="2034"/>
      <c r="AA704" s="2034"/>
      <c r="AB704" s="2034"/>
      <c r="AC704" s="570"/>
      <c r="AD704" s="570"/>
      <c r="AE704" s="570"/>
      <c r="AF704" s="1943" t="s">
        <v>1461</v>
      </c>
      <c r="AG704" s="1943"/>
      <c r="AH704" s="1943"/>
      <c r="AI704" s="1943"/>
      <c r="AJ704" s="1943"/>
      <c r="AK704" s="1943"/>
      <c r="AL704" s="1943"/>
      <c r="AM704" s="584"/>
      <c r="AN704" s="718"/>
      <c r="AP704" s="604" t="s">
        <v>1541</v>
      </c>
    </row>
    <row r="705" spans="1:52" s="604" customFormat="1" ht="11.85" customHeight="1">
      <c r="A705" s="584"/>
      <c r="B705" s="570"/>
      <c r="C705" s="968"/>
      <c r="D705" s="697"/>
      <c r="E705" s="2034"/>
      <c r="F705" s="2034"/>
      <c r="G705" s="2034"/>
      <c r="H705" s="2034"/>
      <c r="I705" s="2034"/>
      <c r="J705" s="2034"/>
      <c r="K705" s="2034"/>
      <c r="L705" s="2034"/>
      <c r="M705" s="2034"/>
      <c r="N705" s="2034"/>
      <c r="O705" s="2034"/>
      <c r="P705" s="2034"/>
      <c r="Q705" s="2034"/>
      <c r="R705" s="2034"/>
      <c r="S705" s="2034"/>
      <c r="T705" s="2034"/>
      <c r="U705" s="2034"/>
      <c r="V705" s="2034"/>
      <c r="W705" s="2034"/>
      <c r="X705" s="2034"/>
      <c r="Y705" s="2034"/>
      <c r="Z705" s="2034"/>
      <c r="AA705" s="2034"/>
      <c r="AB705" s="2034"/>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34"/>
      <c r="F706" s="2034"/>
      <c r="G706" s="2034"/>
      <c r="H706" s="2034"/>
      <c r="I706" s="2034"/>
      <c r="J706" s="2034"/>
      <c r="K706" s="2034"/>
      <c r="L706" s="2034"/>
      <c r="M706" s="2034"/>
      <c r="N706" s="2034"/>
      <c r="O706" s="2034"/>
      <c r="P706" s="2034"/>
      <c r="Q706" s="2034"/>
      <c r="R706" s="2034"/>
      <c r="S706" s="2034"/>
      <c r="T706" s="2034"/>
      <c r="U706" s="2034"/>
      <c r="V706" s="2034"/>
      <c r="W706" s="2034"/>
      <c r="X706" s="2034"/>
      <c r="Y706" s="2034"/>
      <c r="Z706" s="2034"/>
      <c r="AA706" s="2034"/>
      <c r="AB706" s="2034"/>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35" t="s">
        <v>1544</v>
      </c>
      <c r="F708" s="2035"/>
      <c r="G708" s="2035"/>
      <c r="H708" s="2035"/>
      <c r="I708" s="2035"/>
      <c r="J708" s="2035"/>
      <c r="K708" s="2035"/>
      <c r="L708" s="2035"/>
      <c r="M708" s="2035"/>
      <c r="N708" s="2035"/>
      <c r="O708" s="2035"/>
      <c r="P708" s="2035"/>
      <c r="Q708" s="2035"/>
      <c r="R708" s="2035"/>
      <c r="S708" s="2035"/>
      <c r="T708" s="2035"/>
      <c r="U708" s="2035"/>
      <c r="V708" s="2035"/>
      <c r="W708" s="2035"/>
      <c r="X708" s="2035"/>
      <c r="Y708" s="2035"/>
      <c r="Z708" s="2035"/>
      <c r="AA708" s="2035"/>
      <c r="AB708" s="2035"/>
      <c r="AC708" s="570"/>
      <c r="AD708" s="570"/>
      <c r="AE708" s="570"/>
      <c r="AF708" s="1943" t="s">
        <v>1517</v>
      </c>
      <c r="AG708" s="1943"/>
      <c r="AH708" s="1943"/>
      <c r="AI708" s="1943"/>
      <c r="AJ708" s="1943"/>
      <c r="AK708" s="1943"/>
      <c r="AL708" s="1943"/>
      <c r="AM708" s="584"/>
      <c r="AN708" s="719"/>
    </row>
    <row r="709" spans="1:52" s="604" customFormat="1" ht="12.75" customHeight="1">
      <c r="A709" s="584"/>
      <c r="B709" s="570"/>
      <c r="C709" s="968"/>
      <c r="D709" s="570"/>
      <c r="E709" s="2035"/>
      <c r="F709" s="2035"/>
      <c r="G709" s="2035"/>
      <c r="H709" s="2035"/>
      <c r="I709" s="2035"/>
      <c r="J709" s="2035"/>
      <c r="K709" s="2035"/>
      <c r="L709" s="2035"/>
      <c r="M709" s="2035"/>
      <c r="N709" s="2035"/>
      <c r="O709" s="2035"/>
      <c r="P709" s="2035"/>
      <c r="Q709" s="2035"/>
      <c r="R709" s="2035"/>
      <c r="S709" s="2035"/>
      <c r="T709" s="2035"/>
      <c r="U709" s="2035"/>
      <c r="V709" s="2035"/>
      <c r="W709" s="2035"/>
      <c r="X709" s="2035"/>
      <c r="Y709" s="2035"/>
      <c r="Z709" s="2035"/>
      <c r="AA709" s="2035"/>
      <c r="AB709" s="2035"/>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35"/>
      <c r="F710" s="2035"/>
      <c r="G710" s="2035"/>
      <c r="H710" s="2035"/>
      <c r="I710" s="2035"/>
      <c r="J710" s="2035"/>
      <c r="K710" s="2035"/>
      <c r="L710" s="2035"/>
      <c r="M710" s="2035"/>
      <c r="N710" s="2035"/>
      <c r="O710" s="2035"/>
      <c r="P710" s="2035"/>
      <c r="Q710" s="2035"/>
      <c r="R710" s="2035"/>
      <c r="S710" s="2035"/>
      <c r="T710" s="2035"/>
      <c r="U710" s="2035"/>
      <c r="V710" s="2035"/>
      <c r="W710" s="2035"/>
      <c r="X710" s="2035"/>
      <c r="Y710" s="2035"/>
      <c r="Z710" s="2035"/>
      <c r="AA710" s="2035"/>
      <c r="AB710" s="2035"/>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26" t="s">
        <v>599</v>
      </c>
      <c r="I712" s="202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77">
        <f>VLOOKUP($H$712,$AP$709:$AQ$711,2,FALSE)</f>
        <v>0</v>
      </c>
      <c r="AK714" s="1979"/>
      <c r="AL714" s="629"/>
      <c r="AM714" s="584"/>
      <c r="AN714" s="718"/>
      <c r="AP714" s="1977"/>
      <c r="AQ714" s="197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7" t="s">
        <v>1884</v>
      </c>
      <c r="F718" s="1997"/>
      <c r="G718" s="1997"/>
      <c r="H718" s="1997"/>
      <c r="I718" s="1997"/>
      <c r="J718" s="1997"/>
      <c r="K718" s="1997"/>
      <c r="L718" s="1997"/>
      <c r="M718" s="1997"/>
      <c r="N718" s="1997"/>
      <c r="O718" s="1997"/>
      <c r="P718" s="1997"/>
      <c r="Q718" s="1997"/>
      <c r="R718" s="1997"/>
      <c r="S718" s="1997"/>
      <c r="T718" s="1997"/>
      <c r="U718" s="1997"/>
      <c r="V718" s="1997"/>
      <c r="W718" s="1997"/>
      <c r="X718" s="1997"/>
      <c r="Y718" s="1997"/>
      <c r="Z718" s="1997"/>
      <c r="AA718" s="1997"/>
      <c r="AB718" s="1997"/>
      <c r="AC718" s="570"/>
      <c r="AD718" s="570"/>
      <c r="AE718" s="570"/>
      <c r="AF718" s="1943" t="s">
        <v>1461</v>
      </c>
      <c r="AG718" s="1943"/>
      <c r="AH718" s="1943"/>
      <c r="AI718" s="1943"/>
      <c r="AJ718" s="1943"/>
      <c r="AK718" s="1943"/>
      <c r="AL718" s="1943"/>
      <c r="AM718" s="584"/>
      <c r="AN718" s="718"/>
      <c r="AT718" s="14"/>
      <c r="AU718" s="14"/>
      <c r="AV718" s="14"/>
      <c r="AW718" s="14"/>
      <c r="AX718" s="14"/>
      <c r="AY718" s="14"/>
      <c r="AZ718" s="14"/>
    </row>
    <row r="719" spans="1:52" s="604" customFormat="1">
      <c r="A719" s="584"/>
      <c r="B719" s="570"/>
      <c r="C719" s="968"/>
      <c r="D719" s="697"/>
      <c r="E719" s="1997"/>
      <c r="F719" s="1997"/>
      <c r="G719" s="1997"/>
      <c r="H719" s="1997"/>
      <c r="I719" s="1997"/>
      <c r="J719" s="1997"/>
      <c r="K719" s="1997"/>
      <c r="L719" s="1997"/>
      <c r="M719" s="1997"/>
      <c r="N719" s="1997"/>
      <c r="O719" s="1997"/>
      <c r="P719" s="1997"/>
      <c r="Q719" s="1997"/>
      <c r="R719" s="1997"/>
      <c r="S719" s="1997"/>
      <c r="T719" s="1997"/>
      <c r="U719" s="1997"/>
      <c r="V719" s="1997"/>
      <c r="W719" s="1997"/>
      <c r="X719" s="1997"/>
      <c r="Y719" s="1997"/>
      <c r="Z719" s="1997"/>
      <c r="AA719" s="1997"/>
      <c r="AB719" s="199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7" t="s">
        <v>1548</v>
      </c>
      <c r="F721" s="1997"/>
      <c r="G721" s="1997"/>
      <c r="H721" s="1997"/>
      <c r="I721" s="1997"/>
      <c r="J721" s="1997"/>
      <c r="K721" s="1997"/>
      <c r="L721" s="1997"/>
      <c r="M721" s="1997"/>
      <c r="N721" s="1997"/>
      <c r="O721" s="1997"/>
      <c r="P721" s="1997"/>
      <c r="Q721" s="1997"/>
      <c r="R721" s="1997"/>
      <c r="S721" s="1997"/>
      <c r="T721" s="1997"/>
      <c r="U721" s="1997"/>
      <c r="V721" s="1997"/>
      <c r="W721" s="1997"/>
      <c r="X721" s="1997"/>
      <c r="Y721" s="1997"/>
      <c r="Z721" s="1997"/>
      <c r="AA721" s="1997"/>
      <c r="AB721" s="1997"/>
      <c r="AC721" s="570"/>
      <c r="AD721" s="570"/>
      <c r="AE721" s="570"/>
      <c r="AF721" s="1943" t="s">
        <v>1517</v>
      </c>
      <c r="AG721" s="1943"/>
      <c r="AH721" s="1943"/>
      <c r="AI721" s="1943"/>
      <c r="AJ721" s="1943"/>
      <c r="AK721" s="1943"/>
      <c r="AL721" s="1943"/>
      <c r="AM721" s="584"/>
      <c r="AN721" s="718"/>
      <c r="AT721" s="14"/>
      <c r="AU721" s="14"/>
      <c r="AV721" s="14"/>
      <c r="AW721" s="14"/>
      <c r="AX721" s="14"/>
      <c r="AY721" s="14"/>
      <c r="AZ721" s="14"/>
    </row>
    <row r="722" spans="1:81" s="604" customFormat="1">
      <c r="A722" s="584"/>
      <c r="B722" s="570"/>
      <c r="C722" s="968"/>
      <c r="D722" s="570"/>
      <c r="E722" s="1997"/>
      <c r="F722" s="1997"/>
      <c r="G722" s="1997"/>
      <c r="H722" s="1997"/>
      <c r="I722" s="1997"/>
      <c r="J722" s="1997"/>
      <c r="K722" s="1997"/>
      <c r="L722" s="1997"/>
      <c r="M722" s="1997"/>
      <c r="N722" s="1997"/>
      <c r="O722" s="1997"/>
      <c r="P722" s="1997"/>
      <c r="Q722" s="1997"/>
      <c r="R722" s="1997"/>
      <c r="S722" s="1997"/>
      <c r="T722" s="1997"/>
      <c r="U722" s="1997"/>
      <c r="V722" s="1997"/>
      <c r="W722" s="1997"/>
      <c r="X722" s="1997"/>
      <c r="Y722" s="1997"/>
      <c r="Z722" s="1997"/>
      <c r="AA722" s="1997"/>
      <c r="AB722" s="199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26" t="s">
        <v>599</v>
      </c>
      <c r="I724" s="202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77">
        <f>VLOOKUP($H$724,$AO$655:$AP$657,2,FALSE)</f>
        <v>0</v>
      </c>
      <c r="AK726" s="197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7" t="s">
        <v>1551</v>
      </c>
      <c r="F730" s="1997"/>
      <c r="G730" s="1997"/>
      <c r="H730" s="1997"/>
      <c r="I730" s="1997"/>
      <c r="J730" s="1997"/>
      <c r="K730" s="1997"/>
      <c r="L730" s="1997"/>
      <c r="M730" s="1997"/>
      <c r="N730" s="1997"/>
      <c r="O730" s="1997"/>
      <c r="P730" s="1997"/>
      <c r="Q730" s="1997"/>
      <c r="R730" s="1997"/>
      <c r="S730" s="1997"/>
      <c r="T730" s="1997"/>
      <c r="U730" s="1997"/>
      <c r="V730" s="1997"/>
      <c r="W730" s="1997"/>
      <c r="X730" s="1997"/>
      <c r="Y730" s="1997"/>
      <c r="Z730" s="1997"/>
      <c r="AA730" s="1997"/>
      <c r="AB730" s="1997"/>
      <c r="AC730" s="570"/>
      <c r="AD730" s="570"/>
      <c r="AE730" s="570"/>
      <c r="AF730" s="1943" t="s">
        <v>1461</v>
      </c>
      <c r="AG730" s="1943"/>
      <c r="AH730" s="1943"/>
      <c r="AI730" s="1943"/>
      <c r="AJ730" s="1943"/>
      <c r="AK730" s="1943"/>
      <c r="AL730" s="1943"/>
      <c r="AM730" s="584"/>
      <c r="AN730" s="718"/>
      <c r="AT730" s="14"/>
      <c r="AU730" s="14"/>
      <c r="AV730" s="14"/>
      <c r="AW730" s="14"/>
      <c r="AX730" s="14"/>
      <c r="AY730" s="14"/>
      <c r="AZ730" s="14"/>
    </row>
    <row r="731" spans="1:81" s="604" customFormat="1">
      <c r="A731" s="584"/>
      <c r="B731" s="570"/>
      <c r="C731" s="966"/>
      <c r="D731" s="697"/>
      <c r="E731" s="1997"/>
      <c r="F731" s="1997"/>
      <c r="G731" s="1997"/>
      <c r="H731" s="1997"/>
      <c r="I731" s="1997"/>
      <c r="J731" s="1997"/>
      <c r="K731" s="1997"/>
      <c r="L731" s="1997"/>
      <c r="M731" s="1997"/>
      <c r="N731" s="1997"/>
      <c r="O731" s="1997"/>
      <c r="P731" s="1997"/>
      <c r="Q731" s="1997"/>
      <c r="R731" s="1997"/>
      <c r="S731" s="1997"/>
      <c r="T731" s="1997"/>
      <c r="U731" s="1997"/>
      <c r="V731" s="1997"/>
      <c r="W731" s="1997"/>
      <c r="X731" s="1997"/>
      <c r="Y731" s="1997"/>
      <c r="Z731" s="1997"/>
      <c r="AA731" s="1997"/>
      <c r="AB731" s="199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7"/>
      <c r="F732" s="1997"/>
      <c r="G732" s="1997"/>
      <c r="H732" s="1997"/>
      <c r="I732" s="1997"/>
      <c r="J732" s="1997"/>
      <c r="K732" s="1997"/>
      <c r="L732" s="1997"/>
      <c r="M732" s="1997"/>
      <c r="N732" s="1997"/>
      <c r="O732" s="1997"/>
      <c r="P732" s="1997"/>
      <c r="Q732" s="1997"/>
      <c r="R732" s="1997"/>
      <c r="S732" s="1997"/>
      <c r="T732" s="1997"/>
      <c r="U732" s="1997"/>
      <c r="V732" s="1997"/>
      <c r="W732" s="1997"/>
      <c r="X732" s="1997"/>
      <c r="Y732" s="1997"/>
      <c r="Z732" s="1997"/>
      <c r="AA732" s="1997"/>
      <c r="AB732" s="199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7"/>
      <c r="F733" s="1997"/>
      <c r="G733" s="1997"/>
      <c r="H733" s="1997"/>
      <c r="I733" s="1997"/>
      <c r="J733" s="1997"/>
      <c r="K733" s="1997"/>
      <c r="L733" s="1997"/>
      <c r="M733" s="1997"/>
      <c r="N733" s="1997"/>
      <c r="O733" s="1997"/>
      <c r="P733" s="1997"/>
      <c r="Q733" s="1997"/>
      <c r="R733" s="1997"/>
      <c r="S733" s="1997"/>
      <c r="T733" s="1997"/>
      <c r="U733" s="1997"/>
      <c r="V733" s="1997"/>
      <c r="W733" s="1997"/>
      <c r="X733" s="1997"/>
      <c r="Y733" s="1997"/>
      <c r="Z733" s="1997"/>
      <c r="AA733" s="1997"/>
      <c r="AB733" s="199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7" t="s">
        <v>1552</v>
      </c>
      <c r="F735" s="1997"/>
      <c r="G735" s="1997"/>
      <c r="H735" s="1997"/>
      <c r="I735" s="1997"/>
      <c r="J735" s="1997"/>
      <c r="K735" s="1997"/>
      <c r="L735" s="1997"/>
      <c r="M735" s="1997"/>
      <c r="N735" s="1997"/>
      <c r="O735" s="1997"/>
      <c r="P735" s="1997"/>
      <c r="Q735" s="1997"/>
      <c r="R735" s="1997"/>
      <c r="S735" s="1997"/>
      <c r="T735" s="1997"/>
      <c r="U735" s="1997"/>
      <c r="V735" s="1997"/>
      <c r="W735" s="1997"/>
      <c r="X735" s="1997"/>
      <c r="Y735" s="1997"/>
      <c r="Z735" s="1997"/>
      <c r="AA735" s="1997"/>
      <c r="AB735" s="609"/>
      <c r="AC735" s="570"/>
      <c r="AD735" s="570"/>
      <c r="AE735" s="570"/>
      <c r="AF735" s="1943" t="s">
        <v>1517</v>
      </c>
      <c r="AG735" s="1943"/>
      <c r="AH735" s="1943"/>
      <c r="AI735" s="1943"/>
      <c r="AJ735" s="1943"/>
      <c r="AK735" s="1943"/>
      <c r="AL735" s="1943"/>
      <c r="AM735" s="584"/>
      <c r="AN735" s="718"/>
      <c r="AO735" s="30"/>
      <c r="AP735" s="14"/>
    </row>
    <row r="736" spans="1:81" s="604" customFormat="1">
      <c r="A736" s="584"/>
      <c r="B736" s="570"/>
      <c r="C736" s="966"/>
      <c r="D736" s="697"/>
      <c r="E736" s="1997"/>
      <c r="F736" s="1997"/>
      <c r="G736" s="1997"/>
      <c r="H736" s="1997"/>
      <c r="I736" s="1997"/>
      <c r="J736" s="1997"/>
      <c r="K736" s="1997"/>
      <c r="L736" s="1997"/>
      <c r="M736" s="1997"/>
      <c r="N736" s="1997"/>
      <c r="O736" s="1997"/>
      <c r="P736" s="1997"/>
      <c r="Q736" s="1997"/>
      <c r="R736" s="1997"/>
      <c r="S736" s="1997"/>
      <c r="T736" s="1997"/>
      <c r="U736" s="1997"/>
      <c r="V736" s="1997"/>
      <c r="W736" s="1997"/>
      <c r="X736" s="1997"/>
      <c r="Y736" s="1997"/>
      <c r="Z736" s="1997"/>
      <c r="AA736" s="199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7"/>
      <c r="F737" s="1997"/>
      <c r="G737" s="1997"/>
      <c r="H737" s="1997"/>
      <c r="I737" s="1997"/>
      <c r="J737" s="1997"/>
      <c r="K737" s="1997"/>
      <c r="L737" s="1997"/>
      <c r="M737" s="1997"/>
      <c r="N737" s="1997"/>
      <c r="O737" s="1997"/>
      <c r="P737" s="1997"/>
      <c r="Q737" s="1997"/>
      <c r="R737" s="1997"/>
      <c r="S737" s="1997"/>
      <c r="T737" s="1997"/>
      <c r="U737" s="1997"/>
      <c r="V737" s="1997"/>
      <c r="W737" s="1997"/>
      <c r="X737" s="1997"/>
      <c r="Y737" s="1997"/>
      <c r="Z737" s="1997"/>
      <c r="AA737" s="199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7"/>
      <c r="F738" s="1997"/>
      <c r="G738" s="1997"/>
      <c r="H738" s="1997"/>
      <c r="I738" s="1997"/>
      <c r="J738" s="1997"/>
      <c r="K738" s="1997"/>
      <c r="L738" s="1997"/>
      <c r="M738" s="1997"/>
      <c r="N738" s="1997"/>
      <c r="O738" s="1997"/>
      <c r="P738" s="1997"/>
      <c r="Q738" s="1997"/>
      <c r="R738" s="1997"/>
      <c r="S738" s="1997"/>
      <c r="T738" s="1997"/>
      <c r="U738" s="1997"/>
      <c r="V738" s="1997"/>
      <c r="W738" s="1997"/>
      <c r="X738" s="1997"/>
      <c r="Y738" s="1997"/>
      <c r="Z738" s="1997"/>
      <c r="AA738" s="199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26" t="s">
        <v>599</v>
      </c>
      <c r="I740" s="202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77">
        <f>VLOOKUP($H$740,$AO$669:$AP$671,2,FALSE)</f>
        <v>0</v>
      </c>
      <c r="AK742" s="197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7" t="s">
        <v>1554</v>
      </c>
      <c r="F746" s="1997"/>
      <c r="G746" s="1997"/>
      <c r="H746" s="1997"/>
      <c r="I746" s="1997"/>
      <c r="J746" s="1997"/>
      <c r="K746" s="1997"/>
      <c r="L746" s="1997"/>
      <c r="M746" s="1997"/>
      <c r="N746" s="1997"/>
      <c r="O746" s="1997"/>
      <c r="P746" s="1997"/>
      <c r="Q746" s="1997"/>
      <c r="R746" s="1997"/>
      <c r="S746" s="1997"/>
      <c r="T746" s="1997"/>
      <c r="U746" s="1997"/>
      <c r="V746" s="1997"/>
      <c r="W746" s="1997"/>
      <c r="X746" s="1997"/>
      <c r="Y746" s="1997"/>
      <c r="Z746" s="1997"/>
      <c r="AA746" s="1997"/>
      <c r="AB746" s="1997"/>
      <c r="AC746" s="570"/>
      <c r="AD746" s="570"/>
      <c r="AE746" s="570"/>
      <c r="AF746" s="1943" t="s">
        <v>1517</v>
      </c>
      <c r="AG746" s="1943"/>
      <c r="AH746" s="1943"/>
      <c r="AI746" s="1943"/>
      <c r="AJ746" s="1943"/>
      <c r="AK746" s="1943"/>
      <c r="AL746" s="194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7"/>
      <c r="F747" s="1997"/>
      <c r="G747" s="1997"/>
      <c r="H747" s="1997"/>
      <c r="I747" s="1997"/>
      <c r="J747" s="1997"/>
      <c r="K747" s="1997"/>
      <c r="L747" s="1997"/>
      <c r="M747" s="1997"/>
      <c r="N747" s="1997"/>
      <c r="O747" s="1997"/>
      <c r="P747" s="1997"/>
      <c r="Q747" s="1997"/>
      <c r="R747" s="1997"/>
      <c r="S747" s="1997"/>
      <c r="T747" s="1997"/>
      <c r="U747" s="1997"/>
      <c r="V747" s="1997"/>
      <c r="W747" s="1997"/>
      <c r="X747" s="1997"/>
      <c r="Y747" s="1997"/>
      <c r="Z747" s="1997"/>
      <c r="AA747" s="1997"/>
      <c r="AB747" s="199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7" t="s">
        <v>1555</v>
      </c>
      <c r="F749" s="1997"/>
      <c r="G749" s="1997"/>
      <c r="H749" s="1997"/>
      <c r="I749" s="1997"/>
      <c r="J749" s="1997"/>
      <c r="K749" s="1997"/>
      <c r="L749" s="1997"/>
      <c r="M749" s="1997"/>
      <c r="N749" s="1997"/>
      <c r="O749" s="1997"/>
      <c r="P749" s="1997"/>
      <c r="Q749" s="1997"/>
      <c r="R749" s="1997"/>
      <c r="S749" s="1997"/>
      <c r="T749" s="1997"/>
      <c r="U749" s="1997"/>
      <c r="V749" s="1997"/>
      <c r="W749" s="1997"/>
      <c r="X749" s="1997"/>
      <c r="Y749" s="1997"/>
      <c r="Z749" s="1997"/>
      <c r="AA749" s="1997"/>
      <c r="AB749" s="1997"/>
      <c r="AC749" s="570"/>
      <c r="AD749" s="570"/>
      <c r="AE749" s="570"/>
      <c r="AF749" s="1943" t="s">
        <v>1534</v>
      </c>
      <c r="AG749" s="1943"/>
      <c r="AH749" s="1943"/>
      <c r="AI749" s="1943"/>
      <c r="AJ749" s="1943"/>
      <c r="AK749" s="1943"/>
      <c r="AL749" s="194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7"/>
      <c r="F750" s="1997"/>
      <c r="G750" s="1997"/>
      <c r="H750" s="1997"/>
      <c r="I750" s="1997"/>
      <c r="J750" s="1997"/>
      <c r="K750" s="1997"/>
      <c r="L750" s="1997"/>
      <c r="M750" s="1997"/>
      <c r="N750" s="1997"/>
      <c r="O750" s="1997"/>
      <c r="P750" s="1997"/>
      <c r="Q750" s="1997"/>
      <c r="R750" s="1997"/>
      <c r="S750" s="1997"/>
      <c r="T750" s="1997"/>
      <c r="U750" s="1997"/>
      <c r="V750" s="1997"/>
      <c r="W750" s="1997"/>
      <c r="X750" s="1997"/>
      <c r="Y750" s="1997"/>
      <c r="Z750" s="1997"/>
      <c r="AA750" s="1997"/>
      <c r="AB750" s="199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26" t="s">
        <v>696</v>
      </c>
      <c r="I752" s="202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77">
        <f>VLOOKUP($H$752,$AO$686:$AP$688,2,FALSE)</f>
        <v>2</v>
      </c>
      <c r="AK754" s="197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97" t="s">
        <v>1880</v>
      </c>
      <c r="F758" s="1997"/>
      <c r="G758" s="1997"/>
      <c r="H758" s="1997"/>
      <c r="I758" s="1997"/>
      <c r="J758" s="1997"/>
      <c r="K758" s="1997"/>
      <c r="L758" s="1997"/>
      <c r="M758" s="1997"/>
      <c r="N758" s="1997"/>
      <c r="O758" s="1997"/>
      <c r="P758" s="1997"/>
      <c r="Q758" s="1997"/>
      <c r="R758" s="1997"/>
      <c r="S758" s="1997"/>
      <c r="T758" s="1997"/>
      <c r="U758" s="1997"/>
      <c r="V758" s="1997"/>
      <c r="W758" s="1997"/>
      <c r="X758" s="1997"/>
      <c r="Y758" s="1997"/>
      <c r="Z758" s="1997"/>
      <c r="AA758" s="1997"/>
      <c r="AB758" s="1997"/>
      <c r="AC758" s="1997"/>
      <c r="AD758" s="1997"/>
      <c r="AE758" s="570"/>
      <c r="AF758" s="1943" t="s">
        <v>1517</v>
      </c>
      <c r="AG758" s="1943"/>
      <c r="AH758" s="1943"/>
      <c r="AI758" s="1943"/>
      <c r="AJ758" s="1943"/>
      <c r="AK758" s="1943"/>
      <c r="AL758" s="1943"/>
      <c r="AM758" s="647"/>
      <c r="AN758" s="718"/>
      <c r="AO758" s="584" t="s">
        <v>599</v>
      </c>
      <c r="AP758" s="707">
        <v>0</v>
      </c>
    </row>
    <row r="759" spans="1:74" s="604" customFormat="1" ht="13.7" customHeight="1">
      <c r="A759" s="584"/>
      <c r="B759" s="650"/>
      <c r="C759" s="975"/>
      <c r="D759" s="697"/>
      <c r="E759" s="1997"/>
      <c r="F759" s="1997"/>
      <c r="G759" s="1997"/>
      <c r="H759" s="1997"/>
      <c r="I759" s="1997"/>
      <c r="J759" s="1997"/>
      <c r="K759" s="1997"/>
      <c r="L759" s="1997"/>
      <c r="M759" s="1997"/>
      <c r="N759" s="1997"/>
      <c r="O759" s="1997"/>
      <c r="P759" s="1997"/>
      <c r="Q759" s="1997"/>
      <c r="R759" s="1997"/>
      <c r="S759" s="1997"/>
      <c r="T759" s="1997"/>
      <c r="U759" s="1997"/>
      <c r="V759" s="1997"/>
      <c r="W759" s="1997"/>
      <c r="X759" s="1997"/>
      <c r="Y759" s="1997"/>
      <c r="Z759" s="1997"/>
      <c r="AA759" s="1997"/>
      <c r="AB759" s="1997"/>
      <c r="AC759" s="1997"/>
      <c r="AD759" s="1997"/>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7"/>
      <c r="F760" s="1997"/>
      <c r="G760" s="1997"/>
      <c r="H760" s="1997"/>
      <c r="I760" s="1997"/>
      <c r="J760" s="1997"/>
      <c r="K760" s="1997"/>
      <c r="L760" s="1997"/>
      <c r="M760" s="1997"/>
      <c r="N760" s="1997"/>
      <c r="O760" s="1997"/>
      <c r="P760" s="1997"/>
      <c r="Q760" s="1997"/>
      <c r="R760" s="1997"/>
      <c r="S760" s="1997"/>
      <c r="T760" s="1997"/>
      <c r="U760" s="1997"/>
      <c r="V760" s="1997"/>
      <c r="W760" s="1997"/>
      <c r="X760" s="1997"/>
      <c r="Y760" s="1997"/>
      <c r="Z760" s="1997"/>
      <c r="AA760" s="1997"/>
      <c r="AB760" s="1997"/>
      <c r="AC760" s="1997"/>
      <c r="AD760" s="199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97"/>
      <c r="F761" s="1997"/>
      <c r="G761" s="1997"/>
      <c r="H761" s="1997"/>
      <c r="I761" s="1997"/>
      <c r="J761" s="1997"/>
      <c r="K761" s="1997"/>
      <c r="L761" s="1997"/>
      <c r="M761" s="1997"/>
      <c r="N761" s="1997"/>
      <c r="O761" s="1997"/>
      <c r="P761" s="1997"/>
      <c r="Q761" s="1997"/>
      <c r="R761" s="1997"/>
      <c r="S761" s="1997"/>
      <c r="T761" s="1997"/>
      <c r="U761" s="1997"/>
      <c r="V761" s="1997"/>
      <c r="W761" s="1997"/>
      <c r="X761" s="1997"/>
      <c r="Y761" s="1997"/>
      <c r="Z761" s="1997"/>
      <c r="AA761" s="1997"/>
      <c r="AB761" s="1997"/>
      <c r="AC761" s="1997"/>
      <c r="AD761" s="199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6" t="s">
        <v>1885</v>
      </c>
      <c r="F763" s="2036"/>
      <c r="G763" s="2036"/>
      <c r="H763" s="2036"/>
      <c r="I763" s="2036"/>
      <c r="J763" s="2036"/>
      <c r="K763" s="2036"/>
      <c r="L763" s="2036"/>
      <c r="M763" s="2036"/>
      <c r="N763" s="2036"/>
      <c r="O763" s="2036"/>
      <c r="P763" s="2036"/>
      <c r="Q763" s="2036"/>
      <c r="R763" s="2036"/>
      <c r="S763" s="2036"/>
      <c r="T763" s="2036"/>
      <c r="U763" s="2036"/>
      <c r="V763" s="2036"/>
      <c r="W763" s="2036"/>
      <c r="X763" s="2036"/>
      <c r="Y763" s="2036"/>
      <c r="Z763" s="2036"/>
      <c r="AA763" s="2036"/>
      <c r="AB763" s="2036"/>
      <c r="AC763" s="2036"/>
      <c r="AD763" s="2036"/>
      <c r="AE763" s="570"/>
      <c r="AF763" s="1943" t="s">
        <v>1461</v>
      </c>
      <c r="AG763" s="1943"/>
      <c r="AH763" s="1943"/>
      <c r="AI763" s="1943"/>
      <c r="AJ763" s="1943"/>
      <c r="AK763" s="1943"/>
      <c r="AL763" s="1943"/>
      <c r="AM763" s="647"/>
      <c r="AN763" s="631"/>
    </row>
    <row r="764" spans="1:74" s="584" customFormat="1" ht="12.75" customHeight="1">
      <c r="B764" s="650"/>
      <c r="C764" s="975"/>
      <c r="D764" s="697"/>
      <c r="E764" s="2036"/>
      <c r="F764" s="2036"/>
      <c r="G764" s="2036"/>
      <c r="H764" s="2036"/>
      <c r="I764" s="2036"/>
      <c r="J764" s="2036"/>
      <c r="K764" s="2036"/>
      <c r="L764" s="2036"/>
      <c r="M764" s="2036"/>
      <c r="N764" s="2036"/>
      <c r="O764" s="2036"/>
      <c r="P764" s="2036"/>
      <c r="Q764" s="2036"/>
      <c r="R764" s="2036"/>
      <c r="S764" s="2036"/>
      <c r="T764" s="2036"/>
      <c r="U764" s="2036"/>
      <c r="V764" s="2036"/>
      <c r="W764" s="2036"/>
      <c r="X764" s="2036"/>
      <c r="Y764" s="2036"/>
      <c r="Z764" s="2036"/>
      <c r="AA764" s="2036"/>
      <c r="AB764" s="2036"/>
      <c r="AC764" s="2036"/>
      <c r="AD764" s="2036"/>
      <c r="AE764" s="628"/>
      <c r="AF764" s="628"/>
      <c r="AG764" s="628"/>
      <c r="AH764" s="628"/>
      <c r="AI764" s="628"/>
      <c r="AJ764" s="628"/>
      <c r="AK764" s="628"/>
      <c r="AL764" s="628"/>
      <c r="AM764" s="647"/>
      <c r="AN764" s="631"/>
    </row>
    <row r="765" spans="1:74" s="584" customFormat="1" ht="12.75" customHeight="1">
      <c r="B765" s="650"/>
      <c r="C765" s="975"/>
      <c r="D765" s="697"/>
      <c r="E765" s="2036"/>
      <c r="F765" s="2036"/>
      <c r="G765" s="2036"/>
      <c r="H765" s="2036"/>
      <c r="I765" s="2036"/>
      <c r="J765" s="2036"/>
      <c r="K765" s="2036"/>
      <c r="L765" s="2036"/>
      <c r="M765" s="2036"/>
      <c r="N765" s="2036"/>
      <c r="O765" s="2036"/>
      <c r="P765" s="2036"/>
      <c r="Q765" s="2036"/>
      <c r="R765" s="2036"/>
      <c r="S765" s="2036"/>
      <c r="T765" s="2036"/>
      <c r="U765" s="2036"/>
      <c r="V765" s="2036"/>
      <c r="W765" s="2036"/>
      <c r="X765" s="2036"/>
      <c r="Y765" s="2036"/>
      <c r="Z765" s="2036"/>
      <c r="AA765" s="2036"/>
      <c r="AB765" s="2036"/>
      <c r="AC765" s="2036"/>
      <c r="AD765" s="2036"/>
      <c r="AE765" s="628"/>
      <c r="AF765" s="628"/>
      <c r="AG765" s="628"/>
      <c r="AH765" s="628"/>
      <c r="AI765" s="628"/>
      <c r="AJ765" s="628"/>
      <c r="AK765" s="628"/>
      <c r="AL765" s="628"/>
      <c r="AM765" s="647"/>
      <c r="AN765" s="631"/>
    </row>
    <row r="766" spans="1:74" s="584" customFormat="1" ht="12.75" customHeight="1">
      <c r="B766" s="650"/>
      <c r="C766" s="975"/>
      <c r="D766" s="697"/>
      <c r="E766" s="2036"/>
      <c r="F766" s="2036"/>
      <c r="G766" s="2036"/>
      <c r="H766" s="2036"/>
      <c r="I766" s="2036"/>
      <c r="J766" s="2036"/>
      <c r="K766" s="2036"/>
      <c r="L766" s="2036"/>
      <c r="M766" s="2036"/>
      <c r="N766" s="2036"/>
      <c r="O766" s="2036"/>
      <c r="P766" s="2036"/>
      <c r="Q766" s="2036"/>
      <c r="R766" s="2036"/>
      <c r="S766" s="2036"/>
      <c r="T766" s="2036"/>
      <c r="U766" s="2036"/>
      <c r="V766" s="2036"/>
      <c r="W766" s="2036"/>
      <c r="X766" s="2036"/>
      <c r="Y766" s="2036"/>
      <c r="Z766" s="2036"/>
      <c r="AA766" s="2036"/>
      <c r="AB766" s="2036"/>
      <c r="AC766" s="2036"/>
      <c r="AD766" s="203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26" t="s">
        <v>599</v>
      </c>
      <c r="I768" s="202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77">
        <f>VLOOKUP($H$768,$AO$758:$AP$760,2,FALSE)</f>
        <v>0</v>
      </c>
      <c r="AK770" s="197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97" t="s">
        <v>2345</v>
      </c>
      <c r="F774" s="1997"/>
      <c r="G774" s="1997"/>
      <c r="H774" s="1997"/>
      <c r="I774" s="1997"/>
      <c r="J774" s="1997"/>
      <c r="K774" s="1997"/>
      <c r="L774" s="1997"/>
      <c r="M774" s="1997"/>
      <c r="N774" s="1997"/>
      <c r="O774" s="1997"/>
      <c r="P774" s="1997"/>
      <c r="Q774" s="1997"/>
      <c r="R774" s="1997"/>
      <c r="S774" s="1997"/>
      <c r="T774" s="1997"/>
      <c r="U774" s="1997"/>
      <c r="V774" s="1997"/>
      <c r="W774" s="1997"/>
      <c r="X774" s="1997"/>
      <c r="Y774" s="1997"/>
      <c r="Z774" s="1997"/>
      <c r="AA774" s="1997"/>
      <c r="AB774" s="1997"/>
      <c r="AC774" s="1997"/>
      <c r="AD774" s="1997"/>
      <c r="AE774" s="570"/>
      <c r="AF774" s="1943" t="s">
        <v>1461</v>
      </c>
      <c r="AG774" s="1943"/>
      <c r="AH774" s="1943"/>
      <c r="AI774" s="1943"/>
      <c r="AJ774" s="1943"/>
      <c r="AK774" s="1943"/>
      <c r="AL774" s="1943"/>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97"/>
      <c r="F775" s="1997"/>
      <c r="G775" s="1997"/>
      <c r="H775" s="1997"/>
      <c r="I775" s="1997"/>
      <c r="J775" s="1997"/>
      <c r="K775" s="1997"/>
      <c r="L775" s="1997"/>
      <c r="M775" s="1997"/>
      <c r="N775" s="1997"/>
      <c r="O775" s="1997"/>
      <c r="P775" s="1997"/>
      <c r="Q775" s="1997"/>
      <c r="R775" s="1997"/>
      <c r="S775" s="1997"/>
      <c r="T775" s="1997"/>
      <c r="U775" s="1997"/>
      <c r="V775" s="1997"/>
      <c r="W775" s="1997"/>
      <c r="X775" s="1997"/>
      <c r="Y775" s="1997"/>
      <c r="Z775" s="1997"/>
      <c r="AA775" s="1997"/>
      <c r="AB775" s="1997"/>
      <c r="AC775" s="1997"/>
      <c r="AD775" s="199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7"/>
      <c r="F776" s="1997"/>
      <c r="G776" s="1997"/>
      <c r="H776" s="1997"/>
      <c r="I776" s="1997"/>
      <c r="J776" s="1997"/>
      <c r="K776" s="1997"/>
      <c r="L776" s="1997"/>
      <c r="M776" s="1997"/>
      <c r="N776" s="1997"/>
      <c r="O776" s="1997"/>
      <c r="P776" s="1997"/>
      <c r="Q776" s="1997"/>
      <c r="R776" s="1997"/>
      <c r="S776" s="1997"/>
      <c r="T776" s="1997"/>
      <c r="U776" s="1997"/>
      <c r="V776" s="1997"/>
      <c r="W776" s="1997"/>
      <c r="X776" s="1997"/>
      <c r="Y776" s="1997"/>
      <c r="Z776" s="1997"/>
      <c r="AA776" s="1997"/>
      <c r="AB776" s="1997"/>
      <c r="AC776" s="1997"/>
      <c r="AD776" s="199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7"/>
      <c r="F777" s="1997"/>
      <c r="G777" s="1997"/>
      <c r="H777" s="1997"/>
      <c r="I777" s="1997"/>
      <c r="J777" s="1997"/>
      <c r="K777" s="1997"/>
      <c r="L777" s="1997"/>
      <c r="M777" s="1997"/>
      <c r="N777" s="1997"/>
      <c r="O777" s="1997"/>
      <c r="P777" s="1997"/>
      <c r="Q777" s="1997"/>
      <c r="R777" s="1997"/>
      <c r="S777" s="1997"/>
      <c r="T777" s="1997"/>
      <c r="U777" s="1997"/>
      <c r="V777" s="1997"/>
      <c r="W777" s="1997"/>
      <c r="X777" s="1997"/>
      <c r="Y777" s="1997"/>
      <c r="Z777" s="1997"/>
      <c r="AA777" s="1997"/>
      <c r="AB777" s="1997"/>
      <c r="AC777" s="1997"/>
      <c r="AD777" s="199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26" t="s">
        <v>553</v>
      </c>
      <c r="I779" s="202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77">
        <f>VLOOKUP($H$779,$AO$773:$AP$774,2,FALSE)</f>
        <v>3</v>
      </c>
      <c r="AK781" s="197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77">
        <f>IF(($AJ$610+$AJ$629+$AJ$641+$AJ$676+$AJ$700+$AJ$714+$AJ$726+$AJ$742+$AJ$754+$AJ$770+AJ781)&gt;10,10,($AJ$610+$AJ$629+$AJ$641+$AJ$676+$AJ$700+$AJ$714+$AJ$726+$AJ$742+$AJ$754+$AJ$770+AJ781))</f>
        <v>10</v>
      </c>
      <c r="AL783" s="1978"/>
      <c r="AM783" s="197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7" t="s">
        <v>1678</v>
      </c>
      <c r="B786" s="2088"/>
      <c r="C786" s="2088"/>
      <c r="D786" s="2088"/>
      <c r="E786" s="2088"/>
      <c r="F786" s="2088"/>
      <c r="G786" s="2088"/>
      <c r="H786" s="2088"/>
      <c r="I786" s="2088"/>
      <c r="J786" s="2088"/>
      <c r="K786" s="2088"/>
      <c r="L786" s="2088"/>
      <c r="M786" s="2088"/>
      <c r="N786" s="2088"/>
      <c r="O786" s="2088"/>
      <c r="P786" s="2088"/>
      <c r="Q786" s="2088"/>
      <c r="R786" s="2088"/>
      <c r="S786" s="2088"/>
      <c r="T786" s="2088"/>
      <c r="U786" s="2088"/>
      <c r="V786" s="2088"/>
      <c r="W786" s="2088"/>
      <c r="X786" s="2088"/>
      <c r="Y786" s="2088"/>
      <c r="Z786" s="2088"/>
      <c r="AA786" s="2088"/>
      <c r="AB786" s="2088"/>
      <c r="AC786" s="2088"/>
      <c r="AD786" s="2088"/>
      <c r="AE786" s="2088"/>
      <c r="AF786" s="2088"/>
      <c r="AG786" s="2088"/>
      <c r="AH786" s="2088"/>
      <c r="AI786" s="2088"/>
      <c r="AJ786" s="2088"/>
      <c r="AK786" s="2088"/>
      <c r="AL786" s="2088"/>
      <c r="AM786" s="2088"/>
    </row>
    <row r="787" spans="1:43">
      <c r="A787" s="2089"/>
      <c r="B787" s="2089"/>
      <c r="C787" s="2089"/>
      <c r="D787" s="2089"/>
      <c r="E787" s="2089"/>
      <c r="F787" s="2089"/>
      <c r="G787" s="2089"/>
      <c r="H787" s="2089"/>
      <c r="I787" s="2089"/>
      <c r="J787" s="2089"/>
      <c r="K787" s="2089"/>
      <c r="L787" s="2089"/>
      <c r="M787" s="2089"/>
      <c r="N787" s="2089"/>
      <c r="O787" s="2089"/>
      <c r="P787" s="2089"/>
      <c r="Q787" s="2089"/>
      <c r="R787" s="2089"/>
      <c r="S787" s="2089"/>
      <c r="T787" s="2089"/>
      <c r="U787" s="2089"/>
      <c r="V787" s="2089"/>
      <c r="W787" s="2089"/>
      <c r="X787" s="2089"/>
      <c r="Y787" s="2089"/>
      <c r="Z787" s="2089"/>
      <c r="AA787" s="2089"/>
      <c r="AB787" s="2089"/>
      <c r="AC787" s="2089"/>
      <c r="AD787" s="2089"/>
      <c r="AE787" s="2089"/>
      <c r="AF787" s="2089"/>
      <c r="AG787" s="2089"/>
      <c r="AH787" s="2089"/>
      <c r="AI787" s="2089"/>
      <c r="AJ787" s="2089"/>
      <c r="AK787" s="2089"/>
      <c r="AL787" s="2089"/>
      <c r="AM787" s="2089"/>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8"/>
      <c r="B789" s="2018"/>
      <c r="C789" s="2018"/>
      <c r="D789" s="2018"/>
      <c r="E789" s="2018"/>
      <c r="F789" s="2018"/>
      <c r="G789" s="2018"/>
      <c r="H789" s="2018"/>
      <c r="I789" s="2018"/>
      <c r="J789" s="2018"/>
      <c r="K789" s="2018"/>
      <c r="L789" s="2018"/>
      <c r="M789" s="2018"/>
      <c r="N789" s="2018"/>
      <c r="O789" s="2018"/>
      <c r="P789" s="2018"/>
      <c r="Q789" s="2018"/>
      <c r="R789" s="2018"/>
      <c r="S789" s="2018"/>
      <c r="T789" s="2018"/>
      <c r="U789" s="2018"/>
      <c r="V789" s="2018"/>
      <c r="W789" s="2018"/>
      <c r="X789" s="2018"/>
      <c r="Y789" s="2018"/>
      <c r="Z789" s="2018"/>
      <c r="AA789" s="2018"/>
      <c r="AB789" s="2018"/>
      <c r="AC789" s="2018"/>
      <c r="AD789" s="2018"/>
      <c r="AE789" s="2018"/>
      <c r="AF789" s="2018"/>
      <c r="AG789" s="2018"/>
      <c r="AH789" s="2018"/>
      <c r="AI789" s="2018"/>
      <c r="AJ789" s="2018"/>
      <c r="AK789" s="2018"/>
      <c r="AL789" s="2018"/>
      <c r="AM789" s="2018"/>
      <c r="AP789" s="850"/>
      <c r="AQ789" s="850"/>
    </row>
    <row r="790" spans="1:43">
      <c r="A790" s="2018"/>
      <c r="B790" s="2018"/>
      <c r="C790" s="2018"/>
      <c r="D790" s="2018"/>
      <c r="E790" s="2018"/>
      <c r="F790" s="2018"/>
      <c r="G790" s="2018"/>
      <c r="H790" s="2018"/>
      <c r="I790" s="2018"/>
      <c r="J790" s="2018"/>
      <c r="K790" s="2018"/>
      <c r="L790" s="2018"/>
      <c r="M790" s="2018"/>
      <c r="N790" s="2018"/>
      <c r="O790" s="2018"/>
      <c r="P790" s="2018"/>
      <c r="Q790" s="2018"/>
      <c r="R790" s="2018"/>
      <c r="S790" s="2018"/>
      <c r="T790" s="2018"/>
      <c r="U790" s="2018"/>
      <c r="V790" s="2018"/>
      <c r="W790" s="2018"/>
      <c r="X790" s="2018"/>
      <c r="Y790" s="2018"/>
      <c r="Z790" s="2018"/>
      <c r="AA790" s="2018"/>
      <c r="AB790" s="2018"/>
      <c r="AC790" s="2018"/>
      <c r="AD790" s="2018"/>
      <c r="AE790" s="2018"/>
      <c r="AF790" s="2018"/>
      <c r="AG790" s="2018"/>
      <c r="AH790" s="2018"/>
      <c r="AI790" s="2018"/>
      <c r="AJ790" s="2018"/>
      <c r="AK790" s="2018"/>
      <c r="AL790" s="2018"/>
      <c r="AM790" s="20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90" t="s">
        <v>1679</v>
      </c>
      <c r="U791" s="2091"/>
      <c r="V791" s="2091"/>
      <c r="W791" s="2091"/>
      <c r="X791" s="2091"/>
      <c r="Y791" s="2092"/>
      <c r="Z791" s="2090" t="s">
        <v>1680</v>
      </c>
      <c r="AA791" s="2091"/>
      <c r="AB791" s="2091"/>
      <c r="AC791" s="2091"/>
      <c r="AD791" s="2091"/>
      <c r="AE791" s="2092"/>
      <c r="AF791" s="2090" t="s">
        <v>1681</v>
      </c>
      <c r="AG791" s="2091"/>
      <c r="AH791" s="2091"/>
      <c r="AI791" s="2091"/>
      <c r="AJ791" s="2091"/>
      <c r="AK791" s="2092"/>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3"/>
      <c r="U792" s="2094"/>
      <c r="V792" s="2094"/>
      <c r="W792" s="2094"/>
      <c r="X792" s="2094"/>
      <c r="Y792" s="2095"/>
      <c r="Z792" s="2093"/>
      <c r="AA792" s="2094"/>
      <c r="AB792" s="2094"/>
      <c r="AC792" s="2094"/>
      <c r="AD792" s="2094"/>
      <c r="AE792" s="2095"/>
      <c r="AF792" s="2093"/>
      <c r="AG792" s="2094"/>
      <c r="AH792" s="2094"/>
      <c r="AI792" s="2094"/>
      <c r="AJ792" s="2094"/>
      <c r="AK792" s="2095"/>
      <c r="AL792" s="852"/>
      <c r="AM792" s="630"/>
      <c r="AO792" s="850"/>
      <c r="AP792" s="850"/>
      <c r="AQ792" s="850"/>
    </row>
    <row r="793" spans="1:43">
      <c r="A793" s="853" t="s">
        <v>766</v>
      </c>
      <c r="B793" s="2070" t="s">
        <v>1413</v>
      </c>
      <c r="C793" s="2070"/>
      <c r="D793" s="2070"/>
      <c r="E793" s="2070"/>
      <c r="F793" s="2070"/>
      <c r="G793" s="2070"/>
      <c r="H793" s="2070"/>
      <c r="I793" s="2070"/>
      <c r="J793" s="2070"/>
      <c r="K793" s="2070"/>
      <c r="L793" s="2070"/>
      <c r="M793" s="2070"/>
      <c r="N793" s="2070"/>
      <c r="O793" s="2070"/>
      <c r="P793" s="2070"/>
      <c r="Q793" s="2070"/>
      <c r="R793" s="2070"/>
      <c r="S793" s="2071"/>
      <c r="T793" s="2072">
        <f>AK56</f>
        <v>0</v>
      </c>
      <c r="U793" s="2073"/>
      <c r="V793" s="2073"/>
      <c r="W793" s="2073"/>
      <c r="X793" s="2073"/>
      <c r="Y793" s="2074"/>
      <c r="Z793" s="2075">
        <v>20</v>
      </c>
      <c r="AA793" s="2073"/>
      <c r="AB793" s="2073"/>
      <c r="AC793" s="2073"/>
      <c r="AD793" s="2073"/>
      <c r="AE793" s="2074"/>
      <c r="AF793" s="2039">
        <f>IF(T793&gt;Z793,Z793,T793)</f>
        <v>0</v>
      </c>
      <c r="AG793" s="2039"/>
      <c r="AH793" s="2039"/>
      <c r="AI793" s="2039"/>
      <c r="AJ793" s="2039"/>
      <c r="AK793" s="2039"/>
      <c r="AL793" s="852"/>
      <c r="AM793" s="630"/>
      <c r="AO793" s="850"/>
      <c r="AP793" s="850"/>
      <c r="AQ793" s="850"/>
    </row>
    <row r="794" spans="1:43">
      <c r="A794" s="853" t="s">
        <v>1651</v>
      </c>
      <c r="B794" s="2070" t="s">
        <v>1422</v>
      </c>
      <c r="C794" s="2070"/>
      <c r="D794" s="2070"/>
      <c r="E794" s="2070"/>
      <c r="F794" s="2070"/>
      <c r="G794" s="2070"/>
      <c r="H794" s="2070"/>
      <c r="I794" s="2070"/>
      <c r="J794" s="2070"/>
      <c r="K794" s="2070"/>
      <c r="L794" s="2070"/>
      <c r="M794" s="2070"/>
      <c r="N794" s="2070"/>
      <c r="O794" s="2070"/>
      <c r="P794" s="2070"/>
      <c r="Q794" s="2070"/>
      <c r="R794" s="2070"/>
      <c r="S794" s="2071"/>
      <c r="T794" s="2072">
        <f>AK78</f>
        <v>10</v>
      </c>
      <c r="U794" s="2073"/>
      <c r="V794" s="2073"/>
      <c r="W794" s="2073"/>
      <c r="X794" s="2073"/>
      <c r="Y794" s="2074"/>
      <c r="Z794" s="2075">
        <v>10</v>
      </c>
      <c r="AA794" s="2073"/>
      <c r="AB794" s="2073"/>
      <c r="AC794" s="2073"/>
      <c r="AD794" s="2073"/>
      <c r="AE794" s="2074"/>
      <c r="AF794" s="2039">
        <f>IF(T794&gt;Z794,Z794,T794)</f>
        <v>10</v>
      </c>
      <c r="AG794" s="2039"/>
      <c r="AH794" s="2039"/>
      <c r="AI794" s="2039"/>
      <c r="AJ794" s="2039"/>
      <c r="AK794" s="2039"/>
      <c r="AL794" s="852"/>
      <c r="AM794" s="630"/>
      <c r="AO794" s="850"/>
      <c r="AP794" s="850"/>
      <c r="AQ794" s="850"/>
    </row>
    <row r="795" spans="1:43">
      <c r="A795" s="853" t="s">
        <v>1660</v>
      </c>
      <c r="B795" s="2070" t="s">
        <v>1432</v>
      </c>
      <c r="C795" s="2070"/>
      <c r="D795" s="2070"/>
      <c r="E795" s="2070"/>
      <c r="F795" s="2070"/>
      <c r="G795" s="2070"/>
      <c r="H795" s="2070"/>
      <c r="I795" s="2070"/>
      <c r="J795" s="2070"/>
      <c r="K795" s="2070"/>
      <c r="L795" s="2070"/>
      <c r="M795" s="2070"/>
      <c r="N795" s="2070"/>
      <c r="O795" s="2070"/>
      <c r="P795" s="2070"/>
      <c r="Q795" s="2070"/>
      <c r="R795" s="2070"/>
      <c r="S795" s="2071"/>
      <c r="T795" s="2072">
        <f ca="1">AK103</f>
        <v>20</v>
      </c>
      <c r="U795" s="2073"/>
      <c r="V795" s="2073"/>
      <c r="W795" s="2073"/>
      <c r="X795" s="2073"/>
      <c r="Y795" s="2074"/>
      <c r="Z795" s="2075">
        <v>20</v>
      </c>
      <c r="AA795" s="2073"/>
      <c r="AB795" s="2073"/>
      <c r="AC795" s="2073"/>
      <c r="AD795" s="2073"/>
      <c r="AE795" s="2074"/>
      <c r="AF795" s="2039">
        <f ca="1">IF(T795&gt;Z795,Z795,T795)</f>
        <v>20</v>
      </c>
      <c r="AG795" s="2039"/>
      <c r="AH795" s="2039"/>
      <c r="AI795" s="2039"/>
      <c r="AJ795" s="2039"/>
      <c r="AK795" s="2039"/>
      <c r="AL795" s="852"/>
      <c r="AM795" s="630"/>
      <c r="AO795" s="850"/>
      <c r="AP795" s="850"/>
      <c r="AQ795" s="850"/>
    </row>
    <row r="796" spans="1:43">
      <c r="A796" s="853" t="s">
        <v>1682</v>
      </c>
      <c r="B796" s="2070" t="s">
        <v>1442</v>
      </c>
      <c r="C796" s="2070"/>
      <c r="D796" s="2070"/>
      <c r="E796" s="2070"/>
      <c r="F796" s="2070"/>
      <c r="G796" s="2070"/>
      <c r="H796" s="2070"/>
      <c r="I796" s="2070"/>
      <c r="J796" s="2070"/>
      <c r="K796" s="2070"/>
      <c r="L796" s="2070"/>
      <c r="M796" s="2070"/>
      <c r="N796" s="2070"/>
      <c r="O796" s="2070"/>
      <c r="P796" s="2070"/>
      <c r="Q796" s="2070"/>
      <c r="R796" s="2070"/>
      <c r="S796" s="2071"/>
      <c r="T796" s="2072">
        <f>AK137</f>
        <v>10</v>
      </c>
      <c r="U796" s="2073"/>
      <c r="V796" s="2073"/>
      <c r="W796" s="2073"/>
      <c r="X796" s="2073"/>
      <c r="Y796" s="2074"/>
      <c r="Z796" s="2075">
        <v>10</v>
      </c>
      <c r="AA796" s="2073"/>
      <c r="AB796" s="2073"/>
      <c r="AC796" s="2073"/>
      <c r="AD796" s="2073"/>
      <c r="AE796" s="2074"/>
      <c r="AF796" s="2039">
        <f>IF(T796&gt;Z796,Z796,T796)</f>
        <v>10</v>
      </c>
      <c r="AG796" s="2039"/>
      <c r="AH796" s="2039"/>
      <c r="AI796" s="2039"/>
      <c r="AJ796" s="2039"/>
      <c r="AK796" s="2039"/>
      <c r="AL796" s="852"/>
      <c r="AM796" s="630"/>
      <c r="AO796" s="850"/>
      <c r="AP796" s="850"/>
      <c r="AQ796" s="850"/>
    </row>
    <row r="797" spans="1:43">
      <c r="A797" s="854" t="s">
        <v>1683</v>
      </c>
      <c r="B797" s="2070" t="s">
        <v>1684</v>
      </c>
      <c r="C797" s="2070"/>
      <c r="D797" s="2070"/>
      <c r="E797" s="2070"/>
      <c r="F797" s="2070"/>
      <c r="G797" s="2070"/>
      <c r="H797" s="2070"/>
      <c r="I797" s="2070"/>
      <c r="J797" s="2070"/>
      <c r="K797" s="2070"/>
      <c r="L797" s="2070"/>
      <c r="M797" s="2070"/>
      <c r="N797" s="2070"/>
      <c r="O797" s="2070"/>
      <c r="P797" s="2070"/>
      <c r="Q797" s="2070"/>
      <c r="R797" s="2070"/>
      <c r="S797" s="2071"/>
      <c r="T797" s="2096">
        <f>SUM(T798:Y799)</f>
        <v>10</v>
      </c>
      <c r="U797" s="2096"/>
      <c r="V797" s="2096"/>
      <c r="W797" s="2096"/>
      <c r="X797" s="2096"/>
      <c r="Y797" s="2096"/>
      <c r="Z797" s="2039">
        <v>10</v>
      </c>
      <c r="AA797" s="2039"/>
      <c r="AB797" s="2039"/>
      <c r="AC797" s="2039"/>
      <c r="AD797" s="2039"/>
      <c r="AE797" s="2039"/>
      <c r="AF797" s="2039">
        <f>IF(T797&gt;Z797,Z797,T797)</f>
        <v>10</v>
      </c>
      <c r="AG797" s="2039"/>
      <c r="AH797" s="2039"/>
      <c r="AI797" s="2039"/>
      <c r="AJ797" s="2039"/>
      <c r="AK797" s="2039"/>
      <c r="AL797" s="852"/>
      <c r="AM797" s="630"/>
    </row>
    <row r="798" spans="1:43">
      <c r="A798" s="569"/>
      <c r="B798" s="635"/>
      <c r="C798" s="2097" t="s">
        <v>1685</v>
      </c>
      <c r="D798" s="2097"/>
      <c r="E798" s="2097"/>
      <c r="F798" s="2097"/>
      <c r="G798" s="2097"/>
      <c r="H798" s="2097"/>
      <c r="I798" s="2097"/>
      <c r="J798" s="2097"/>
      <c r="K798" s="2097"/>
      <c r="L798" s="2097"/>
      <c r="M798" s="2097"/>
      <c r="N798" s="2097"/>
      <c r="O798" s="2097"/>
      <c r="P798" s="2097"/>
      <c r="Q798" s="2097"/>
      <c r="R798" s="2097"/>
      <c r="S798" s="2098"/>
      <c r="T798" s="1972">
        <f>AJ155</f>
        <v>7</v>
      </c>
      <c r="U798" s="1972"/>
      <c r="V798" s="1972"/>
      <c r="W798" s="1972"/>
      <c r="X798" s="1972"/>
      <c r="Y798" s="1972"/>
      <c r="Z798" s="1973">
        <v>7</v>
      </c>
      <c r="AA798" s="1973"/>
      <c r="AB798" s="1973"/>
      <c r="AC798" s="1973"/>
      <c r="AD798" s="1973"/>
      <c r="AE798" s="1973"/>
      <c r="AF798" s="2099"/>
      <c r="AG798" s="2099"/>
      <c r="AH798" s="2099"/>
      <c r="AI798" s="2099"/>
      <c r="AJ798" s="2099"/>
      <c r="AK798" s="2099"/>
      <c r="AL798" s="852"/>
      <c r="AM798" s="630"/>
    </row>
    <row r="799" spans="1:43">
      <c r="A799" s="634"/>
      <c r="B799" s="635"/>
      <c r="C799" s="2097" t="s">
        <v>1686</v>
      </c>
      <c r="D799" s="2097"/>
      <c r="E799" s="2097"/>
      <c r="F799" s="2097"/>
      <c r="G799" s="2097"/>
      <c r="H799" s="2097"/>
      <c r="I799" s="2097"/>
      <c r="J799" s="2097"/>
      <c r="K799" s="2097"/>
      <c r="L799" s="2097"/>
      <c r="M799" s="2097"/>
      <c r="N799" s="2097"/>
      <c r="O799" s="2097"/>
      <c r="P799" s="2097"/>
      <c r="Q799" s="2097"/>
      <c r="R799" s="2097"/>
      <c r="S799" s="2098"/>
      <c r="T799" s="1972">
        <f>AJ169</f>
        <v>3</v>
      </c>
      <c r="U799" s="1972"/>
      <c r="V799" s="1972"/>
      <c r="W799" s="1972"/>
      <c r="X799" s="1972"/>
      <c r="Y799" s="1972"/>
      <c r="Z799" s="1973">
        <v>3</v>
      </c>
      <c r="AA799" s="1973"/>
      <c r="AB799" s="1973"/>
      <c r="AC799" s="1973"/>
      <c r="AD799" s="1973"/>
      <c r="AE799" s="1973"/>
      <c r="AF799" s="2099"/>
      <c r="AG799" s="2099"/>
      <c r="AH799" s="2099"/>
      <c r="AI799" s="2099"/>
      <c r="AJ799" s="2099"/>
      <c r="AK799" s="2099"/>
      <c r="AL799" s="852"/>
      <c r="AM799" s="630"/>
      <c r="AO799" s="584"/>
    </row>
    <row r="800" spans="1:43">
      <c r="A800" s="854" t="s">
        <v>1470</v>
      </c>
      <c r="B800" s="2070" t="s">
        <v>1687</v>
      </c>
      <c r="C800" s="2070"/>
      <c r="D800" s="2070"/>
      <c r="E800" s="2070"/>
      <c r="F800" s="2070"/>
      <c r="G800" s="2070"/>
      <c r="H800" s="2070"/>
      <c r="I800" s="2070"/>
      <c r="J800" s="2070"/>
      <c r="K800" s="2070"/>
      <c r="L800" s="2070"/>
      <c r="M800" s="2070"/>
      <c r="N800" s="2070"/>
      <c r="O800" s="2070"/>
      <c r="P800" s="2070"/>
      <c r="Q800" s="2070"/>
      <c r="R800" s="2070"/>
      <c r="S800" s="2071"/>
      <c r="T800" s="2096">
        <f>AK180</f>
        <v>10</v>
      </c>
      <c r="U800" s="2096"/>
      <c r="V800" s="2096"/>
      <c r="W800" s="2096"/>
      <c r="X800" s="2096"/>
      <c r="Y800" s="2096"/>
      <c r="Z800" s="2039">
        <v>10</v>
      </c>
      <c r="AA800" s="2039"/>
      <c r="AB800" s="2039"/>
      <c r="AC800" s="2039"/>
      <c r="AD800" s="2039"/>
      <c r="AE800" s="2039"/>
      <c r="AF800" s="2039">
        <f>IF(T800&gt;Z800,Z800,T800)</f>
        <v>10</v>
      </c>
      <c r="AG800" s="2039"/>
      <c r="AH800" s="2039"/>
      <c r="AI800" s="2039"/>
      <c r="AJ800" s="2039"/>
      <c r="AK800" s="2039"/>
      <c r="AL800" s="852"/>
      <c r="AM800" s="630"/>
    </row>
    <row r="801" spans="1:81">
      <c r="A801" s="853" t="s">
        <v>1479</v>
      </c>
      <c r="B801" s="2070" t="s">
        <v>1480</v>
      </c>
      <c r="C801" s="2070"/>
      <c r="D801" s="2070"/>
      <c r="E801" s="2070"/>
      <c r="F801" s="2070"/>
      <c r="G801" s="2070"/>
      <c r="H801" s="2070"/>
      <c r="I801" s="2070"/>
      <c r="J801" s="2070"/>
      <c r="K801" s="2070"/>
      <c r="L801" s="2070"/>
      <c r="M801" s="2070"/>
      <c r="N801" s="2070"/>
      <c r="O801" s="2070"/>
      <c r="P801" s="2070"/>
      <c r="Q801" s="2070"/>
      <c r="R801" s="2070"/>
      <c r="S801" s="2071"/>
      <c r="T801" s="2096">
        <f>AK262</f>
        <v>8</v>
      </c>
      <c r="U801" s="2096"/>
      <c r="V801" s="2096"/>
      <c r="W801" s="2096"/>
      <c r="X801" s="2096"/>
      <c r="Y801" s="2096"/>
      <c r="Z801" s="2075">
        <v>8</v>
      </c>
      <c r="AA801" s="2073"/>
      <c r="AB801" s="2073"/>
      <c r="AC801" s="2073"/>
      <c r="AD801" s="2073"/>
      <c r="AE801" s="2074"/>
      <c r="AF801" s="2039">
        <f>IF(T801&gt;Z801,Z801,T801)</f>
        <v>8</v>
      </c>
      <c r="AG801" s="2039"/>
      <c r="AH801" s="2039"/>
      <c r="AI801" s="2039"/>
      <c r="AJ801" s="2039"/>
      <c r="AK801" s="2039"/>
      <c r="AL801" s="852"/>
      <c r="AM801" s="630"/>
    </row>
    <row r="802" spans="1:81" s="568" customFormat="1" hidden="1">
      <c r="A802" s="854" t="s">
        <v>597</v>
      </c>
      <c r="B802" s="2070" t="s">
        <v>1688</v>
      </c>
      <c r="C802" s="2070"/>
      <c r="D802" s="2070"/>
      <c r="E802" s="2070"/>
      <c r="F802" s="2070"/>
      <c r="G802" s="2070"/>
      <c r="H802" s="2070"/>
      <c r="I802" s="2070"/>
      <c r="J802" s="2070"/>
      <c r="K802" s="2070"/>
      <c r="L802" s="2070"/>
      <c r="M802" s="2070"/>
      <c r="N802" s="2070"/>
      <c r="O802" s="2070"/>
      <c r="P802" s="2070"/>
      <c r="Q802" s="2070"/>
      <c r="R802" s="2070"/>
      <c r="S802" s="2071"/>
      <c r="T802" s="2096">
        <f>IF(AK524&gt;5,5,AK524)</f>
        <v>0</v>
      </c>
      <c r="U802" s="2096"/>
      <c r="V802" s="2096"/>
      <c r="W802" s="2096"/>
      <c r="X802" s="2096"/>
      <c r="Y802" s="2096"/>
      <c r="Z802" s="2039">
        <v>5</v>
      </c>
      <c r="AA802" s="2039"/>
      <c r="AB802" s="2039"/>
      <c r="AC802" s="2039"/>
      <c r="AD802" s="2039"/>
      <c r="AE802" s="2039"/>
      <c r="AF802" s="2039">
        <f>IF(T802&gt;Z802,5,T802)</f>
        <v>0</v>
      </c>
      <c r="AG802" s="2039"/>
      <c r="AH802" s="2039"/>
      <c r="AI802" s="2039"/>
      <c r="AJ802" s="2039"/>
      <c r="AK802" s="203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70" t="s">
        <v>1689</v>
      </c>
      <c r="C803" s="2070"/>
      <c r="D803" s="2070"/>
      <c r="E803" s="2070"/>
      <c r="F803" s="2070"/>
      <c r="G803" s="2070"/>
      <c r="H803" s="2070"/>
      <c r="I803" s="2070"/>
      <c r="J803" s="2070"/>
      <c r="K803" s="2070"/>
      <c r="L803" s="2070"/>
      <c r="M803" s="2070"/>
      <c r="N803" s="2070"/>
      <c r="O803" s="2070"/>
      <c r="P803" s="2070"/>
      <c r="Q803" s="2070"/>
      <c r="R803" s="2070"/>
      <c r="S803" s="2071"/>
      <c r="T803" s="2096">
        <f>AK274</f>
        <v>10</v>
      </c>
      <c r="U803" s="2096"/>
      <c r="V803" s="2096"/>
      <c r="W803" s="2096"/>
      <c r="X803" s="2096"/>
      <c r="Y803" s="2096"/>
      <c r="Z803" s="2039">
        <v>10</v>
      </c>
      <c r="AA803" s="2039"/>
      <c r="AB803" s="2039"/>
      <c r="AC803" s="2039"/>
      <c r="AD803" s="2039"/>
      <c r="AE803" s="2039"/>
      <c r="AF803" s="2102">
        <f>IF(T803&gt;Z803,Z803,T803)</f>
        <v>10</v>
      </c>
      <c r="AG803" s="2103"/>
      <c r="AH803" s="2103"/>
      <c r="AI803" s="2103"/>
      <c r="AJ803" s="2103"/>
      <c r="AK803" s="210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70" t="s">
        <v>1490</v>
      </c>
      <c r="C804" s="2070"/>
      <c r="D804" s="2070"/>
      <c r="E804" s="2070"/>
      <c r="F804" s="2070"/>
      <c r="G804" s="2070"/>
      <c r="H804" s="2070"/>
      <c r="I804" s="2070"/>
      <c r="J804" s="2070"/>
      <c r="K804" s="2070"/>
      <c r="L804" s="2070"/>
      <c r="M804" s="2070"/>
      <c r="N804" s="2070"/>
      <c r="O804" s="2070"/>
      <c r="P804" s="2070"/>
      <c r="Q804" s="2070"/>
      <c r="R804" s="2070"/>
      <c r="S804" s="2071"/>
      <c r="T804" s="2096">
        <f>AK327</f>
        <v>10</v>
      </c>
      <c r="U804" s="2096"/>
      <c r="V804" s="2096"/>
      <c r="W804" s="2096"/>
      <c r="X804" s="2096"/>
      <c r="Y804" s="2096"/>
      <c r="Z804" s="2102">
        <v>10</v>
      </c>
      <c r="AA804" s="2103"/>
      <c r="AB804" s="2103"/>
      <c r="AC804" s="2103"/>
      <c r="AD804" s="2103"/>
      <c r="AE804" s="2104"/>
      <c r="AF804" s="2102">
        <f>IF(T804&gt;Z804,Z804,T804)</f>
        <v>10</v>
      </c>
      <c r="AG804" s="2103"/>
      <c r="AH804" s="2103"/>
      <c r="AI804" s="2103"/>
      <c r="AJ804" s="2103"/>
      <c r="AK804" s="210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72">
        <f>AK327</f>
        <v>10</v>
      </c>
      <c r="U805" s="1972"/>
      <c r="V805" s="1972"/>
      <c r="W805" s="1972"/>
      <c r="X805" s="1972"/>
      <c r="Y805" s="1972"/>
      <c r="Z805" s="1977">
        <v>20</v>
      </c>
      <c r="AA805" s="1978"/>
      <c r="AB805" s="1978"/>
      <c r="AC805" s="1978"/>
      <c r="AD805" s="1978"/>
      <c r="AE805" s="1979"/>
      <c r="AF805" s="2099"/>
      <c r="AG805" s="2099"/>
      <c r="AH805" s="2099"/>
      <c r="AI805" s="2099"/>
      <c r="AJ805" s="2099"/>
      <c r="AK805" s="209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70" t="s">
        <v>856</v>
      </c>
      <c r="C806" s="2070"/>
      <c r="D806" s="2070"/>
      <c r="E806" s="2070"/>
      <c r="F806" s="2070"/>
      <c r="G806" s="2070"/>
      <c r="H806" s="2070"/>
      <c r="I806" s="2070"/>
      <c r="J806" s="2070"/>
      <c r="K806" s="2070"/>
      <c r="L806" s="2070"/>
      <c r="M806" s="2070"/>
      <c r="N806" s="2070"/>
      <c r="O806" s="2070"/>
      <c r="P806" s="2070"/>
      <c r="Q806" s="2070"/>
      <c r="R806" s="2070"/>
      <c r="S806" s="2071"/>
      <c r="T806" s="2096">
        <f>AK458</f>
        <v>10</v>
      </c>
      <c r="U806" s="2096"/>
      <c r="V806" s="2096"/>
      <c r="W806" s="2096"/>
      <c r="X806" s="2096"/>
      <c r="Y806" s="2096"/>
      <c r="Z806" s="2102">
        <v>10</v>
      </c>
      <c r="AA806" s="2103"/>
      <c r="AB806" s="2103"/>
      <c r="AC806" s="2103"/>
      <c r="AD806" s="2103"/>
      <c r="AE806" s="2104"/>
      <c r="AF806" s="2039">
        <f>IF(T806&gt;Z806,Z806,T806)</f>
        <v>10</v>
      </c>
      <c r="AG806" s="2039"/>
      <c r="AH806" s="2039"/>
      <c r="AI806" s="2039"/>
      <c r="AJ806" s="2039"/>
      <c r="AK806" s="203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70" t="s">
        <v>1669</v>
      </c>
      <c r="C807" s="2070"/>
      <c r="D807" s="2070"/>
      <c r="E807" s="2070"/>
      <c r="F807" s="2070"/>
      <c r="G807" s="2070"/>
      <c r="H807" s="2070"/>
      <c r="I807" s="2070"/>
      <c r="J807" s="2070"/>
      <c r="K807" s="2070"/>
      <c r="L807" s="2070"/>
      <c r="M807" s="2070"/>
      <c r="N807" s="2070"/>
      <c r="O807" s="2070"/>
      <c r="P807" s="2070"/>
      <c r="Q807" s="2070"/>
      <c r="R807" s="2070"/>
      <c r="S807" s="2071"/>
      <c r="T807" s="2096">
        <f>AK548</f>
        <v>12</v>
      </c>
      <c r="U807" s="2096"/>
      <c r="V807" s="2096"/>
      <c r="W807" s="2096"/>
      <c r="X807" s="2096"/>
      <c r="Y807" s="2096"/>
      <c r="Z807" s="2102">
        <v>12</v>
      </c>
      <c r="AA807" s="2103"/>
      <c r="AB807" s="2103"/>
      <c r="AC807" s="2103"/>
      <c r="AD807" s="2103"/>
      <c r="AE807" s="2104"/>
      <c r="AF807" s="2039">
        <f>IF(T807&gt;Z807,Z807,T807)</f>
        <v>12</v>
      </c>
      <c r="AG807" s="2039"/>
      <c r="AH807" s="2039"/>
      <c r="AI807" s="2039"/>
      <c r="AJ807" s="2039"/>
      <c r="AK807" s="203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70" t="s">
        <v>1691</v>
      </c>
      <c r="C808" s="2070"/>
      <c r="D808" s="2070"/>
      <c r="E808" s="2070"/>
      <c r="F808" s="2070"/>
      <c r="G808" s="2070"/>
      <c r="H808" s="2070"/>
      <c r="I808" s="2070"/>
      <c r="J808" s="2070"/>
      <c r="K808" s="2070"/>
      <c r="L808" s="2070"/>
      <c r="M808" s="2070"/>
      <c r="N808" s="2070"/>
      <c r="O808" s="2070"/>
      <c r="P808" s="2070"/>
      <c r="Q808" s="2070"/>
      <c r="R808" s="2070"/>
      <c r="S808" s="2071"/>
      <c r="T808" s="2096">
        <f>AK783</f>
        <v>10</v>
      </c>
      <c r="U808" s="2096"/>
      <c r="V808" s="2096"/>
      <c r="W808" s="2096"/>
      <c r="X808" s="2096"/>
      <c r="Y808" s="2096"/>
      <c r="Z808" s="2102">
        <v>10</v>
      </c>
      <c r="AA808" s="2103"/>
      <c r="AB808" s="2103"/>
      <c r="AC808" s="2103"/>
      <c r="AD808" s="2103"/>
      <c r="AE808" s="2104"/>
      <c r="AF808" s="2039">
        <f>IF(T808&gt;Z808,Z808,T808)</f>
        <v>10</v>
      </c>
      <c r="AG808" s="2039"/>
      <c r="AH808" s="2039"/>
      <c r="AI808" s="2039"/>
      <c r="AJ808" s="2039"/>
      <c r="AK808" s="203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100" t="s">
        <v>1692</v>
      </c>
      <c r="B809" s="2070"/>
      <c r="C809" s="2070"/>
      <c r="D809" s="2070"/>
      <c r="E809" s="2070"/>
      <c r="F809" s="2070"/>
      <c r="G809" s="2070"/>
      <c r="H809" s="2070"/>
      <c r="I809" s="2070"/>
      <c r="J809" s="2070"/>
      <c r="K809" s="2070"/>
      <c r="L809" s="2070"/>
      <c r="M809" s="2070"/>
      <c r="N809" s="2070"/>
      <c r="O809" s="2070"/>
      <c r="P809" s="2070"/>
      <c r="Q809" s="2070"/>
      <c r="R809" s="2070"/>
      <c r="S809" s="2071"/>
      <c r="T809" s="2101"/>
      <c r="U809" s="2101"/>
      <c r="V809" s="2101"/>
      <c r="W809" s="2101"/>
      <c r="X809" s="2101"/>
      <c r="Y809" s="2101"/>
      <c r="Z809" s="1973" t="s">
        <v>1693</v>
      </c>
      <c r="AA809" s="1973"/>
      <c r="AB809" s="1973"/>
      <c r="AC809" s="1973"/>
      <c r="AD809" s="1973"/>
      <c r="AE809" s="1973"/>
      <c r="AF809" s="2102">
        <f>IF(T809&gt;0,T809,0)</f>
        <v>0</v>
      </c>
      <c r="AG809" s="2103"/>
      <c r="AH809" s="2103"/>
      <c r="AI809" s="2103"/>
      <c r="AJ809" s="2103"/>
      <c r="AK809" s="210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105" t="s">
        <v>1694</v>
      </c>
      <c r="B810" s="2106"/>
      <c r="C810" s="2106"/>
      <c r="D810" s="2106"/>
      <c r="E810" s="2106"/>
      <c r="F810" s="2106"/>
      <c r="G810" s="2106"/>
      <c r="H810" s="2106"/>
      <c r="I810" s="2106"/>
      <c r="J810" s="2106"/>
      <c r="K810" s="2106"/>
      <c r="L810" s="2106"/>
      <c r="M810" s="2106"/>
      <c r="N810" s="2106"/>
      <c r="O810" s="2106"/>
      <c r="P810" s="2106"/>
      <c r="Q810" s="2106"/>
      <c r="R810" s="2106"/>
      <c r="S810" s="2106"/>
      <c r="T810" s="2106"/>
      <c r="U810" s="2106"/>
      <c r="V810" s="2106"/>
      <c r="W810" s="2106"/>
      <c r="X810" s="2106"/>
      <c r="Y810" s="2106"/>
      <c r="Z810" s="2106"/>
      <c r="AA810" s="2106"/>
      <c r="AB810" s="2106"/>
      <c r="AC810" s="2106"/>
      <c r="AD810" s="2106"/>
      <c r="AE810" s="2107"/>
      <c r="AF810" s="2111">
        <f ca="1">SUM(AF793:AK808)-AF809</f>
        <v>120</v>
      </c>
      <c r="AG810" s="2112"/>
      <c r="AH810" s="2112"/>
      <c r="AI810" s="2112"/>
      <c r="AJ810" s="2112"/>
      <c r="AK810" s="211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108"/>
      <c r="B811" s="2109"/>
      <c r="C811" s="2109"/>
      <c r="D811" s="2109"/>
      <c r="E811" s="2109"/>
      <c r="F811" s="2109"/>
      <c r="G811" s="2109"/>
      <c r="H811" s="2109"/>
      <c r="I811" s="2109"/>
      <c r="J811" s="2109"/>
      <c r="K811" s="2109"/>
      <c r="L811" s="2109"/>
      <c r="M811" s="2109"/>
      <c r="N811" s="2109"/>
      <c r="O811" s="2109"/>
      <c r="P811" s="2109"/>
      <c r="Q811" s="2109"/>
      <c r="R811" s="2109"/>
      <c r="S811" s="2109"/>
      <c r="T811" s="2109"/>
      <c r="U811" s="2109"/>
      <c r="V811" s="2109"/>
      <c r="W811" s="2109"/>
      <c r="X811" s="2109"/>
      <c r="Y811" s="2109"/>
      <c r="Z811" s="2109"/>
      <c r="AA811" s="2109"/>
      <c r="AB811" s="2109"/>
      <c r="AC811" s="2109"/>
      <c r="AD811" s="2109"/>
      <c r="AE811" s="2110"/>
      <c r="AF811" s="2114"/>
      <c r="AG811" s="2115"/>
      <c r="AH811" s="2115"/>
      <c r="AI811" s="2115"/>
      <c r="AJ811" s="2115"/>
      <c r="AK811" s="211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15 Year Pro Forma</vt:lpstr>
      <vt:lpstr>Sources and Uses Budget</vt:lpstr>
      <vt:lpstr>Sources and Basis Breakdown</vt:lpstr>
      <vt:lpstr>Points System</vt:lpstr>
      <vt:lpstr>Tie Breaker</vt:lpstr>
      <vt:lpstr>CalHFA Addendum</vt:lpstr>
      <vt:lpstr>Basis &amp; Credits</vt:lpstr>
      <vt:lpstr>Subsidy Contract Calculation</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Jose Lujano</cp:lastModifiedBy>
  <cp:lastPrinted>2022-06-02T00:41:49Z</cp:lastPrinted>
  <dcterms:created xsi:type="dcterms:W3CDTF">2007-12-27T18:26:28Z</dcterms:created>
  <dcterms:modified xsi:type="dcterms:W3CDTF">2024-08-24T04:56:49Z</dcterms:modified>
</cp:coreProperties>
</file>